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多彩运营\-\"/>
    </mc:Choice>
  </mc:AlternateContent>
  <bookViews>
    <workbookView xWindow="-120" yWindow="-120" windowWidth="29040" windowHeight="15840" tabRatio="725"/>
  </bookViews>
  <sheets>
    <sheet name="Sheet1" sheetId="1" r:id="rId1"/>
    <sheet name="Sheet10" sheetId="16" r:id="rId2"/>
    <sheet name="Sheet2" sheetId="2" r:id="rId3"/>
    <sheet name="魅族" sheetId="3" r:id="rId4"/>
    <sheet name="百度" sheetId="5" r:id="rId5"/>
    <sheet name="华为" sheetId="6" r:id="rId6"/>
    <sheet name="点评" sheetId="7" r:id="rId7"/>
    <sheet name="搜狗" sheetId="8" r:id="rId8"/>
    <sheet name="vivo" sheetId="9" r:id="rId9"/>
    <sheet name="其他" sheetId="11" r:id="rId10"/>
    <sheet name="小米" sheetId="12" state="hidden" r:id="rId11"/>
  </sheets>
  <definedNames>
    <definedName name="_xlnm._FilterDatabase" localSheetId="0" hidden="1">Sheet1!$A$1:$AN$1363</definedName>
    <definedName name="_xlnm._FilterDatabase" localSheetId="1" hidden="1">Sheet10!$A$1:$K$40</definedName>
    <definedName name="_xlnm._FilterDatabase" localSheetId="2" hidden="1">Sheet2!$A$1:$AC$83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70" i="1" l="1"/>
  <c r="AB671" i="1"/>
  <c r="AB359" i="1"/>
  <c r="AB275" i="1"/>
  <c r="AB948" i="1" l="1"/>
  <c r="Z948" i="1"/>
  <c r="AB6" i="1" l="1"/>
  <c r="AB827" i="1" l="1"/>
  <c r="AB828" i="1"/>
  <c r="AB1034" i="1" l="1"/>
  <c r="AB555" i="1" l="1"/>
  <c r="AD555" i="1" l="1"/>
  <c r="AB934" i="1" l="1"/>
  <c r="AD927" i="1" l="1"/>
  <c r="AB44" i="1" l="1"/>
  <c r="AB1331" i="1" l="1"/>
  <c r="AA863" i="1"/>
  <c r="AB1043" i="1" l="1"/>
  <c r="AB1362" i="1" l="1"/>
  <c r="AB1361" i="1" l="1"/>
  <c r="AB1360" i="1"/>
  <c r="AB878" i="1" l="1"/>
  <c r="AB876" i="1"/>
  <c r="AB1276" i="1" l="1"/>
  <c r="AB1159" i="1" l="1"/>
  <c r="K32" i="11" l="1"/>
  <c r="H32" i="11"/>
  <c r="K21" i="11"/>
  <c r="H21" i="11"/>
  <c r="L9" i="9"/>
  <c r="H9" i="9"/>
  <c r="B9" i="9"/>
  <c r="I9" i="9" s="1"/>
  <c r="K8" i="9"/>
  <c r="M8" i="9" s="1"/>
  <c r="K7" i="9"/>
  <c r="M7" i="9" s="1"/>
  <c r="I7" i="9"/>
  <c r="K6" i="9"/>
  <c r="I6" i="9"/>
  <c r="F11" i="8"/>
  <c r="F10" i="8"/>
  <c r="N26" i="5"/>
  <c r="K26" i="5"/>
  <c r="N25" i="5"/>
  <c r="K25" i="5"/>
  <c r="N24" i="5"/>
  <c r="K24" i="5"/>
  <c r="N23" i="5"/>
  <c r="K23" i="5"/>
  <c r="N22" i="5"/>
  <c r="K22" i="5"/>
  <c r="Q21" i="5"/>
  <c r="N21" i="5"/>
  <c r="K21" i="5"/>
  <c r="N20" i="5"/>
  <c r="K20" i="5"/>
  <c r="N19" i="5"/>
  <c r="K19" i="5"/>
  <c r="N18" i="5"/>
  <c r="K18" i="5"/>
  <c r="N17" i="5"/>
  <c r="K17" i="5"/>
  <c r="N16" i="5"/>
  <c r="K16" i="5"/>
  <c r="N15" i="5"/>
  <c r="K15" i="5"/>
  <c r="N14" i="5"/>
  <c r="K14" i="5"/>
  <c r="Q13" i="5"/>
  <c r="N13" i="5"/>
  <c r="K13" i="5"/>
  <c r="AC1100" i="2"/>
  <c r="I83" i="2"/>
  <c r="K83" i="2" s="1"/>
  <c r="I82" i="2"/>
  <c r="K82" i="2" s="1"/>
  <c r="I81" i="2"/>
  <c r="K81" i="2" s="1"/>
  <c r="K80" i="2"/>
  <c r="I80" i="2"/>
  <c r="I79" i="2"/>
  <c r="K79" i="2" s="1"/>
  <c r="I78" i="2"/>
  <c r="K78" i="2" s="1"/>
  <c r="I77" i="2"/>
  <c r="K77" i="2" s="1"/>
  <c r="I76" i="2"/>
  <c r="K76" i="2" s="1"/>
  <c r="I75" i="2"/>
  <c r="K75" i="2" s="1"/>
  <c r="K74" i="2"/>
  <c r="I74" i="2"/>
  <c r="G70" i="2"/>
  <c r="K68" i="2"/>
  <c r="I67" i="2"/>
  <c r="K67" i="2" s="1"/>
  <c r="I66" i="2"/>
  <c r="K66" i="2" s="1"/>
  <c r="K65" i="2"/>
  <c r="I65" i="2"/>
  <c r="I64" i="2"/>
  <c r="K64" i="2" s="1"/>
  <c r="I63" i="2"/>
  <c r="K63" i="2" s="1"/>
  <c r="K62" i="2"/>
  <c r="K61" i="2"/>
  <c r="K60" i="2"/>
  <c r="G60" i="2"/>
  <c r="F60" i="2"/>
  <c r="I59" i="2"/>
  <c r="K59" i="2" s="1"/>
  <c r="I58" i="2"/>
  <c r="F58" i="2"/>
  <c r="I57" i="2"/>
  <c r="K57" i="2" s="1"/>
  <c r="I56" i="2"/>
  <c r="K56" i="2" s="1"/>
  <c r="K55" i="2"/>
  <c r="I55" i="2"/>
  <c r="I54" i="2"/>
  <c r="J54" i="2" s="1"/>
  <c r="G54" i="2"/>
  <c r="I53" i="2"/>
  <c r="K53" i="2" s="1"/>
  <c r="I52" i="2"/>
  <c r="K52" i="2" s="1"/>
  <c r="I51" i="2"/>
  <c r="K51" i="2" s="1"/>
  <c r="I50" i="2"/>
  <c r="K50" i="2" s="1"/>
  <c r="K46" i="2"/>
  <c r="K45" i="2"/>
  <c r="K44" i="2"/>
  <c r="K43" i="2"/>
  <c r="I42" i="2"/>
  <c r="K42" i="2" s="1"/>
  <c r="I41" i="2"/>
  <c r="K41" i="2" s="1"/>
  <c r="K40" i="2"/>
  <c r="K39" i="2"/>
  <c r="K38" i="2"/>
  <c r="K37" i="2"/>
  <c r="K36" i="2"/>
  <c r="I35" i="2"/>
  <c r="K35" i="2" s="1"/>
  <c r="I34" i="2"/>
  <c r="K34" i="2" s="1"/>
  <c r="I33" i="2"/>
  <c r="K33" i="2" s="1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F18" i="2"/>
  <c r="K17" i="2"/>
  <c r="K16" i="2"/>
  <c r="K15" i="2"/>
  <c r="K14" i="2"/>
  <c r="K13" i="2"/>
  <c r="I13" i="2"/>
  <c r="I12" i="2"/>
  <c r="K12" i="2" s="1"/>
  <c r="I11" i="2"/>
  <c r="K11" i="2" s="1"/>
  <c r="I10" i="2"/>
  <c r="K10" i="2" s="1"/>
  <c r="I9" i="2"/>
  <c r="K9" i="2" s="1"/>
  <c r="I8" i="2"/>
  <c r="K8" i="2" s="1"/>
  <c r="K7" i="2"/>
  <c r="K6" i="2"/>
  <c r="K5" i="2"/>
  <c r="K4" i="2"/>
  <c r="K3" i="2"/>
  <c r="I3" i="2"/>
  <c r="I2" i="2"/>
  <c r="K2" i="2" s="1"/>
  <c r="J40" i="16"/>
  <c r="I40" i="16"/>
  <c r="H40" i="16"/>
  <c r="G40" i="16"/>
  <c r="F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E21" i="16"/>
  <c r="E40" i="16" s="1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40" i="16" s="1"/>
  <c r="D2" i="16"/>
  <c r="D40" i="16" s="1"/>
  <c r="AD1358" i="1"/>
  <c r="AF1358" i="1" s="1"/>
  <c r="AC1358" i="1"/>
  <c r="AB1358" i="1"/>
  <c r="AA1358" i="1"/>
  <c r="T1358" i="1"/>
  <c r="U1358" i="1" s="1"/>
  <c r="W1358" i="1" s="1"/>
  <c r="AD1357" i="1"/>
  <c r="AF1357" i="1" s="1"/>
  <c r="AB1357" i="1"/>
  <c r="AA1357" i="1"/>
  <c r="T1357" i="1"/>
  <c r="U1357" i="1" s="1"/>
  <c r="W1357" i="1" s="1"/>
  <c r="X1357" i="1" s="1"/>
  <c r="Y1357" i="1" s="1"/>
  <c r="AF1356" i="1"/>
  <c r="AB1356" i="1"/>
  <c r="AC1356" i="1" s="1"/>
  <c r="AF1355" i="1"/>
  <c r="AB1355" i="1"/>
  <c r="AC1355" i="1" s="1"/>
  <c r="AD1354" i="1"/>
  <c r="AF1354" i="1" s="1"/>
  <c r="AB1354" i="1"/>
  <c r="AC1354" i="1" s="1"/>
  <c r="AF1353" i="1"/>
  <c r="AB1353" i="1"/>
  <c r="AC1353" i="1" s="1"/>
  <c r="AF1352" i="1"/>
  <c r="AB1352" i="1"/>
  <c r="AC1352" i="1" s="1"/>
  <c r="AF1351" i="1"/>
  <c r="AB1351" i="1"/>
  <c r="AC1351" i="1" s="1"/>
  <c r="AF1350" i="1"/>
  <c r="AB1350" i="1"/>
  <c r="AC1350" i="1" s="1"/>
  <c r="AF1349" i="1"/>
  <c r="AB1349" i="1"/>
  <c r="AC1349" i="1" s="1"/>
  <c r="AF1348" i="1"/>
  <c r="AB1348" i="1"/>
  <c r="AC1348" i="1" s="1"/>
  <c r="AF1347" i="1"/>
  <c r="AB1347" i="1"/>
  <c r="AC1347" i="1" s="1"/>
  <c r="AF1346" i="1"/>
  <c r="AB1346" i="1"/>
  <c r="AC1346" i="1" s="1"/>
  <c r="AF1345" i="1"/>
  <c r="AB1345" i="1"/>
  <c r="AC1345" i="1" s="1"/>
  <c r="AF1344" i="1"/>
  <c r="AB1344" i="1"/>
  <c r="AC1344" i="1" s="1"/>
  <c r="AF1343" i="1"/>
  <c r="AB1343" i="1"/>
  <c r="AC1343" i="1" s="1"/>
  <c r="AF1342" i="1"/>
  <c r="AB1342" i="1"/>
  <c r="AC1342" i="1" s="1"/>
  <c r="AF1341" i="1"/>
  <c r="AB1341" i="1"/>
  <c r="AC1341" i="1" s="1"/>
  <c r="AF1340" i="1"/>
  <c r="AB1340" i="1"/>
  <c r="AC1340" i="1" s="1"/>
  <c r="AF1339" i="1"/>
  <c r="AB1339" i="1"/>
  <c r="AC1339" i="1" s="1"/>
  <c r="AF1338" i="1"/>
  <c r="AB1338" i="1"/>
  <c r="AC1338" i="1" s="1"/>
  <c r="AF1337" i="1"/>
  <c r="AB1337" i="1"/>
  <c r="AF1336" i="1"/>
  <c r="AB1336" i="1"/>
  <c r="AC1336" i="1" s="1"/>
  <c r="AF1335" i="1"/>
  <c r="AB1335" i="1"/>
  <c r="AC1335" i="1" s="1"/>
  <c r="AF1334" i="1"/>
  <c r="AB1334" i="1"/>
  <c r="AC1334" i="1" s="1"/>
  <c r="AF1333" i="1"/>
  <c r="AB1333" i="1"/>
  <c r="AC1333" i="1" s="1"/>
  <c r="AF1332" i="1"/>
  <c r="AB1332" i="1"/>
  <c r="AC1332" i="1" s="1"/>
  <c r="AF1331" i="1"/>
  <c r="AC1331" i="1"/>
  <c r="AF1330" i="1"/>
  <c r="AB1330" i="1"/>
  <c r="AC1330" i="1" s="1"/>
  <c r="AF1329" i="1"/>
  <c r="AB1329" i="1"/>
  <c r="AC1329" i="1" s="1"/>
  <c r="AF1328" i="1"/>
  <c r="AB1328" i="1"/>
  <c r="AC1328" i="1" s="1"/>
  <c r="AF1327" i="1"/>
  <c r="AB1327" i="1"/>
  <c r="AC1327" i="1" s="1"/>
  <c r="AF1326" i="1"/>
  <c r="AB1326" i="1"/>
  <c r="AC1326" i="1" s="1"/>
  <c r="AF1325" i="1"/>
  <c r="AB1325" i="1"/>
  <c r="AC1325" i="1" s="1"/>
  <c r="AF1324" i="1"/>
  <c r="AB1324" i="1"/>
  <c r="AC1324" i="1" s="1"/>
  <c r="AF1323" i="1"/>
  <c r="AB1323" i="1"/>
  <c r="AC1323" i="1" s="1"/>
  <c r="AF1322" i="1"/>
  <c r="AB1322" i="1"/>
  <c r="AC1322" i="1" s="1"/>
  <c r="AF1321" i="1"/>
  <c r="AB1321" i="1"/>
  <c r="AC1321" i="1" s="1"/>
  <c r="AF1320" i="1"/>
  <c r="AB1320" i="1"/>
  <c r="AC1320" i="1" s="1"/>
  <c r="AF1319" i="1"/>
  <c r="AB1319" i="1"/>
  <c r="AC1319" i="1" s="1"/>
  <c r="AF1318" i="1"/>
  <c r="AB1318" i="1"/>
  <c r="AC1318" i="1" s="1"/>
  <c r="AF1317" i="1"/>
  <c r="AB1317" i="1"/>
  <c r="AC1317" i="1" s="1"/>
  <c r="AF1316" i="1"/>
  <c r="AB1316" i="1"/>
  <c r="AC1316" i="1" s="1"/>
  <c r="AF1315" i="1"/>
  <c r="AB1315" i="1"/>
  <c r="AC1315" i="1" s="1"/>
  <c r="AF1314" i="1"/>
  <c r="AB1314" i="1"/>
  <c r="AC1314" i="1" s="1"/>
  <c r="AF1313" i="1"/>
  <c r="AB1313" i="1"/>
  <c r="AC1313" i="1" s="1"/>
  <c r="AF1312" i="1"/>
  <c r="AB1312" i="1"/>
  <c r="AC1312" i="1" s="1"/>
  <c r="AF1311" i="1"/>
  <c r="AC1311" i="1"/>
  <c r="AB1311" i="1"/>
  <c r="AF1310" i="1"/>
  <c r="AB1310" i="1"/>
  <c r="AC1310" i="1" s="1"/>
  <c r="AF1309" i="1"/>
  <c r="AB1309" i="1"/>
  <c r="AC1309" i="1" s="1"/>
  <c r="AF1308" i="1"/>
  <c r="AB1308" i="1"/>
  <c r="AC1308" i="1" s="1"/>
  <c r="AF1307" i="1"/>
  <c r="AB1307" i="1"/>
  <c r="AC1307" i="1" s="1"/>
  <c r="AF1306" i="1"/>
  <c r="AB1306" i="1"/>
  <c r="AC1306" i="1" s="1"/>
  <c r="AF1305" i="1"/>
  <c r="AB1305" i="1"/>
  <c r="AC1305" i="1" s="1"/>
  <c r="AF1304" i="1"/>
  <c r="AB1304" i="1"/>
  <c r="AC1304" i="1" s="1"/>
  <c r="AF1303" i="1"/>
  <c r="AB1303" i="1"/>
  <c r="AC1303" i="1" s="1"/>
  <c r="AF1302" i="1"/>
  <c r="AB1302" i="1"/>
  <c r="AC1302" i="1" s="1"/>
  <c r="AF1301" i="1"/>
  <c r="AB1301" i="1"/>
  <c r="AC1301" i="1" s="1"/>
  <c r="AF1300" i="1"/>
  <c r="AB1300" i="1"/>
  <c r="AC1300" i="1" s="1"/>
  <c r="AF1299" i="1"/>
  <c r="AB1299" i="1"/>
  <c r="AC1299" i="1" s="1"/>
  <c r="AF1298" i="1"/>
  <c r="AC1298" i="1"/>
  <c r="AB1298" i="1"/>
  <c r="AF1297" i="1"/>
  <c r="AC1297" i="1"/>
  <c r="AB1297" i="1"/>
  <c r="AF1296" i="1"/>
  <c r="AC1296" i="1"/>
  <c r="AF1295" i="1"/>
  <c r="AB1295" i="1"/>
  <c r="AC1295" i="1" s="1"/>
  <c r="AF1294" i="1"/>
  <c r="AB1294" i="1"/>
  <c r="AC1294" i="1" s="1"/>
  <c r="AF1293" i="1"/>
  <c r="AB1293" i="1"/>
  <c r="AC1293" i="1" s="1"/>
  <c r="AF1292" i="1"/>
  <c r="Z1292" i="1"/>
  <c r="AB1292" i="1" s="1"/>
  <c r="V1292" i="1"/>
  <c r="AF1291" i="1"/>
  <c r="AB1291" i="1"/>
  <c r="AC1291" i="1" s="1"/>
  <c r="AF1290" i="1"/>
  <c r="AB1290" i="1"/>
  <c r="AC1290" i="1" s="1"/>
  <c r="AF1289" i="1"/>
  <c r="AB1289" i="1"/>
  <c r="AC1289" i="1" s="1"/>
  <c r="AF1288" i="1"/>
  <c r="AB1288" i="1"/>
  <c r="AC1288" i="1" s="1"/>
  <c r="AF1287" i="1"/>
  <c r="AB1287" i="1"/>
  <c r="AC1287" i="1" s="1"/>
  <c r="AF1286" i="1"/>
  <c r="AB1286" i="1"/>
  <c r="AC1286" i="1" s="1"/>
  <c r="AF1285" i="1"/>
  <c r="AB1285" i="1"/>
  <c r="AC1285" i="1" s="1"/>
  <c r="AF1284" i="1"/>
  <c r="AB1284" i="1"/>
  <c r="AC1284" i="1" s="1"/>
  <c r="AF1283" i="1"/>
  <c r="AC1283" i="1"/>
  <c r="AF1282" i="1"/>
  <c r="AB1282" i="1"/>
  <c r="AC1282" i="1" s="1"/>
  <c r="AF1281" i="1"/>
  <c r="AC1281" i="1"/>
  <c r="AB1281" i="1"/>
  <c r="AF1280" i="1"/>
  <c r="AC1280" i="1"/>
  <c r="AB1280" i="1"/>
  <c r="AF1279" i="1"/>
  <c r="AC1279" i="1"/>
  <c r="AB1279" i="1"/>
  <c r="AF1278" i="1"/>
  <c r="AC1278" i="1"/>
  <c r="AB1278" i="1"/>
  <c r="AF1277" i="1"/>
  <c r="AB1277" i="1"/>
  <c r="AC1277" i="1" s="1"/>
  <c r="AF1276" i="1"/>
  <c r="AC1276" i="1"/>
  <c r="AF1275" i="1"/>
  <c r="AB1275" i="1"/>
  <c r="AC1275" i="1" s="1"/>
  <c r="AF1274" i="1"/>
  <c r="AB1274" i="1"/>
  <c r="AC1274" i="1" s="1"/>
  <c r="AF1273" i="1"/>
  <c r="AB1273" i="1"/>
  <c r="AC1273" i="1" s="1"/>
  <c r="AF1272" i="1"/>
  <c r="AB1272" i="1"/>
  <c r="AC1272" i="1" s="1"/>
  <c r="AA1272" i="1"/>
  <c r="T1272" i="1"/>
  <c r="U1272" i="1" s="1"/>
  <c r="W1272" i="1" s="1"/>
  <c r="AF1271" i="1"/>
  <c r="AB1271" i="1"/>
  <c r="AA1271" i="1"/>
  <c r="T1271" i="1"/>
  <c r="U1271" i="1" s="1"/>
  <c r="W1271" i="1" s="1"/>
  <c r="AF1270" i="1"/>
  <c r="AB1270" i="1"/>
  <c r="AC1270" i="1" s="1"/>
  <c r="AA1270" i="1"/>
  <c r="T1270" i="1"/>
  <c r="U1270" i="1" s="1"/>
  <c r="W1270" i="1" s="1"/>
  <c r="AF1269" i="1"/>
  <c r="AB1269" i="1"/>
  <c r="AA1269" i="1"/>
  <c r="T1269" i="1"/>
  <c r="U1269" i="1" s="1"/>
  <c r="W1269" i="1" s="1"/>
  <c r="X1269" i="1" s="1"/>
  <c r="AF1268" i="1"/>
  <c r="AB1268" i="1"/>
  <c r="AC1268" i="1" s="1"/>
  <c r="AA1268" i="1"/>
  <c r="T1268" i="1"/>
  <c r="U1268" i="1" s="1"/>
  <c r="W1268" i="1" s="1"/>
  <c r="AF1267" i="1"/>
  <c r="AB1267" i="1"/>
  <c r="AA1267" i="1"/>
  <c r="T1267" i="1"/>
  <c r="U1267" i="1" s="1"/>
  <c r="W1267" i="1" s="1"/>
  <c r="AF1266" i="1"/>
  <c r="AB1266" i="1"/>
  <c r="AC1266" i="1" s="1"/>
  <c r="AA1266" i="1"/>
  <c r="T1266" i="1"/>
  <c r="U1266" i="1" s="1"/>
  <c r="W1266" i="1" s="1"/>
  <c r="AF1265" i="1"/>
  <c r="AB1265" i="1"/>
  <c r="AC1265" i="1" s="1"/>
  <c r="AA1265" i="1"/>
  <c r="T1265" i="1"/>
  <c r="U1265" i="1" s="1"/>
  <c r="W1265" i="1" s="1"/>
  <c r="AF1264" i="1"/>
  <c r="Z1264" i="1"/>
  <c r="AA1264" i="1" s="1"/>
  <c r="T1264" i="1"/>
  <c r="U1264" i="1" s="1"/>
  <c r="W1264" i="1" s="1"/>
  <c r="AF1263" i="1"/>
  <c r="AB1263" i="1"/>
  <c r="AA1263" i="1"/>
  <c r="T1263" i="1"/>
  <c r="U1263" i="1" s="1"/>
  <c r="W1263" i="1" s="1"/>
  <c r="AF1262" i="1"/>
  <c r="AB1262" i="1"/>
  <c r="AA1262" i="1"/>
  <c r="T1262" i="1"/>
  <c r="U1262" i="1" s="1"/>
  <c r="W1262" i="1" s="1"/>
  <c r="AF1261" i="1"/>
  <c r="AB1261" i="1"/>
  <c r="AA1261" i="1"/>
  <c r="T1261" i="1"/>
  <c r="U1261" i="1" s="1"/>
  <c r="W1261" i="1" s="1"/>
  <c r="AF1260" i="1"/>
  <c r="AB1260" i="1"/>
  <c r="AA1260" i="1"/>
  <c r="T1260" i="1"/>
  <c r="U1260" i="1" s="1"/>
  <c r="W1260" i="1" s="1"/>
  <c r="AF1259" i="1"/>
  <c r="AB1259" i="1"/>
  <c r="AA1259" i="1"/>
  <c r="T1259" i="1"/>
  <c r="U1259" i="1" s="1"/>
  <c r="W1259" i="1" s="1"/>
  <c r="AF1258" i="1"/>
  <c r="AB1258" i="1"/>
  <c r="AA1258" i="1"/>
  <c r="T1258" i="1"/>
  <c r="U1258" i="1" s="1"/>
  <c r="W1258" i="1" s="1"/>
  <c r="AF1257" i="1"/>
  <c r="AB1257" i="1"/>
  <c r="AA1257" i="1"/>
  <c r="T1257" i="1"/>
  <c r="U1257" i="1" s="1"/>
  <c r="W1257" i="1" s="1"/>
  <c r="AF1256" i="1"/>
  <c r="AB1256" i="1"/>
  <c r="AA1256" i="1"/>
  <c r="T1256" i="1"/>
  <c r="U1256" i="1" s="1"/>
  <c r="W1256" i="1" s="1"/>
  <c r="AF1255" i="1"/>
  <c r="AB1255" i="1"/>
  <c r="AA1255" i="1"/>
  <c r="T1255" i="1"/>
  <c r="U1255" i="1" s="1"/>
  <c r="W1255" i="1" s="1"/>
  <c r="AF1254" i="1"/>
  <c r="AB1254" i="1"/>
  <c r="AA1254" i="1"/>
  <c r="T1254" i="1"/>
  <c r="U1254" i="1" s="1"/>
  <c r="W1254" i="1" s="1"/>
  <c r="AF1253" i="1"/>
  <c r="AB1253" i="1"/>
  <c r="AA1253" i="1"/>
  <c r="T1253" i="1"/>
  <c r="U1253" i="1" s="1"/>
  <c r="W1253" i="1" s="1"/>
  <c r="AF1252" i="1"/>
  <c r="AB1252" i="1"/>
  <c r="AA1252" i="1"/>
  <c r="T1252" i="1"/>
  <c r="U1252" i="1" s="1"/>
  <c r="W1252" i="1" s="1"/>
  <c r="AF1251" i="1"/>
  <c r="Z1251" i="1"/>
  <c r="AB1251" i="1" s="1"/>
  <c r="T1251" i="1"/>
  <c r="U1251" i="1" s="1"/>
  <c r="W1251" i="1" s="1"/>
  <c r="AF1250" i="1"/>
  <c r="AB1250" i="1"/>
  <c r="AA1250" i="1"/>
  <c r="T1250" i="1"/>
  <c r="U1250" i="1" s="1"/>
  <c r="W1250" i="1" s="1"/>
  <c r="AF1249" i="1"/>
  <c r="AB1249" i="1"/>
  <c r="AC1249" i="1" s="1"/>
  <c r="AA1249" i="1"/>
  <c r="T1249" i="1"/>
  <c r="U1249" i="1" s="1"/>
  <c r="W1249" i="1" s="1"/>
  <c r="X1249" i="1" s="1"/>
  <c r="AF1248" i="1"/>
  <c r="AB1248" i="1"/>
  <c r="AA1248" i="1"/>
  <c r="T1248" i="1"/>
  <c r="U1248" i="1" s="1"/>
  <c r="W1248" i="1" s="1"/>
  <c r="X1248" i="1" s="1"/>
  <c r="AF1247" i="1"/>
  <c r="AB1247" i="1"/>
  <c r="AA1247" i="1"/>
  <c r="T1247" i="1"/>
  <c r="U1247" i="1" s="1"/>
  <c r="W1247" i="1" s="1"/>
  <c r="AD1246" i="1"/>
  <c r="AF1246" i="1" s="1"/>
  <c r="Z1246" i="1"/>
  <c r="AA1246" i="1" s="1"/>
  <c r="T1246" i="1"/>
  <c r="U1246" i="1" s="1"/>
  <c r="W1246" i="1" s="1"/>
  <c r="X1246" i="1" s="1"/>
  <c r="AF1245" i="1"/>
  <c r="AB1245" i="1"/>
  <c r="AC1245" i="1" s="1"/>
  <c r="T1245" i="1"/>
  <c r="U1245" i="1" s="1"/>
  <c r="W1245" i="1" s="1"/>
  <c r="AF1244" i="1"/>
  <c r="AB1244" i="1"/>
  <c r="AC1244" i="1" s="1"/>
  <c r="AA1244" i="1"/>
  <c r="T1244" i="1"/>
  <c r="U1244" i="1" s="1"/>
  <c r="W1244" i="1" s="1"/>
  <c r="X1244" i="1" s="1"/>
  <c r="AF1243" i="1"/>
  <c r="AB1243" i="1"/>
  <c r="AA1243" i="1"/>
  <c r="T1243" i="1"/>
  <c r="U1243" i="1" s="1"/>
  <c r="W1243" i="1" s="1"/>
  <c r="AF1242" i="1"/>
  <c r="AB1242" i="1"/>
  <c r="T1242" i="1"/>
  <c r="U1242" i="1" s="1"/>
  <c r="W1242" i="1" s="1"/>
  <c r="AF1241" i="1"/>
  <c r="AB1241" i="1"/>
  <c r="AC1241" i="1" s="1"/>
  <c r="T1241" i="1"/>
  <c r="U1241" i="1" s="1"/>
  <c r="W1241" i="1" s="1"/>
  <c r="AF1240" i="1"/>
  <c r="AB1240" i="1"/>
  <c r="T1240" i="1"/>
  <c r="U1240" i="1" s="1"/>
  <c r="W1240" i="1" s="1"/>
  <c r="X1240" i="1" s="1"/>
  <c r="AF1239" i="1"/>
  <c r="AB1239" i="1"/>
  <c r="AA1239" i="1"/>
  <c r="T1239" i="1"/>
  <c r="U1239" i="1" s="1"/>
  <c r="W1239" i="1" s="1"/>
  <c r="AF1238" i="1"/>
  <c r="AB1238" i="1"/>
  <c r="AC1238" i="1" s="1"/>
  <c r="AA1238" i="1"/>
  <c r="T1238" i="1"/>
  <c r="U1238" i="1" s="1"/>
  <c r="W1238" i="1" s="1"/>
  <c r="X1238" i="1" s="1"/>
  <c r="AF1237" i="1"/>
  <c r="AB1237" i="1"/>
  <c r="AC1237" i="1" s="1"/>
  <c r="AA1237" i="1"/>
  <c r="T1237" i="1"/>
  <c r="U1237" i="1" s="1"/>
  <c r="W1237" i="1" s="1"/>
  <c r="AF1236" i="1"/>
  <c r="AB1236" i="1"/>
  <c r="AA1236" i="1"/>
  <c r="T1236" i="1"/>
  <c r="U1236" i="1" s="1"/>
  <c r="W1236" i="1" s="1"/>
  <c r="AF1235" i="1"/>
  <c r="AB1235" i="1"/>
  <c r="AC1235" i="1" s="1"/>
  <c r="T1235" i="1"/>
  <c r="U1235" i="1" s="1"/>
  <c r="W1235" i="1" s="1"/>
  <c r="AF1234" i="1"/>
  <c r="AB1234" i="1"/>
  <c r="AA1234" i="1"/>
  <c r="T1234" i="1"/>
  <c r="U1234" i="1" s="1"/>
  <c r="W1234" i="1" s="1"/>
  <c r="AF1233" i="1"/>
  <c r="Z1233" i="1"/>
  <c r="T1233" i="1"/>
  <c r="U1233" i="1" s="1"/>
  <c r="W1233" i="1" s="1"/>
  <c r="AF1232" i="1"/>
  <c r="Z1232" i="1"/>
  <c r="T1232" i="1"/>
  <c r="U1232" i="1" s="1"/>
  <c r="W1232" i="1" s="1"/>
  <c r="AF1231" i="1"/>
  <c r="Z1231" i="1"/>
  <c r="AB1231" i="1" s="1"/>
  <c r="T1231" i="1"/>
  <c r="U1231" i="1" s="1"/>
  <c r="W1231" i="1" s="1"/>
  <c r="AF1230" i="1"/>
  <c r="AA1230" i="1"/>
  <c r="Z1230" i="1"/>
  <c r="AB1230" i="1" s="1"/>
  <c r="T1230" i="1"/>
  <c r="U1230" i="1" s="1"/>
  <c r="W1230" i="1" s="1"/>
  <c r="AF1229" i="1"/>
  <c r="Z1229" i="1"/>
  <c r="AB1229" i="1" s="1"/>
  <c r="T1229" i="1"/>
  <c r="U1229" i="1" s="1"/>
  <c r="W1229" i="1" s="1"/>
  <c r="AF1228" i="1"/>
  <c r="Z1228" i="1"/>
  <c r="T1228" i="1"/>
  <c r="U1228" i="1" s="1"/>
  <c r="W1228" i="1" s="1"/>
  <c r="X1228" i="1" s="1"/>
  <c r="Y1228" i="1" s="1"/>
  <c r="AF1227" i="1"/>
  <c r="Z1227" i="1"/>
  <c r="AB1227" i="1" s="1"/>
  <c r="T1227" i="1"/>
  <c r="U1227" i="1" s="1"/>
  <c r="AF1226" i="1"/>
  <c r="Z1226" i="1"/>
  <c r="AA1226" i="1" s="1"/>
  <c r="T1226" i="1"/>
  <c r="U1226" i="1" s="1"/>
  <c r="W1226" i="1" s="1"/>
  <c r="AF1225" i="1"/>
  <c r="Z1225" i="1"/>
  <c r="AB1225" i="1" s="1"/>
  <c r="T1225" i="1"/>
  <c r="U1225" i="1" s="1"/>
  <c r="W1225" i="1" s="1"/>
  <c r="X1225" i="1" s="1"/>
  <c r="AF1224" i="1"/>
  <c r="Z1224" i="1"/>
  <c r="T1224" i="1"/>
  <c r="U1224" i="1" s="1"/>
  <c r="W1224" i="1" s="1"/>
  <c r="AD1223" i="1"/>
  <c r="AB1223" i="1"/>
  <c r="AC1223" i="1" s="1"/>
  <c r="AE1222" i="1"/>
  <c r="AG1222" i="1" s="1"/>
  <c r="AD1222" i="1"/>
  <c r="AB1222" i="1"/>
  <c r="AC1222" i="1" s="1"/>
  <c r="AA1222" i="1"/>
  <c r="U1222" i="1"/>
  <c r="W1222" i="1" s="1"/>
  <c r="X1222" i="1" s="1"/>
  <c r="AE1221" i="1"/>
  <c r="AG1221" i="1" s="1"/>
  <c r="AD1221" i="1"/>
  <c r="AB1221" i="1"/>
  <c r="AA1221" i="1"/>
  <c r="T1221" i="1"/>
  <c r="U1221" i="1" s="1"/>
  <c r="W1221" i="1" s="1"/>
  <c r="X1221" i="1" s="1"/>
  <c r="Y1221" i="1" s="1"/>
  <c r="AE1220" i="1"/>
  <c r="AG1220" i="1" s="1"/>
  <c r="AD1220" i="1"/>
  <c r="AB1220" i="1"/>
  <c r="AA1220" i="1"/>
  <c r="T1220" i="1"/>
  <c r="U1220" i="1" s="1"/>
  <c r="W1220" i="1" s="1"/>
  <c r="AE1219" i="1"/>
  <c r="AG1219" i="1" s="1"/>
  <c r="AD1219" i="1"/>
  <c r="AB1219" i="1"/>
  <c r="AC1219" i="1" s="1"/>
  <c r="AA1219" i="1"/>
  <c r="T1219" i="1"/>
  <c r="U1219" i="1" s="1"/>
  <c r="W1219" i="1" s="1"/>
  <c r="X1219" i="1" s="1"/>
  <c r="Y1219" i="1" s="1"/>
  <c r="AE1218" i="1"/>
  <c r="AG1218" i="1" s="1"/>
  <c r="AD1218" i="1"/>
  <c r="AB1218" i="1"/>
  <c r="AC1218" i="1" s="1"/>
  <c r="AA1218" i="1"/>
  <c r="T1218" i="1"/>
  <c r="U1218" i="1" s="1"/>
  <c r="W1218" i="1" s="1"/>
  <c r="AE1217" i="1"/>
  <c r="AG1217" i="1" s="1"/>
  <c r="AD1217" i="1"/>
  <c r="AB1217" i="1"/>
  <c r="AC1217" i="1" s="1"/>
  <c r="AA1217" i="1"/>
  <c r="T1217" i="1"/>
  <c r="U1217" i="1" s="1"/>
  <c r="W1217" i="1" s="1"/>
  <c r="X1217" i="1" s="1"/>
  <c r="Y1217" i="1" s="1"/>
  <c r="AE1216" i="1"/>
  <c r="AG1216" i="1" s="1"/>
  <c r="AD1216" i="1"/>
  <c r="AB1216" i="1"/>
  <c r="AC1216" i="1" s="1"/>
  <c r="AA1216" i="1"/>
  <c r="T1216" i="1"/>
  <c r="U1216" i="1" s="1"/>
  <c r="W1216" i="1" s="1"/>
  <c r="X1216" i="1" s="1"/>
  <c r="AE1215" i="1"/>
  <c r="AG1215" i="1" s="1"/>
  <c r="AH1215" i="1" s="1"/>
  <c r="AD1215" i="1"/>
  <c r="AA1215" i="1"/>
  <c r="T1215" i="1"/>
  <c r="U1215" i="1" s="1"/>
  <c r="W1215" i="1" s="1"/>
  <c r="AE1214" i="1"/>
  <c r="AG1214" i="1" s="1"/>
  <c r="AH1214" i="1" s="1"/>
  <c r="AD1214" i="1"/>
  <c r="AA1214" i="1"/>
  <c r="T1214" i="1"/>
  <c r="U1214" i="1" s="1"/>
  <c r="W1214" i="1" s="1"/>
  <c r="AE1213" i="1"/>
  <c r="AG1213" i="1" s="1"/>
  <c r="AH1213" i="1" s="1"/>
  <c r="AD1213" i="1"/>
  <c r="AA1213" i="1"/>
  <c r="T1213" i="1"/>
  <c r="U1213" i="1" s="1"/>
  <c r="W1213" i="1" s="1"/>
  <c r="AE1212" i="1"/>
  <c r="AG1212" i="1" s="1"/>
  <c r="AD1212" i="1"/>
  <c r="AB1212" i="1"/>
  <c r="AA1212" i="1"/>
  <c r="T1212" i="1"/>
  <c r="U1212" i="1" s="1"/>
  <c r="W1212" i="1" s="1"/>
  <c r="AE1211" i="1"/>
  <c r="AG1211" i="1" s="1"/>
  <c r="AD1211" i="1"/>
  <c r="AB1211" i="1"/>
  <c r="AA1211" i="1"/>
  <c r="T1211" i="1"/>
  <c r="U1211" i="1" s="1"/>
  <c r="W1211" i="1" s="1"/>
  <c r="AE1210" i="1"/>
  <c r="AG1210" i="1" s="1"/>
  <c r="AD1210" i="1"/>
  <c r="AB1210" i="1"/>
  <c r="AA1210" i="1"/>
  <c r="T1210" i="1"/>
  <c r="U1210" i="1" s="1"/>
  <c r="W1210" i="1" s="1"/>
  <c r="AE1209" i="1"/>
  <c r="AG1209" i="1" s="1"/>
  <c r="AD1209" i="1"/>
  <c r="AB1209" i="1"/>
  <c r="AA1209" i="1"/>
  <c r="T1209" i="1"/>
  <c r="U1209" i="1" s="1"/>
  <c r="W1209" i="1" s="1"/>
  <c r="AE1208" i="1"/>
  <c r="AG1208" i="1" s="1"/>
  <c r="AD1208" i="1"/>
  <c r="AB1208" i="1"/>
  <c r="AA1208" i="1"/>
  <c r="T1208" i="1"/>
  <c r="U1208" i="1" s="1"/>
  <c r="W1208" i="1" s="1"/>
  <c r="AE1207" i="1"/>
  <c r="AG1207" i="1" s="1"/>
  <c r="AD1207" i="1"/>
  <c r="AB1207" i="1"/>
  <c r="AA1207" i="1"/>
  <c r="T1207" i="1"/>
  <c r="U1207" i="1" s="1"/>
  <c r="W1207" i="1" s="1"/>
  <c r="AE1206" i="1"/>
  <c r="AG1206" i="1" s="1"/>
  <c r="AD1206" i="1"/>
  <c r="AB1206" i="1"/>
  <c r="AA1206" i="1"/>
  <c r="T1206" i="1"/>
  <c r="U1206" i="1" s="1"/>
  <c r="W1206" i="1" s="1"/>
  <c r="AE1205" i="1"/>
  <c r="AG1205" i="1" s="1"/>
  <c r="AD1205" i="1"/>
  <c r="AB1205" i="1"/>
  <c r="AA1205" i="1"/>
  <c r="T1205" i="1"/>
  <c r="U1205" i="1" s="1"/>
  <c r="W1205" i="1" s="1"/>
  <c r="AE1204" i="1"/>
  <c r="AG1204" i="1" s="1"/>
  <c r="AD1204" i="1"/>
  <c r="AB1204" i="1"/>
  <c r="AA1204" i="1"/>
  <c r="T1204" i="1"/>
  <c r="U1204" i="1" s="1"/>
  <c r="W1204" i="1" s="1"/>
  <c r="X1204" i="1" s="1"/>
  <c r="AE1203" i="1"/>
  <c r="AG1203" i="1" s="1"/>
  <c r="AD1203" i="1"/>
  <c r="AB1203" i="1"/>
  <c r="AA1203" i="1"/>
  <c r="T1203" i="1"/>
  <c r="U1203" i="1" s="1"/>
  <c r="W1203" i="1" s="1"/>
  <c r="AE1202" i="1"/>
  <c r="AG1202" i="1" s="1"/>
  <c r="AD1202" i="1"/>
  <c r="AB1202" i="1"/>
  <c r="AA1202" i="1"/>
  <c r="T1202" i="1"/>
  <c r="U1202" i="1" s="1"/>
  <c r="W1202" i="1" s="1"/>
  <c r="AE1201" i="1"/>
  <c r="AG1201" i="1" s="1"/>
  <c r="AD1201" i="1"/>
  <c r="AB1201" i="1"/>
  <c r="AA1201" i="1"/>
  <c r="T1201" i="1"/>
  <c r="U1201" i="1" s="1"/>
  <c r="W1201" i="1" s="1"/>
  <c r="AE1200" i="1"/>
  <c r="AG1200" i="1" s="1"/>
  <c r="AD1200" i="1"/>
  <c r="AB1200" i="1"/>
  <c r="AA1200" i="1"/>
  <c r="T1200" i="1"/>
  <c r="U1200" i="1" s="1"/>
  <c r="W1200" i="1" s="1"/>
  <c r="X1200" i="1" s="1"/>
  <c r="AE1199" i="1"/>
  <c r="AG1199" i="1" s="1"/>
  <c r="AD1199" i="1"/>
  <c r="AB1199" i="1"/>
  <c r="AA1199" i="1"/>
  <c r="T1199" i="1"/>
  <c r="U1199" i="1" s="1"/>
  <c r="W1199" i="1" s="1"/>
  <c r="AE1198" i="1"/>
  <c r="AG1198" i="1" s="1"/>
  <c r="AD1198" i="1"/>
  <c r="AB1198" i="1"/>
  <c r="AA1198" i="1"/>
  <c r="T1198" i="1"/>
  <c r="U1198" i="1" s="1"/>
  <c r="W1198" i="1" s="1"/>
  <c r="AE1197" i="1"/>
  <c r="AG1197" i="1" s="1"/>
  <c r="AD1197" i="1"/>
  <c r="AB1197" i="1"/>
  <c r="AA1197" i="1"/>
  <c r="T1197" i="1"/>
  <c r="U1197" i="1" s="1"/>
  <c r="W1197" i="1" s="1"/>
  <c r="AE1196" i="1"/>
  <c r="AG1196" i="1" s="1"/>
  <c r="AB1196" i="1"/>
  <c r="AC1196" i="1" s="1"/>
  <c r="AA1196" i="1"/>
  <c r="T1196" i="1"/>
  <c r="U1196" i="1" s="1"/>
  <c r="W1196" i="1" s="1"/>
  <c r="AE1195" i="1"/>
  <c r="AG1195" i="1" s="1"/>
  <c r="AD1195" i="1"/>
  <c r="AB1195" i="1"/>
  <c r="AA1195" i="1"/>
  <c r="T1195" i="1"/>
  <c r="U1195" i="1" s="1"/>
  <c r="W1195" i="1" s="1"/>
  <c r="AE1194" i="1"/>
  <c r="AG1194" i="1" s="1"/>
  <c r="AD1194" i="1"/>
  <c r="AB1194" i="1"/>
  <c r="AA1194" i="1"/>
  <c r="T1194" i="1"/>
  <c r="U1194" i="1" s="1"/>
  <c r="W1194" i="1" s="1"/>
  <c r="AE1193" i="1"/>
  <c r="AG1193" i="1" s="1"/>
  <c r="AD1193" i="1"/>
  <c r="AB1193" i="1"/>
  <c r="AA1193" i="1"/>
  <c r="T1193" i="1"/>
  <c r="U1193" i="1" s="1"/>
  <c r="W1193" i="1" s="1"/>
  <c r="AE1192" i="1"/>
  <c r="AG1192" i="1" s="1"/>
  <c r="AD1192" i="1"/>
  <c r="AB1192" i="1"/>
  <c r="AA1192" i="1"/>
  <c r="T1192" i="1"/>
  <c r="U1192" i="1" s="1"/>
  <c r="W1192" i="1" s="1"/>
  <c r="AE1191" i="1"/>
  <c r="AG1191" i="1" s="1"/>
  <c r="AD1191" i="1"/>
  <c r="AB1191" i="1"/>
  <c r="AA1191" i="1"/>
  <c r="T1191" i="1"/>
  <c r="U1191" i="1" s="1"/>
  <c r="W1191" i="1" s="1"/>
  <c r="AE1190" i="1"/>
  <c r="AD1190" i="1"/>
  <c r="AB1190" i="1"/>
  <c r="AC1190" i="1" s="1"/>
  <c r="AE1189" i="1"/>
  <c r="AG1189" i="1" s="1"/>
  <c r="AD1189" i="1"/>
  <c r="AB1189" i="1"/>
  <c r="AA1189" i="1"/>
  <c r="T1189" i="1"/>
  <c r="U1189" i="1" s="1"/>
  <c r="W1189" i="1" s="1"/>
  <c r="AE1188" i="1"/>
  <c r="AG1188" i="1" s="1"/>
  <c r="AD1188" i="1"/>
  <c r="AB1188" i="1"/>
  <c r="AA1188" i="1"/>
  <c r="T1188" i="1"/>
  <c r="U1188" i="1" s="1"/>
  <c r="W1188" i="1" s="1"/>
  <c r="AE1187" i="1"/>
  <c r="AD1187" i="1"/>
  <c r="AB1187" i="1"/>
  <c r="AC1187" i="1" s="1"/>
  <c r="AA1187" i="1"/>
  <c r="T1187" i="1"/>
  <c r="U1187" i="1" s="1"/>
  <c r="W1187" i="1" s="1"/>
  <c r="X1187" i="1" s="1"/>
  <c r="AE1186" i="1"/>
  <c r="AG1186" i="1" s="1"/>
  <c r="AD1186" i="1"/>
  <c r="AB1186" i="1"/>
  <c r="AA1186" i="1"/>
  <c r="T1186" i="1"/>
  <c r="U1186" i="1" s="1"/>
  <c r="W1186" i="1" s="1"/>
  <c r="AE1185" i="1"/>
  <c r="AG1185" i="1" s="1"/>
  <c r="AD1185" i="1"/>
  <c r="AB1185" i="1"/>
  <c r="AA1185" i="1"/>
  <c r="T1185" i="1"/>
  <c r="U1185" i="1" s="1"/>
  <c r="W1185" i="1" s="1"/>
  <c r="X1185" i="1" s="1"/>
  <c r="AE1184" i="1"/>
  <c r="AG1184" i="1" s="1"/>
  <c r="AD1184" i="1"/>
  <c r="AB1184" i="1"/>
  <c r="AA1184" i="1"/>
  <c r="T1184" i="1"/>
  <c r="U1184" i="1" s="1"/>
  <c r="W1184" i="1" s="1"/>
  <c r="AE1183" i="1"/>
  <c r="AG1183" i="1" s="1"/>
  <c r="AD1183" i="1"/>
  <c r="AB1183" i="1"/>
  <c r="AA1183" i="1"/>
  <c r="T1183" i="1"/>
  <c r="U1183" i="1" s="1"/>
  <c r="W1183" i="1" s="1"/>
  <c r="X1183" i="1" s="1"/>
  <c r="AE1182" i="1"/>
  <c r="AG1182" i="1" s="1"/>
  <c r="AD1182" i="1"/>
  <c r="AB1182" i="1"/>
  <c r="AA1182" i="1"/>
  <c r="T1182" i="1"/>
  <c r="U1182" i="1" s="1"/>
  <c r="W1182" i="1" s="1"/>
  <c r="AE1181" i="1"/>
  <c r="AG1181" i="1" s="1"/>
  <c r="AD1181" i="1"/>
  <c r="AA1181" i="1"/>
  <c r="T1181" i="1"/>
  <c r="U1181" i="1" s="1"/>
  <c r="W1181" i="1" s="1"/>
  <c r="X1181" i="1" s="1"/>
  <c r="AE1180" i="1"/>
  <c r="AG1180" i="1" s="1"/>
  <c r="AD1180" i="1"/>
  <c r="AB1180" i="1"/>
  <c r="AA1180" i="1"/>
  <c r="T1180" i="1"/>
  <c r="U1180" i="1" s="1"/>
  <c r="W1180" i="1" s="1"/>
  <c r="AE1179" i="1"/>
  <c r="AG1179" i="1" s="1"/>
  <c r="AD1179" i="1"/>
  <c r="AB1179" i="1"/>
  <c r="AA1179" i="1"/>
  <c r="T1179" i="1"/>
  <c r="U1179" i="1" s="1"/>
  <c r="W1179" i="1" s="1"/>
  <c r="X1179" i="1" s="1"/>
  <c r="AE1178" i="1"/>
  <c r="AG1178" i="1" s="1"/>
  <c r="AD1178" i="1"/>
  <c r="AB1178" i="1"/>
  <c r="AA1178" i="1"/>
  <c r="X1178" i="1"/>
  <c r="T1178" i="1"/>
  <c r="AE1177" i="1"/>
  <c r="AG1177" i="1" s="1"/>
  <c r="AD1177" i="1"/>
  <c r="AB1177" i="1"/>
  <c r="AA1177" i="1"/>
  <c r="W1177" i="1"/>
  <c r="AE1176" i="1"/>
  <c r="AG1176" i="1" s="1"/>
  <c r="AD1176" i="1"/>
  <c r="AB1176" i="1"/>
  <c r="AA1176" i="1"/>
  <c r="T1176" i="1"/>
  <c r="U1176" i="1" s="1"/>
  <c r="W1176" i="1" s="1"/>
  <c r="AE1175" i="1"/>
  <c r="AG1175" i="1" s="1"/>
  <c r="AD1175" i="1"/>
  <c r="AB1175" i="1"/>
  <c r="AA1175" i="1"/>
  <c r="T1175" i="1"/>
  <c r="U1175" i="1" s="1"/>
  <c r="W1175" i="1" s="1"/>
  <c r="AD1174" i="1"/>
  <c r="AD1173" i="1"/>
  <c r="AF1173" i="1" s="1"/>
  <c r="AC1173" i="1"/>
  <c r="AB1173" i="1"/>
  <c r="AA1173" i="1"/>
  <c r="T1173" i="1"/>
  <c r="U1173" i="1" s="1"/>
  <c r="W1173" i="1" s="1"/>
  <c r="AD1172" i="1"/>
  <c r="AF1172" i="1" s="1"/>
  <c r="AB1172" i="1"/>
  <c r="AC1172" i="1" s="1"/>
  <c r="AA1172" i="1"/>
  <c r="T1172" i="1"/>
  <c r="U1172" i="1" s="1"/>
  <c r="W1172" i="1" s="1"/>
  <c r="AD1171" i="1"/>
  <c r="AF1171" i="1" s="1"/>
  <c r="AB1171" i="1"/>
  <c r="AC1171" i="1" s="1"/>
  <c r="AA1171" i="1"/>
  <c r="T1171" i="1"/>
  <c r="U1171" i="1" s="1"/>
  <c r="W1171" i="1" s="1"/>
  <c r="AD1170" i="1"/>
  <c r="AF1170" i="1" s="1"/>
  <c r="AB1170" i="1"/>
  <c r="AC1170" i="1" s="1"/>
  <c r="AA1170" i="1"/>
  <c r="T1170" i="1"/>
  <c r="U1170" i="1" s="1"/>
  <c r="W1170" i="1" s="1"/>
  <c r="AD1169" i="1"/>
  <c r="AF1169" i="1" s="1"/>
  <c r="AB1169" i="1"/>
  <c r="AC1169" i="1" s="1"/>
  <c r="AA1169" i="1"/>
  <c r="T1169" i="1"/>
  <c r="U1169" i="1" s="1"/>
  <c r="W1169" i="1" s="1"/>
  <c r="AF1168" i="1"/>
  <c r="AB1168" i="1"/>
  <c r="AC1168" i="1" s="1"/>
  <c r="AA1168" i="1"/>
  <c r="T1168" i="1"/>
  <c r="U1168" i="1" s="1"/>
  <c r="W1168" i="1" s="1"/>
  <c r="X1168" i="1" s="1"/>
  <c r="AF1167" i="1"/>
  <c r="AB1167" i="1"/>
  <c r="AA1167" i="1"/>
  <c r="T1167" i="1"/>
  <c r="U1167" i="1" s="1"/>
  <c r="W1167" i="1" s="1"/>
  <c r="AD1166" i="1"/>
  <c r="AF1166" i="1" s="1"/>
  <c r="AB1166" i="1"/>
  <c r="AC1166" i="1" s="1"/>
  <c r="AA1166" i="1"/>
  <c r="T1166" i="1"/>
  <c r="U1166" i="1" s="1"/>
  <c r="W1166" i="1" s="1"/>
  <c r="Z1165" i="1"/>
  <c r="AB1165" i="1" s="1"/>
  <c r="T1165" i="1"/>
  <c r="U1165" i="1" s="1"/>
  <c r="W1165" i="1" s="1"/>
  <c r="X1165" i="1" s="1"/>
  <c r="AF1164" i="1"/>
  <c r="AB1164" i="1"/>
  <c r="AC1164" i="1" s="1"/>
  <c r="AA1164" i="1"/>
  <c r="T1164" i="1"/>
  <c r="U1164" i="1" s="1"/>
  <c r="W1164" i="1" s="1"/>
  <c r="X1164" i="1" s="1"/>
  <c r="AD1163" i="1"/>
  <c r="AF1163" i="1" s="1"/>
  <c r="AB1163" i="1"/>
  <c r="AC1163" i="1" s="1"/>
  <c r="AA1163" i="1"/>
  <c r="T1163" i="1"/>
  <c r="U1163" i="1" s="1"/>
  <c r="W1163" i="1" s="1"/>
  <c r="AD1162" i="1"/>
  <c r="AF1162" i="1" s="1"/>
  <c r="AB1162" i="1"/>
  <c r="AC1162" i="1" s="1"/>
  <c r="AA1162" i="1"/>
  <c r="T1162" i="1"/>
  <c r="U1162" i="1" s="1"/>
  <c r="W1162" i="1" s="1"/>
  <c r="AD1161" i="1"/>
  <c r="AF1161" i="1" s="1"/>
  <c r="AB1161" i="1"/>
  <c r="AC1161" i="1" s="1"/>
  <c r="AA1161" i="1"/>
  <c r="T1161" i="1"/>
  <c r="U1161" i="1" s="1"/>
  <c r="W1161" i="1" s="1"/>
  <c r="X1161" i="1" s="1"/>
  <c r="Z1160" i="1"/>
  <c r="T1160" i="1"/>
  <c r="U1160" i="1" s="1"/>
  <c r="W1160" i="1" s="1"/>
  <c r="AF1159" i="1"/>
  <c r="AC1159" i="1"/>
  <c r="AA1159" i="1"/>
  <c r="T1159" i="1"/>
  <c r="U1159" i="1" s="1"/>
  <c r="W1159" i="1" s="1"/>
  <c r="AF1158" i="1"/>
  <c r="AB1158" i="1"/>
  <c r="AC1158" i="1" s="1"/>
  <c r="AA1158" i="1"/>
  <c r="T1158" i="1"/>
  <c r="U1158" i="1" s="1"/>
  <c r="W1158" i="1" s="1"/>
  <c r="AF1157" i="1"/>
  <c r="AB1157" i="1"/>
  <c r="AC1157" i="1" s="1"/>
  <c r="AA1157" i="1"/>
  <c r="T1157" i="1"/>
  <c r="U1157" i="1" s="1"/>
  <c r="W1157" i="1" s="1"/>
  <c r="AF1156" i="1"/>
  <c r="AB1156" i="1"/>
  <c r="AC1156" i="1" s="1"/>
  <c r="AA1156" i="1"/>
  <c r="T1156" i="1"/>
  <c r="U1156" i="1" s="1"/>
  <c r="W1156" i="1" s="1"/>
  <c r="AB1155" i="1"/>
  <c r="AC1155" i="1" s="1"/>
  <c r="AA1155" i="1"/>
  <c r="T1155" i="1"/>
  <c r="U1155" i="1" s="1"/>
  <c r="W1155" i="1" s="1"/>
  <c r="AF1154" i="1"/>
  <c r="AB1154" i="1"/>
  <c r="AC1154" i="1" s="1"/>
  <c r="AA1154" i="1"/>
  <c r="T1154" i="1"/>
  <c r="U1154" i="1" s="1"/>
  <c r="W1154" i="1" s="1"/>
  <c r="X1154" i="1" s="1"/>
  <c r="AF1153" i="1"/>
  <c r="AB1153" i="1"/>
  <c r="AC1153" i="1" s="1"/>
  <c r="AA1153" i="1"/>
  <c r="T1153" i="1"/>
  <c r="U1153" i="1" s="1"/>
  <c r="W1153" i="1" s="1"/>
  <c r="X1153" i="1" s="1"/>
  <c r="AF1152" i="1"/>
  <c r="AB1152" i="1"/>
  <c r="AA1152" i="1"/>
  <c r="T1152" i="1"/>
  <c r="U1152" i="1" s="1"/>
  <c r="W1152" i="1" s="1"/>
  <c r="AF1151" i="1"/>
  <c r="AB1151" i="1"/>
  <c r="AC1151" i="1" s="1"/>
  <c r="AA1151" i="1"/>
  <c r="T1151" i="1"/>
  <c r="U1151" i="1" s="1"/>
  <c r="W1151" i="1" s="1"/>
  <c r="AF1150" i="1"/>
  <c r="AB1150" i="1"/>
  <c r="AC1150" i="1" s="1"/>
  <c r="AA1150" i="1"/>
  <c r="T1150" i="1"/>
  <c r="U1150" i="1" s="1"/>
  <c r="W1150" i="1" s="1"/>
  <c r="X1150" i="1" s="1"/>
  <c r="AF1149" i="1"/>
  <c r="AB1149" i="1"/>
  <c r="AC1149" i="1" s="1"/>
  <c r="AA1149" i="1"/>
  <c r="T1149" i="1"/>
  <c r="U1149" i="1" s="1"/>
  <c r="W1149" i="1" s="1"/>
  <c r="AF1148" i="1"/>
  <c r="AB1148" i="1"/>
  <c r="AC1148" i="1" s="1"/>
  <c r="AA1148" i="1"/>
  <c r="T1148" i="1"/>
  <c r="U1148" i="1" s="1"/>
  <c r="W1148" i="1" s="1"/>
  <c r="AF1147" i="1"/>
  <c r="AB1147" i="1"/>
  <c r="AC1147" i="1" s="1"/>
  <c r="AA1147" i="1"/>
  <c r="T1147" i="1"/>
  <c r="U1147" i="1" s="1"/>
  <c r="W1147" i="1" s="1"/>
  <c r="X1147" i="1" s="1"/>
  <c r="AF1146" i="1"/>
  <c r="AB1146" i="1"/>
  <c r="AC1146" i="1" s="1"/>
  <c r="AA1146" i="1"/>
  <c r="T1146" i="1"/>
  <c r="U1146" i="1" s="1"/>
  <c r="W1146" i="1" s="1"/>
  <c r="X1146" i="1" s="1"/>
  <c r="AF1145" i="1"/>
  <c r="AB1145" i="1"/>
  <c r="AC1145" i="1" s="1"/>
  <c r="AA1145" i="1"/>
  <c r="T1145" i="1"/>
  <c r="U1145" i="1" s="1"/>
  <c r="W1145" i="1" s="1"/>
  <c r="AF1144" i="1"/>
  <c r="AB1144" i="1"/>
  <c r="AC1144" i="1" s="1"/>
  <c r="AA1144" i="1"/>
  <c r="T1144" i="1"/>
  <c r="U1144" i="1" s="1"/>
  <c r="W1144" i="1" s="1"/>
  <c r="AF1143" i="1"/>
  <c r="AB1143" i="1"/>
  <c r="AC1143" i="1" s="1"/>
  <c r="AA1143" i="1"/>
  <c r="T1143" i="1"/>
  <c r="U1143" i="1" s="1"/>
  <c r="W1143" i="1" s="1"/>
  <c r="X1143" i="1" s="1"/>
  <c r="AF1142" i="1"/>
  <c r="AB1142" i="1"/>
  <c r="AC1142" i="1" s="1"/>
  <c r="AA1142" i="1"/>
  <c r="T1142" i="1"/>
  <c r="U1142" i="1" s="1"/>
  <c r="W1142" i="1" s="1"/>
  <c r="X1142" i="1" s="1"/>
  <c r="AF1141" i="1"/>
  <c r="AB1141" i="1"/>
  <c r="AC1141" i="1" s="1"/>
  <c r="AA1141" i="1"/>
  <c r="T1141" i="1"/>
  <c r="U1141" i="1" s="1"/>
  <c r="W1141" i="1" s="1"/>
  <c r="AF1140" i="1"/>
  <c r="AB1140" i="1"/>
  <c r="AC1140" i="1" s="1"/>
  <c r="AA1140" i="1"/>
  <c r="T1140" i="1"/>
  <c r="U1140" i="1" s="1"/>
  <c r="W1140" i="1" s="1"/>
  <c r="AF1139" i="1"/>
  <c r="AB1139" i="1"/>
  <c r="AC1139" i="1" s="1"/>
  <c r="AA1139" i="1"/>
  <c r="T1139" i="1"/>
  <c r="U1139" i="1" s="1"/>
  <c r="W1139" i="1" s="1"/>
  <c r="X1139" i="1" s="1"/>
  <c r="AF1138" i="1"/>
  <c r="AB1138" i="1"/>
  <c r="AC1138" i="1" s="1"/>
  <c r="AA1138" i="1"/>
  <c r="T1138" i="1"/>
  <c r="U1138" i="1" s="1"/>
  <c r="W1138" i="1" s="1"/>
  <c r="AF1137" i="1"/>
  <c r="AB1137" i="1"/>
  <c r="AC1137" i="1" s="1"/>
  <c r="AA1137" i="1"/>
  <c r="T1137" i="1"/>
  <c r="U1137" i="1" s="1"/>
  <c r="W1137" i="1" s="1"/>
  <c r="AF1136" i="1"/>
  <c r="AB1136" i="1"/>
  <c r="AC1136" i="1" s="1"/>
  <c r="AA1136" i="1"/>
  <c r="T1136" i="1"/>
  <c r="U1136" i="1" s="1"/>
  <c r="W1136" i="1" s="1"/>
  <c r="AF1135" i="1"/>
  <c r="AB1135" i="1"/>
  <c r="AC1135" i="1" s="1"/>
  <c r="AA1135" i="1"/>
  <c r="T1135" i="1"/>
  <c r="U1135" i="1" s="1"/>
  <c r="W1135" i="1" s="1"/>
  <c r="X1135" i="1" s="1"/>
  <c r="AF1134" i="1"/>
  <c r="AB1134" i="1"/>
  <c r="AC1134" i="1" s="1"/>
  <c r="AA1134" i="1"/>
  <c r="T1134" i="1"/>
  <c r="U1134" i="1" s="1"/>
  <c r="W1134" i="1" s="1"/>
  <c r="X1134" i="1" s="1"/>
  <c r="AF1133" i="1"/>
  <c r="AB1133" i="1"/>
  <c r="AC1133" i="1" s="1"/>
  <c r="AA1133" i="1"/>
  <c r="T1133" i="1"/>
  <c r="U1133" i="1" s="1"/>
  <c r="W1133" i="1" s="1"/>
  <c r="AF1132" i="1"/>
  <c r="AB1132" i="1"/>
  <c r="AC1132" i="1" s="1"/>
  <c r="AA1132" i="1"/>
  <c r="T1132" i="1"/>
  <c r="U1132" i="1" s="1"/>
  <c r="W1132" i="1" s="1"/>
  <c r="AF1131" i="1"/>
  <c r="AB1131" i="1"/>
  <c r="AC1131" i="1" s="1"/>
  <c r="AA1131" i="1"/>
  <c r="T1131" i="1"/>
  <c r="U1131" i="1" s="1"/>
  <c r="W1131" i="1" s="1"/>
  <c r="X1131" i="1" s="1"/>
  <c r="AF1130" i="1"/>
  <c r="AB1130" i="1"/>
  <c r="AC1130" i="1" s="1"/>
  <c r="AA1130" i="1"/>
  <c r="T1130" i="1"/>
  <c r="U1130" i="1" s="1"/>
  <c r="W1130" i="1" s="1"/>
  <c r="X1130" i="1" s="1"/>
  <c r="AF1129" i="1"/>
  <c r="AB1129" i="1"/>
  <c r="AC1129" i="1" s="1"/>
  <c r="AA1129" i="1"/>
  <c r="T1129" i="1"/>
  <c r="U1129" i="1" s="1"/>
  <c r="W1129" i="1" s="1"/>
  <c r="AF1128" i="1"/>
  <c r="AB1128" i="1"/>
  <c r="AC1128" i="1" s="1"/>
  <c r="AA1128" i="1"/>
  <c r="T1128" i="1"/>
  <c r="U1128" i="1" s="1"/>
  <c r="W1128" i="1" s="1"/>
  <c r="AF1127" i="1"/>
  <c r="Z1127" i="1"/>
  <c r="T1127" i="1"/>
  <c r="U1127" i="1" s="1"/>
  <c r="W1127" i="1" s="1"/>
  <c r="AF1126" i="1"/>
  <c r="AB1126" i="1"/>
  <c r="AC1126" i="1" s="1"/>
  <c r="AA1126" i="1"/>
  <c r="T1126" i="1"/>
  <c r="U1126" i="1" s="1"/>
  <c r="W1126" i="1" s="1"/>
  <c r="AF1125" i="1"/>
  <c r="AB1125" i="1"/>
  <c r="AC1125" i="1" s="1"/>
  <c r="AA1125" i="1"/>
  <c r="T1125" i="1"/>
  <c r="U1125" i="1" s="1"/>
  <c r="W1125" i="1" s="1"/>
  <c r="AF1124" i="1"/>
  <c r="AC1124" i="1"/>
  <c r="AA1124" i="1"/>
  <c r="T1124" i="1"/>
  <c r="U1124" i="1" s="1"/>
  <c r="W1124" i="1" s="1"/>
  <c r="AF1123" i="1"/>
  <c r="AB1123" i="1"/>
  <c r="AC1123" i="1" s="1"/>
  <c r="AA1123" i="1"/>
  <c r="T1123" i="1"/>
  <c r="U1123" i="1" s="1"/>
  <c r="W1123" i="1" s="1"/>
  <c r="AF1122" i="1"/>
  <c r="AB1122" i="1"/>
  <c r="AC1122" i="1" s="1"/>
  <c r="AA1122" i="1"/>
  <c r="T1122" i="1"/>
  <c r="U1122" i="1" s="1"/>
  <c r="W1122" i="1" s="1"/>
  <c r="AF1121" i="1"/>
  <c r="AB1121" i="1"/>
  <c r="AC1121" i="1" s="1"/>
  <c r="AA1121" i="1"/>
  <c r="T1121" i="1"/>
  <c r="U1121" i="1" s="1"/>
  <c r="W1121" i="1" s="1"/>
  <c r="AF1120" i="1"/>
  <c r="AB1120" i="1"/>
  <c r="AC1120" i="1" s="1"/>
  <c r="AA1120" i="1"/>
  <c r="T1120" i="1"/>
  <c r="U1120" i="1" s="1"/>
  <c r="W1120" i="1" s="1"/>
  <c r="AF1119" i="1"/>
  <c r="AB1119" i="1"/>
  <c r="AC1119" i="1" s="1"/>
  <c r="AA1119" i="1"/>
  <c r="T1119" i="1"/>
  <c r="U1119" i="1" s="1"/>
  <c r="W1119" i="1" s="1"/>
  <c r="X1119" i="1" s="1"/>
  <c r="AF1118" i="1"/>
  <c r="AB1118" i="1"/>
  <c r="AC1118" i="1" s="1"/>
  <c r="AA1118" i="1"/>
  <c r="T1118" i="1"/>
  <c r="U1118" i="1" s="1"/>
  <c r="W1118" i="1" s="1"/>
  <c r="AF1117" i="1"/>
  <c r="AB1117" i="1"/>
  <c r="AC1117" i="1" s="1"/>
  <c r="AA1117" i="1"/>
  <c r="T1117" i="1"/>
  <c r="U1117" i="1" s="1"/>
  <c r="W1117" i="1" s="1"/>
  <c r="AF1116" i="1"/>
  <c r="AB1116" i="1"/>
  <c r="AC1116" i="1" s="1"/>
  <c r="AA1116" i="1"/>
  <c r="T1116" i="1"/>
  <c r="U1116" i="1" s="1"/>
  <c r="W1116" i="1" s="1"/>
  <c r="AF1115" i="1"/>
  <c r="AB1115" i="1"/>
  <c r="AC1115" i="1" s="1"/>
  <c r="AA1115" i="1"/>
  <c r="T1115" i="1"/>
  <c r="U1115" i="1" s="1"/>
  <c r="W1115" i="1" s="1"/>
  <c r="AF1114" i="1"/>
  <c r="AB1114" i="1"/>
  <c r="AC1114" i="1" s="1"/>
  <c r="AA1114" i="1"/>
  <c r="T1114" i="1"/>
  <c r="U1114" i="1" s="1"/>
  <c r="W1114" i="1" s="1"/>
  <c r="AD1113" i="1"/>
  <c r="AF1113" i="1" s="1"/>
  <c r="AB1113" i="1"/>
  <c r="AC1113" i="1" s="1"/>
  <c r="AA1113" i="1"/>
  <c r="T1113" i="1"/>
  <c r="U1113" i="1" s="1"/>
  <c r="W1113" i="1" s="1"/>
  <c r="AD1112" i="1"/>
  <c r="AF1112" i="1" s="1"/>
  <c r="AB1112" i="1"/>
  <c r="AC1112" i="1" s="1"/>
  <c r="AA1112" i="1"/>
  <c r="T1112" i="1"/>
  <c r="U1112" i="1" s="1"/>
  <c r="W1112" i="1" s="1"/>
  <c r="X1112" i="1" s="1"/>
  <c r="AD1111" i="1"/>
  <c r="AF1111" i="1" s="1"/>
  <c r="AB1111" i="1"/>
  <c r="AC1111" i="1" s="1"/>
  <c r="AA1111" i="1"/>
  <c r="T1111" i="1"/>
  <c r="U1111" i="1" s="1"/>
  <c r="W1111" i="1" s="1"/>
  <c r="AD1110" i="1"/>
  <c r="AF1110" i="1" s="1"/>
  <c r="AB1110" i="1"/>
  <c r="AC1110" i="1" s="1"/>
  <c r="AA1110" i="1"/>
  <c r="T1110" i="1"/>
  <c r="U1110" i="1" s="1"/>
  <c r="W1110" i="1" s="1"/>
  <c r="AD1109" i="1"/>
  <c r="AF1109" i="1" s="1"/>
  <c r="AB1109" i="1"/>
  <c r="AC1109" i="1" s="1"/>
  <c r="AA1109" i="1"/>
  <c r="T1109" i="1"/>
  <c r="U1109" i="1" s="1"/>
  <c r="W1109" i="1" s="1"/>
  <c r="AD1108" i="1"/>
  <c r="AF1108" i="1" s="1"/>
  <c r="AB1108" i="1"/>
  <c r="AC1108" i="1" s="1"/>
  <c r="AA1108" i="1"/>
  <c r="T1108" i="1"/>
  <c r="U1108" i="1" s="1"/>
  <c r="W1108" i="1" s="1"/>
  <c r="X1108" i="1" s="1"/>
  <c r="AD1107" i="1"/>
  <c r="AF1107" i="1" s="1"/>
  <c r="AB1107" i="1"/>
  <c r="AC1107" i="1" s="1"/>
  <c r="AA1107" i="1"/>
  <c r="T1107" i="1"/>
  <c r="U1107" i="1" s="1"/>
  <c r="W1107" i="1" s="1"/>
  <c r="AF1106" i="1"/>
  <c r="AB1106" i="1"/>
  <c r="AC1106" i="1" s="1"/>
  <c r="AA1106" i="1"/>
  <c r="T1106" i="1"/>
  <c r="U1106" i="1" s="1"/>
  <c r="W1106" i="1" s="1"/>
  <c r="AD1105" i="1"/>
  <c r="AF1105" i="1" s="1"/>
  <c r="AB1105" i="1"/>
  <c r="AC1105" i="1" s="1"/>
  <c r="AA1105" i="1"/>
  <c r="T1105" i="1"/>
  <c r="U1105" i="1" s="1"/>
  <c r="W1105" i="1" s="1"/>
  <c r="AD1104" i="1"/>
  <c r="AF1104" i="1" s="1"/>
  <c r="AB1104" i="1"/>
  <c r="AC1104" i="1" s="1"/>
  <c r="AA1104" i="1"/>
  <c r="T1104" i="1"/>
  <c r="U1104" i="1" s="1"/>
  <c r="W1104" i="1" s="1"/>
  <c r="AD1103" i="1"/>
  <c r="AF1103" i="1" s="1"/>
  <c r="AB1103" i="1"/>
  <c r="AC1103" i="1" s="1"/>
  <c r="AA1103" i="1"/>
  <c r="T1103" i="1"/>
  <c r="U1103" i="1" s="1"/>
  <c r="W1103" i="1" s="1"/>
  <c r="AD1102" i="1"/>
  <c r="AF1102" i="1" s="1"/>
  <c r="AB1102" i="1"/>
  <c r="AC1102" i="1" s="1"/>
  <c r="AA1102" i="1"/>
  <c r="T1102" i="1"/>
  <c r="U1102" i="1" s="1"/>
  <c r="W1102" i="1" s="1"/>
  <c r="X1102" i="1" s="1"/>
  <c r="AD1101" i="1"/>
  <c r="AF1101" i="1" s="1"/>
  <c r="AB1101" i="1"/>
  <c r="AC1101" i="1" s="1"/>
  <c r="AA1101" i="1"/>
  <c r="T1101" i="1"/>
  <c r="U1101" i="1" s="1"/>
  <c r="W1101" i="1" s="1"/>
  <c r="AD1100" i="1"/>
  <c r="AF1100" i="1" s="1"/>
  <c r="AB1100" i="1"/>
  <c r="AC1100" i="1" s="1"/>
  <c r="AA1100" i="1"/>
  <c r="T1100" i="1"/>
  <c r="U1100" i="1" s="1"/>
  <c r="W1100" i="1" s="1"/>
  <c r="X1100" i="1" s="1"/>
  <c r="AD1099" i="1"/>
  <c r="AF1099" i="1" s="1"/>
  <c r="AB1099" i="1"/>
  <c r="AC1099" i="1" s="1"/>
  <c r="AA1099" i="1"/>
  <c r="T1099" i="1"/>
  <c r="U1099" i="1" s="1"/>
  <c r="W1099" i="1" s="1"/>
  <c r="AD1098" i="1"/>
  <c r="AF1098" i="1" s="1"/>
  <c r="AB1098" i="1"/>
  <c r="AC1098" i="1" s="1"/>
  <c r="AA1098" i="1"/>
  <c r="T1098" i="1"/>
  <c r="U1098" i="1" s="1"/>
  <c r="W1098" i="1" s="1"/>
  <c r="AD1097" i="1"/>
  <c r="AF1097" i="1" s="1"/>
  <c r="AC1097" i="1"/>
  <c r="AA1097" i="1"/>
  <c r="T1097" i="1"/>
  <c r="U1097" i="1" s="1"/>
  <c r="W1097" i="1" s="1"/>
  <c r="F1097" i="1"/>
  <c r="AF1096" i="1"/>
  <c r="AB1096" i="1"/>
  <c r="AC1096" i="1" s="1"/>
  <c r="AA1096" i="1"/>
  <c r="T1096" i="1"/>
  <c r="U1096" i="1" s="1"/>
  <c r="W1096" i="1" s="1"/>
  <c r="AD1095" i="1"/>
  <c r="AF1095" i="1" s="1"/>
  <c r="AC1095" i="1"/>
  <c r="AA1095" i="1"/>
  <c r="T1095" i="1"/>
  <c r="U1095" i="1" s="1"/>
  <c r="W1095" i="1" s="1"/>
  <c r="AD1094" i="1"/>
  <c r="AF1094" i="1" s="1"/>
  <c r="AB1094" i="1"/>
  <c r="AC1094" i="1" s="1"/>
  <c r="AA1094" i="1"/>
  <c r="T1094" i="1"/>
  <c r="U1094" i="1" s="1"/>
  <c r="W1094" i="1" s="1"/>
  <c r="AD1093" i="1"/>
  <c r="AF1093" i="1" s="1"/>
  <c r="AB1093" i="1"/>
  <c r="AC1093" i="1" s="1"/>
  <c r="AA1093" i="1"/>
  <c r="T1093" i="1"/>
  <c r="U1093" i="1" s="1"/>
  <c r="W1093" i="1" s="1"/>
  <c r="X1093" i="1" s="1"/>
  <c r="AD1092" i="1"/>
  <c r="AF1092" i="1" s="1"/>
  <c r="AB1092" i="1"/>
  <c r="AC1092" i="1" s="1"/>
  <c r="AA1092" i="1"/>
  <c r="T1092" i="1"/>
  <c r="U1092" i="1" s="1"/>
  <c r="W1092" i="1" s="1"/>
  <c r="AD1091" i="1"/>
  <c r="AF1091" i="1" s="1"/>
  <c r="AB1091" i="1"/>
  <c r="AC1091" i="1" s="1"/>
  <c r="AA1091" i="1"/>
  <c r="T1091" i="1"/>
  <c r="U1091" i="1" s="1"/>
  <c r="W1091" i="1" s="1"/>
  <c r="X1091" i="1" s="1"/>
  <c r="AD1090" i="1"/>
  <c r="AF1090" i="1" s="1"/>
  <c r="AB1090" i="1"/>
  <c r="AC1090" i="1" s="1"/>
  <c r="AA1090" i="1"/>
  <c r="T1090" i="1"/>
  <c r="U1090" i="1" s="1"/>
  <c r="W1090" i="1" s="1"/>
  <c r="AD1089" i="1"/>
  <c r="AF1089" i="1" s="1"/>
  <c r="AB1089" i="1"/>
  <c r="AC1089" i="1" s="1"/>
  <c r="AA1089" i="1"/>
  <c r="T1089" i="1"/>
  <c r="U1089" i="1" s="1"/>
  <c r="W1089" i="1" s="1"/>
  <c r="AD1088" i="1"/>
  <c r="AF1088" i="1" s="1"/>
  <c r="AC1088" i="1"/>
  <c r="AA1088" i="1"/>
  <c r="T1088" i="1"/>
  <c r="U1088" i="1" s="1"/>
  <c r="W1088" i="1" s="1"/>
  <c r="AD1087" i="1"/>
  <c r="AF1087" i="1" s="1"/>
  <c r="AC1087" i="1"/>
  <c r="AA1087" i="1"/>
  <c r="T1087" i="1"/>
  <c r="U1087" i="1" s="1"/>
  <c r="W1087" i="1" s="1"/>
  <c r="AD1086" i="1"/>
  <c r="AF1086" i="1" s="1"/>
  <c r="AC1086" i="1"/>
  <c r="AA1086" i="1"/>
  <c r="T1086" i="1"/>
  <c r="U1086" i="1" s="1"/>
  <c r="W1086" i="1" s="1"/>
  <c r="AD1085" i="1"/>
  <c r="AF1085" i="1" s="1"/>
  <c r="AB1085" i="1"/>
  <c r="AC1085" i="1" s="1"/>
  <c r="AA1085" i="1"/>
  <c r="T1085" i="1"/>
  <c r="U1085" i="1" s="1"/>
  <c r="W1085" i="1" s="1"/>
  <c r="X1085" i="1" s="1"/>
  <c r="AD1084" i="1"/>
  <c r="AF1084" i="1" s="1"/>
  <c r="AB1084" i="1"/>
  <c r="AC1084" i="1" s="1"/>
  <c r="AA1084" i="1"/>
  <c r="T1084" i="1"/>
  <c r="U1084" i="1" s="1"/>
  <c r="W1084" i="1" s="1"/>
  <c r="AD1083" i="1"/>
  <c r="AF1083" i="1" s="1"/>
  <c r="AB1083" i="1"/>
  <c r="AC1083" i="1" s="1"/>
  <c r="AA1083" i="1"/>
  <c r="T1083" i="1"/>
  <c r="U1083" i="1" s="1"/>
  <c r="W1083" i="1" s="1"/>
  <c r="X1083" i="1" s="1"/>
  <c r="Y1083" i="1" s="1"/>
  <c r="AD1082" i="1"/>
  <c r="AF1082" i="1" s="1"/>
  <c r="AB1082" i="1"/>
  <c r="AC1082" i="1" s="1"/>
  <c r="AA1082" i="1"/>
  <c r="T1082" i="1"/>
  <c r="U1082" i="1" s="1"/>
  <c r="W1082" i="1" s="1"/>
  <c r="AD1081" i="1"/>
  <c r="AF1081" i="1" s="1"/>
  <c r="AC1081" i="1"/>
  <c r="AA1081" i="1"/>
  <c r="T1081" i="1"/>
  <c r="U1081" i="1" s="1"/>
  <c r="W1081" i="1" s="1"/>
  <c r="AD1080" i="1"/>
  <c r="AF1080" i="1" s="1"/>
  <c r="AB1080" i="1"/>
  <c r="AC1080" i="1" s="1"/>
  <c r="AA1080" i="1"/>
  <c r="T1080" i="1"/>
  <c r="U1080" i="1" s="1"/>
  <c r="W1080" i="1" s="1"/>
  <c r="AD1079" i="1"/>
  <c r="AF1079" i="1" s="1"/>
  <c r="AC1079" i="1"/>
  <c r="AA1079" i="1"/>
  <c r="T1079" i="1"/>
  <c r="U1079" i="1" s="1"/>
  <c r="W1079" i="1" s="1"/>
  <c r="X1079" i="1" s="1"/>
  <c r="AD1078" i="1"/>
  <c r="AF1078" i="1" s="1"/>
  <c r="AC1078" i="1"/>
  <c r="AA1078" i="1"/>
  <c r="T1078" i="1"/>
  <c r="U1078" i="1" s="1"/>
  <c r="W1078" i="1" s="1"/>
  <c r="X1078" i="1" s="1"/>
  <c r="AD1077" i="1"/>
  <c r="AF1077" i="1" s="1"/>
  <c r="AC1077" i="1"/>
  <c r="AA1077" i="1"/>
  <c r="T1077" i="1"/>
  <c r="U1077" i="1" s="1"/>
  <c r="W1077" i="1" s="1"/>
  <c r="AD1076" i="1"/>
  <c r="AF1076" i="1" s="1"/>
  <c r="AC1076" i="1"/>
  <c r="AA1076" i="1"/>
  <c r="T1076" i="1"/>
  <c r="U1076" i="1" s="1"/>
  <c r="W1076" i="1" s="1"/>
  <c r="AD1075" i="1"/>
  <c r="AF1075" i="1" s="1"/>
  <c r="AB1075" i="1"/>
  <c r="AC1075" i="1" s="1"/>
  <c r="AA1075" i="1"/>
  <c r="T1075" i="1"/>
  <c r="U1075" i="1" s="1"/>
  <c r="W1075" i="1" s="1"/>
  <c r="X1075" i="1" s="1"/>
  <c r="Y1075" i="1" s="1"/>
  <c r="AD1074" i="1"/>
  <c r="AF1074" i="1" s="1"/>
  <c r="AB1074" i="1"/>
  <c r="AC1074" i="1" s="1"/>
  <c r="AA1074" i="1"/>
  <c r="T1074" i="1"/>
  <c r="U1074" i="1" s="1"/>
  <c r="W1074" i="1" s="1"/>
  <c r="AD1073" i="1"/>
  <c r="AF1073" i="1" s="1"/>
  <c r="AB1073" i="1"/>
  <c r="AC1073" i="1" s="1"/>
  <c r="AA1073" i="1"/>
  <c r="T1073" i="1"/>
  <c r="U1073" i="1" s="1"/>
  <c r="W1073" i="1" s="1"/>
  <c r="AD1072" i="1"/>
  <c r="AF1072" i="1" s="1"/>
  <c r="AC1072" i="1"/>
  <c r="AA1072" i="1"/>
  <c r="T1072" i="1"/>
  <c r="U1072" i="1" s="1"/>
  <c r="W1072" i="1" s="1"/>
  <c r="AD1071" i="1"/>
  <c r="AF1071" i="1" s="1"/>
  <c r="AB1071" i="1"/>
  <c r="AC1071" i="1" s="1"/>
  <c r="AA1071" i="1"/>
  <c r="T1071" i="1"/>
  <c r="U1071" i="1" s="1"/>
  <c r="W1071" i="1" s="1"/>
  <c r="X1071" i="1" s="1"/>
  <c r="AD1070" i="1"/>
  <c r="AF1070" i="1" s="1"/>
  <c r="AC1070" i="1"/>
  <c r="AA1070" i="1"/>
  <c r="T1070" i="1"/>
  <c r="U1070" i="1" s="1"/>
  <c r="W1070" i="1" s="1"/>
  <c r="AD1069" i="1"/>
  <c r="AF1069" i="1" s="1"/>
  <c r="AB1069" i="1"/>
  <c r="AC1069" i="1" s="1"/>
  <c r="AA1069" i="1"/>
  <c r="T1069" i="1"/>
  <c r="U1069" i="1" s="1"/>
  <c r="W1069" i="1" s="1"/>
  <c r="AD1068" i="1"/>
  <c r="AF1068" i="1" s="1"/>
  <c r="AC1068" i="1"/>
  <c r="AA1068" i="1"/>
  <c r="T1068" i="1"/>
  <c r="U1068" i="1" s="1"/>
  <c r="W1068" i="1" s="1"/>
  <c r="F1068" i="1"/>
  <c r="AD1067" i="1"/>
  <c r="AF1067" i="1" s="1"/>
  <c r="AC1067" i="1"/>
  <c r="AA1067" i="1"/>
  <c r="T1067" i="1"/>
  <c r="U1067" i="1" s="1"/>
  <c r="W1067" i="1" s="1"/>
  <c r="X1067" i="1" s="1"/>
  <c r="Y1067" i="1" s="1"/>
  <c r="AD1066" i="1"/>
  <c r="AF1066" i="1" s="1"/>
  <c r="AC1066" i="1"/>
  <c r="AA1066" i="1"/>
  <c r="T1066" i="1"/>
  <c r="U1066" i="1" s="1"/>
  <c r="W1066" i="1" s="1"/>
  <c r="AD1065" i="1"/>
  <c r="AF1065" i="1" s="1"/>
  <c r="AC1065" i="1"/>
  <c r="AA1065" i="1"/>
  <c r="T1065" i="1"/>
  <c r="U1065" i="1" s="1"/>
  <c r="W1065" i="1" s="1"/>
  <c r="AD1064" i="1"/>
  <c r="AF1064" i="1" s="1"/>
  <c r="AB1064" i="1"/>
  <c r="AC1064" i="1" s="1"/>
  <c r="AA1064" i="1"/>
  <c r="T1064" i="1"/>
  <c r="U1064" i="1" s="1"/>
  <c r="W1064" i="1" s="1"/>
  <c r="X1064" i="1" s="1"/>
  <c r="Y1064" i="1" s="1"/>
  <c r="AD1063" i="1"/>
  <c r="AF1063" i="1" s="1"/>
  <c r="AB1063" i="1"/>
  <c r="AC1063" i="1" s="1"/>
  <c r="AA1063" i="1"/>
  <c r="T1063" i="1"/>
  <c r="U1063" i="1" s="1"/>
  <c r="W1063" i="1" s="1"/>
  <c r="X1063" i="1" s="1"/>
  <c r="AD1062" i="1"/>
  <c r="AF1062" i="1" s="1"/>
  <c r="AB1062" i="1"/>
  <c r="AC1062" i="1" s="1"/>
  <c r="AA1062" i="1"/>
  <c r="T1062" i="1"/>
  <c r="U1062" i="1" s="1"/>
  <c r="W1062" i="1" s="1"/>
  <c r="AD1061" i="1"/>
  <c r="AF1061" i="1" s="1"/>
  <c r="AB1061" i="1"/>
  <c r="AC1061" i="1" s="1"/>
  <c r="AA1061" i="1"/>
  <c r="T1061" i="1"/>
  <c r="U1061" i="1" s="1"/>
  <c r="W1061" i="1" s="1"/>
  <c r="AD1060" i="1"/>
  <c r="AF1060" i="1" s="1"/>
  <c r="AC1060" i="1"/>
  <c r="AA1060" i="1"/>
  <c r="T1060" i="1"/>
  <c r="U1060" i="1" s="1"/>
  <c r="W1060" i="1" s="1"/>
  <c r="AD1059" i="1"/>
  <c r="AF1059" i="1" s="1"/>
  <c r="AC1059" i="1"/>
  <c r="AA1059" i="1"/>
  <c r="T1059" i="1"/>
  <c r="U1059" i="1" s="1"/>
  <c r="W1059" i="1" s="1"/>
  <c r="AD1058" i="1"/>
  <c r="AF1058" i="1" s="1"/>
  <c r="AB1058" i="1"/>
  <c r="AC1058" i="1" s="1"/>
  <c r="AA1058" i="1"/>
  <c r="T1058" i="1"/>
  <c r="U1058" i="1" s="1"/>
  <c r="W1058" i="1" s="1"/>
  <c r="AD1057" i="1"/>
  <c r="AF1057" i="1" s="1"/>
  <c r="AC1057" i="1"/>
  <c r="AB1057" i="1"/>
  <c r="AA1057" i="1"/>
  <c r="T1057" i="1"/>
  <c r="U1057" i="1" s="1"/>
  <c r="W1057" i="1" s="1"/>
  <c r="AD1056" i="1"/>
  <c r="AF1056" i="1" s="1"/>
  <c r="AC1056" i="1"/>
  <c r="AA1056" i="1"/>
  <c r="T1056" i="1"/>
  <c r="U1056" i="1" s="1"/>
  <c r="W1056" i="1" s="1"/>
  <c r="AD1055" i="1"/>
  <c r="AF1055" i="1" s="1"/>
  <c r="AC1055" i="1"/>
  <c r="AA1055" i="1"/>
  <c r="T1055" i="1"/>
  <c r="U1055" i="1" s="1"/>
  <c r="W1055" i="1" s="1"/>
  <c r="AD1054" i="1"/>
  <c r="AF1054" i="1" s="1"/>
  <c r="AB1054" i="1"/>
  <c r="AC1054" i="1" s="1"/>
  <c r="AA1054" i="1"/>
  <c r="T1054" i="1"/>
  <c r="U1054" i="1" s="1"/>
  <c r="W1054" i="1" s="1"/>
  <c r="X1054" i="1" s="1"/>
  <c r="AD1053" i="1"/>
  <c r="AF1053" i="1" s="1"/>
  <c r="AB1053" i="1"/>
  <c r="AC1053" i="1" s="1"/>
  <c r="AA1053" i="1"/>
  <c r="T1053" i="1"/>
  <c r="U1053" i="1" s="1"/>
  <c r="W1053" i="1" s="1"/>
  <c r="AD1052" i="1"/>
  <c r="AF1052" i="1" s="1"/>
  <c r="AB1052" i="1"/>
  <c r="AC1052" i="1" s="1"/>
  <c r="AA1052" i="1"/>
  <c r="T1052" i="1"/>
  <c r="U1052" i="1" s="1"/>
  <c r="W1052" i="1" s="1"/>
  <c r="X1052" i="1" s="1"/>
  <c r="AD1051" i="1"/>
  <c r="AF1051" i="1" s="1"/>
  <c r="AC1051" i="1"/>
  <c r="AA1051" i="1"/>
  <c r="T1051" i="1"/>
  <c r="U1051" i="1" s="1"/>
  <c r="W1051" i="1" s="1"/>
  <c r="AD1050" i="1"/>
  <c r="AF1050" i="1" s="1"/>
  <c r="AB1050" i="1"/>
  <c r="AC1050" i="1" s="1"/>
  <c r="AA1050" i="1"/>
  <c r="T1050" i="1"/>
  <c r="U1050" i="1" s="1"/>
  <c r="W1050" i="1" s="1"/>
  <c r="AD1049" i="1"/>
  <c r="AF1049" i="1" s="1"/>
  <c r="AB1049" i="1"/>
  <c r="AC1049" i="1" s="1"/>
  <c r="AA1049" i="1"/>
  <c r="T1049" i="1"/>
  <c r="U1049" i="1" s="1"/>
  <c r="W1049" i="1" s="1"/>
  <c r="AD1048" i="1"/>
  <c r="AF1048" i="1" s="1"/>
  <c r="AB1048" i="1"/>
  <c r="AC1048" i="1" s="1"/>
  <c r="AA1048" i="1"/>
  <c r="T1048" i="1"/>
  <c r="U1048" i="1" s="1"/>
  <c r="W1048" i="1" s="1"/>
  <c r="AD1047" i="1"/>
  <c r="AF1047" i="1" s="1"/>
  <c r="AC1047" i="1"/>
  <c r="AB1047" i="1"/>
  <c r="AA1047" i="1"/>
  <c r="T1047" i="1"/>
  <c r="U1047" i="1" s="1"/>
  <c r="W1047" i="1" s="1"/>
  <c r="AD1046" i="1"/>
  <c r="AF1046" i="1" s="1"/>
  <c r="AB1046" i="1"/>
  <c r="AC1046" i="1" s="1"/>
  <c r="AA1046" i="1"/>
  <c r="T1046" i="1"/>
  <c r="U1046" i="1" s="1"/>
  <c r="W1046" i="1" s="1"/>
  <c r="AD1045" i="1"/>
  <c r="AF1045" i="1" s="1"/>
  <c r="AB1045" i="1"/>
  <c r="AC1045" i="1" s="1"/>
  <c r="AA1045" i="1"/>
  <c r="T1045" i="1"/>
  <c r="U1045" i="1" s="1"/>
  <c r="W1045" i="1" s="1"/>
  <c r="AD1044" i="1"/>
  <c r="AF1044" i="1" s="1"/>
  <c r="AB1044" i="1"/>
  <c r="AC1044" i="1" s="1"/>
  <c r="AA1044" i="1"/>
  <c r="T1044" i="1"/>
  <c r="U1044" i="1" s="1"/>
  <c r="W1044" i="1" s="1"/>
  <c r="AD1043" i="1"/>
  <c r="AF1043" i="1" s="1"/>
  <c r="AC1043" i="1"/>
  <c r="AA1043" i="1"/>
  <c r="T1043" i="1"/>
  <c r="U1043" i="1" s="1"/>
  <c r="W1043" i="1" s="1"/>
  <c r="AD1042" i="1"/>
  <c r="AF1042" i="1" s="1"/>
  <c r="AB1042" i="1"/>
  <c r="AC1042" i="1" s="1"/>
  <c r="AA1042" i="1"/>
  <c r="T1042" i="1"/>
  <c r="U1042" i="1" s="1"/>
  <c r="W1042" i="1" s="1"/>
  <c r="AD1041" i="1"/>
  <c r="AF1041" i="1" s="1"/>
  <c r="AB1041" i="1"/>
  <c r="AC1041" i="1" s="1"/>
  <c r="AA1041" i="1"/>
  <c r="T1041" i="1"/>
  <c r="U1041" i="1" s="1"/>
  <c r="W1041" i="1" s="1"/>
  <c r="AD1040" i="1"/>
  <c r="AF1040" i="1" s="1"/>
  <c r="AB1040" i="1"/>
  <c r="AC1040" i="1" s="1"/>
  <c r="AA1040" i="1"/>
  <c r="T1040" i="1"/>
  <c r="U1040" i="1" s="1"/>
  <c r="W1040" i="1" s="1"/>
  <c r="AF1039" i="1"/>
  <c r="AB1039" i="1"/>
  <c r="AC1039" i="1" s="1"/>
  <c r="AA1039" i="1"/>
  <c r="T1039" i="1"/>
  <c r="U1039" i="1" s="1"/>
  <c r="W1039" i="1" s="1"/>
  <c r="AD1038" i="1"/>
  <c r="AF1038" i="1" s="1"/>
  <c r="AC1038" i="1"/>
  <c r="AB1038" i="1"/>
  <c r="AA1038" i="1"/>
  <c r="T1038" i="1"/>
  <c r="U1038" i="1" s="1"/>
  <c r="W1038" i="1" s="1"/>
  <c r="AD1037" i="1"/>
  <c r="AF1037" i="1" s="1"/>
  <c r="AB1037" i="1"/>
  <c r="AC1037" i="1" s="1"/>
  <c r="AA1037" i="1"/>
  <c r="T1037" i="1"/>
  <c r="U1037" i="1" s="1"/>
  <c r="W1037" i="1" s="1"/>
  <c r="AD1036" i="1"/>
  <c r="AF1036" i="1" s="1"/>
  <c r="AB1036" i="1"/>
  <c r="AC1036" i="1" s="1"/>
  <c r="AA1036" i="1"/>
  <c r="T1036" i="1"/>
  <c r="U1036" i="1" s="1"/>
  <c r="W1036" i="1" s="1"/>
  <c r="AD1035" i="1"/>
  <c r="AF1035" i="1" s="1"/>
  <c r="AB1035" i="1"/>
  <c r="AC1035" i="1" s="1"/>
  <c r="AA1035" i="1"/>
  <c r="T1035" i="1"/>
  <c r="U1035" i="1" s="1"/>
  <c r="W1035" i="1" s="1"/>
  <c r="AD1034" i="1"/>
  <c r="AF1034" i="1" s="1"/>
  <c r="AC1034" i="1"/>
  <c r="AA1034" i="1"/>
  <c r="T1034" i="1"/>
  <c r="U1034" i="1" s="1"/>
  <c r="W1034" i="1" s="1"/>
  <c r="AD1033" i="1"/>
  <c r="AF1033" i="1" s="1"/>
  <c r="AB1033" i="1"/>
  <c r="AC1033" i="1" s="1"/>
  <c r="AA1033" i="1"/>
  <c r="T1033" i="1"/>
  <c r="U1033" i="1" s="1"/>
  <c r="W1033" i="1" s="1"/>
  <c r="AD1032" i="1"/>
  <c r="AF1032" i="1" s="1"/>
  <c r="AB1032" i="1"/>
  <c r="AC1032" i="1" s="1"/>
  <c r="AA1032" i="1"/>
  <c r="T1032" i="1"/>
  <c r="U1032" i="1" s="1"/>
  <c r="W1032" i="1" s="1"/>
  <c r="AD1031" i="1"/>
  <c r="AF1031" i="1" s="1"/>
  <c r="AB1031" i="1"/>
  <c r="AC1031" i="1" s="1"/>
  <c r="AA1031" i="1"/>
  <c r="T1031" i="1"/>
  <c r="U1031" i="1" s="1"/>
  <c r="W1031" i="1" s="1"/>
  <c r="AD1030" i="1"/>
  <c r="AF1030" i="1" s="1"/>
  <c r="AB1030" i="1"/>
  <c r="AC1030" i="1" s="1"/>
  <c r="AA1030" i="1"/>
  <c r="T1030" i="1"/>
  <c r="U1030" i="1" s="1"/>
  <c r="W1030" i="1" s="1"/>
  <c r="AD1029" i="1"/>
  <c r="AF1029" i="1" s="1"/>
  <c r="AB1029" i="1"/>
  <c r="AC1029" i="1" s="1"/>
  <c r="AA1029" i="1"/>
  <c r="T1029" i="1"/>
  <c r="U1029" i="1" s="1"/>
  <c r="W1029" i="1" s="1"/>
  <c r="Z1028" i="1"/>
  <c r="AB1028" i="1" s="1"/>
  <c r="AC1028" i="1" s="1"/>
  <c r="T1028" i="1"/>
  <c r="U1028" i="1" s="1"/>
  <c r="W1028" i="1" s="1"/>
  <c r="X1028" i="1" s="1"/>
  <c r="AD1027" i="1"/>
  <c r="AF1027" i="1" s="1"/>
  <c r="AB1027" i="1"/>
  <c r="AC1027" i="1" s="1"/>
  <c r="AA1027" i="1"/>
  <c r="T1027" i="1"/>
  <c r="U1027" i="1" s="1"/>
  <c r="W1027" i="1" s="1"/>
  <c r="AD1026" i="1"/>
  <c r="AF1026" i="1" s="1"/>
  <c r="AB1026" i="1"/>
  <c r="AC1026" i="1" s="1"/>
  <c r="AA1026" i="1"/>
  <c r="T1026" i="1"/>
  <c r="U1026" i="1" s="1"/>
  <c r="W1026" i="1" s="1"/>
  <c r="X1026" i="1" s="1"/>
  <c r="AF1025" i="1"/>
  <c r="AB1025" i="1"/>
  <c r="AC1025" i="1" s="1"/>
  <c r="AA1025" i="1"/>
  <c r="T1025" i="1"/>
  <c r="U1025" i="1" s="1"/>
  <c r="W1025" i="1" s="1"/>
  <c r="AD1024" i="1"/>
  <c r="AF1024" i="1" s="1"/>
  <c r="AB1024" i="1"/>
  <c r="AC1024" i="1" s="1"/>
  <c r="AA1024" i="1"/>
  <c r="T1024" i="1"/>
  <c r="U1024" i="1" s="1"/>
  <c r="W1024" i="1" s="1"/>
  <c r="X1024" i="1" s="1"/>
  <c r="AD1023" i="1"/>
  <c r="AF1023" i="1" s="1"/>
  <c r="AB1023" i="1"/>
  <c r="AC1023" i="1" s="1"/>
  <c r="AA1023" i="1"/>
  <c r="T1023" i="1"/>
  <c r="U1023" i="1" s="1"/>
  <c r="W1023" i="1" s="1"/>
  <c r="AD1022" i="1"/>
  <c r="AF1022" i="1" s="1"/>
  <c r="AB1022" i="1"/>
  <c r="AC1022" i="1" s="1"/>
  <c r="AA1022" i="1"/>
  <c r="T1022" i="1"/>
  <c r="U1022" i="1" s="1"/>
  <c r="W1022" i="1" s="1"/>
  <c r="X1022" i="1" s="1"/>
  <c r="AD1021" i="1"/>
  <c r="AF1021" i="1" s="1"/>
  <c r="AB1021" i="1"/>
  <c r="AC1021" i="1" s="1"/>
  <c r="AA1021" i="1"/>
  <c r="T1021" i="1"/>
  <c r="U1021" i="1" s="1"/>
  <c r="W1021" i="1" s="1"/>
  <c r="AD1020" i="1"/>
  <c r="AF1020" i="1" s="1"/>
  <c r="AB1020" i="1"/>
  <c r="AC1020" i="1" s="1"/>
  <c r="AA1020" i="1"/>
  <c r="T1020" i="1"/>
  <c r="U1020" i="1" s="1"/>
  <c r="W1020" i="1" s="1"/>
  <c r="X1020" i="1" s="1"/>
  <c r="AF1019" i="1"/>
  <c r="AB1019" i="1"/>
  <c r="AC1019" i="1" s="1"/>
  <c r="AA1019" i="1"/>
  <c r="T1019" i="1"/>
  <c r="U1019" i="1" s="1"/>
  <c r="W1019" i="1" s="1"/>
  <c r="AD1018" i="1"/>
  <c r="AF1018" i="1" s="1"/>
  <c r="AB1018" i="1"/>
  <c r="AC1018" i="1" s="1"/>
  <c r="AA1018" i="1"/>
  <c r="T1018" i="1"/>
  <c r="U1018" i="1" s="1"/>
  <c r="W1018" i="1" s="1"/>
  <c r="AD1017" i="1"/>
  <c r="AF1017" i="1" s="1"/>
  <c r="AC1017" i="1"/>
  <c r="AA1017" i="1"/>
  <c r="T1017" i="1"/>
  <c r="U1017" i="1" s="1"/>
  <c r="W1017" i="1" s="1"/>
  <c r="F1017" i="1"/>
  <c r="AD1016" i="1"/>
  <c r="AF1016" i="1" s="1"/>
  <c r="AB1016" i="1"/>
  <c r="AC1016" i="1" s="1"/>
  <c r="AA1016" i="1"/>
  <c r="T1016" i="1"/>
  <c r="U1016" i="1" s="1"/>
  <c r="W1016" i="1" s="1"/>
  <c r="AD1015" i="1"/>
  <c r="AF1015" i="1" s="1"/>
  <c r="AB1015" i="1"/>
  <c r="AC1015" i="1" s="1"/>
  <c r="AA1015" i="1"/>
  <c r="T1015" i="1"/>
  <c r="U1015" i="1" s="1"/>
  <c r="W1015" i="1" s="1"/>
  <c r="X1015" i="1" s="1"/>
  <c r="AD1014" i="1"/>
  <c r="AF1014" i="1" s="1"/>
  <c r="AB1014" i="1"/>
  <c r="AC1014" i="1" s="1"/>
  <c r="AA1014" i="1"/>
  <c r="T1014" i="1"/>
  <c r="U1014" i="1" s="1"/>
  <c r="W1014" i="1" s="1"/>
  <c r="AD1013" i="1"/>
  <c r="AF1013" i="1" s="1"/>
  <c r="AC1013" i="1"/>
  <c r="AA1013" i="1"/>
  <c r="T1013" i="1"/>
  <c r="U1013" i="1" s="1"/>
  <c r="W1013" i="1" s="1"/>
  <c r="X1013" i="1" s="1"/>
  <c r="AD1012" i="1"/>
  <c r="AF1012" i="1" s="1"/>
  <c r="AB1012" i="1"/>
  <c r="AC1012" i="1" s="1"/>
  <c r="AA1012" i="1"/>
  <c r="T1012" i="1"/>
  <c r="U1012" i="1" s="1"/>
  <c r="W1012" i="1" s="1"/>
  <c r="AD1011" i="1"/>
  <c r="AF1011" i="1" s="1"/>
  <c r="AB1011" i="1"/>
  <c r="AC1011" i="1" s="1"/>
  <c r="AA1011" i="1"/>
  <c r="T1011" i="1"/>
  <c r="U1011" i="1" s="1"/>
  <c r="W1011" i="1" s="1"/>
  <c r="X1011" i="1" s="1"/>
  <c r="AD1010" i="1"/>
  <c r="AF1010" i="1" s="1"/>
  <c r="AB1010" i="1"/>
  <c r="AC1010" i="1" s="1"/>
  <c r="AA1010" i="1"/>
  <c r="T1010" i="1"/>
  <c r="U1010" i="1" s="1"/>
  <c r="W1010" i="1" s="1"/>
  <c r="AD1009" i="1"/>
  <c r="AF1009" i="1" s="1"/>
  <c r="AB1009" i="1"/>
  <c r="AC1009" i="1" s="1"/>
  <c r="AA1009" i="1"/>
  <c r="T1009" i="1"/>
  <c r="U1009" i="1" s="1"/>
  <c r="W1009" i="1" s="1"/>
  <c r="X1009" i="1" s="1"/>
  <c r="AD1008" i="1"/>
  <c r="AF1008" i="1" s="1"/>
  <c r="AB1008" i="1"/>
  <c r="AC1008" i="1" s="1"/>
  <c r="AA1008" i="1"/>
  <c r="T1008" i="1"/>
  <c r="U1008" i="1" s="1"/>
  <c r="W1008" i="1" s="1"/>
  <c r="AD1007" i="1"/>
  <c r="AF1007" i="1" s="1"/>
  <c r="AB1007" i="1"/>
  <c r="AC1007" i="1" s="1"/>
  <c r="AA1007" i="1"/>
  <c r="T1007" i="1"/>
  <c r="U1007" i="1" s="1"/>
  <c r="W1007" i="1" s="1"/>
  <c r="X1007" i="1" s="1"/>
  <c r="AD1006" i="1"/>
  <c r="AF1006" i="1" s="1"/>
  <c r="AB1006" i="1"/>
  <c r="AC1006" i="1" s="1"/>
  <c r="AA1006" i="1"/>
  <c r="T1006" i="1"/>
  <c r="U1006" i="1" s="1"/>
  <c r="W1006" i="1" s="1"/>
  <c r="AD1005" i="1"/>
  <c r="AF1005" i="1" s="1"/>
  <c r="AB1005" i="1"/>
  <c r="AC1005" i="1" s="1"/>
  <c r="AA1005" i="1"/>
  <c r="T1005" i="1"/>
  <c r="U1005" i="1" s="1"/>
  <c r="W1005" i="1" s="1"/>
  <c r="X1005" i="1" s="1"/>
  <c r="AD1004" i="1"/>
  <c r="AF1004" i="1" s="1"/>
  <c r="AB1004" i="1"/>
  <c r="AC1004" i="1" s="1"/>
  <c r="AA1004" i="1"/>
  <c r="T1004" i="1"/>
  <c r="U1004" i="1" s="1"/>
  <c r="W1004" i="1" s="1"/>
  <c r="AD1003" i="1"/>
  <c r="AF1003" i="1" s="1"/>
  <c r="AB1003" i="1"/>
  <c r="AC1003" i="1" s="1"/>
  <c r="AA1003" i="1"/>
  <c r="T1003" i="1"/>
  <c r="U1003" i="1" s="1"/>
  <c r="W1003" i="1" s="1"/>
  <c r="AD1002" i="1"/>
  <c r="AA1002" i="1"/>
  <c r="T1002" i="1"/>
  <c r="U1002" i="1" s="1"/>
  <c r="W1002" i="1" s="1"/>
  <c r="AD1001" i="1"/>
  <c r="AF1001" i="1" s="1"/>
  <c r="AB1001" i="1"/>
  <c r="AC1001" i="1" s="1"/>
  <c r="AA1001" i="1"/>
  <c r="T1001" i="1"/>
  <c r="U1001" i="1" s="1"/>
  <c r="W1001" i="1" s="1"/>
  <c r="AD1000" i="1"/>
  <c r="AF1000" i="1" s="1"/>
  <c r="AB1000" i="1"/>
  <c r="AC1000" i="1" s="1"/>
  <c r="AA1000" i="1"/>
  <c r="T1000" i="1"/>
  <c r="U1000" i="1" s="1"/>
  <c r="W1000" i="1" s="1"/>
  <c r="AD999" i="1"/>
  <c r="AF999" i="1" s="1"/>
  <c r="AC999" i="1"/>
  <c r="AB999" i="1"/>
  <c r="AA999" i="1"/>
  <c r="T999" i="1"/>
  <c r="U999" i="1" s="1"/>
  <c r="W999" i="1" s="1"/>
  <c r="AD998" i="1"/>
  <c r="AF998" i="1" s="1"/>
  <c r="AC998" i="1"/>
  <c r="AB998" i="1"/>
  <c r="AA998" i="1"/>
  <c r="T998" i="1"/>
  <c r="U998" i="1" s="1"/>
  <c r="W998" i="1" s="1"/>
  <c r="AD997" i="1"/>
  <c r="AF997" i="1" s="1"/>
  <c r="AB997" i="1"/>
  <c r="AC997" i="1" s="1"/>
  <c r="AA997" i="1"/>
  <c r="T997" i="1"/>
  <c r="U997" i="1" s="1"/>
  <c r="W997" i="1" s="1"/>
  <c r="AD996" i="1"/>
  <c r="AF996" i="1" s="1"/>
  <c r="AB996" i="1"/>
  <c r="AC996" i="1" s="1"/>
  <c r="AA996" i="1"/>
  <c r="T996" i="1"/>
  <c r="U996" i="1" s="1"/>
  <c r="W996" i="1" s="1"/>
  <c r="AD995" i="1"/>
  <c r="AF995" i="1" s="1"/>
  <c r="AB995" i="1"/>
  <c r="AC995" i="1" s="1"/>
  <c r="AA995" i="1"/>
  <c r="T995" i="1"/>
  <c r="U995" i="1" s="1"/>
  <c r="W995" i="1" s="1"/>
  <c r="AD994" i="1"/>
  <c r="AF994" i="1" s="1"/>
  <c r="AB994" i="1"/>
  <c r="AC994" i="1" s="1"/>
  <c r="AA994" i="1"/>
  <c r="T994" i="1"/>
  <c r="U994" i="1" s="1"/>
  <c r="W994" i="1" s="1"/>
  <c r="AD993" i="1"/>
  <c r="AF993" i="1" s="1"/>
  <c r="AB993" i="1"/>
  <c r="AC993" i="1" s="1"/>
  <c r="AA993" i="1"/>
  <c r="T993" i="1"/>
  <c r="U993" i="1" s="1"/>
  <c r="W993" i="1" s="1"/>
  <c r="AD992" i="1"/>
  <c r="AF992" i="1" s="1"/>
  <c r="AB992" i="1"/>
  <c r="AC992" i="1" s="1"/>
  <c r="AA992" i="1"/>
  <c r="T992" i="1"/>
  <c r="U992" i="1" s="1"/>
  <c r="W992" i="1" s="1"/>
  <c r="AD991" i="1"/>
  <c r="AF991" i="1" s="1"/>
  <c r="AB991" i="1"/>
  <c r="AC991" i="1" s="1"/>
  <c r="AA991" i="1"/>
  <c r="T991" i="1"/>
  <c r="U991" i="1" s="1"/>
  <c r="W991" i="1" s="1"/>
  <c r="AD990" i="1"/>
  <c r="AF990" i="1" s="1"/>
  <c r="AB990" i="1"/>
  <c r="AC990" i="1" s="1"/>
  <c r="AA990" i="1"/>
  <c r="T990" i="1"/>
  <c r="U990" i="1" s="1"/>
  <c r="W990" i="1" s="1"/>
  <c r="AD989" i="1"/>
  <c r="AF989" i="1" s="1"/>
  <c r="AB989" i="1"/>
  <c r="AC989" i="1" s="1"/>
  <c r="AA989" i="1"/>
  <c r="T989" i="1"/>
  <c r="U989" i="1" s="1"/>
  <c r="W989" i="1" s="1"/>
  <c r="AD988" i="1"/>
  <c r="AF988" i="1" s="1"/>
  <c r="AB988" i="1"/>
  <c r="AC988" i="1" s="1"/>
  <c r="AA988" i="1"/>
  <c r="T988" i="1"/>
  <c r="U988" i="1" s="1"/>
  <c r="W988" i="1" s="1"/>
  <c r="AD987" i="1"/>
  <c r="AF987" i="1" s="1"/>
  <c r="AB987" i="1"/>
  <c r="AC987" i="1" s="1"/>
  <c r="AA987" i="1"/>
  <c r="T987" i="1"/>
  <c r="U987" i="1" s="1"/>
  <c r="W987" i="1" s="1"/>
  <c r="AD986" i="1"/>
  <c r="AF986" i="1" s="1"/>
  <c r="AB986" i="1"/>
  <c r="AC986" i="1" s="1"/>
  <c r="AA986" i="1"/>
  <c r="T986" i="1"/>
  <c r="U986" i="1" s="1"/>
  <c r="W986" i="1" s="1"/>
  <c r="AD985" i="1"/>
  <c r="AF985" i="1" s="1"/>
  <c r="AB985" i="1"/>
  <c r="AC985" i="1" s="1"/>
  <c r="AA985" i="1"/>
  <c r="T985" i="1"/>
  <c r="U985" i="1" s="1"/>
  <c r="W985" i="1" s="1"/>
  <c r="AD984" i="1"/>
  <c r="AF984" i="1" s="1"/>
  <c r="AB984" i="1"/>
  <c r="AC984" i="1" s="1"/>
  <c r="AA984" i="1"/>
  <c r="T984" i="1"/>
  <c r="U984" i="1" s="1"/>
  <c r="W984" i="1" s="1"/>
  <c r="Z983" i="1"/>
  <c r="T983" i="1"/>
  <c r="U983" i="1" s="1"/>
  <c r="W983" i="1" s="1"/>
  <c r="X983" i="1" s="1"/>
  <c r="Q983" i="1"/>
  <c r="AA983" i="1" s="1"/>
  <c r="AD982" i="1"/>
  <c r="AF982" i="1" s="1"/>
  <c r="AB982" i="1"/>
  <c r="AC982" i="1" s="1"/>
  <c r="AA982" i="1"/>
  <c r="T982" i="1"/>
  <c r="U982" i="1" s="1"/>
  <c r="W982" i="1" s="1"/>
  <c r="AD981" i="1"/>
  <c r="AF981" i="1" s="1"/>
  <c r="AB981" i="1"/>
  <c r="AC981" i="1" s="1"/>
  <c r="AA981" i="1"/>
  <c r="T981" i="1"/>
  <c r="U981" i="1" s="1"/>
  <c r="W981" i="1" s="1"/>
  <c r="AD980" i="1"/>
  <c r="AF980" i="1" s="1"/>
  <c r="AB980" i="1"/>
  <c r="AC980" i="1" s="1"/>
  <c r="AA980" i="1"/>
  <c r="T980" i="1"/>
  <c r="U980" i="1" s="1"/>
  <c r="W980" i="1" s="1"/>
  <c r="AD979" i="1"/>
  <c r="AF979" i="1" s="1"/>
  <c r="AB979" i="1"/>
  <c r="AC979" i="1" s="1"/>
  <c r="AA979" i="1"/>
  <c r="T979" i="1"/>
  <c r="U979" i="1" s="1"/>
  <c r="W979" i="1" s="1"/>
  <c r="AD978" i="1"/>
  <c r="AF978" i="1" s="1"/>
  <c r="AB978" i="1"/>
  <c r="AC978" i="1" s="1"/>
  <c r="AA978" i="1"/>
  <c r="T978" i="1"/>
  <c r="U978" i="1" s="1"/>
  <c r="W978" i="1" s="1"/>
  <c r="AD977" i="1"/>
  <c r="AF977" i="1" s="1"/>
  <c r="AB977" i="1"/>
  <c r="AC977" i="1" s="1"/>
  <c r="AA977" i="1"/>
  <c r="T977" i="1"/>
  <c r="U977" i="1" s="1"/>
  <c r="W977" i="1" s="1"/>
  <c r="AD976" i="1"/>
  <c r="AF976" i="1" s="1"/>
  <c r="AB976" i="1"/>
  <c r="AC976" i="1" s="1"/>
  <c r="AA976" i="1"/>
  <c r="T976" i="1"/>
  <c r="U976" i="1" s="1"/>
  <c r="W976" i="1" s="1"/>
  <c r="AD975" i="1"/>
  <c r="AF975" i="1" s="1"/>
  <c r="AB975" i="1"/>
  <c r="AC975" i="1" s="1"/>
  <c r="AA975" i="1"/>
  <c r="T975" i="1"/>
  <c r="U975" i="1" s="1"/>
  <c r="W975" i="1" s="1"/>
  <c r="AD974" i="1"/>
  <c r="AF974" i="1" s="1"/>
  <c r="AB974" i="1"/>
  <c r="AC974" i="1" s="1"/>
  <c r="AA974" i="1"/>
  <c r="T974" i="1"/>
  <c r="U974" i="1" s="1"/>
  <c r="W974" i="1" s="1"/>
  <c r="AD973" i="1"/>
  <c r="AF973" i="1" s="1"/>
  <c r="AB973" i="1"/>
  <c r="AC973" i="1" s="1"/>
  <c r="AA973" i="1"/>
  <c r="T973" i="1"/>
  <c r="U973" i="1" s="1"/>
  <c r="W973" i="1" s="1"/>
  <c r="AF972" i="1"/>
  <c r="AB972" i="1"/>
  <c r="AC972" i="1" s="1"/>
  <c r="AA972" i="1"/>
  <c r="T972" i="1"/>
  <c r="U972" i="1" s="1"/>
  <c r="W972" i="1" s="1"/>
  <c r="T971" i="1"/>
  <c r="U971" i="1" s="1"/>
  <c r="W971" i="1" s="1"/>
  <c r="Q971" i="1"/>
  <c r="AD970" i="1"/>
  <c r="AF970" i="1" s="1"/>
  <c r="AB970" i="1"/>
  <c r="AC970" i="1" s="1"/>
  <c r="AA970" i="1"/>
  <c r="T970" i="1"/>
  <c r="U970" i="1" s="1"/>
  <c r="W970" i="1" s="1"/>
  <c r="AF969" i="1"/>
  <c r="AB969" i="1"/>
  <c r="AA969" i="1"/>
  <c r="T969" i="1"/>
  <c r="U969" i="1" s="1"/>
  <c r="W969" i="1" s="1"/>
  <c r="AD968" i="1"/>
  <c r="AF968" i="1" s="1"/>
  <c r="AB968" i="1"/>
  <c r="AC968" i="1" s="1"/>
  <c r="AA968" i="1"/>
  <c r="T968" i="1"/>
  <c r="U968" i="1" s="1"/>
  <c r="W968" i="1" s="1"/>
  <c r="AD967" i="1"/>
  <c r="AF967" i="1" s="1"/>
  <c r="AB967" i="1"/>
  <c r="AC967" i="1" s="1"/>
  <c r="AA967" i="1"/>
  <c r="T967" i="1"/>
  <c r="U967" i="1" s="1"/>
  <c r="W967" i="1" s="1"/>
  <c r="AD966" i="1"/>
  <c r="AF966" i="1" s="1"/>
  <c r="AB966" i="1"/>
  <c r="AC966" i="1" s="1"/>
  <c r="AA966" i="1"/>
  <c r="T966" i="1"/>
  <c r="U966" i="1" s="1"/>
  <c r="W966" i="1" s="1"/>
  <c r="AD965" i="1"/>
  <c r="AF965" i="1" s="1"/>
  <c r="AB965" i="1"/>
  <c r="AC965" i="1" s="1"/>
  <c r="AA965" i="1"/>
  <c r="T965" i="1"/>
  <c r="U965" i="1" s="1"/>
  <c r="W965" i="1" s="1"/>
  <c r="AD964" i="1"/>
  <c r="AF964" i="1" s="1"/>
  <c r="AB964" i="1"/>
  <c r="AC964" i="1" s="1"/>
  <c r="AA964" i="1"/>
  <c r="T964" i="1"/>
  <c r="U964" i="1" s="1"/>
  <c r="W964" i="1" s="1"/>
  <c r="AD963" i="1"/>
  <c r="AF963" i="1" s="1"/>
  <c r="AB963" i="1"/>
  <c r="AC963" i="1" s="1"/>
  <c r="AA963" i="1"/>
  <c r="T963" i="1"/>
  <c r="U963" i="1" s="1"/>
  <c r="W963" i="1" s="1"/>
  <c r="AD962" i="1"/>
  <c r="AF962" i="1" s="1"/>
  <c r="AB962" i="1"/>
  <c r="AC962" i="1" s="1"/>
  <c r="AA962" i="1"/>
  <c r="T962" i="1"/>
  <c r="U962" i="1" s="1"/>
  <c r="W962" i="1" s="1"/>
  <c r="AD961" i="1"/>
  <c r="AF961" i="1" s="1"/>
  <c r="AB961" i="1"/>
  <c r="AC961" i="1" s="1"/>
  <c r="AA961" i="1"/>
  <c r="T961" i="1"/>
  <c r="U961" i="1" s="1"/>
  <c r="W961" i="1" s="1"/>
  <c r="AF960" i="1"/>
  <c r="AB960" i="1"/>
  <c r="AC960" i="1" s="1"/>
  <c r="AA960" i="1"/>
  <c r="T960" i="1"/>
  <c r="U960" i="1" s="1"/>
  <c r="W960" i="1" s="1"/>
  <c r="AD959" i="1"/>
  <c r="AF959" i="1" s="1"/>
  <c r="AB959" i="1"/>
  <c r="AC959" i="1" s="1"/>
  <c r="AA959" i="1"/>
  <c r="T959" i="1"/>
  <c r="U959" i="1" s="1"/>
  <c r="W959" i="1" s="1"/>
  <c r="X959" i="1" s="1"/>
  <c r="AD958" i="1"/>
  <c r="AF958" i="1" s="1"/>
  <c r="AB958" i="1"/>
  <c r="AC958" i="1" s="1"/>
  <c r="AA958" i="1"/>
  <c r="T958" i="1"/>
  <c r="U958" i="1" s="1"/>
  <c r="W958" i="1" s="1"/>
  <c r="AD957" i="1"/>
  <c r="AF957" i="1" s="1"/>
  <c r="AB957" i="1"/>
  <c r="AC957" i="1" s="1"/>
  <c r="AA957" i="1"/>
  <c r="T957" i="1"/>
  <c r="U957" i="1" s="1"/>
  <c r="W957" i="1" s="1"/>
  <c r="X957" i="1" s="1"/>
  <c r="AD956" i="1"/>
  <c r="AF956" i="1" s="1"/>
  <c r="AB956" i="1"/>
  <c r="AC956" i="1" s="1"/>
  <c r="AA956" i="1"/>
  <c r="T956" i="1"/>
  <c r="U956" i="1" s="1"/>
  <c r="W956" i="1" s="1"/>
  <c r="AD955" i="1"/>
  <c r="AF955" i="1" s="1"/>
  <c r="AB955" i="1"/>
  <c r="AC955" i="1" s="1"/>
  <c r="AA955" i="1"/>
  <c r="T955" i="1"/>
  <c r="U955" i="1" s="1"/>
  <c r="W955" i="1" s="1"/>
  <c r="X955" i="1" s="1"/>
  <c r="AD954" i="1"/>
  <c r="AF954" i="1" s="1"/>
  <c r="AB954" i="1"/>
  <c r="AC954" i="1" s="1"/>
  <c r="AA954" i="1"/>
  <c r="T954" i="1"/>
  <c r="U954" i="1" s="1"/>
  <c r="W954" i="1" s="1"/>
  <c r="AD953" i="1"/>
  <c r="AF953" i="1" s="1"/>
  <c r="AB953" i="1"/>
  <c r="AC953" i="1" s="1"/>
  <c r="AA953" i="1"/>
  <c r="T953" i="1"/>
  <c r="U953" i="1" s="1"/>
  <c r="W953" i="1" s="1"/>
  <c r="AD952" i="1"/>
  <c r="AF952" i="1" s="1"/>
  <c r="AB952" i="1"/>
  <c r="AC952" i="1" s="1"/>
  <c r="AA952" i="1"/>
  <c r="T952" i="1"/>
  <c r="U952" i="1" s="1"/>
  <c r="W952" i="1" s="1"/>
  <c r="AD951" i="1"/>
  <c r="AF951" i="1" s="1"/>
  <c r="AB951" i="1"/>
  <c r="AC951" i="1" s="1"/>
  <c r="AA951" i="1"/>
  <c r="T951" i="1"/>
  <c r="U951" i="1" s="1"/>
  <c r="W951" i="1" s="1"/>
  <c r="AD950" i="1"/>
  <c r="AF950" i="1" s="1"/>
  <c r="AB950" i="1"/>
  <c r="AC950" i="1" s="1"/>
  <c r="AA950" i="1"/>
  <c r="T950" i="1"/>
  <c r="U950" i="1" s="1"/>
  <c r="W950" i="1" s="1"/>
  <c r="AD949" i="1"/>
  <c r="AF949" i="1" s="1"/>
  <c r="AB949" i="1"/>
  <c r="AC949" i="1" s="1"/>
  <c r="AA949" i="1"/>
  <c r="T949" i="1"/>
  <c r="U949" i="1" s="1"/>
  <c r="W949" i="1" s="1"/>
  <c r="X949" i="1" s="1"/>
  <c r="AD948" i="1"/>
  <c r="AF948" i="1" s="1"/>
  <c r="AC948" i="1"/>
  <c r="AA948" i="1"/>
  <c r="T948" i="1"/>
  <c r="U948" i="1" s="1"/>
  <c r="W948" i="1" s="1"/>
  <c r="AD947" i="1"/>
  <c r="AF947" i="1" s="1"/>
  <c r="AB947" i="1"/>
  <c r="AC947" i="1" s="1"/>
  <c r="AA947" i="1"/>
  <c r="T947" i="1"/>
  <c r="U947" i="1" s="1"/>
  <c r="W947" i="1" s="1"/>
  <c r="X947" i="1" s="1"/>
  <c r="AD946" i="1"/>
  <c r="AF946" i="1" s="1"/>
  <c r="AB946" i="1"/>
  <c r="AC946" i="1" s="1"/>
  <c r="AA946" i="1"/>
  <c r="T946" i="1"/>
  <c r="U946" i="1" s="1"/>
  <c r="W946" i="1" s="1"/>
  <c r="AD945" i="1"/>
  <c r="AF945" i="1" s="1"/>
  <c r="AB945" i="1"/>
  <c r="AC945" i="1" s="1"/>
  <c r="AA945" i="1"/>
  <c r="T945" i="1"/>
  <c r="U945" i="1" s="1"/>
  <c r="W945" i="1" s="1"/>
  <c r="AD944" i="1"/>
  <c r="AF944" i="1" s="1"/>
  <c r="AB944" i="1"/>
  <c r="AC944" i="1" s="1"/>
  <c r="AA944" i="1"/>
  <c r="T944" i="1"/>
  <c r="U944" i="1" s="1"/>
  <c r="W944" i="1" s="1"/>
  <c r="AD943" i="1"/>
  <c r="AF943" i="1" s="1"/>
  <c r="AB943" i="1"/>
  <c r="AC943" i="1" s="1"/>
  <c r="AA943" i="1"/>
  <c r="T943" i="1"/>
  <c r="U943" i="1" s="1"/>
  <c r="W943" i="1" s="1"/>
  <c r="AD942" i="1"/>
  <c r="AF942" i="1" s="1"/>
  <c r="AB942" i="1"/>
  <c r="AC942" i="1" s="1"/>
  <c r="AA942" i="1"/>
  <c r="T942" i="1"/>
  <c r="U942" i="1" s="1"/>
  <c r="W942" i="1" s="1"/>
  <c r="AD941" i="1"/>
  <c r="AF941" i="1" s="1"/>
  <c r="AB941" i="1"/>
  <c r="AC941" i="1" s="1"/>
  <c r="AA941" i="1"/>
  <c r="T941" i="1"/>
  <c r="U941" i="1" s="1"/>
  <c r="W941" i="1" s="1"/>
  <c r="AD940" i="1"/>
  <c r="AF940" i="1" s="1"/>
  <c r="AB940" i="1"/>
  <c r="AC940" i="1" s="1"/>
  <c r="AA940" i="1"/>
  <c r="T940" i="1"/>
  <c r="U940" i="1" s="1"/>
  <c r="W940" i="1" s="1"/>
  <c r="Z939" i="1"/>
  <c r="T939" i="1"/>
  <c r="U939" i="1" s="1"/>
  <c r="W939" i="1" s="1"/>
  <c r="AD938" i="1"/>
  <c r="AF938" i="1" s="1"/>
  <c r="AB938" i="1"/>
  <c r="AC938" i="1" s="1"/>
  <c r="AA938" i="1"/>
  <c r="T938" i="1"/>
  <c r="U938" i="1" s="1"/>
  <c r="W938" i="1" s="1"/>
  <c r="X938" i="1" s="1"/>
  <c r="AD937" i="1"/>
  <c r="AF937" i="1" s="1"/>
  <c r="AB937" i="1"/>
  <c r="AC937" i="1" s="1"/>
  <c r="AA937" i="1"/>
  <c r="T937" i="1"/>
  <c r="U937" i="1" s="1"/>
  <c r="W937" i="1" s="1"/>
  <c r="AD936" i="1"/>
  <c r="AF936" i="1" s="1"/>
  <c r="AB936" i="1"/>
  <c r="AC936" i="1" s="1"/>
  <c r="AA936" i="1"/>
  <c r="T936" i="1"/>
  <c r="U936" i="1" s="1"/>
  <c r="W936" i="1" s="1"/>
  <c r="AD935" i="1"/>
  <c r="AF935" i="1" s="1"/>
  <c r="AB935" i="1"/>
  <c r="AC935" i="1" s="1"/>
  <c r="AA935" i="1"/>
  <c r="T935" i="1"/>
  <c r="U935" i="1" s="1"/>
  <c r="W935" i="1" s="1"/>
  <c r="AD934" i="1"/>
  <c r="AF934" i="1" s="1"/>
  <c r="AC934" i="1"/>
  <c r="AA934" i="1"/>
  <c r="T934" i="1"/>
  <c r="U934" i="1" s="1"/>
  <c r="W934" i="1" s="1"/>
  <c r="Z933" i="1"/>
  <c r="AD933" i="1" s="1"/>
  <c r="AF933" i="1" s="1"/>
  <c r="T933" i="1"/>
  <c r="U933" i="1" s="1"/>
  <c r="W933" i="1" s="1"/>
  <c r="AD932" i="1"/>
  <c r="AF932" i="1" s="1"/>
  <c r="AB932" i="1"/>
  <c r="AC932" i="1" s="1"/>
  <c r="AA932" i="1"/>
  <c r="T932" i="1"/>
  <c r="U932" i="1" s="1"/>
  <c r="W932" i="1" s="1"/>
  <c r="X932" i="1" s="1"/>
  <c r="AD931" i="1"/>
  <c r="AF931" i="1" s="1"/>
  <c r="AB931" i="1"/>
  <c r="AC931" i="1" s="1"/>
  <c r="AA931" i="1"/>
  <c r="T931" i="1"/>
  <c r="U931" i="1" s="1"/>
  <c r="W931" i="1" s="1"/>
  <c r="AD930" i="1"/>
  <c r="AF930" i="1" s="1"/>
  <c r="AB930" i="1"/>
  <c r="AC930" i="1" s="1"/>
  <c r="AA930" i="1"/>
  <c r="T930" i="1"/>
  <c r="U930" i="1" s="1"/>
  <c r="W930" i="1" s="1"/>
  <c r="X930" i="1" s="1"/>
  <c r="AD929" i="1"/>
  <c r="AF929" i="1" s="1"/>
  <c r="AB929" i="1"/>
  <c r="AC929" i="1" s="1"/>
  <c r="AA929" i="1"/>
  <c r="T929" i="1"/>
  <c r="U929" i="1" s="1"/>
  <c r="W929" i="1" s="1"/>
  <c r="AD928" i="1"/>
  <c r="AF928" i="1" s="1"/>
  <c r="AB928" i="1"/>
  <c r="AC928" i="1" s="1"/>
  <c r="AA928" i="1"/>
  <c r="T928" i="1"/>
  <c r="U928" i="1" s="1"/>
  <c r="W928" i="1" s="1"/>
  <c r="AF927" i="1"/>
  <c r="AB927" i="1"/>
  <c r="AC927" i="1" s="1"/>
  <c r="AA927" i="1"/>
  <c r="T927" i="1"/>
  <c r="U927" i="1" s="1"/>
  <c r="W927" i="1" s="1"/>
  <c r="AD926" i="1"/>
  <c r="AF926" i="1" s="1"/>
  <c r="AB926" i="1"/>
  <c r="AC926" i="1" s="1"/>
  <c r="AA926" i="1"/>
  <c r="T926" i="1"/>
  <c r="U926" i="1" s="1"/>
  <c r="W926" i="1" s="1"/>
  <c r="AD925" i="1"/>
  <c r="AF925" i="1" s="1"/>
  <c r="AB925" i="1"/>
  <c r="AC925" i="1" s="1"/>
  <c r="AA925" i="1"/>
  <c r="T925" i="1"/>
  <c r="U925" i="1" s="1"/>
  <c r="W925" i="1" s="1"/>
  <c r="AD924" i="1"/>
  <c r="AF924" i="1" s="1"/>
  <c r="AB924" i="1"/>
  <c r="AC924" i="1" s="1"/>
  <c r="AA924" i="1"/>
  <c r="T924" i="1"/>
  <c r="U924" i="1" s="1"/>
  <c r="W924" i="1" s="1"/>
  <c r="X924" i="1" s="1"/>
  <c r="AF923" i="1"/>
  <c r="AB923" i="1"/>
  <c r="AC923" i="1" s="1"/>
  <c r="AA923" i="1"/>
  <c r="T923" i="1"/>
  <c r="U923" i="1" s="1"/>
  <c r="W923" i="1" s="1"/>
  <c r="AD922" i="1"/>
  <c r="AF922" i="1" s="1"/>
  <c r="AB922" i="1"/>
  <c r="AC922" i="1" s="1"/>
  <c r="AA922" i="1"/>
  <c r="T922" i="1"/>
  <c r="U922" i="1" s="1"/>
  <c r="W922" i="1" s="1"/>
  <c r="AD921" i="1"/>
  <c r="AF921" i="1" s="1"/>
  <c r="AB921" i="1"/>
  <c r="AC921" i="1" s="1"/>
  <c r="AA921" i="1"/>
  <c r="T921" i="1"/>
  <c r="U921" i="1" s="1"/>
  <c r="W921" i="1" s="1"/>
  <c r="AD920" i="1"/>
  <c r="AF920" i="1" s="1"/>
  <c r="AB920" i="1"/>
  <c r="AC920" i="1" s="1"/>
  <c r="AA920" i="1"/>
  <c r="T920" i="1"/>
  <c r="U920" i="1" s="1"/>
  <c r="W920" i="1" s="1"/>
  <c r="AD919" i="1"/>
  <c r="AF919" i="1" s="1"/>
  <c r="AB919" i="1"/>
  <c r="AC919" i="1" s="1"/>
  <c r="AA919" i="1"/>
  <c r="T919" i="1"/>
  <c r="U919" i="1" s="1"/>
  <c r="W919" i="1" s="1"/>
  <c r="AD918" i="1"/>
  <c r="AF918" i="1" s="1"/>
  <c r="AB918" i="1"/>
  <c r="AC918" i="1" s="1"/>
  <c r="AA918" i="1"/>
  <c r="T918" i="1"/>
  <c r="U918" i="1" s="1"/>
  <c r="W918" i="1" s="1"/>
  <c r="X918" i="1" s="1"/>
  <c r="AD917" i="1"/>
  <c r="AF917" i="1" s="1"/>
  <c r="AB917" i="1"/>
  <c r="AC917" i="1" s="1"/>
  <c r="AA917" i="1"/>
  <c r="T917" i="1"/>
  <c r="U917" i="1" s="1"/>
  <c r="W917" i="1" s="1"/>
  <c r="AD916" i="1"/>
  <c r="AF916" i="1" s="1"/>
  <c r="AB916" i="1"/>
  <c r="AC916" i="1" s="1"/>
  <c r="AA916" i="1"/>
  <c r="T916" i="1"/>
  <c r="U916" i="1" s="1"/>
  <c r="W916" i="1" s="1"/>
  <c r="AD915" i="1"/>
  <c r="AF915" i="1" s="1"/>
  <c r="AB915" i="1"/>
  <c r="AC915" i="1" s="1"/>
  <c r="AA915" i="1"/>
  <c r="T915" i="1"/>
  <c r="U915" i="1" s="1"/>
  <c r="W915" i="1" s="1"/>
  <c r="AD914" i="1"/>
  <c r="AF914" i="1" s="1"/>
  <c r="AB914" i="1"/>
  <c r="AC914" i="1" s="1"/>
  <c r="AA914" i="1"/>
  <c r="T914" i="1"/>
  <c r="U914" i="1" s="1"/>
  <c r="W914" i="1" s="1"/>
  <c r="AD913" i="1"/>
  <c r="AF913" i="1" s="1"/>
  <c r="AB913" i="1"/>
  <c r="AC913" i="1" s="1"/>
  <c r="AA913" i="1"/>
  <c r="T913" i="1"/>
  <c r="U913" i="1" s="1"/>
  <c r="W913" i="1" s="1"/>
  <c r="AD912" i="1"/>
  <c r="AF912" i="1" s="1"/>
  <c r="AB912" i="1"/>
  <c r="AC912" i="1" s="1"/>
  <c r="AA912" i="1"/>
  <c r="T912" i="1"/>
  <c r="U912" i="1" s="1"/>
  <c r="W912" i="1" s="1"/>
  <c r="AD911" i="1"/>
  <c r="AF911" i="1" s="1"/>
  <c r="AB911" i="1"/>
  <c r="AC911" i="1" s="1"/>
  <c r="AA911" i="1"/>
  <c r="T911" i="1"/>
  <c r="U911" i="1" s="1"/>
  <c r="W911" i="1" s="1"/>
  <c r="Z910" i="1"/>
  <c r="T910" i="1"/>
  <c r="U910" i="1" s="1"/>
  <c r="W910" i="1" s="1"/>
  <c r="AD909" i="1"/>
  <c r="AF909" i="1" s="1"/>
  <c r="AB909" i="1"/>
  <c r="AC909" i="1" s="1"/>
  <c r="AA909" i="1"/>
  <c r="T909" i="1"/>
  <c r="U909" i="1" s="1"/>
  <c r="W909" i="1" s="1"/>
  <c r="AD908" i="1"/>
  <c r="AF908" i="1" s="1"/>
  <c r="AB908" i="1"/>
  <c r="AC908" i="1" s="1"/>
  <c r="AA908" i="1"/>
  <c r="T908" i="1"/>
  <c r="U908" i="1" s="1"/>
  <c r="W908" i="1" s="1"/>
  <c r="X908" i="1" s="1"/>
  <c r="AD907" i="1"/>
  <c r="AF907" i="1" s="1"/>
  <c r="AC907" i="1"/>
  <c r="AA907" i="1"/>
  <c r="T907" i="1"/>
  <c r="U907" i="1" s="1"/>
  <c r="W907" i="1" s="1"/>
  <c r="AD906" i="1"/>
  <c r="AF906" i="1" s="1"/>
  <c r="AB906" i="1"/>
  <c r="AC906" i="1" s="1"/>
  <c r="AA906" i="1"/>
  <c r="T906" i="1"/>
  <c r="U906" i="1" s="1"/>
  <c r="W906" i="1" s="1"/>
  <c r="AD905" i="1"/>
  <c r="AF905" i="1" s="1"/>
  <c r="AB905" i="1"/>
  <c r="AC905" i="1" s="1"/>
  <c r="AA905" i="1"/>
  <c r="T905" i="1"/>
  <c r="U905" i="1" s="1"/>
  <c r="W905" i="1" s="1"/>
  <c r="AD904" i="1"/>
  <c r="AF904" i="1" s="1"/>
  <c r="AB904" i="1"/>
  <c r="AC904" i="1" s="1"/>
  <c r="AA904" i="1"/>
  <c r="T904" i="1"/>
  <c r="U904" i="1" s="1"/>
  <c r="W904" i="1" s="1"/>
  <c r="AD903" i="1"/>
  <c r="AF903" i="1" s="1"/>
  <c r="AB903" i="1"/>
  <c r="AC903" i="1" s="1"/>
  <c r="AA903" i="1"/>
  <c r="T903" i="1"/>
  <c r="U903" i="1" s="1"/>
  <c r="W903" i="1" s="1"/>
  <c r="AD902" i="1"/>
  <c r="AF902" i="1" s="1"/>
  <c r="AB902" i="1"/>
  <c r="AC902" i="1" s="1"/>
  <c r="AA902" i="1"/>
  <c r="T902" i="1"/>
  <c r="U902" i="1" s="1"/>
  <c r="W902" i="1" s="1"/>
  <c r="AD901" i="1"/>
  <c r="AF901" i="1" s="1"/>
  <c r="AB901" i="1"/>
  <c r="AC901" i="1" s="1"/>
  <c r="AA901" i="1"/>
  <c r="T901" i="1"/>
  <c r="U901" i="1" s="1"/>
  <c r="W901" i="1" s="1"/>
  <c r="AD900" i="1"/>
  <c r="AF900" i="1" s="1"/>
  <c r="AB900" i="1"/>
  <c r="AC900" i="1" s="1"/>
  <c r="AA900" i="1"/>
  <c r="T900" i="1"/>
  <c r="U900" i="1" s="1"/>
  <c r="W900" i="1" s="1"/>
  <c r="AD899" i="1"/>
  <c r="AF899" i="1" s="1"/>
  <c r="AB899" i="1"/>
  <c r="AC899" i="1" s="1"/>
  <c r="AA899" i="1"/>
  <c r="T899" i="1"/>
  <c r="U899" i="1" s="1"/>
  <c r="W899" i="1" s="1"/>
  <c r="AD898" i="1"/>
  <c r="AF898" i="1" s="1"/>
  <c r="AB898" i="1"/>
  <c r="AC898" i="1" s="1"/>
  <c r="AA898" i="1"/>
  <c r="T898" i="1"/>
  <c r="U898" i="1" s="1"/>
  <c r="W898" i="1" s="1"/>
  <c r="AD897" i="1"/>
  <c r="AF897" i="1" s="1"/>
  <c r="AB897" i="1"/>
  <c r="AC897" i="1" s="1"/>
  <c r="AA897" i="1"/>
  <c r="T897" i="1"/>
  <c r="U897" i="1" s="1"/>
  <c r="W897" i="1" s="1"/>
  <c r="AD896" i="1"/>
  <c r="AF896" i="1" s="1"/>
  <c r="AC896" i="1"/>
  <c r="AA896" i="1"/>
  <c r="T896" i="1"/>
  <c r="U896" i="1" s="1"/>
  <c r="W896" i="1" s="1"/>
  <c r="AD895" i="1"/>
  <c r="AF895" i="1" s="1"/>
  <c r="AC895" i="1"/>
  <c r="T895" i="1"/>
  <c r="U895" i="1" s="1"/>
  <c r="W895" i="1" s="1"/>
  <c r="AD894" i="1"/>
  <c r="AF894" i="1" s="1"/>
  <c r="AB894" i="1"/>
  <c r="AC894" i="1" s="1"/>
  <c r="AA894" i="1"/>
  <c r="T894" i="1"/>
  <c r="U894" i="1" s="1"/>
  <c r="W894" i="1" s="1"/>
  <c r="AD893" i="1"/>
  <c r="AF893" i="1" s="1"/>
  <c r="AB893" i="1"/>
  <c r="AC893" i="1" s="1"/>
  <c r="AA893" i="1"/>
  <c r="T893" i="1"/>
  <c r="U893" i="1" s="1"/>
  <c r="W893" i="1" s="1"/>
  <c r="AF892" i="1"/>
  <c r="AB892" i="1"/>
  <c r="AC892" i="1" s="1"/>
  <c r="AA892" i="1"/>
  <c r="T892" i="1"/>
  <c r="U892" i="1" s="1"/>
  <c r="W892" i="1" s="1"/>
  <c r="AD891" i="1"/>
  <c r="AF891" i="1" s="1"/>
  <c r="AB891" i="1"/>
  <c r="AC891" i="1" s="1"/>
  <c r="AA891" i="1"/>
  <c r="T891" i="1"/>
  <c r="U891" i="1" s="1"/>
  <c r="W891" i="1" s="1"/>
  <c r="X891" i="1" s="1"/>
  <c r="AF890" i="1"/>
  <c r="AB890" i="1"/>
  <c r="AC890" i="1" s="1"/>
  <c r="AA890" i="1"/>
  <c r="T890" i="1"/>
  <c r="U890" i="1" s="1"/>
  <c r="W890" i="1" s="1"/>
  <c r="AF889" i="1"/>
  <c r="AB889" i="1"/>
  <c r="AA889" i="1"/>
  <c r="T889" i="1"/>
  <c r="U889" i="1" s="1"/>
  <c r="W889" i="1" s="1"/>
  <c r="Z888" i="1"/>
  <c r="AD888" i="1" s="1"/>
  <c r="AF888" i="1" s="1"/>
  <c r="T888" i="1"/>
  <c r="U888" i="1" s="1"/>
  <c r="W888" i="1" s="1"/>
  <c r="AD887" i="1"/>
  <c r="AF887" i="1" s="1"/>
  <c r="AB887" i="1"/>
  <c r="AC887" i="1" s="1"/>
  <c r="AA887" i="1"/>
  <c r="T887" i="1"/>
  <c r="U887" i="1" s="1"/>
  <c r="W887" i="1" s="1"/>
  <c r="X887" i="1" s="1"/>
  <c r="AD886" i="1"/>
  <c r="AF886" i="1" s="1"/>
  <c r="AB886" i="1"/>
  <c r="AC886" i="1" s="1"/>
  <c r="AA886" i="1"/>
  <c r="T886" i="1"/>
  <c r="U886" i="1" s="1"/>
  <c r="W886" i="1" s="1"/>
  <c r="AD885" i="1"/>
  <c r="AF885" i="1" s="1"/>
  <c r="AB885" i="1"/>
  <c r="AC885" i="1" s="1"/>
  <c r="AA885" i="1"/>
  <c r="T885" i="1"/>
  <c r="U885" i="1" s="1"/>
  <c r="W885" i="1" s="1"/>
  <c r="AD884" i="1"/>
  <c r="AF884" i="1" s="1"/>
  <c r="AB884" i="1"/>
  <c r="AC884" i="1" s="1"/>
  <c r="AA884" i="1"/>
  <c r="T884" i="1"/>
  <c r="U884" i="1" s="1"/>
  <c r="W884" i="1" s="1"/>
  <c r="AD883" i="1"/>
  <c r="AF883" i="1" s="1"/>
  <c r="AB883" i="1"/>
  <c r="AC883" i="1" s="1"/>
  <c r="AA883" i="1"/>
  <c r="T883" i="1"/>
  <c r="U883" i="1" s="1"/>
  <c r="W883" i="1" s="1"/>
  <c r="X883" i="1" s="1"/>
  <c r="AD882" i="1"/>
  <c r="AF882" i="1" s="1"/>
  <c r="AB882" i="1"/>
  <c r="AC882" i="1" s="1"/>
  <c r="AA882" i="1"/>
  <c r="T882" i="1"/>
  <c r="U882" i="1" s="1"/>
  <c r="W882" i="1" s="1"/>
  <c r="AD881" i="1"/>
  <c r="AF881" i="1" s="1"/>
  <c r="AB881" i="1"/>
  <c r="AC881" i="1" s="1"/>
  <c r="AA881" i="1"/>
  <c r="T881" i="1"/>
  <c r="U881" i="1" s="1"/>
  <c r="W881" i="1" s="1"/>
  <c r="AD880" i="1"/>
  <c r="AF880" i="1" s="1"/>
  <c r="AC880" i="1"/>
  <c r="AA880" i="1"/>
  <c r="T880" i="1"/>
  <c r="U880" i="1" s="1"/>
  <c r="W880" i="1" s="1"/>
  <c r="AD879" i="1"/>
  <c r="AF879" i="1" s="1"/>
  <c r="AB879" i="1"/>
  <c r="AC879" i="1" s="1"/>
  <c r="AA879" i="1"/>
  <c r="T879" i="1"/>
  <c r="U879" i="1" s="1"/>
  <c r="W879" i="1" s="1"/>
  <c r="X879" i="1" s="1"/>
  <c r="AD878" i="1"/>
  <c r="AF878" i="1" s="1"/>
  <c r="AC878" i="1"/>
  <c r="AA878" i="1"/>
  <c r="T878" i="1"/>
  <c r="U878" i="1" s="1"/>
  <c r="W878" i="1" s="1"/>
  <c r="AD877" i="1"/>
  <c r="AF877" i="1" s="1"/>
  <c r="AB877" i="1"/>
  <c r="AC877" i="1" s="1"/>
  <c r="AA877" i="1"/>
  <c r="T877" i="1"/>
  <c r="U877" i="1" s="1"/>
  <c r="W877" i="1" s="1"/>
  <c r="AD876" i="1"/>
  <c r="AF876" i="1" s="1"/>
  <c r="AC876" i="1"/>
  <c r="AA876" i="1"/>
  <c r="T876" i="1"/>
  <c r="U876" i="1" s="1"/>
  <c r="W876" i="1" s="1"/>
  <c r="AD875" i="1"/>
  <c r="AF875" i="1" s="1"/>
  <c r="AB875" i="1"/>
  <c r="AC875" i="1" s="1"/>
  <c r="AA875" i="1"/>
  <c r="T875" i="1"/>
  <c r="U875" i="1" s="1"/>
  <c r="W875" i="1" s="1"/>
  <c r="X875" i="1" s="1"/>
  <c r="AD874" i="1"/>
  <c r="AF874" i="1" s="1"/>
  <c r="AC874" i="1"/>
  <c r="AA874" i="1"/>
  <c r="T874" i="1"/>
  <c r="U874" i="1" s="1"/>
  <c r="W874" i="1" s="1"/>
  <c r="AD873" i="1"/>
  <c r="AF873" i="1" s="1"/>
  <c r="AB873" i="1"/>
  <c r="AC873" i="1" s="1"/>
  <c r="AA873" i="1"/>
  <c r="T873" i="1"/>
  <c r="U873" i="1" s="1"/>
  <c r="W873" i="1" s="1"/>
  <c r="AD872" i="1"/>
  <c r="AF872" i="1" s="1"/>
  <c r="AB872" i="1"/>
  <c r="AC872" i="1" s="1"/>
  <c r="AA872" i="1"/>
  <c r="T872" i="1"/>
  <c r="U872" i="1" s="1"/>
  <c r="W872" i="1" s="1"/>
  <c r="AD871" i="1"/>
  <c r="AF871" i="1" s="1"/>
  <c r="AB871" i="1"/>
  <c r="AC871" i="1" s="1"/>
  <c r="AA871" i="1"/>
  <c r="T871" i="1"/>
  <c r="U871" i="1" s="1"/>
  <c r="W871" i="1" s="1"/>
  <c r="X871" i="1" s="1"/>
  <c r="AD870" i="1"/>
  <c r="AF870" i="1" s="1"/>
  <c r="AC870" i="1"/>
  <c r="AA870" i="1"/>
  <c r="T870" i="1"/>
  <c r="U870" i="1" s="1"/>
  <c r="W870" i="1" s="1"/>
  <c r="AD869" i="1"/>
  <c r="AF869" i="1" s="1"/>
  <c r="AB869" i="1"/>
  <c r="AC869" i="1" s="1"/>
  <c r="AA869" i="1"/>
  <c r="T869" i="1"/>
  <c r="U869" i="1" s="1"/>
  <c r="W869" i="1" s="1"/>
  <c r="AD868" i="1"/>
  <c r="AF868" i="1" s="1"/>
  <c r="AB868" i="1"/>
  <c r="AC868" i="1" s="1"/>
  <c r="AA868" i="1"/>
  <c r="T868" i="1"/>
  <c r="U868" i="1" s="1"/>
  <c r="W868" i="1" s="1"/>
  <c r="AD867" i="1"/>
  <c r="AF867" i="1" s="1"/>
  <c r="AB867" i="1"/>
  <c r="AC867" i="1" s="1"/>
  <c r="AA867" i="1"/>
  <c r="T867" i="1"/>
  <c r="U867" i="1" s="1"/>
  <c r="W867" i="1" s="1"/>
  <c r="X867" i="1" s="1"/>
  <c r="AD866" i="1"/>
  <c r="AF866" i="1" s="1"/>
  <c r="AB866" i="1"/>
  <c r="AC866" i="1" s="1"/>
  <c r="AA866" i="1"/>
  <c r="T866" i="1"/>
  <c r="U866" i="1" s="1"/>
  <c r="W866" i="1" s="1"/>
  <c r="AD865" i="1"/>
  <c r="AF865" i="1" s="1"/>
  <c r="AB865" i="1"/>
  <c r="AC865" i="1" s="1"/>
  <c r="AA865" i="1"/>
  <c r="T865" i="1"/>
  <c r="U865" i="1" s="1"/>
  <c r="W865" i="1" s="1"/>
  <c r="AD864" i="1"/>
  <c r="AF864" i="1" s="1"/>
  <c r="AB864" i="1"/>
  <c r="AC864" i="1" s="1"/>
  <c r="AA864" i="1"/>
  <c r="T864" i="1"/>
  <c r="U864" i="1" s="1"/>
  <c r="W864" i="1" s="1"/>
  <c r="AF863" i="1"/>
  <c r="AB863" i="1"/>
  <c r="AC863" i="1" s="1"/>
  <c r="T863" i="1"/>
  <c r="U863" i="1" s="1"/>
  <c r="W863" i="1" s="1"/>
  <c r="X863" i="1" s="1"/>
  <c r="AD862" i="1"/>
  <c r="AF862" i="1" s="1"/>
  <c r="AB862" i="1"/>
  <c r="AC862" i="1" s="1"/>
  <c r="AA862" i="1"/>
  <c r="T862" i="1"/>
  <c r="U862" i="1" s="1"/>
  <c r="W862" i="1" s="1"/>
  <c r="AD861" i="1"/>
  <c r="AF861" i="1" s="1"/>
  <c r="AB861" i="1"/>
  <c r="AC861" i="1" s="1"/>
  <c r="AA861" i="1"/>
  <c r="T861" i="1"/>
  <c r="U861" i="1" s="1"/>
  <c r="W861" i="1" s="1"/>
  <c r="X861" i="1" s="1"/>
  <c r="AD860" i="1"/>
  <c r="AF860" i="1" s="1"/>
  <c r="AB860" i="1"/>
  <c r="AC860" i="1" s="1"/>
  <c r="AA860" i="1"/>
  <c r="T860" i="1"/>
  <c r="U860" i="1" s="1"/>
  <c r="W860" i="1" s="1"/>
  <c r="AD859" i="1"/>
  <c r="AF859" i="1" s="1"/>
  <c r="AB859" i="1"/>
  <c r="AC859" i="1" s="1"/>
  <c r="AA859" i="1"/>
  <c r="T859" i="1"/>
  <c r="U859" i="1" s="1"/>
  <c r="W859" i="1" s="1"/>
  <c r="X859" i="1" s="1"/>
  <c r="AD858" i="1"/>
  <c r="AF858" i="1" s="1"/>
  <c r="AB858" i="1"/>
  <c r="AC858" i="1" s="1"/>
  <c r="AA858" i="1"/>
  <c r="T858" i="1"/>
  <c r="U858" i="1" s="1"/>
  <c r="W858" i="1" s="1"/>
  <c r="AF857" i="1"/>
  <c r="AB857" i="1"/>
  <c r="AC857" i="1" s="1"/>
  <c r="AA857" i="1"/>
  <c r="T857" i="1"/>
  <c r="U857" i="1" s="1"/>
  <c r="W857" i="1" s="1"/>
  <c r="AD856" i="1"/>
  <c r="AF856" i="1" s="1"/>
  <c r="AB856" i="1"/>
  <c r="AC856" i="1" s="1"/>
  <c r="AA856" i="1"/>
  <c r="T856" i="1"/>
  <c r="U856" i="1" s="1"/>
  <c r="W856" i="1" s="1"/>
  <c r="Z855" i="1"/>
  <c r="AA855" i="1" s="1"/>
  <c r="T855" i="1"/>
  <c r="U855" i="1" s="1"/>
  <c r="W855" i="1" s="1"/>
  <c r="X855" i="1" s="1"/>
  <c r="AF854" i="1"/>
  <c r="AB854" i="1"/>
  <c r="AC854" i="1" s="1"/>
  <c r="AA854" i="1"/>
  <c r="T854" i="1"/>
  <c r="U854" i="1" s="1"/>
  <c r="W854" i="1" s="1"/>
  <c r="AD853" i="1"/>
  <c r="AF853" i="1" s="1"/>
  <c r="AB853" i="1"/>
  <c r="AC853" i="1" s="1"/>
  <c r="AA853" i="1"/>
  <c r="T853" i="1"/>
  <c r="U853" i="1" s="1"/>
  <c r="W853" i="1" s="1"/>
  <c r="AD852" i="1"/>
  <c r="AF852" i="1" s="1"/>
  <c r="AB852" i="1"/>
  <c r="AC852" i="1" s="1"/>
  <c r="AA852" i="1"/>
  <c r="T852" i="1"/>
  <c r="U852" i="1" s="1"/>
  <c r="W852" i="1" s="1"/>
  <c r="X852" i="1" s="1"/>
  <c r="AF851" i="1"/>
  <c r="AB851" i="1"/>
  <c r="AC851" i="1" s="1"/>
  <c r="AA851" i="1"/>
  <c r="T851" i="1"/>
  <c r="U851" i="1" s="1"/>
  <c r="W851" i="1" s="1"/>
  <c r="AD850" i="1"/>
  <c r="AF850" i="1" s="1"/>
  <c r="AB850" i="1"/>
  <c r="AC850" i="1" s="1"/>
  <c r="AA850" i="1"/>
  <c r="T850" i="1"/>
  <c r="U850" i="1" s="1"/>
  <c r="W850" i="1" s="1"/>
  <c r="AD849" i="1"/>
  <c r="AF849" i="1" s="1"/>
  <c r="AB849" i="1"/>
  <c r="AC849" i="1" s="1"/>
  <c r="AA849" i="1"/>
  <c r="T849" i="1"/>
  <c r="U849" i="1" s="1"/>
  <c r="W849" i="1" s="1"/>
  <c r="AD848" i="1"/>
  <c r="AF848" i="1" s="1"/>
  <c r="AB848" i="1"/>
  <c r="AC848" i="1" s="1"/>
  <c r="AA848" i="1"/>
  <c r="T848" i="1"/>
  <c r="U848" i="1" s="1"/>
  <c r="W848" i="1" s="1"/>
  <c r="AF847" i="1"/>
  <c r="AB847" i="1"/>
  <c r="AC847" i="1" s="1"/>
  <c r="AA847" i="1"/>
  <c r="T847" i="1"/>
  <c r="U847" i="1" s="1"/>
  <c r="W847" i="1" s="1"/>
  <c r="Z846" i="1"/>
  <c r="T846" i="1"/>
  <c r="U846" i="1" s="1"/>
  <c r="W846" i="1" s="1"/>
  <c r="T845" i="1"/>
  <c r="U845" i="1" s="1"/>
  <c r="W845" i="1" s="1"/>
  <c r="AD844" i="1"/>
  <c r="AF844" i="1" s="1"/>
  <c r="AB844" i="1"/>
  <c r="AC844" i="1" s="1"/>
  <c r="AA844" i="1"/>
  <c r="T844" i="1"/>
  <c r="U844" i="1" s="1"/>
  <c r="W844" i="1" s="1"/>
  <c r="X844" i="1" s="1"/>
  <c r="AD843" i="1"/>
  <c r="AF843" i="1" s="1"/>
  <c r="AB843" i="1"/>
  <c r="AC843" i="1" s="1"/>
  <c r="AA843" i="1"/>
  <c r="T843" i="1"/>
  <c r="U843" i="1" s="1"/>
  <c r="W843" i="1" s="1"/>
  <c r="AD842" i="1"/>
  <c r="AF842" i="1" s="1"/>
  <c r="AB842" i="1"/>
  <c r="AC842" i="1" s="1"/>
  <c r="AA842" i="1"/>
  <c r="T842" i="1"/>
  <c r="U842" i="1" s="1"/>
  <c r="W842" i="1" s="1"/>
  <c r="X842" i="1" s="1"/>
  <c r="AD841" i="1"/>
  <c r="AF841" i="1" s="1"/>
  <c r="AB841" i="1"/>
  <c r="AC841" i="1" s="1"/>
  <c r="AA841" i="1"/>
  <c r="T841" i="1"/>
  <c r="U841" i="1" s="1"/>
  <c r="W841" i="1" s="1"/>
  <c r="AF840" i="1"/>
  <c r="AB840" i="1"/>
  <c r="AA840" i="1"/>
  <c r="T840" i="1"/>
  <c r="U840" i="1" s="1"/>
  <c r="W840" i="1" s="1"/>
  <c r="X840" i="1" s="1"/>
  <c r="AD839" i="1"/>
  <c r="AF839" i="1" s="1"/>
  <c r="AB839" i="1"/>
  <c r="AC839" i="1" s="1"/>
  <c r="AA839" i="1"/>
  <c r="T839" i="1"/>
  <c r="U839" i="1" s="1"/>
  <c r="W839" i="1" s="1"/>
  <c r="AF838" i="1"/>
  <c r="AB838" i="1"/>
  <c r="AC838" i="1" s="1"/>
  <c r="AA838" i="1"/>
  <c r="T838" i="1"/>
  <c r="U838" i="1" s="1"/>
  <c r="W838" i="1" s="1"/>
  <c r="AD837" i="1"/>
  <c r="AF837" i="1" s="1"/>
  <c r="AB837" i="1"/>
  <c r="AC837" i="1" s="1"/>
  <c r="AA837" i="1"/>
  <c r="T837" i="1"/>
  <c r="U837" i="1" s="1"/>
  <c r="W837" i="1" s="1"/>
  <c r="AD836" i="1"/>
  <c r="AF836" i="1" s="1"/>
  <c r="AB836" i="1"/>
  <c r="AC836" i="1" s="1"/>
  <c r="AA836" i="1"/>
  <c r="T836" i="1"/>
  <c r="U836" i="1" s="1"/>
  <c r="W836" i="1" s="1"/>
  <c r="AF835" i="1"/>
  <c r="AB835" i="1"/>
  <c r="AC835" i="1" s="1"/>
  <c r="AA835" i="1"/>
  <c r="T835" i="1"/>
  <c r="U835" i="1" s="1"/>
  <c r="W835" i="1" s="1"/>
  <c r="X835" i="1" s="1"/>
  <c r="AD834" i="1"/>
  <c r="AF834" i="1" s="1"/>
  <c r="AB834" i="1"/>
  <c r="AC834" i="1" s="1"/>
  <c r="AA834" i="1"/>
  <c r="T834" i="1"/>
  <c r="U834" i="1" s="1"/>
  <c r="W834" i="1" s="1"/>
  <c r="AD833" i="1"/>
  <c r="AF833" i="1" s="1"/>
  <c r="AB833" i="1"/>
  <c r="AC833" i="1" s="1"/>
  <c r="AA833" i="1"/>
  <c r="T833" i="1"/>
  <c r="U833" i="1" s="1"/>
  <c r="W833" i="1" s="1"/>
  <c r="X833" i="1" s="1"/>
  <c r="T832" i="1"/>
  <c r="U832" i="1" s="1"/>
  <c r="W832" i="1" s="1"/>
  <c r="Q832" i="1"/>
  <c r="AF831" i="1"/>
  <c r="AC831" i="1"/>
  <c r="AA831" i="1"/>
  <c r="T831" i="1"/>
  <c r="U831" i="1" s="1"/>
  <c r="W831" i="1" s="1"/>
  <c r="AD830" i="1"/>
  <c r="AF830" i="1" s="1"/>
  <c r="AB830" i="1"/>
  <c r="AC830" i="1" s="1"/>
  <c r="AA830" i="1"/>
  <c r="T830" i="1"/>
  <c r="U830" i="1" s="1"/>
  <c r="W830" i="1" s="1"/>
  <c r="AD829" i="1"/>
  <c r="AF829" i="1" s="1"/>
  <c r="AB829" i="1"/>
  <c r="AC829" i="1" s="1"/>
  <c r="AA829" i="1"/>
  <c r="T829" i="1"/>
  <c r="U829" i="1" s="1"/>
  <c r="W829" i="1" s="1"/>
  <c r="AD828" i="1"/>
  <c r="AF828" i="1" s="1"/>
  <c r="AC828" i="1"/>
  <c r="AA828" i="1"/>
  <c r="T828" i="1"/>
  <c r="U828" i="1" s="1"/>
  <c r="W828" i="1" s="1"/>
  <c r="AD827" i="1"/>
  <c r="AF827" i="1" s="1"/>
  <c r="AC827" i="1"/>
  <c r="AA827" i="1"/>
  <c r="T827" i="1"/>
  <c r="U827" i="1" s="1"/>
  <c r="W827" i="1" s="1"/>
  <c r="AD826" i="1"/>
  <c r="AF826" i="1" s="1"/>
  <c r="AB826" i="1"/>
  <c r="AC826" i="1" s="1"/>
  <c r="AA826" i="1"/>
  <c r="T826" i="1"/>
  <c r="U826" i="1" s="1"/>
  <c r="W826" i="1" s="1"/>
  <c r="AD825" i="1"/>
  <c r="AF825" i="1" s="1"/>
  <c r="AB825" i="1"/>
  <c r="AC825" i="1" s="1"/>
  <c r="AA825" i="1"/>
  <c r="T825" i="1"/>
  <c r="U825" i="1" s="1"/>
  <c r="W825" i="1" s="1"/>
  <c r="AF824" i="1"/>
  <c r="AB824" i="1"/>
  <c r="AA824" i="1"/>
  <c r="T824" i="1"/>
  <c r="U824" i="1" s="1"/>
  <c r="W824" i="1" s="1"/>
  <c r="AD823" i="1"/>
  <c r="AF823" i="1" s="1"/>
  <c r="AB823" i="1"/>
  <c r="AC823" i="1" s="1"/>
  <c r="AA823" i="1"/>
  <c r="T823" i="1"/>
  <c r="U823" i="1" s="1"/>
  <c r="W823" i="1" s="1"/>
  <c r="AD822" i="1"/>
  <c r="AF822" i="1" s="1"/>
  <c r="AB822" i="1"/>
  <c r="AC822" i="1" s="1"/>
  <c r="AA822" i="1"/>
  <c r="T822" i="1"/>
  <c r="U822" i="1" s="1"/>
  <c r="W822" i="1" s="1"/>
  <c r="AF821" i="1"/>
  <c r="AB821" i="1"/>
  <c r="AC821" i="1" s="1"/>
  <c r="AA821" i="1"/>
  <c r="T821" i="1"/>
  <c r="U821" i="1" s="1"/>
  <c r="W821" i="1" s="1"/>
  <c r="X821" i="1" s="1"/>
  <c r="AD820" i="1"/>
  <c r="AF820" i="1" s="1"/>
  <c r="AB820" i="1"/>
  <c r="AC820" i="1" s="1"/>
  <c r="AA820" i="1"/>
  <c r="T820" i="1"/>
  <c r="U820" i="1" s="1"/>
  <c r="W820" i="1" s="1"/>
  <c r="AD819" i="1"/>
  <c r="AF819" i="1" s="1"/>
  <c r="AB819" i="1"/>
  <c r="AC819" i="1" s="1"/>
  <c r="AA819" i="1"/>
  <c r="T819" i="1"/>
  <c r="U819" i="1" s="1"/>
  <c r="W819" i="1" s="1"/>
  <c r="X819" i="1" s="1"/>
  <c r="AF818" i="1"/>
  <c r="AB818" i="1"/>
  <c r="AC818" i="1" s="1"/>
  <c r="AA818" i="1"/>
  <c r="T818" i="1"/>
  <c r="U818" i="1" s="1"/>
  <c r="W818" i="1" s="1"/>
  <c r="AD817" i="1"/>
  <c r="AF817" i="1" s="1"/>
  <c r="AB817" i="1"/>
  <c r="AC817" i="1" s="1"/>
  <c r="AA817" i="1"/>
  <c r="T817" i="1"/>
  <c r="U817" i="1" s="1"/>
  <c r="W817" i="1" s="1"/>
  <c r="AD816" i="1"/>
  <c r="AF816" i="1" s="1"/>
  <c r="AB816" i="1"/>
  <c r="AC816" i="1" s="1"/>
  <c r="AA816" i="1"/>
  <c r="T816" i="1"/>
  <c r="U816" i="1" s="1"/>
  <c r="W816" i="1" s="1"/>
  <c r="X816" i="1" s="1"/>
  <c r="AD815" i="1"/>
  <c r="AF815" i="1" s="1"/>
  <c r="AB815" i="1"/>
  <c r="AC815" i="1" s="1"/>
  <c r="AA815" i="1"/>
  <c r="T815" i="1"/>
  <c r="U815" i="1" s="1"/>
  <c r="W815" i="1" s="1"/>
  <c r="AD814" i="1"/>
  <c r="AF814" i="1" s="1"/>
  <c r="AB814" i="1"/>
  <c r="AC814" i="1" s="1"/>
  <c r="AA814" i="1"/>
  <c r="T814" i="1"/>
  <c r="U814" i="1" s="1"/>
  <c r="W814" i="1" s="1"/>
  <c r="AD813" i="1"/>
  <c r="AF813" i="1" s="1"/>
  <c r="AB813" i="1"/>
  <c r="AC813" i="1" s="1"/>
  <c r="AA813" i="1"/>
  <c r="T813" i="1"/>
  <c r="U813" i="1" s="1"/>
  <c r="W813" i="1" s="1"/>
  <c r="AD812" i="1"/>
  <c r="AF812" i="1" s="1"/>
  <c r="AB812" i="1"/>
  <c r="AC812" i="1" s="1"/>
  <c r="AA812" i="1"/>
  <c r="T812" i="1"/>
  <c r="U812" i="1" s="1"/>
  <c r="W812" i="1" s="1"/>
  <c r="AD811" i="1"/>
  <c r="AF811" i="1" s="1"/>
  <c r="AB811" i="1"/>
  <c r="AC811" i="1" s="1"/>
  <c r="AA811" i="1"/>
  <c r="T811" i="1"/>
  <c r="U811" i="1" s="1"/>
  <c r="W811" i="1" s="1"/>
  <c r="AD810" i="1"/>
  <c r="AF810" i="1" s="1"/>
  <c r="AB810" i="1"/>
  <c r="AC810" i="1" s="1"/>
  <c r="AA810" i="1"/>
  <c r="T810" i="1"/>
  <c r="U810" i="1" s="1"/>
  <c r="W810" i="1" s="1"/>
  <c r="AF809" i="1"/>
  <c r="AC809" i="1"/>
  <c r="AA809" i="1"/>
  <c r="T809" i="1"/>
  <c r="U809" i="1" s="1"/>
  <c r="W809" i="1" s="1"/>
  <c r="X809" i="1" s="1"/>
  <c r="F809" i="1"/>
  <c r="AF808" i="1"/>
  <c r="AC808" i="1"/>
  <c r="AA808" i="1"/>
  <c r="T808" i="1"/>
  <c r="U808" i="1" s="1"/>
  <c r="W808" i="1" s="1"/>
  <c r="F808" i="1"/>
  <c r="AF807" i="1"/>
  <c r="AC807" i="1"/>
  <c r="AA807" i="1"/>
  <c r="T807" i="1"/>
  <c r="U807" i="1" s="1"/>
  <c r="W807" i="1" s="1"/>
  <c r="F807" i="1"/>
  <c r="AF806" i="1"/>
  <c r="AB806" i="1"/>
  <c r="AC806" i="1" s="1"/>
  <c r="AA806" i="1"/>
  <c r="T806" i="1"/>
  <c r="U806" i="1" s="1"/>
  <c r="W806" i="1" s="1"/>
  <c r="AF805" i="1"/>
  <c r="AB805" i="1"/>
  <c r="AC805" i="1" s="1"/>
  <c r="AA805" i="1"/>
  <c r="T805" i="1"/>
  <c r="U805" i="1" s="1"/>
  <c r="W805" i="1" s="1"/>
  <c r="AF804" i="1"/>
  <c r="AB804" i="1"/>
  <c r="AC804" i="1" s="1"/>
  <c r="AA804" i="1"/>
  <c r="T804" i="1"/>
  <c r="U804" i="1" s="1"/>
  <c r="W804" i="1" s="1"/>
  <c r="AF803" i="1"/>
  <c r="AB803" i="1"/>
  <c r="AC803" i="1" s="1"/>
  <c r="AA803" i="1"/>
  <c r="T803" i="1"/>
  <c r="U803" i="1" s="1"/>
  <c r="W803" i="1" s="1"/>
  <c r="AF802" i="1"/>
  <c r="AB802" i="1"/>
  <c r="AC802" i="1" s="1"/>
  <c r="AA802" i="1"/>
  <c r="T802" i="1"/>
  <c r="U802" i="1" s="1"/>
  <c r="W802" i="1" s="1"/>
  <c r="X802" i="1" s="1"/>
  <c r="AD801" i="1"/>
  <c r="AF801" i="1" s="1"/>
  <c r="AC801" i="1"/>
  <c r="AA801" i="1"/>
  <c r="T801" i="1"/>
  <c r="U801" i="1" s="1"/>
  <c r="W801" i="1" s="1"/>
  <c r="AF800" i="1"/>
  <c r="AB800" i="1"/>
  <c r="AC800" i="1" s="1"/>
  <c r="AA800" i="1"/>
  <c r="T800" i="1"/>
  <c r="U800" i="1" s="1"/>
  <c r="W800" i="1" s="1"/>
  <c r="AD799" i="1"/>
  <c r="AF799" i="1" s="1"/>
  <c r="AB799" i="1"/>
  <c r="AC799" i="1" s="1"/>
  <c r="AA799" i="1"/>
  <c r="T799" i="1"/>
  <c r="U799" i="1" s="1"/>
  <c r="W799" i="1" s="1"/>
  <c r="AF798" i="1"/>
  <c r="AB798" i="1"/>
  <c r="AC798" i="1" s="1"/>
  <c r="AA798" i="1"/>
  <c r="T798" i="1"/>
  <c r="U798" i="1" s="1"/>
  <c r="W798" i="1" s="1"/>
  <c r="AF797" i="1"/>
  <c r="AB797" i="1"/>
  <c r="AC797" i="1" s="1"/>
  <c r="AA797" i="1"/>
  <c r="T797" i="1"/>
  <c r="U797" i="1" s="1"/>
  <c r="W797" i="1" s="1"/>
  <c r="AF796" i="1"/>
  <c r="AB796" i="1"/>
  <c r="AC796" i="1" s="1"/>
  <c r="AA796" i="1"/>
  <c r="T796" i="1"/>
  <c r="U796" i="1" s="1"/>
  <c r="W796" i="1" s="1"/>
  <c r="X796" i="1" s="1"/>
  <c r="AD795" i="1"/>
  <c r="AF795" i="1" s="1"/>
  <c r="AB795" i="1"/>
  <c r="AC795" i="1" s="1"/>
  <c r="AA795" i="1"/>
  <c r="T795" i="1"/>
  <c r="U795" i="1" s="1"/>
  <c r="W795" i="1" s="1"/>
  <c r="AD794" i="1"/>
  <c r="AF794" i="1" s="1"/>
  <c r="AB794" i="1"/>
  <c r="AC794" i="1" s="1"/>
  <c r="AA794" i="1"/>
  <c r="T794" i="1"/>
  <c r="U794" i="1" s="1"/>
  <c r="W794" i="1" s="1"/>
  <c r="X794" i="1" s="1"/>
  <c r="AD793" i="1"/>
  <c r="AF793" i="1" s="1"/>
  <c r="AB793" i="1"/>
  <c r="AC793" i="1" s="1"/>
  <c r="AA793" i="1"/>
  <c r="T793" i="1"/>
  <c r="U793" i="1" s="1"/>
  <c r="W793" i="1" s="1"/>
  <c r="AF792" i="1"/>
  <c r="AB792" i="1"/>
  <c r="AC792" i="1" s="1"/>
  <c r="AA792" i="1"/>
  <c r="T792" i="1"/>
  <c r="U792" i="1" s="1"/>
  <c r="W792" i="1" s="1"/>
  <c r="AF791" i="1"/>
  <c r="AB791" i="1"/>
  <c r="AC791" i="1" s="1"/>
  <c r="AA791" i="1"/>
  <c r="T791" i="1"/>
  <c r="U791" i="1" s="1"/>
  <c r="W791" i="1" s="1"/>
  <c r="AD790" i="1"/>
  <c r="AF790" i="1" s="1"/>
  <c r="AC790" i="1"/>
  <c r="AA790" i="1"/>
  <c r="T790" i="1"/>
  <c r="U790" i="1" s="1"/>
  <c r="W790" i="1" s="1"/>
  <c r="X790" i="1" s="1"/>
  <c r="F790" i="1"/>
  <c r="AD789" i="1"/>
  <c r="AF789" i="1" s="1"/>
  <c r="AB789" i="1"/>
  <c r="AC789" i="1" s="1"/>
  <c r="AA789" i="1"/>
  <c r="T789" i="1"/>
  <c r="U789" i="1" s="1"/>
  <c r="W789" i="1" s="1"/>
  <c r="X789" i="1" s="1"/>
  <c r="AD788" i="1"/>
  <c r="AF788" i="1" s="1"/>
  <c r="AC788" i="1"/>
  <c r="AA788" i="1"/>
  <c r="T788" i="1"/>
  <c r="U788" i="1" s="1"/>
  <c r="W788" i="1" s="1"/>
  <c r="X788" i="1" s="1"/>
  <c r="AD787" i="1"/>
  <c r="AF787" i="1" s="1"/>
  <c r="AC787" i="1"/>
  <c r="AA787" i="1"/>
  <c r="T787" i="1"/>
  <c r="U787" i="1" s="1"/>
  <c r="W787" i="1" s="1"/>
  <c r="F787" i="1"/>
  <c r="AD786" i="1"/>
  <c r="AF786" i="1" s="1"/>
  <c r="AC786" i="1"/>
  <c r="AA786" i="1"/>
  <c r="T786" i="1"/>
  <c r="U786" i="1" s="1"/>
  <c r="W786" i="1" s="1"/>
  <c r="X786" i="1" s="1"/>
  <c r="AD785" i="1"/>
  <c r="AF785" i="1" s="1"/>
  <c r="AB785" i="1"/>
  <c r="AC785" i="1" s="1"/>
  <c r="AA785" i="1"/>
  <c r="T785" i="1"/>
  <c r="U785" i="1" s="1"/>
  <c r="W785" i="1" s="1"/>
  <c r="AD784" i="1"/>
  <c r="AF784" i="1" s="1"/>
  <c r="AC784" i="1"/>
  <c r="AA784" i="1"/>
  <c r="T784" i="1"/>
  <c r="U784" i="1" s="1"/>
  <c r="W784" i="1" s="1"/>
  <c r="AD783" i="1"/>
  <c r="AF783" i="1" s="1"/>
  <c r="AC783" i="1"/>
  <c r="AA783" i="1"/>
  <c r="T783" i="1"/>
  <c r="U783" i="1" s="1"/>
  <c r="W783" i="1" s="1"/>
  <c r="AD782" i="1"/>
  <c r="AF782" i="1" s="1"/>
  <c r="AC782" i="1"/>
  <c r="AA782" i="1"/>
  <c r="T782" i="1"/>
  <c r="U782" i="1" s="1"/>
  <c r="W782" i="1" s="1"/>
  <c r="X782" i="1" s="1"/>
  <c r="F782" i="1"/>
  <c r="AD781" i="1"/>
  <c r="AF781" i="1" s="1"/>
  <c r="AC781" i="1"/>
  <c r="AA781" i="1"/>
  <c r="T781" i="1"/>
  <c r="U781" i="1" s="1"/>
  <c r="W781" i="1" s="1"/>
  <c r="F781" i="1"/>
  <c r="AD780" i="1"/>
  <c r="AF780" i="1" s="1"/>
  <c r="AC780" i="1"/>
  <c r="AA780" i="1"/>
  <c r="T780" i="1"/>
  <c r="U780" i="1" s="1"/>
  <c r="W780" i="1" s="1"/>
  <c r="X780" i="1" s="1"/>
  <c r="F780" i="1"/>
  <c r="AD779" i="1"/>
  <c r="AF779" i="1" s="1"/>
  <c r="AB779" i="1"/>
  <c r="AC779" i="1" s="1"/>
  <c r="AA779" i="1"/>
  <c r="T779" i="1"/>
  <c r="U779" i="1" s="1"/>
  <c r="W779" i="1" s="1"/>
  <c r="AD778" i="1"/>
  <c r="AF778" i="1" s="1"/>
  <c r="AB778" i="1"/>
  <c r="AC778" i="1" s="1"/>
  <c r="AA778" i="1"/>
  <c r="T778" i="1"/>
  <c r="U778" i="1" s="1"/>
  <c r="W778" i="1" s="1"/>
  <c r="AD777" i="1"/>
  <c r="AF777" i="1" s="1"/>
  <c r="AB777" i="1"/>
  <c r="AC777" i="1" s="1"/>
  <c r="AA777" i="1"/>
  <c r="T777" i="1"/>
  <c r="U777" i="1" s="1"/>
  <c r="W777" i="1" s="1"/>
  <c r="AD776" i="1"/>
  <c r="AF776" i="1" s="1"/>
  <c r="AB776" i="1"/>
  <c r="AC776" i="1" s="1"/>
  <c r="AA776" i="1"/>
  <c r="T776" i="1"/>
  <c r="U776" i="1" s="1"/>
  <c r="W776" i="1" s="1"/>
  <c r="AD775" i="1"/>
  <c r="AF775" i="1" s="1"/>
  <c r="AC775" i="1"/>
  <c r="AA775" i="1"/>
  <c r="T775" i="1"/>
  <c r="U775" i="1" s="1"/>
  <c r="W775" i="1" s="1"/>
  <c r="F775" i="1"/>
  <c r="AD774" i="1"/>
  <c r="AF774" i="1" s="1"/>
  <c r="AB774" i="1"/>
  <c r="AC774" i="1" s="1"/>
  <c r="AA774" i="1"/>
  <c r="T774" i="1"/>
  <c r="U774" i="1" s="1"/>
  <c r="W774" i="1" s="1"/>
  <c r="AD773" i="1"/>
  <c r="AF773" i="1" s="1"/>
  <c r="AB773" i="1"/>
  <c r="AC773" i="1" s="1"/>
  <c r="AA773" i="1"/>
  <c r="T773" i="1"/>
  <c r="U773" i="1" s="1"/>
  <c r="W773" i="1" s="1"/>
  <c r="AD772" i="1"/>
  <c r="AF772" i="1" s="1"/>
  <c r="AB772" i="1"/>
  <c r="AC772" i="1" s="1"/>
  <c r="AA772" i="1"/>
  <c r="T772" i="1"/>
  <c r="U772" i="1" s="1"/>
  <c r="W772" i="1" s="1"/>
  <c r="AD771" i="1"/>
  <c r="AF771" i="1" s="1"/>
  <c r="AB771" i="1"/>
  <c r="AC771" i="1" s="1"/>
  <c r="AA771" i="1"/>
  <c r="T771" i="1"/>
  <c r="U771" i="1" s="1"/>
  <c r="W771" i="1" s="1"/>
  <c r="AD770" i="1"/>
  <c r="AF770" i="1" s="1"/>
  <c r="AC770" i="1"/>
  <c r="AA770" i="1"/>
  <c r="T770" i="1"/>
  <c r="U770" i="1" s="1"/>
  <c r="W770" i="1" s="1"/>
  <c r="X770" i="1" s="1"/>
  <c r="AD769" i="1"/>
  <c r="AF769" i="1" s="1"/>
  <c r="AB769" i="1"/>
  <c r="AC769" i="1" s="1"/>
  <c r="AA769" i="1"/>
  <c r="T769" i="1"/>
  <c r="U769" i="1" s="1"/>
  <c r="W769" i="1" s="1"/>
  <c r="AD768" i="1"/>
  <c r="AF768" i="1" s="1"/>
  <c r="AB768" i="1"/>
  <c r="AC768" i="1" s="1"/>
  <c r="AA768" i="1"/>
  <c r="T768" i="1"/>
  <c r="U768" i="1" s="1"/>
  <c r="W768" i="1" s="1"/>
  <c r="X768" i="1" s="1"/>
  <c r="AD767" i="1"/>
  <c r="AF767" i="1" s="1"/>
  <c r="AB767" i="1"/>
  <c r="AC767" i="1" s="1"/>
  <c r="AA767" i="1"/>
  <c r="T767" i="1"/>
  <c r="U767" i="1" s="1"/>
  <c r="W767" i="1" s="1"/>
  <c r="AD766" i="1"/>
  <c r="AF766" i="1" s="1"/>
  <c r="AC766" i="1"/>
  <c r="AA766" i="1"/>
  <c r="T766" i="1"/>
  <c r="U766" i="1" s="1"/>
  <c r="W766" i="1" s="1"/>
  <c r="X766" i="1" s="1"/>
  <c r="AD765" i="1"/>
  <c r="AF765" i="1" s="1"/>
  <c r="AB765" i="1"/>
  <c r="AC765" i="1" s="1"/>
  <c r="AA765" i="1"/>
  <c r="T765" i="1"/>
  <c r="U765" i="1" s="1"/>
  <c r="W765" i="1" s="1"/>
  <c r="AD764" i="1"/>
  <c r="AF764" i="1" s="1"/>
  <c r="AB764" i="1"/>
  <c r="AC764" i="1" s="1"/>
  <c r="AA764" i="1"/>
  <c r="T764" i="1"/>
  <c r="U764" i="1" s="1"/>
  <c r="W764" i="1" s="1"/>
  <c r="X764" i="1" s="1"/>
  <c r="AD763" i="1"/>
  <c r="AF763" i="1" s="1"/>
  <c r="AB763" i="1"/>
  <c r="AC763" i="1" s="1"/>
  <c r="AA763" i="1"/>
  <c r="T763" i="1"/>
  <c r="U763" i="1" s="1"/>
  <c r="W763" i="1" s="1"/>
  <c r="AD762" i="1"/>
  <c r="AF762" i="1" s="1"/>
  <c r="AB762" i="1"/>
  <c r="AC762" i="1" s="1"/>
  <c r="AA762" i="1"/>
  <c r="T762" i="1"/>
  <c r="U762" i="1" s="1"/>
  <c r="W762" i="1" s="1"/>
  <c r="X762" i="1" s="1"/>
  <c r="AD761" i="1"/>
  <c r="AF761" i="1" s="1"/>
  <c r="AB761" i="1"/>
  <c r="AC761" i="1" s="1"/>
  <c r="AA761" i="1"/>
  <c r="T761" i="1"/>
  <c r="U761" i="1" s="1"/>
  <c r="W761" i="1" s="1"/>
  <c r="AD760" i="1"/>
  <c r="AF760" i="1" s="1"/>
  <c r="AB760" i="1"/>
  <c r="AC760" i="1" s="1"/>
  <c r="AA760" i="1"/>
  <c r="T760" i="1"/>
  <c r="U760" i="1" s="1"/>
  <c r="W760" i="1" s="1"/>
  <c r="AD759" i="1"/>
  <c r="AF759" i="1" s="1"/>
  <c r="AB759" i="1"/>
  <c r="AC759" i="1" s="1"/>
  <c r="AA759" i="1"/>
  <c r="T759" i="1"/>
  <c r="U759" i="1" s="1"/>
  <c r="W759" i="1" s="1"/>
  <c r="AD758" i="1"/>
  <c r="AF758" i="1" s="1"/>
  <c r="AB758" i="1"/>
  <c r="AC758" i="1" s="1"/>
  <c r="AA758" i="1"/>
  <c r="T758" i="1"/>
  <c r="U758" i="1" s="1"/>
  <c r="W758" i="1" s="1"/>
  <c r="X758" i="1" s="1"/>
  <c r="AD757" i="1"/>
  <c r="AF757" i="1" s="1"/>
  <c r="AB757" i="1"/>
  <c r="AC757" i="1" s="1"/>
  <c r="AA757" i="1"/>
  <c r="T757" i="1"/>
  <c r="U757" i="1" s="1"/>
  <c r="W757" i="1" s="1"/>
  <c r="AD756" i="1"/>
  <c r="AF756" i="1" s="1"/>
  <c r="AC756" i="1"/>
  <c r="AA756" i="1"/>
  <c r="T756" i="1"/>
  <c r="U756" i="1" s="1"/>
  <c r="W756" i="1" s="1"/>
  <c r="AD755" i="1"/>
  <c r="AF755" i="1" s="1"/>
  <c r="AB755" i="1"/>
  <c r="AC755" i="1" s="1"/>
  <c r="AA755" i="1"/>
  <c r="T755" i="1"/>
  <c r="U755" i="1" s="1"/>
  <c r="W755" i="1" s="1"/>
  <c r="X755" i="1" s="1"/>
  <c r="AD754" i="1"/>
  <c r="AF754" i="1" s="1"/>
  <c r="AB754" i="1"/>
  <c r="AC754" i="1" s="1"/>
  <c r="AA754" i="1"/>
  <c r="T754" i="1"/>
  <c r="U754" i="1" s="1"/>
  <c r="W754" i="1" s="1"/>
  <c r="AD753" i="1"/>
  <c r="AF753" i="1" s="1"/>
  <c r="AB753" i="1"/>
  <c r="AC753" i="1" s="1"/>
  <c r="AA753" i="1"/>
  <c r="T753" i="1"/>
  <c r="U753" i="1" s="1"/>
  <c r="W753" i="1" s="1"/>
  <c r="AD752" i="1"/>
  <c r="AF752" i="1" s="1"/>
  <c r="AB752" i="1"/>
  <c r="AC752" i="1" s="1"/>
  <c r="AA752" i="1"/>
  <c r="T752" i="1"/>
  <c r="U752" i="1" s="1"/>
  <c r="W752" i="1" s="1"/>
  <c r="AD751" i="1"/>
  <c r="AF751" i="1" s="1"/>
  <c r="AC751" i="1"/>
  <c r="AA751" i="1"/>
  <c r="T751" i="1"/>
  <c r="U751" i="1" s="1"/>
  <c r="W751" i="1" s="1"/>
  <c r="X751" i="1" s="1"/>
  <c r="AD750" i="1"/>
  <c r="AF750" i="1" s="1"/>
  <c r="AB750" i="1"/>
  <c r="AC750" i="1" s="1"/>
  <c r="AA750" i="1"/>
  <c r="T750" i="1"/>
  <c r="U750" i="1" s="1"/>
  <c r="W750" i="1" s="1"/>
  <c r="AD749" i="1"/>
  <c r="AF749" i="1" s="1"/>
  <c r="AB749" i="1"/>
  <c r="AC749" i="1" s="1"/>
  <c r="AA749" i="1"/>
  <c r="T749" i="1"/>
  <c r="U749" i="1" s="1"/>
  <c r="W749" i="1" s="1"/>
  <c r="AD748" i="1"/>
  <c r="AF748" i="1" s="1"/>
  <c r="AC748" i="1"/>
  <c r="AA748" i="1"/>
  <c r="T748" i="1"/>
  <c r="U748" i="1" s="1"/>
  <c r="W748" i="1" s="1"/>
  <c r="F748" i="1"/>
  <c r="AD747" i="1"/>
  <c r="AF747" i="1" s="1"/>
  <c r="AC747" i="1"/>
  <c r="AA747" i="1"/>
  <c r="T747" i="1"/>
  <c r="U747" i="1" s="1"/>
  <c r="W747" i="1" s="1"/>
  <c r="F747" i="1"/>
  <c r="AD746" i="1"/>
  <c r="AF746" i="1" s="1"/>
  <c r="AB746" i="1"/>
  <c r="AC746" i="1" s="1"/>
  <c r="AA746" i="1"/>
  <c r="T746" i="1"/>
  <c r="U746" i="1" s="1"/>
  <c r="W746" i="1" s="1"/>
  <c r="AD745" i="1"/>
  <c r="AF745" i="1" s="1"/>
  <c r="AC745" i="1"/>
  <c r="AA745" i="1"/>
  <c r="T745" i="1"/>
  <c r="U745" i="1" s="1"/>
  <c r="W745" i="1" s="1"/>
  <c r="AD744" i="1"/>
  <c r="AF744" i="1" s="1"/>
  <c r="AB744" i="1"/>
  <c r="AC744" i="1" s="1"/>
  <c r="AA744" i="1"/>
  <c r="T744" i="1"/>
  <c r="U744" i="1" s="1"/>
  <c r="W744" i="1" s="1"/>
  <c r="X744" i="1" s="1"/>
  <c r="AD743" i="1"/>
  <c r="AF743" i="1" s="1"/>
  <c r="AB743" i="1"/>
  <c r="AC743" i="1" s="1"/>
  <c r="AA743" i="1"/>
  <c r="T743" i="1"/>
  <c r="U743" i="1" s="1"/>
  <c r="W743" i="1" s="1"/>
  <c r="AD742" i="1"/>
  <c r="AF742" i="1" s="1"/>
  <c r="AB742" i="1"/>
  <c r="AC742" i="1" s="1"/>
  <c r="AA742" i="1"/>
  <c r="T742" i="1"/>
  <c r="U742" i="1" s="1"/>
  <c r="W742" i="1" s="1"/>
  <c r="AD741" i="1"/>
  <c r="AF741" i="1" s="1"/>
  <c r="AB741" i="1"/>
  <c r="AC741" i="1" s="1"/>
  <c r="AA741" i="1"/>
  <c r="T741" i="1"/>
  <c r="U741" i="1" s="1"/>
  <c r="W741" i="1" s="1"/>
  <c r="AD740" i="1"/>
  <c r="AF740" i="1" s="1"/>
  <c r="AB740" i="1"/>
  <c r="AC740" i="1" s="1"/>
  <c r="AA740" i="1"/>
  <c r="T740" i="1"/>
  <c r="U740" i="1" s="1"/>
  <c r="W740" i="1" s="1"/>
  <c r="AD739" i="1"/>
  <c r="AF739" i="1" s="1"/>
  <c r="AB739" i="1"/>
  <c r="AC739" i="1" s="1"/>
  <c r="AA739" i="1"/>
  <c r="T739" i="1"/>
  <c r="U739" i="1" s="1"/>
  <c r="W739" i="1" s="1"/>
  <c r="AD738" i="1"/>
  <c r="AF738" i="1" s="1"/>
  <c r="AB738" i="1"/>
  <c r="AC738" i="1" s="1"/>
  <c r="AA738" i="1"/>
  <c r="T738" i="1"/>
  <c r="U738" i="1" s="1"/>
  <c r="W738" i="1" s="1"/>
  <c r="AD737" i="1"/>
  <c r="AF737" i="1" s="1"/>
  <c r="AB737" i="1"/>
  <c r="AC737" i="1" s="1"/>
  <c r="AA737" i="1"/>
  <c r="T737" i="1"/>
  <c r="U737" i="1" s="1"/>
  <c r="W737" i="1" s="1"/>
  <c r="AD736" i="1"/>
  <c r="AF736" i="1" s="1"/>
  <c r="AB736" i="1"/>
  <c r="AC736" i="1" s="1"/>
  <c r="AA736" i="1"/>
  <c r="T736" i="1"/>
  <c r="U736" i="1" s="1"/>
  <c r="W736" i="1" s="1"/>
  <c r="X736" i="1" s="1"/>
  <c r="AD735" i="1"/>
  <c r="AF735" i="1" s="1"/>
  <c r="AB735" i="1"/>
  <c r="AC735" i="1" s="1"/>
  <c r="AA735" i="1"/>
  <c r="T735" i="1"/>
  <c r="U735" i="1" s="1"/>
  <c r="W735" i="1" s="1"/>
  <c r="AD734" i="1"/>
  <c r="AF734" i="1" s="1"/>
  <c r="AB734" i="1"/>
  <c r="AC734" i="1" s="1"/>
  <c r="AA734" i="1"/>
  <c r="T734" i="1"/>
  <c r="U734" i="1" s="1"/>
  <c r="W734" i="1" s="1"/>
  <c r="AD733" i="1"/>
  <c r="AF733" i="1" s="1"/>
  <c r="AB733" i="1"/>
  <c r="AC733" i="1" s="1"/>
  <c r="AA733" i="1"/>
  <c r="T733" i="1"/>
  <c r="U733" i="1" s="1"/>
  <c r="W733" i="1" s="1"/>
  <c r="AD732" i="1"/>
  <c r="AF732" i="1" s="1"/>
  <c r="AB732" i="1"/>
  <c r="AC732" i="1" s="1"/>
  <c r="AA732" i="1"/>
  <c r="T732" i="1"/>
  <c r="U732" i="1" s="1"/>
  <c r="W732" i="1" s="1"/>
  <c r="AD731" i="1"/>
  <c r="AF731" i="1" s="1"/>
  <c r="AB731" i="1"/>
  <c r="AC731" i="1" s="1"/>
  <c r="AA731" i="1"/>
  <c r="T731" i="1"/>
  <c r="U731" i="1" s="1"/>
  <c r="W731" i="1" s="1"/>
  <c r="AD730" i="1"/>
  <c r="AF730" i="1" s="1"/>
  <c r="AB730" i="1"/>
  <c r="AC730" i="1" s="1"/>
  <c r="AA730" i="1"/>
  <c r="T730" i="1"/>
  <c r="U730" i="1" s="1"/>
  <c r="W730" i="1" s="1"/>
  <c r="AD729" i="1"/>
  <c r="AF729" i="1" s="1"/>
  <c r="AB729" i="1"/>
  <c r="AC729" i="1" s="1"/>
  <c r="AA729" i="1"/>
  <c r="T729" i="1"/>
  <c r="U729" i="1" s="1"/>
  <c r="W729" i="1" s="1"/>
  <c r="AD728" i="1"/>
  <c r="AF728" i="1" s="1"/>
  <c r="AB728" i="1"/>
  <c r="AC728" i="1" s="1"/>
  <c r="AA728" i="1"/>
  <c r="T728" i="1"/>
  <c r="U728" i="1" s="1"/>
  <c r="W728" i="1" s="1"/>
  <c r="X728" i="1" s="1"/>
  <c r="AF727" i="1"/>
  <c r="AB727" i="1"/>
  <c r="AC727" i="1" s="1"/>
  <c r="AA727" i="1"/>
  <c r="T727" i="1"/>
  <c r="U727" i="1" s="1"/>
  <c r="W727" i="1" s="1"/>
  <c r="AD726" i="1"/>
  <c r="AF726" i="1" s="1"/>
  <c r="AB726" i="1"/>
  <c r="AC726" i="1" s="1"/>
  <c r="AA726" i="1"/>
  <c r="T726" i="1"/>
  <c r="U726" i="1" s="1"/>
  <c r="W726" i="1" s="1"/>
  <c r="X726" i="1" s="1"/>
  <c r="AD725" i="1"/>
  <c r="AF725" i="1" s="1"/>
  <c r="AB725" i="1"/>
  <c r="AC725" i="1" s="1"/>
  <c r="AA725" i="1"/>
  <c r="T725" i="1"/>
  <c r="U725" i="1" s="1"/>
  <c r="W725" i="1" s="1"/>
  <c r="AD724" i="1"/>
  <c r="AF724" i="1" s="1"/>
  <c r="AC724" i="1"/>
  <c r="AB724" i="1"/>
  <c r="AA724" i="1"/>
  <c r="T724" i="1"/>
  <c r="U724" i="1" s="1"/>
  <c r="W724" i="1" s="1"/>
  <c r="X724" i="1" s="1"/>
  <c r="AD723" i="1"/>
  <c r="AF723" i="1" s="1"/>
  <c r="AC723" i="1"/>
  <c r="AB723" i="1"/>
  <c r="AA723" i="1"/>
  <c r="T723" i="1"/>
  <c r="U723" i="1" s="1"/>
  <c r="W723" i="1" s="1"/>
  <c r="AD722" i="1"/>
  <c r="AF722" i="1" s="1"/>
  <c r="AC722" i="1"/>
  <c r="AB722" i="1"/>
  <c r="AA722" i="1"/>
  <c r="T722" i="1"/>
  <c r="U722" i="1" s="1"/>
  <c r="W722" i="1" s="1"/>
  <c r="X722" i="1" s="1"/>
  <c r="AD721" i="1"/>
  <c r="AF721" i="1" s="1"/>
  <c r="AC721" i="1"/>
  <c r="AB721" i="1"/>
  <c r="AA721" i="1"/>
  <c r="T721" i="1"/>
  <c r="U721" i="1" s="1"/>
  <c r="W721" i="1" s="1"/>
  <c r="AD720" i="1"/>
  <c r="AF720" i="1" s="1"/>
  <c r="AC720" i="1"/>
  <c r="AB720" i="1"/>
  <c r="AA720" i="1"/>
  <c r="T720" i="1"/>
  <c r="U720" i="1" s="1"/>
  <c r="W720" i="1" s="1"/>
  <c r="AD719" i="1"/>
  <c r="AF719" i="1" s="1"/>
  <c r="AC719" i="1"/>
  <c r="AB719" i="1"/>
  <c r="AA719" i="1"/>
  <c r="T719" i="1"/>
  <c r="U719" i="1" s="1"/>
  <c r="W719" i="1" s="1"/>
  <c r="AD718" i="1"/>
  <c r="AF718" i="1" s="1"/>
  <c r="AC718" i="1"/>
  <c r="AB718" i="1"/>
  <c r="AA718" i="1"/>
  <c r="T718" i="1"/>
  <c r="U718" i="1" s="1"/>
  <c r="W718" i="1" s="1"/>
  <c r="X718" i="1" s="1"/>
  <c r="AD717" i="1"/>
  <c r="AF717" i="1" s="1"/>
  <c r="AB717" i="1"/>
  <c r="AC717" i="1" s="1"/>
  <c r="AA717" i="1"/>
  <c r="T717" i="1"/>
  <c r="U717" i="1" s="1"/>
  <c r="W717" i="1" s="1"/>
  <c r="AD716" i="1"/>
  <c r="AF716" i="1" s="1"/>
  <c r="AB716" i="1"/>
  <c r="AC716" i="1" s="1"/>
  <c r="AA716" i="1"/>
  <c r="T716" i="1"/>
  <c r="U716" i="1" s="1"/>
  <c r="W716" i="1" s="1"/>
  <c r="X716" i="1" s="1"/>
  <c r="AF715" i="1"/>
  <c r="AB715" i="1"/>
  <c r="AC715" i="1" s="1"/>
  <c r="AA715" i="1"/>
  <c r="T715" i="1"/>
  <c r="U715" i="1" s="1"/>
  <c r="W715" i="1" s="1"/>
  <c r="AD714" i="1"/>
  <c r="AF714" i="1" s="1"/>
  <c r="AB714" i="1"/>
  <c r="AC714" i="1" s="1"/>
  <c r="AA714" i="1"/>
  <c r="T714" i="1"/>
  <c r="U714" i="1" s="1"/>
  <c r="W714" i="1" s="1"/>
  <c r="AD713" i="1"/>
  <c r="AF713" i="1" s="1"/>
  <c r="AB713" i="1"/>
  <c r="AC713" i="1" s="1"/>
  <c r="AA713" i="1"/>
  <c r="T713" i="1"/>
  <c r="U713" i="1" s="1"/>
  <c r="W713" i="1" s="1"/>
  <c r="AD712" i="1"/>
  <c r="AF712" i="1" s="1"/>
  <c r="AB712" i="1"/>
  <c r="AC712" i="1" s="1"/>
  <c r="AA712" i="1"/>
  <c r="T712" i="1"/>
  <c r="U712" i="1" s="1"/>
  <c r="W712" i="1" s="1"/>
  <c r="AD711" i="1"/>
  <c r="AF711" i="1" s="1"/>
  <c r="AB711" i="1"/>
  <c r="AC711" i="1" s="1"/>
  <c r="AA711" i="1"/>
  <c r="T711" i="1"/>
  <c r="U711" i="1" s="1"/>
  <c r="W711" i="1" s="1"/>
  <c r="AD710" i="1"/>
  <c r="AF710" i="1" s="1"/>
  <c r="AB710" i="1"/>
  <c r="AC710" i="1" s="1"/>
  <c r="AA710" i="1"/>
  <c r="T710" i="1"/>
  <c r="U710" i="1" s="1"/>
  <c r="W710" i="1" s="1"/>
  <c r="AD709" i="1"/>
  <c r="AF709" i="1" s="1"/>
  <c r="AB709" i="1"/>
  <c r="AC709" i="1" s="1"/>
  <c r="AA709" i="1"/>
  <c r="T709" i="1"/>
  <c r="U709" i="1" s="1"/>
  <c r="W709" i="1" s="1"/>
  <c r="X709" i="1" s="1"/>
  <c r="AD708" i="1"/>
  <c r="AF708" i="1" s="1"/>
  <c r="AB708" i="1"/>
  <c r="AC708" i="1" s="1"/>
  <c r="AA708" i="1"/>
  <c r="T708" i="1"/>
  <c r="U708" i="1" s="1"/>
  <c r="W708" i="1" s="1"/>
  <c r="AD707" i="1"/>
  <c r="AF707" i="1" s="1"/>
  <c r="AB707" i="1"/>
  <c r="AC707" i="1" s="1"/>
  <c r="AA707" i="1"/>
  <c r="T707" i="1"/>
  <c r="U707" i="1" s="1"/>
  <c r="W707" i="1" s="1"/>
  <c r="AD706" i="1"/>
  <c r="AF706" i="1" s="1"/>
  <c r="AB706" i="1"/>
  <c r="AC706" i="1" s="1"/>
  <c r="AA706" i="1"/>
  <c r="T706" i="1"/>
  <c r="U706" i="1" s="1"/>
  <c r="W706" i="1" s="1"/>
  <c r="AD705" i="1"/>
  <c r="AF705" i="1" s="1"/>
  <c r="AB705" i="1"/>
  <c r="AC705" i="1" s="1"/>
  <c r="AA705" i="1"/>
  <c r="T705" i="1"/>
  <c r="U705" i="1" s="1"/>
  <c r="W705" i="1" s="1"/>
  <c r="AD704" i="1"/>
  <c r="AF704" i="1" s="1"/>
  <c r="AB704" i="1"/>
  <c r="AC704" i="1" s="1"/>
  <c r="AA704" i="1"/>
  <c r="T704" i="1"/>
  <c r="U704" i="1" s="1"/>
  <c r="W704" i="1" s="1"/>
  <c r="AD703" i="1"/>
  <c r="AF703" i="1" s="1"/>
  <c r="AB703" i="1"/>
  <c r="AC703" i="1" s="1"/>
  <c r="AA703" i="1"/>
  <c r="T703" i="1"/>
  <c r="U703" i="1" s="1"/>
  <c r="W703" i="1" s="1"/>
  <c r="AD702" i="1"/>
  <c r="AF702" i="1" s="1"/>
  <c r="AB702" i="1"/>
  <c r="AC702" i="1" s="1"/>
  <c r="AA702" i="1"/>
  <c r="T702" i="1"/>
  <c r="U702" i="1" s="1"/>
  <c r="W702" i="1" s="1"/>
  <c r="AF701" i="1"/>
  <c r="AB701" i="1"/>
  <c r="AC701" i="1" s="1"/>
  <c r="AA701" i="1"/>
  <c r="T701" i="1"/>
  <c r="U701" i="1" s="1"/>
  <c r="W701" i="1" s="1"/>
  <c r="X701" i="1" s="1"/>
  <c r="AD700" i="1"/>
  <c r="AF700" i="1" s="1"/>
  <c r="AB700" i="1"/>
  <c r="AC700" i="1" s="1"/>
  <c r="AA700" i="1"/>
  <c r="T700" i="1"/>
  <c r="U700" i="1" s="1"/>
  <c r="W700" i="1" s="1"/>
  <c r="AD699" i="1"/>
  <c r="AF699" i="1" s="1"/>
  <c r="AB699" i="1"/>
  <c r="AC699" i="1" s="1"/>
  <c r="AA699" i="1"/>
  <c r="T699" i="1"/>
  <c r="U699" i="1" s="1"/>
  <c r="W699" i="1" s="1"/>
  <c r="X699" i="1" s="1"/>
  <c r="AD698" i="1"/>
  <c r="AF698" i="1" s="1"/>
  <c r="AB698" i="1"/>
  <c r="AC698" i="1" s="1"/>
  <c r="AA698" i="1"/>
  <c r="T698" i="1"/>
  <c r="U698" i="1" s="1"/>
  <c r="W698" i="1" s="1"/>
  <c r="AD697" i="1"/>
  <c r="AF697" i="1" s="1"/>
  <c r="AB697" i="1"/>
  <c r="AC697" i="1" s="1"/>
  <c r="AA697" i="1"/>
  <c r="T697" i="1"/>
  <c r="U697" i="1" s="1"/>
  <c r="W697" i="1" s="1"/>
  <c r="X697" i="1" s="1"/>
  <c r="AD696" i="1"/>
  <c r="AF696" i="1" s="1"/>
  <c r="AB696" i="1"/>
  <c r="AC696" i="1" s="1"/>
  <c r="AA696" i="1"/>
  <c r="T696" i="1"/>
  <c r="U696" i="1" s="1"/>
  <c r="W696" i="1" s="1"/>
  <c r="AD695" i="1"/>
  <c r="AF695" i="1" s="1"/>
  <c r="AB695" i="1"/>
  <c r="AC695" i="1" s="1"/>
  <c r="AA695" i="1"/>
  <c r="T695" i="1"/>
  <c r="U695" i="1" s="1"/>
  <c r="W695" i="1" s="1"/>
  <c r="AD694" i="1"/>
  <c r="AF694" i="1" s="1"/>
  <c r="AB694" i="1"/>
  <c r="AC694" i="1" s="1"/>
  <c r="AA694" i="1"/>
  <c r="T694" i="1"/>
  <c r="U694" i="1" s="1"/>
  <c r="W694" i="1" s="1"/>
  <c r="AD693" i="1"/>
  <c r="AF693" i="1" s="1"/>
  <c r="AB693" i="1"/>
  <c r="AC693" i="1" s="1"/>
  <c r="AA693" i="1"/>
  <c r="T693" i="1"/>
  <c r="U693" i="1" s="1"/>
  <c r="W693" i="1" s="1"/>
  <c r="X693" i="1" s="1"/>
  <c r="AD692" i="1"/>
  <c r="AF692" i="1" s="1"/>
  <c r="AB692" i="1"/>
  <c r="AC692" i="1" s="1"/>
  <c r="AA692" i="1"/>
  <c r="T692" i="1"/>
  <c r="U692" i="1" s="1"/>
  <c r="W692" i="1" s="1"/>
  <c r="AD691" i="1"/>
  <c r="AF691" i="1" s="1"/>
  <c r="AB691" i="1"/>
  <c r="AC691" i="1" s="1"/>
  <c r="AA691" i="1"/>
  <c r="T691" i="1"/>
  <c r="U691" i="1" s="1"/>
  <c r="W691" i="1" s="1"/>
  <c r="X691" i="1" s="1"/>
  <c r="AD690" i="1"/>
  <c r="AF690" i="1" s="1"/>
  <c r="AB690" i="1"/>
  <c r="AC690" i="1" s="1"/>
  <c r="AA690" i="1"/>
  <c r="T690" i="1"/>
  <c r="U690" i="1" s="1"/>
  <c r="W690" i="1" s="1"/>
  <c r="AD689" i="1"/>
  <c r="AF689" i="1" s="1"/>
  <c r="AB689" i="1"/>
  <c r="AC689" i="1" s="1"/>
  <c r="AA689" i="1"/>
  <c r="T689" i="1"/>
  <c r="U689" i="1" s="1"/>
  <c r="W689" i="1" s="1"/>
  <c r="X689" i="1" s="1"/>
  <c r="AD688" i="1"/>
  <c r="AF688" i="1" s="1"/>
  <c r="AB688" i="1"/>
  <c r="AC688" i="1" s="1"/>
  <c r="AA688" i="1"/>
  <c r="T688" i="1"/>
  <c r="U688" i="1" s="1"/>
  <c r="W688" i="1" s="1"/>
  <c r="AD687" i="1"/>
  <c r="AF687" i="1" s="1"/>
  <c r="AB687" i="1"/>
  <c r="AC687" i="1" s="1"/>
  <c r="AA687" i="1"/>
  <c r="T687" i="1"/>
  <c r="U687" i="1" s="1"/>
  <c r="W687" i="1" s="1"/>
  <c r="AD686" i="1"/>
  <c r="AF686" i="1" s="1"/>
  <c r="AB686" i="1"/>
  <c r="AC686" i="1" s="1"/>
  <c r="AA686" i="1"/>
  <c r="T686" i="1"/>
  <c r="U686" i="1" s="1"/>
  <c r="W686" i="1" s="1"/>
  <c r="AD685" i="1"/>
  <c r="AF685" i="1" s="1"/>
  <c r="AB685" i="1"/>
  <c r="AC685" i="1" s="1"/>
  <c r="AA685" i="1"/>
  <c r="T685" i="1"/>
  <c r="U685" i="1" s="1"/>
  <c r="W685" i="1" s="1"/>
  <c r="X685" i="1" s="1"/>
  <c r="AD684" i="1"/>
  <c r="AF684" i="1" s="1"/>
  <c r="AB684" i="1"/>
  <c r="AC684" i="1" s="1"/>
  <c r="AA684" i="1"/>
  <c r="T684" i="1"/>
  <c r="U684" i="1" s="1"/>
  <c r="W684" i="1" s="1"/>
  <c r="AF683" i="1"/>
  <c r="AB683" i="1"/>
  <c r="AC683" i="1" s="1"/>
  <c r="AA683" i="1"/>
  <c r="T683" i="1"/>
  <c r="U683" i="1" s="1"/>
  <c r="W683" i="1" s="1"/>
  <c r="AF682" i="1"/>
  <c r="AB682" i="1"/>
  <c r="AC682" i="1" s="1"/>
  <c r="AA682" i="1"/>
  <c r="T682" i="1"/>
  <c r="U682" i="1" s="1"/>
  <c r="W682" i="1" s="1"/>
  <c r="X682" i="1" s="1"/>
  <c r="AD681" i="1"/>
  <c r="AF681" i="1" s="1"/>
  <c r="AB681" i="1"/>
  <c r="AC681" i="1" s="1"/>
  <c r="AA681" i="1"/>
  <c r="T681" i="1"/>
  <c r="U681" i="1" s="1"/>
  <c r="W681" i="1" s="1"/>
  <c r="AD680" i="1"/>
  <c r="AF680" i="1" s="1"/>
  <c r="AB680" i="1"/>
  <c r="AC680" i="1" s="1"/>
  <c r="AA680" i="1"/>
  <c r="T680" i="1"/>
  <c r="U680" i="1" s="1"/>
  <c r="W680" i="1" s="1"/>
  <c r="X680" i="1" s="1"/>
  <c r="AD679" i="1"/>
  <c r="AF679" i="1" s="1"/>
  <c r="AB679" i="1"/>
  <c r="AC679" i="1" s="1"/>
  <c r="AA679" i="1"/>
  <c r="T679" i="1"/>
  <c r="U679" i="1" s="1"/>
  <c r="W679" i="1" s="1"/>
  <c r="X679" i="1" s="1"/>
  <c r="AD678" i="1"/>
  <c r="AF678" i="1" s="1"/>
  <c r="AB678" i="1"/>
  <c r="AC678" i="1" s="1"/>
  <c r="AA678" i="1"/>
  <c r="T678" i="1"/>
  <c r="U678" i="1" s="1"/>
  <c r="W678" i="1" s="1"/>
  <c r="X678" i="1" s="1"/>
  <c r="AD677" i="1"/>
  <c r="AF677" i="1" s="1"/>
  <c r="AB677" i="1"/>
  <c r="AC677" i="1" s="1"/>
  <c r="AA677" i="1"/>
  <c r="T677" i="1"/>
  <c r="U677" i="1" s="1"/>
  <c r="W677" i="1" s="1"/>
  <c r="X677" i="1" s="1"/>
  <c r="AD676" i="1"/>
  <c r="AF676" i="1" s="1"/>
  <c r="AB676" i="1"/>
  <c r="AC676" i="1" s="1"/>
  <c r="AA676" i="1"/>
  <c r="T676" i="1"/>
  <c r="U676" i="1" s="1"/>
  <c r="W676" i="1" s="1"/>
  <c r="X676" i="1" s="1"/>
  <c r="AD675" i="1"/>
  <c r="AF675" i="1" s="1"/>
  <c r="AB675" i="1"/>
  <c r="AC675" i="1" s="1"/>
  <c r="AA675" i="1"/>
  <c r="T675" i="1"/>
  <c r="U675" i="1" s="1"/>
  <c r="W675" i="1" s="1"/>
  <c r="X675" i="1" s="1"/>
  <c r="AD674" i="1"/>
  <c r="AF674" i="1" s="1"/>
  <c r="AB674" i="1"/>
  <c r="AC674" i="1" s="1"/>
  <c r="AA674" i="1"/>
  <c r="T674" i="1"/>
  <c r="U674" i="1" s="1"/>
  <c r="W674" i="1" s="1"/>
  <c r="X674" i="1" s="1"/>
  <c r="AD673" i="1"/>
  <c r="AF673" i="1" s="1"/>
  <c r="AB673" i="1"/>
  <c r="AC673" i="1" s="1"/>
  <c r="AA673" i="1"/>
  <c r="T673" i="1"/>
  <c r="U673" i="1" s="1"/>
  <c r="W673" i="1" s="1"/>
  <c r="AD672" i="1"/>
  <c r="AF672" i="1" s="1"/>
  <c r="AB672" i="1"/>
  <c r="AC672" i="1" s="1"/>
  <c r="AA672" i="1"/>
  <c r="T672" i="1"/>
  <c r="U672" i="1" s="1"/>
  <c r="W672" i="1" s="1"/>
  <c r="AD671" i="1"/>
  <c r="AF671" i="1" s="1"/>
  <c r="AC671" i="1"/>
  <c r="AA671" i="1"/>
  <c r="T671" i="1"/>
  <c r="U671" i="1" s="1"/>
  <c r="W671" i="1" s="1"/>
  <c r="AD670" i="1"/>
  <c r="AF670" i="1" s="1"/>
  <c r="AC670" i="1"/>
  <c r="AA670" i="1"/>
  <c r="T670" i="1"/>
  <c r="U670" i="1" s="1"/>
  <c r="W670" i="1" s="1"/>
  <c r="AD669" i="1"/>
  <c r="AF669" i="1" s="1"/>
  <c r="AB669" i="1"/>
  <c r="AC669" i="1" s="1"/>
  <c r="AA669" i="1"/>
  <c r="T669" i="1"/>
  <c r="U669" i="1" s="1"/>
  <c r="W669" i="1" s="1"/>
  <c r="AD668" i="1"/>
  <c r="AF668" i="1" s="1"/>
  <c r="AB668" i="1"/>
  <c r="AC668" i="1" s="1"/>
  <c r="AA668" i="1"/>
  <c r="T668" i="1"/>
  <c r="U668" i="1" s="1"/>
  <c r="W668" i="1" s="1"/>
  <c r="AD667" i="1"/>
  <c r="AF667" i="1" s="1"/>
  <c r="AB667" i="1"/>
  <c r="AC667" i="1" s="1"/>
  <c r="AA667" i="1"/>
  <c r="T667" i="1"/>
  <c r="U667" i="1" s="1"/>
  <c r="W667" i="1" s="1"/>
  <c r="AD666" i="1"/>
  <c r="AF666" i="1" s="1"/>
  <c r="AB666" i="1"/>
  <c r="AC666" i="1" s="1"/>
  <c r="AA666" i="1"/>
  <c r="T666" i="1"/>
  <c r="U666" i="1" s="1"/>
  <c r="W666" i="1" s="1"/>
  <c r="AD665" i="1"/>
  <c r="AF665" i="1" s="1"/>
  <c r="AB665" i="1"/>
  <c r="AC665" i="1" s="1"/>
  <c r="AA665" i="1"/>
  <c r="T665" i="1"/>
  <c r="U665" i="1" s="1"/>
  <c r="W665" i="1" s="1"/>
  <c r="AD664" i="1"/>
  <c r="AF664" i="1" s="1"/>
  <c r="AB664" i="1"/>
  <c r="AC664" i="1" s="1"/>
  <c r="AA664" i="1"/>
  <c r="T664" i="1"/>
  <c r="U664" i="1" s="1"/>
  <c r="W664" i="1" s="1"/>
  <c r="AD663" i="1"/>
  <c r="AF663" i="1" s="1"/>
  <c r="AB663" i="1"/>
  <c r="AC663" i="1" s="1"/>
  <c r="AA663" i="1"/>
  <c r="T663" i="1"/>
  <c r="U663" i="1" s="1"/>
  <c r="W663" i="1" s="1"/>
  <c r="AF662" i="1"/>
  <c r="AB662" i="1"/>
  <c r="AC662" i="1" s="1"/>
  <c r="AA662" i="1"/>
  <c r="T662" i="1"/>
  <c r="U662" i="1" s="1"/>
  <c r="W662" i="1" s="1"/>
  <c r="AD661" i="1"/>
  <c r="AF661" i="1" s="1"/>
  <c r="AB661" i="1"/>
  <c r="AC661" i="1" s="1"/>
  <c r="AA661" i="1"/>
  <c r="T661" i="1"/>
  <c r="U661" i="1" s="1"/>
  <c r="W661" i="1" s="1"/>
  <c r="X661" i="1" s="1"/>
  <c r="AD660" i="1"/>
  <c r="AF660" i="1" s="1"/>
  <c r="AB660" i="1"/>
  <c r="AC660" i="1" s="1"/>
  <c r="AA660" i="1"/>
  <c r="T660" i="1"/>
  <c r="U660" i="1" s="1"/>
  <c r="W660" i="1" s="1"/>
  <c r="AD659" i="1"/>
  <c r="AF659" i="1" s="1"/>
  <c r="AB659" i="1"/>
  <c r="AC659" i="1" s="1"/>
  <c r="AA659" i="1"/>
  <c r="T659" i="1"/>
  <c r="U659" i="1" s="1"/>
  <c r="W659" i="1" s="1"/>
  <c r="X659" i="1" s="1"/>
  <c r="AD658" i="1"/>
  <c r="AF658" i="1" s="1"/>
  <c r="AB658" i="1"/>
  <c r="AC658" i="1" s="1"/>
  <c r="AA658" i="1"/>
  <c r="T658" i="1"/>
  <c r="U658" i="1" s="1"/>
  <c r="W658" i="1" s="1"/>
  <c r="AD657" i="1"/>
  <c r="AF657" i="1" s="1"/>
  <c r="AB657" i="1"/>
  <c r="AC657" i="1" s="1"/>
  <c r="AA657" i="1"/>
  <c r="T657" i="1"/>
  <c r="U657" i="1" s="1"/>
  <c r="W657" i="1" s="1"/>
  <c r="X657" i="1" s="1"/>
  <c r="AD656" i="1"/>
  <c r="AF656" i="1" s="1"/>
  <c r="AB656" i="1"/>
  <c r="AC656" i="1" s="1"/>
  <c r="AA656" i="1"/>
  <c r="T656" i="1"/>
  <c r="U656" i="1" s="1"/>
  <c r="W656" i="1" s="1"/>
  <c r="Z655" i="1"/>
  <c r="T655" i="1"/>
  <c r="U655" i="1" s="1"/>
  <c r="W655" i="1" s="1"/>
  <c r="AD654" i="1"/>
  <c r="AF654" i="1" s="1"/>
  <c r="AB654" i="1"/>
  <c r="AC654" i="1" s="1"/>
  <c r="AA654" i="1"/>
  <c r="T654" i="1"/>
  <c r="U654" i="1" s="1"/>
  <c r="W654" i="1" s="1"/>
  <c r="AD653" i="1"/>
  <c r="AF653" i="1" s="1"/>
  <c r="AB653" i="1"/>
  <c r="AC653" i="1" s="1"/>
  <c r="AA653" i="1"/>
  <c r="T653" i="1"/>
  <c r="U653" i="1" s="1"/>
  <c r="W653" i="1" s="1"/>
  <c r="AD652" i="1"/>
  <c r="AF652" i="1" s="1"/>
  <c r="AB652" i="1"/>
  <c r="AC652" i="1" s="1"/>
  <c r="AA652" i="1"/>
  <c r="T652" i="1"/>
  <c r="U652" i="1" s="1"/>
  <c r="W652" i="1" s="1"/>
  <c r="AD651" i="1"/>
  <c r="AF651" i="1" s="1"/>
  <c r="AB651" i="1"/>
  <c r="AC651" i="1" s="1"/>
  <c r="AA651" i="1"/>
  <c r="T651" i="1"/>
  <c r="U651" i="1" s="1"/>
  <c r="W651" i="1" s="1"/>
  <c r="AD650" i="1"/>
  <c r="AF650" i="1" s="1"/>
  <c r="AB650" i="1"/>
  <c r="AC650" i="1" s="1"/>
  <c r="AA650" i="1"/>
  <c r="T650" i="1"/>
  <c r="U650" i="1" s="1"/>
  <c r="W650" i="1" s="1"/>
  <c r="AD649" i="1"/>
  <c r="AF649" i="1" s="1"/>
  <c r="AB649" i="1"/>
  <c r="AC649" i="1" s="1"/>
  <c r="AA649" i="1"/>
  <c r="T649" i="1"/>
  <c r="U649" i="1" s="1"/>
  <c r="W649" i="1" s="1"/>
  <c r="AD648" i="1"/>
  <c r="AF648" i="1" s="1"/>
  <c r="AB648" i="1"/>
  <c r="AC648" i="1" s="1"/>
  <c r="AA648" i="1"/>
  <c r="T648" i="1"/>
  <c r="U648" i="1" s="1"/>
  <c r="W648" i="1" s="1"/>
  <c r="AD647" i="1"/>
  <c r="AF647" i="1" s="1"/>
  <c r="AB647" i="1"/>
  <c r="AC647" i="1" s="1"/>
  <c r="AA647" i="1"/>
  <c r="T647" i="1"/>
  <c r="U647" i="1" s="1"/>
  <c r="W647" i="1" s="1"/>
  <c r="AD646" i="1"/>
  <c r="AF646" i="1" s="1"/>
  <c r="AB646" i="1"/>
  <c r="AC646" i="1" s="1"/>
  <c r="AA646" i="1"/>
  <c r="T646" i="1"/>
  <c r="U646" i="1" s="1"/>
  <c r="W646" i="1" s="1"/>
  <c r="AD645" i="1"/>
  <c r="AF645" i="1" s="1"/>
  <c r="AB645" i="1"/>
  <c r="AC645" i="1" s="1"/>
  <c r="AA645" i="1"/>
  <c r="T645" i="1"/>
  <c r="U645" i="1" s="1"/>
  <c r="W645" i="1" s="1"/>
  <c r="AD644" i="1"/>
  <c r="AF644" i="1" s="1"/>
  <c r="AB644" i="1"/>
  <c r="AC644" i="1" s="1"/>
  <c r="AA644" i="1"/>
  <c r="T644" i="1"/>
  <c r="U644" i="1" s="1"/>
  <c r="W644" i="1" s="1"/>
  <c r="AD643" i="1"/>
  <c r="AF643" i="1" s="1"/>
  <c r="AB643" i="1"/>
  <c r="AC643" i="1" s="1"/>
  <c r="AA643" i="1"/>
  <c r="T643" i="1"/>
  <c r="U643" i="1" s="1"/>
  <c r="W643" i="1" s="1"/>
  <c r="AD642" i="1"/>
  <c r="AF642" i="1" s="1"/>
  <c r="AB642" i="1"/>
  <c r="AC642" i="1" s="1"/>
  <c r="AA642" i="1"/>
  <c r="T642" i="1"/>
  <c r="U642" i="1" s="1"/>
  <c r="W642" i="1" s="1"/>
  <c r="AD641" i="1"/>
  <c r="AF641" i="1" s="1"/>
  <c r="AB641" i="1"/>
  <c r="AC641" i="1" s="1"/>
  <c r="AA641" i="1"/>
  <c r="T641" i="1"/>
  <c r="U641" i="1" s="1"/>
  <c r="W641" i="1" s="1"/>
  <c r="AD640" i="1"/>
  <c r="AF640" i="1" s="1"/>
  <c r="AB640" i="1"/>
  <c r="AC640" i="1" s="1"/>
  <c r="AA640" i="1"/>
  <c r="T640" i="1"/>
  <c r="U640" i="1" s="1"/>
  <c r="W640" i="1" s="1"/>
  <c r="AD639" i="1"/>
  <c r="AF639" i="1" s="1"/>
  <c r="AB639" i="1"/>
  <c r="AC639" i="1" s="1"/>
  <c r="AA639" i="1"/>
  <c r="T639" i="1"/>
  <c r="U639" i="1" s="1"/>
  <c r="W639" i="1" s="1"/>
  <c r="AD638" i="1"/>
  <c r="AF638" i="1" s="1"/>
  <c r="AB638" i="1"/>
  <c r="AC638" i="1" s="1"/>
  <c r="AA638" i="1"/>
  <c r="T638" i="1"/>
  <c r="U638" i="1" s="1"/>
  <c r="W638" i="1" s="1"/>
  <c r="AD637" i="1"/>
  <c r="AF637" i="1" s="1"/>
  <c r="AB637" i="1"/>
  <c r="AC637" i="1" s="1"/>
  <c r="AA637" i="1"/>
  <c r="T637" i="1"/>
  <c r="U637" i="1" s="1"/>
  <c r="W637" i="1" s="1"/>
  <c r="AD636" i="1"/>
  <c r="AF636" i="1" s="1"/>
  <c r="AB636" i="1"/>
  <c r="AC636" i="1" s="1"/>
  <c r="AA636" i="1"/>
  <c r="T636" i="1"/>
  <c r="U636" i="1" s="1"/>
  <c r="W636" i="1" s="1"/>
  <c r="AD635" i="1"/>
  <c r="AF635" i="1" s="1"/>
  <c r="AB635" i="1"/>
  <c r="AC635" i="1" s="1"/>
  <c r="AA635" i="1"/>
  <c r="T635" i="1"/>
  <c r="U635" i="1" s="1"/>
  <c r="W635" i="1" s="1"/>
  <c r="AD634" i="1"/>
  <c r="AF634" i="1" s="1"/>
  <c r="AB634" i="1"/>
  <c r="AC634" i="1" s="1"/>
  <c r="AA634" i="1"/>
  <c r="T634" i="1"/>
  <c r="U634" i="1" s="1"/>
  <c r="W634" i="1" s="1"/>
  <c r="X634" i="1" s="1"/>
  <c r="AD633" i="1"/>
  <c r="AF633" i="1" s="1"/>
  <c r="AB633" i="1"/>
  <c r="AC633" i="1" s="1"/>
  <c r="AA633" i="1"/>
  <c r="T633" i="1"/>
  <c r="U633" i="1" s="1"/>
  <c r="W633" i="1" s="1"/>
  <c r="X633" i="1" s="1"/>
  <c r="AD632" i="1"/>
  <c r="AF632" i="1" s="1"/>
  <c r="AB632" i="1"/>
  <c r="AC632" i="1" s="1"/>
  <c r="AA632" i="1"/>
  <c r="T632" i="1"/>
  <c r="U632" i="1" s="1"/>
  <c r="W632" i="1" s="1"/>
  <c r="AD631" i="1"/>
  <c r="AF631" i="1" s="1"/>
  <c r="AB631" i="1"/>
  <c r="AC631" i="1" s="1"/>
  <c r="AA631" i="1"/>
  <c r="T631" i="1"/>
  <c r="U631" i="1" s="1"/>
  <c r="W631" i="1" s="1"/>
  <c r="AD630" i="1"/>
  <c r="AF630" i="1" s="1"/>
  <c r="AB630" i="1"/>
  <c r="AC630" i="1" s="1"/>
  <c r="AA630" i="1"/>
  <c r="T630" i="1"/>
  <c r="U630" i="1" s="1"/>
  <c r="W630" i="1" s="1"/>
  <c r="AD629" i="1"/>
  <c r="AF629" i="1" s="1"/>
  <c r="AB629" i="1"/>
  <c r="AC629" i="1" s="1"/>
  <c r="AA629" i="1"/>
  <c r="T629" i="1"/>
  <c r="U629" i="1" s="1"/>
  <c r="W629" i="1" s="1"/>
  <c r="AD628" i="1"/>
  <c r="AF628" i="1" s="1"/>
  <c r="AB628" i="1"/>
  <c r="AC628" i="1" s="1"/>
  <c r="AA628" i="1"/>
  <c r="T628" i="1"/>
  <c r="U628" i="1" s="1"/>
  <c r="W628" i="1" s="1"/>
  <c r="AD627" i="1"/>
  <c r="AF627" i="1" s="1"/>
  <c r="AB627" i="1"/>
  <c r="AC627" i="1" s="1"/>
  <c r="AA627" i="1"/>
  <c r="T627" i="1"/>
  <c r="U627" i="1" s="1"/>
  <c r="W627" i="1" s="1"/>
  <c r="AD626" i="1"/>
  <c r="AF626" i="1" s="1"/>
  <c r="AB626" i="1"/>
  <c r="AC626" i="1" s="1"/>
  <c r="AA626" i="1"/>
  <c r="T626" i="1"/>
  <c r="U626" i="1" s="1"/>
  <c r="W626" i="1" s="1"/>
  <c r="X626" i="1" s="1"/>
  <c r="AD625" i="1"/>
  <c r="AF625" i="1" s="1"/>
  <c r="AB625" i="1"/>
  <c r="AC625" i="1" s="1"/>
  <c r="AA625" i="1"/>
  <c r="T625" i="1"/>
  <c r="U625" i="1" s="1"/>
  <c r="W625" i="1" s="1"/>
  <c r="X625" i="1" s="1"/>
  <c r="AD624" i="1"/>
  <c r="AF624" i="1" s="1"/>
  <c r="AB624" i="1"/>
  <c r="AC624" i="1" s="1"/>
  <c r="AA624" i="1"/>
  <c r="T624" i="1"/>
  <c r="U624" i="1" s="1"/>
  <c r="W624" i="1" s="1"/>
  <c r="AD623" i="1"/>
  <c r="AF623" i="1" s="1"/>
  <c r="AB623" i="1"/>
  <c r="AC623" i="1" s="1"/>
  <c r="AA623" i="1"/>
  <c r="T623" i="1"/>
  <c r="U623" i="1" s="1"/>
  <c r="W623" i="1" s="1"/>
  <c r="AD622" i="1"/>
  <c r="AF622" i="1" s="1"/>
  <c r="AB622" i="1"/>
  <c r="AC622" i="1" s="1"/>
  <c r="AA622" i="1"/>
  <c r="T622" i="1"/>
  <c r="U622" i="1" s="1"/>
  <c r="W622" i="1" s="1"/>
  <c r="AD621" i="1"/>
  <c r="AF621" i="1" s="1"/>
  <c r="AB621" i="1"/>
  <c r="AC621" i="1" s="1"/>
  <c r="AA621" i="1"/>
  <c r="T621" i="1"/>
  <c r="U621" i="1" s="1"/>
  <c r="W621" i="1" s="1"/>
  <c r="AD620" i="1"/>
  <c r="AF620" i="1" s="1"/>
  <c r="AB620" i="1"/>
  <c r="AC620" i="1" s="1"/>
  <c r="AA620" i="1"/>
  <c r="T620" i="1"/>
  <c r="U620" i="1" s="1"/>
  <c r="W620" i="1" s="1"/>
  <c r="AD619" i="1"/>
  <c r="AF619" i="1" s="1"/>
  <c r="AB619" i="1"/>
  <c r="AC619" i="1" s="1"/>
  <c r="AA619" i="1"/>
  <c r="T619" i="1"/>
  <c r="U619" i="1" s="1"/>
  <c r="W619" i="1" s="1"/>
  <c r="AD618" i="1"/>
  <c r="AF618" i="1" s="1"/>
  <c r="AB618" i="1"/>
  <c r="AC618" i="1" s="1"/>
  <c r="AA618" i="1"/>
  <c r="T618" i="1"/>
  <c r="U618" i="1" s="1"/>
  <c r="W618" i="1" s="1"/>
  <c r="X618" i="1" s="1"/>
  <c r="AD617" i="1"/>
  <c r="AF617" i="1" s="1"/>
  <c r="AB617" i="1"/>
  <c r="AC617" i="1" s="1"/>
  <c r="AA617" i="1"/>
  <c r="T617" i="1"/>
  <c r="U617" i="1" s="1"/>
  <c r="W617" i="1" s="1"/>
  <c r="X617" i="1" s="1"/>
  <c r="AD616" i="1"/>
  <c r="AF616" i="1" s="1"/>
  <c r="AB616" i="1"/>
  <c r="AC616" i="1" s="1"/>
  <c r="AA616" i="1"/>
  <c r="T616" i="1"/>
  <c r="U616" i="1" s="1"/>
  <c r="W616" i="1" s="1"/>
  <c r="AD615" i="1"/>
  <c r="AF615" i="1" s="1"/>
  <c r="AB615" i="1"/>
  <c r="AC615" i="1" s="1"/>
  <c r="AA615" i="1"/>
  <c r="T615" i="1"/>
  <c r="U615" i="1" s="1"/>
  <c r="W615" i="1" s="1"/>
  <c r="AD614" i="1"/>
  <c r="AF614" i="1" s="1"/>
  <c r="AB614" i="1"/>
  <c r="AC614" i="1" s="1"/>
  <c r="AA614" i="1"/>
  <c r="T614" i="1"/>
  <c r="U614" i="1" s="1"/>
  <c r="W614" i="1" s="1"/>
  <c r="AD613" i="1"/>
  <c r="AF613" i="1" s="1"/>
  <c r="AB613" i="1"/>
  <c r="AC613" i="1" s="1"/>
  <c r="AA613" i="1"/>
  <c r="T613" i="1"/>
  <c r="U613" i="1" s="1"/>
  <c r="W613" i="1" s="1"/>
  <c r="AD612" i="1"/>
  <c r="AF612" i="1" s="1"/>
  <c r="AB612" i="1"/>
  <c r="AC612" i="1" s="1"/>
  <c r="AA612" i="1"/>
  <c r="T612" i="1"/>
  <c r="U612" i="1" s="1"/>
  <c r="W612" i="1" s="1"/>
  <c r="AD611" i="1"/>
  <c r="AF611" i="1" s="1"/>
  <c r="AB611" i="1"/>
  <c r="AC611" i="1" s="1"/>
  <c r="AA611" i="1"/>
  <c r="T611" i="1"/>
  <c r="U611" i="1" s="1"/>
  <c r="W611" i="1" s="1"/>
  <c r="AD610" i="1"/>
  <c r="AF610" i="1" s="1"/>
  <c r="AB610" i="1"/>
  <c r="AC610" i="1" s="1"/>
  <c r="AA610" i="1"/>
  <c r="T610" i="1"/>
  <c r="U610" i="1" s="1"/>
  <c r="W610" i="1" s="1"/>
  <c r="X610" i="1" s="1"/>
  <c r="AD609" i="1"/>
  <c r="AF609" i="1" s="1"/>
  <c r="AB609" i="1"/>
  <c r="AC609" i="1" s="1"/>
  <c r="AA609" i="1"/>
  <c r="T609" i="1"/>
  <c r="U609" i="1" s="1"/>
  <c r="W609" i="1" s="1"/>
  <c r="X609" i="1" s="1"/>
  <c r="AD608" i="1"/>
  <c r="AF608" i="1" s="1"/>
  <c r="AB608" i="1"/>
  <c r="AC608" i="1" s="1"/>
  <c r="AA608" i="1"/>
  <c r="T608" i="1"/>
  <c r="U608" i="1" s="1"/>
  <c r="W608" i="1" s="1"/>
  <c r="X608" i="1" s="1"/>
  <c r="AD607" i="1"/>
  <c r="AF607" i="1" s="1"/>
  <c r="AB607" i="1"/>
  <c r="AC607" i="1" s="1"/>
  <c r="AA607" i="1"/>
  <c r="T607" i="1"/>
  <c r="U607" i="1" s="1"/>
  <c r="W607" i="1" s="1"/>
  <c r="X607" i="1" s="1"/>
  <c r="AD606" i="1"/>
  <c r="AF606" i="1" s="1"/>
  <c r="AB606" i="1"/>
  <c r="AC606" i="1" s="1"/>
  <c r="AA606" i="1"/>
  <c r="T606" i="1"/>
  <c r="U606" i="1" s="1"/>
  <c r="W606" i="1" s="1"/>
  <c r="AD605" i="1"/>
  <c r="AF605" i="1" s="1"/>
  <c r="AB605" i="1"/>
  <c r="AC605" i="1" s="1"/>
  <c r="AA605" i="1"/>
  <c r="T605" i="1"/>
  <c r="U605" i="1" s="1"/>
  <c r="W605" i="1" s="1"/>
  <c r="AD604" i="1"/>
  <c r="AF604" i="1" s="1"/>
  <c r="AB604" i="1"/>
  <c r="AC604" i="1" s="1"/>
  <c r="AA604" i="1"/>
  <c r="T604" i="1"/>
  <c r="U604" i="1" s="1"/>
  <c r="W604" i="1" s="1"/>
  <c r="AD603" i="1"/>
  <c r="AF603" i="1" s="1"/>
  <c r="AB603" i="1"/>
  <c r="AC603" i="1" s="1"/>
  <c r="AA603" i="1"/>
  <c r="T603" i="1"/>
  <c r="U603" i="1" s="1"/>
  <c r="W603" i="1" s="1"/>
  <c r="AD602" i="1"/>
  <c r="AF602" i="1" s="1"/>
  <c r="AB602" i="1"/>
  <c r="AC602" i="1" s="1"/>
  <c r="AA602" i="1"/>
  <c r="T602" i="1"/>
  <c r="U602" i="1" s="1"/>
  <c r="W602" i="1" s="1"/>
  <c r="X602" i="1" s="1"/>
  <c r="AD601" i="1"/>
  <c r="AF601" i="1" s="1"/>
  <c r="AB601" i="1"/>
  <c r="AC601" i="1" s="1"/>
  <c r="AA601" i="1"/>
  <c r="T601" i="1"/>
  <c r="U601" i="1" s="1"/>
  <c r="W601" i="1" s="1"/>
  <c r="AD600" i="1"/>
  <c r="AF600" i="1" s="1"/>
  <c r="AB600" i="1"/>
  <c r="AC600" i="1" s="1"/>
  <c r="AA600" i="1"/>
  <c r="T600" i="1"/>
  <c r="U600" i="1" s="1"/>
  <c r="W600" i="1" s="1"/>
  <c r="AD599" i="1"/>
  <c r="AF599" i="1" s="1"/>
  <c r="AB599" i="1"/>
  <c r="AC599" i="1" s="1"/>
  <c r="AA599" i="1"/>
  <c r="T599" i="1"/>
  <c r="U599" i="1" s="1"/>
  <c r="W599" i="1" s="1"/>
  <c r="X599" i="1" s="1"/>
  <c r="AD598" i="1"/>
  <c r="AF598" i="1" s="1"/>
  <c r="AB598" i="1"/>
  <c r="AC598" i="1" s="1"/>
  <c r="AA598" i="1"/>
  <c r="T598" i="1"/>
  <c r="U598" i="1" s="1"/>
  <c r="W598" i="1" s="1"/>
  <c r="AD597" i="1"/>
  <c r="AF597" i="1" s="1"/>
  <c r="AB597" i="1"/>
  <c r="AC597" i="1" s="1"/>
  <c r="AA597" i="1"/>
  <c r="T597" i="1"/>
  <c r="U597" i="1" s="1"/>
  <c r="W597" i="1" s="1"/>
  <c r="AD596" i="1"/>
  <c r="AF596" i="1" s="1"/>
  <c r="AB596" i="1"/>
  <c r="AC596" i="1" s="1"/>
  <c r="AA596" i="1"/>
  <c r="T596" i="1"/>
  <c r="U596" i="1" s="1"/>
  <c r="W596" i="1" s="1"/>
  <c r="AD595" i="1"/>
  <c r="AF595" i="1" s="1"/>
  <c r="AB595" i="1"/>
  <c r="AC595" i="1" s="1"/>
  <c r="AA595" i="1"/>
  <c r="T595" i="1"/>
  <c r="U595" i="1" s="1"/>
  <c r="W595" i="1" s="1"/>
  <c r="AD594" i="1"/>
  <c r="AF594" i="1" s="1"/>
  <c r="AB594" i="1"/>
  <c r="AC594" i="1" s="1"/>
  <c r="AA594" i="1"/>
  <c r="T594" i="1"/>
  <c r="U594" i="1" s="1"/>
  <c r="W594" i="1" s="1"/>
  <c r="AD593" i="1"/>
  <c r="AF593" i="1" s="1"/>
  <c r="AB593" i="1"/>
  <c r="AC593" i="1" s="1"/>
  <c r="AA593" i="1"/>
  <c r="T593" i="1"/>
  <c r="U593" i="1" s="1"/>
  <c r="W593" i="1" s="1"/>
  <c r="X593" i="1" s="1"/>
  <c r="AD592" i="1"/>
  <c r="AF592" i="1" s="1"/>
  <c r="AB592" i="1"/>
  <c r="AC592" i="1" s="1"/>
  <c r="AA592" i="1"/>
  <c r="T592" i="1"/>
  <c r="U592" i="1" s="1"/>
  <c r="W592" i="1" s="1"/>
  <c r="X592" i="1" s="1"/>
  <c r="AD591" i="1"/>
  <c r="AF591" i="1" s="1"/>
  <c r="AB591" i="1"/>
  <c r="AC591" i="1" s="1"/>
  <c r="AA591" i="1"/>
  <c r="T591" i="1"/>
  <c r="U591" i="1" s="1"/>
  <c r="W591" i="1" s="1"/>
  <c r="X591" i="1" s="1"/>
  <c r="AD590" i="1"/>
  <c r="AF590" i="1" s="1"/>
  <c r="AB590" i="1"/>
  <c r="AC590" i="1" s="1"/>
  <c r="AA590" i="1"/>
  <c r="T590" i="1"/>
  <c r="U590" i="1" s="1"/>
  <c r="W590" i="1" s="1"/>
  <c r="AD589" i="1"/>
  <c r="AF589" i="1" s="1"/>
  <c r="AB589" i="1"/>
  <c r="AC589" i="1" s="1"/>
  <c r="AA589" i="1"/>
  <c r="T589" i="1"/>
  <c r="U589" i="1" s="1"/>
  <c r="W589" i="1" s="1"/>
  <c r="AD588" i="1"/>
  <c r="AF588" i="1" s="1"/>
  <c r="AB588" i="1"/>
  <c r="AC588" i="1" s="1"/>
  <c r="AA588" i="1"/>
  <c r="T588" i="1"/>
  <c r="U588" i="1" s="1"/>
  <c r="W588" i="1" s="1"/>
  <c r="AD587" i="1"/>
  <c r="AF587" i="1" s="1"/>
  <c r="AB587" i="1"/>
  <c r="AC587" i="1" s="1"/>
  <c r="AA587" i="1"/>
  <c r="T587" i="1"/>
  <c r="U587" i="1" s="1"/>
  <c r="W587" i="1" s="1"/>
  <c r="AD586" i="1"/>
  <c r="AF586" i="1" s="1"/>
  <c r="AB586" i="1"/>
  <c r="AC586" i="1" s="1"/>
  <c r="AA586" i="1"/>
  <c r="T586" i="1"/>
  <c r="U586" i="1" s="1"/>
  <c r="W586" i="1" s="1"/>
  <c r="X586" i="1" s="1"/>
  <c r="AD585" i="1"/>
  <c r="AF585" i="1" s="1"/>
  <c r="AB585" i="1"/>
  <c r="AC585" i="1" s="1"/>
  <c r="AA585" i="1"/>
  <c r="T585" i="1"/>
  <c r="U585" i="1" s="1"/>
  <c r="W585" i="1" s="1"/>
  <c r="AD584" i="1"/>
  <c r="AF584" i="1" s="1"/>
  <c r="AB584" i="1"/>
  <c r="AC584" i="1" s="1"/>
  <c r="AA584" i="1"/>
  <c r="T584" i="1"/>
  <c r="U584" i="1" s="1"/>
  <c r="W584" i="1" s="1"/>
  <c r="AD583" i="1"/>
  <c r="AF583" i="1" s="1"/>
  <c r="AB583" i="1"/>
  <c r="AC583" i="1" s="1"/>
  <c r="AA583" i="1"/>
  <c r="T583" i="1"/>
  <c r="U583" i="1" s="1"/>
  <c r="W583" i="1" s="1"/>
  <c r="X583" i="1" s="1"/>
  <c r="AF582" i="1"/>
  <c r="AB582" i="1"/>
  <c r="AC582" i="1" s="1"/>
  <c r="AA582" i="1"/>
  <c r="T582" i="1"/>
  <c r="U582" i="1" s="1"/>
  <c r="W582" i="1" s="1"/>
  <c r="X582" i="1" s="1"/>
  <c r="Y582" i="1" s="1"/>
  <c r="AF581" i="1"/>
  <c r="AB581" i="1"/>
  <c r="AC581" i="1" s="1"/>
  <c r="AA581" i="1"/>
  <c r="T581" i="1"/>
  <c r="U581" i="1" s="1"/>
  <c r="W581" i="1" s="1"/>
  <c r="AD580" i="1"/>
  <c r="AF580" i="1" s="1"/>
  <c r="AB580" i="1"/>
  <c r="AC580" i="1" s="1"/>
  <c r="AA580" i="1"/>
  <c r="T580" i="1"/>
  <c r="U580" i="1" s="1"/>
  <c r="W580" i="1" s="1"/>
  <c r="AD579" i="1"/>
  <c r="AF579" i="1" s="1"/>
  <c r="AB579" i="1"/>
  <c r="AC579" i="1" s="1"/>
  <c r="AA579" i="1"/>
  <c r="T579" i="1"/>
  <c r="U579" i="1" s="1"/>
  <c r="W579" i="1" s="1"/>
  <c r="X579" i="1" s="1"/>
  <c r="AD578" i="1"/>
  <c r="AF578" i="1" s="1"/>
  <c r="AB578" i="1"/>
  <c r="AC578" i="1" s="1"/>
  <c r="AA578" i="1"/>
  <c r="T578" i="1"/>
  <c r="U578" i="1" s="1"/>
  <c r="W578" i="1" s="1"/>
  <c r="X578" i="1" s="1"/>
  <c r="AD577" i="1"/>
  <c r="AF577" i="1" s="1"/>
  <c r="AB577" i="1"/>
  <c r="AC577" i="1" s="1"/>
  <c r="AA577" i="1"/>
  <c r="T577" i="1"/>
  <c r="U577" i="1" s="1"/>
  <c r="W577" i="1" s="1"/>
  <c r="AD576" i="1"/>
  <c r="AF576" i="1" s="1"/>
  <c r="AB576" i="1"/>
  <c r="AC576" i="1" s="1"/>
  <c r="AA576" i="1"/>
  <c r="T576" i="1"/>
  <c r="U576" i="1" s="1"/>
  <c r="W576" i="1" s="1"/>
  <c r="AD575" i="1"/>
  <c r="AF575" i="1" s="1"/>
  <c r="AB575" i="1"/>
  <c r="AC575" i="1" s="1"/>
  <c r="AA575" i="1"/>
  <c r="T575" i="1"/>
  <c r="U575" i="1" s="1"/>
  <c r="W575" i="1" s="1"/>
  <c r="AD574" i="1"/>
  <c r="AF574" i="1" s="1"/>
  <c r="AB574" i="1"/>
  <c r="AC574" i="1" s="1"/>
  <c r="AA574" i="1"/>
  <c r="T574" i="1"/>
  <c r="U574" i="1" s="1"/>
  <c r="W574" i="1" s="1"/>
  <c r="AD573" i="1"/>
  <c r="AF573" i="1" s="1"/>
  <c r="AB573" i="1"/>
  <c r="AC573" i="1" s="1"/>
  <c r="AA573" i="1"/>
  <c r="T573" i="1"/>
  <c r="U573" i="1" s="1"/>
  <c r="W573" i="1" s="1"/>
  <c r="X573" i="1" s="1"/>
  <c r="AD572" i="1"/>
  <c r="AF572" i="1" s="1"/>
  <c r="AB572" i="1"/>
  <c r="AC572" i="1" s="1"/>
  <c r="AA572" i="1"/>
  <c r="T572" i="1"/>
  <c r="U572" i="1" s="1"/>
  <c r="W572" i="1" s="1"/>
  <c r="X572" i="1" s="1"/>
  <c r="AF571" i="1"/>
  <c r="AB571" i="1"/>
  <c r="AC571" i="1" s="1"/>
  <c r="AA571" i="1"/>
  <c r="T571" i="1"/>
  <c r="U571" i="1" s="1"/>
  <c r="W571" i="1" s="1"/>
  <c r="X571" i="1" s="1"/>
  <c r="Y571" i="1" s="1"/>
  <c r="AD570" i="1"/>
  <c r="AF570" i="1" s="1"/>
  <c r="AB570" i="1"/>
  <c r="AC570" i="1" s="1"/>
  <c r="AA570" i="1"/>
  <c r="T570" i="1"/>
  <c r="U570" i="1" s="1"/>
  <c r="W570" i="1" s="1"/>
  <c r="AD569" i="1"/>
  <c r="AF569" i="1" s="1"/>
  <c r="AB569" i="1"/>
  <c r="AC569" i="1" s="1"/>
  <c r="AA569" i="1"/>
  <c r="T569" i="1"/>
  <c r="U569" i="1" s="1"/>
  <c r="W569" i="1" s="1"/>
  <c r="AF568" i="1"/>
  <c r="AB568" i="1"/>
  <c r="AC568" i="1" s="1"/>
  <c r="AA568" i="1"/>
  <c r="T568" i="1"/>
  <c r="U568" i="1" s="1"/>
  <c r="W568" i="1" s="1"/>
  <c r="AF567" i="1"/>
  <c r="AB567" i="1"/>
  <c r="AC567" i="1" s="1"/>
  <c r="AA567" i="1"/>
  <c r="T567" i="1"/>
  <c r="U567" i="1" s="1"/>
  <c r="W567" i="1" s="1"/>
  <c r="AD566" i="1"/>
  <c r="AF566" i="1" s="1"/>
  <c r="AB566" i="1"/>
  <c r="AC566" i="1" s="1"/>
  <c r="AA566" i="1"/>
  <c r="T566" i="1"/>
  <c r="U566" i="1" s="1"/>
  <c r="W566" i="1" s="1"/>
  <c r="AD565" i="1"/>
  <c r="AF565" i="1" s="1"/>
  <c r="AB565" i="1"/>
  <c r="AC565" i="1" s="1"/>
  <c r="AA565" i="1"/>
  <c r="T565" i="1"/>
  <c r="U565" i="1" s="1"/>
  <c r="W565" i="1" s="1"/>
  <c r="AD564" i="1"/>
  <c r="AF564" i="1" s="1"/>
  <c r="AB564" i="1"/>
  <c r="AC564" i="1" s="1"/>
  <c r="AA564" i="1"/>
  <c r="T564" i="1"/>
  <c r="U564" i="1" s="1"/>
  <c r="W564" i="1" s="1"/>
  <c r="X564" i="1" s="1"/>
  <c r="Y564" i="1" s="1"/>
  <c r="AD563" i="1"/>
  <c r="AF563" i="1" s="1"/>
  <c r="AB563" i="1"/>
  <c r="AC563" i="1" s="1"/>
  <c r="AA563" i="1"/>
  <c r="T563" i="1"/>
  <c r="U563" i="1" s="1"/>
  <c r="W563" i="1" s="1"/>
  <c r="AD562" i="1"/>
  <c r="AF562" i="1" s="1"/>
  <c r="AB562" i="1"/>
  <c r="AC562" i="1" s="1"/>
  <c r="AA562" i="1"/>
  <c r="T562" i="1"/>
  <c r="U562" i="1" s="1"/>
  <c r="W562" i="1" s="1"/>
  <c r="AD561" i="1"/>
  <c r="AF561" i="1" s="1"/>
  <c r="AB561" i="1"/>
  <c r="AC561" i="1" s="1"/>
  <c r="AA561" i="1"/>
  <c r="T561" i="1"/>
  <c r="U561" i="1" s="1"/>
  <c r="W561" i="1" s="1"/>
  <c r="AD560" i="1"/>
  <c r="AF560" i="1" s="1"/>
  <c r="AB560" i="1"/>
  <c r="AC560" i="1" s="1"/>
  <c r="AA560" i="1"/>
  <c r="T560" i="1"/>
  <c r="U560" i="1" s="1"/>
  <c r="W560" i="1" s="1"/>
  <c r="X560" i="1" s="1"/>
  <c r="Y560" i="1" s="1"/>
  <c r="AD559" i="1"/>
  <c r="AF559" i="1" s="1"/>
  <c r="AB559" i="1"/>
  <c r="AC559" i="1" s="1"/>
  <c r="AA559" i="1"/>
  <c r="T559" i="1"/>
  <c r="U559" i="1" s="1"/>
  <c r="W559" i="1" s="1"/>
  <c r="AF558" i="1"/>
  <c r="AB558" i="1"/>
  <c r="AC558" i="1" s="1"/>
  <c r="AA558" i="1"/>
  <c r="T558" i="1"/>
  <c r="U558" i="1" s="1"/>
  <c r="W558" i="1" s="1"/>
  <c r="AD557" i="1"/>
  <c r="AF557" i="1" s="1"/>
  <c r="AB557" i="1"/>
  <c r="AC557" i="1" s="1"/>
  <c r="AA557" i="1"/>
  <c r="T557" i="1"/>
  <c r="U557" i="1" s="1"/>
  <c r="W557" i="1" s="1"/>
  <c r="AD556" i="1"/>
  <c r="AF556" i="1" s="1"/>
  <c r="AB556" i="1"/>
  <c r="AC556" i="1" s="1"/>
  <c r="AA556" i="1"/>
  <c r="T556" i="1"/>
  <c r="U556" i="1" s="1"/>
  <c r="W556" i="1" s="1"/>
  <c r="AF555" i="1"/>
  <c r="AC555" i="1"/>
  <c r="AA555" i="1"/>
  <c r="T555" i="1"/>
  <c r="U555" i="1" s="1"/>
  <c r="W555" i="1" s="1"/>
  <c r="AD554" i="1"/>
  <c r="AF554" i="1" s="1"/>
  <c r="AB554" i="1"/>
  <c r="AC554" i="1" s="1"/>
  <c r="AA554" i="1"/>
  <c r="T554" i="1"/>
  <c r="U554" i="1" s="1"/>
  <c r="W554" i="1" s="1"/>
  <c r="X554" i="1" s="1"/>
  <c r="AD553" i="1"/>
  <c r="AF553" i="1" s="1"/>
  <c r="AB553" i="1"/>
  <c r="AC553" i="1" s="1"/>
  <c r="AA553" i="1"/>
  <c r="T553" i="1"/>
  <c r="U553" i="1" s="1"/>
  <c r="W553" i="1" s="1"/>
  <c r="X553" i="1" s="1"/>
  <c r="AD552" i="1"/>
  <c r="AF552" i="1" s="1"/>
  <c r="AC552" i="1"/>
  <c r="AB552" i="1"/>
  <c r="AA552" i="1"/>
  <c r="T552" i="1"/>
  <c r="U552" i="1" s="1"/>
  <c r="W552" i="1" s="1"/>
  <c r="X552" i="1" s="1"/>
  <c r="Z551" i="1"/>
  <c r="T551" i="1"/>
  <c r="U551" i="1" s="1"/>
  <c r="W551" i="1" s="1"/>
  <c r="AD550" i="1"/>
  <c r="AF550" i="1" s="1"/>
  <c r="AB550" i="1"/>
  <c r="AC550" i="1" s="1"/>
  <c r="AA550" i="1"/>
  <c r="T550" i="1"/>
  <c r="U550" i="1" s="1"/>
  <c r="W550" i="1" s="1"/>
  <c r="X550" i="1" s="1"/>
  <c r="Y550" i="1" s="1"/>
  <c r="Z549" i="1"/>
  <c r="AB549" i="1" s="1"/>
  <c r="T549" i="1"/>
  <c r="U549" i="1" s="1"/>
  <c r="W549" i="1" s="1"/>
  <c r="AD548" i="1"/>
  <c r="AF548" i="1" s="1"/>
  <c r="AB548" i="1"/>
  <c r="AC548" i="1" s="1"/>
  <c r="AA548" i="1"/>
  <c r="T548" i="1"/>
  <c r="U548" i="1" s="1"/>
  <c r="W548" i="1" s="1"/>
  <c r="AD547" i="1"/>
  <c r="AF547" i="1" s="1"/>
  <c r="AB547" i="1"/>
  <c r="AC547" i="1" s="1"/>
  <c r="AA547" i="1"/>
  <c r="T547" i="1"/>
  <c r="U547" i="1" s="1"/>
  <c r="W547" i="1" s="1"/>
  <c r="AD546" i="1"/>
  <c r="AF546" i="1" s="1"/>
  <c r="AB546" i="1"/>
  <c r="AC546" i="1" s="1"/>
  <c r="AA546" i="1"/>
  <c r="T546" i="1"/>
  <c r="U546" i="1" s="1"/>
  <c r="W546" i="1" s="1"/>
  <c r="AD545" i="1"/>
  <c r="AF545" i="1" s="1"/>
  <c r="AB545" i="1"/>
  <c r="AC545" i="1" s="1"/>
  <c r="AA545" i="1"/>
  <c r="T545" i="1"/>
  <c r="U545" i="1" s="1"/>
  <c r="W545" i="1" s="1"/>
  <c r="X545" i="1" s="1"/>
  <c r="AD544" i="1"/>
  <c r="AF544" i="1" s="1"/>
  <c r="AB544" i="1"/>
  <c r="AC544" i="1" s="1"/>
  <c r="AA544" i="1"/>
  <c r="T544" i="1"/>
  <c r="U544" i="1" s="1"/>
  <c r="W544" i="1" s="1"/>
  <c r="AD543" i="1"/>
  <c r="AF543" i="1" s="1"/>
  <c r="AB543" i="1"/>
  <c r="AC543" i="1" s="1"/>
  <c r="AA543" i="1"/>
  <c r="T543" i="1"/>
  <c r="U543" i="1" s="1"/>
  <c r="W543" i="1" s="1"/>
  <c r="AD542" i="1"/>
  <c r="AF542" i="1" s="1"/>
  <c r="AB542" i="1"/>
  <c r="AC542" i="1" s="1"/>
  <c r="AA542" i="1"/>
  <c r="T542" i="1"/>
  <c r="U542" i="1" s="1"/>
  <c r="W542" i="1" s="1"/>
  <c r="AD541" i="1"/>
  <c r="AF541" i="1" s="1"/>
  <c r="AB541" i="1"/>
  <c r="AC541" i="1" s="1"/>
  <c r="AA541" i="1"/>
  <c r="T541" i="1"/>
  <c r="U541" i="1" s="1"/>
  <c r="W541" i="1" s="1"/>
  <c r="AD540" i="1"/>
  <c r="AF540" i="1" s="1"/>
  <c r="AB540" i="1"/>
  <c r="AC540" i="1" s="1"/>
  <c r="AA540" i="1"/>
  <c r="T540" i="1"/>
  <c r="U540" i="1" s="1"/>
  <c r="W540" i="1" s="1"/>
  <c r="X540" i="1" s="1"/>
  <c r="AD539" i="1"/>
  <c r="AF539" i="1" s="1"/>
  <c r="AB539" i="1"/>
  <c r="AC539" i="1" s="1"/>
  <c r="AA539" i="1"/>
  <c r="T539" i="1"/>
  <c r="U539" i="1" s="1"/>
  <c r="W539" i="1" s="1"/>
  <c r="X539" i="1" s="1"/>
  <c r="AD538" i="1"/>
  <c r="AF538" i="1" s="1"/>
  <c r="AB538" i="1"/>
  <c r="AC538" i="1" s="1"/>
  <c r="AA538" i="1"/>
  <c r="T538" i="1"/>
  <c r="U538" i="1" s="1"/>
  <c r="W538" i="1" s="1"/>
  <c r="X538" i="1" s="1"/>
  <c r="AD537" i="1"/>
  <c r="AF537" i="1" s="1"/>
  <c r="AC537" i="1"/>
  <c r="AB537" i="1"/>
  <c r="AA537" i="1"/>
  <c r="T537" i="1"/>
  <c r="U537" i="1" s="1"/>
  <c r="W537" i="1" s="1"/>
  <c r="X537" i="1" s="1"/>
  <c r="AD536" i="1"/>
  <c r="AF536" i="1" s="1"/>
  <c r="AB536" i="1"/>
  <c r="AC536" i="1" s="1"/>
  <c r="AA536" i="1"/>
  <c r="T536" i="1"/>
  <c r="U536" i="1" s="1"/>
  <c r="W536" i="1" s="1"/>
  <c r="AD535" i="1"/>
  <c r="AF535" i="1" s="1"/>
  <c r="AB535" i="1"/>
  <c r="AC535" i="1" s="1"/>
  <c r="AA535" i="1"/>
  <c r="T535" i="1"/>
  <c r="U535" i="1" s="1"/>
  <c r="W535" i="1" s="1"/>
  <c r="AD534" i="1"/>
  <c r="AF534" i="1" s="1"/>
  <c r="AB534" i="1"/>
  <c r="AC534" i="1" s="1"/>
  <c r="AA534" i="1"/>
  <c r="T534" i="1"/>
  <c r="U534" i="1" s="1"/>
  <c r="W534" i="1" s="1"/>
  <c r="AD533" i="1"/>
  <c r="AF533" i="1" s="1"/>
  <c r="AB533" i="1"/>
  <c r="AC533" i="1" s="1"/>
  <c r="AA533" i="1"/>
  <c r="T533" i="1"/>
  <c r="U533" i="1" s="1"/>
  <c r="W533" i="1" s="1"/>
  <c r="AD532" i="1"/>
  <c r="AF532" i="1" s="1"/>
  <c r="AB532" i="1"/>
  <c r="AC532" i="1" s="1"/>
  <c r="AA532" i="1"/>
  <c r="T532" i="1"/>
  <c r="U532" i="1" s="1"/>
  <c r="W532" i="1" s="1"/>
  <c r="AD531" i="1"/>
  <c r="AF531" i="1" s="1"/>
  <c r="AB531" i="1"/>
  <c r="AC531" i="1" s="1"/>
  <c r="AA531" i="1"/>
  <c r="T531" i="1"/>
  <c r="U531" i="1" s="1"/>
  <c r="W531" i="1" s="1"/>
  <c r="X531" i="1" s="1"/>
  <c r="AD530" i="1"/>
  <c r="AF530" i="1" s="1"/>
  <c r="AB530" i="1"/>
  <c r="AC530" i="1" s="1"/>
  <c r="AA530" i="1"/>
  <c r="T530" i="1"/>
  <c r="U530" i="1" s="1"/>
  <c r="W530" i="1" s="1"/>
  <c r="X530" i="1" s="1"/>
  <c r="AD529" i="1"/>
  <c r="AF529" i="1" s="1"/>
  <c r="AB529" i="1"/>
  <c r="AC529" i="1" s="1"/>
  <c r="AA529" i="1"/>
  <c r="T529" i="1"/>
  <c r="U529" i="1" s="1"/>
  <c r="W529" i="1" s="1"/>
  <c r="X529" i="1" s="1"/>
  <c r="AD528" i="1"/>
  <c r="AF528" i="1" s="1"/>
  <c r="AB528" i="1"/>
  <c r="AC528" i="1" s="1"/>
  <c r="AA528" i="1"/>
  <c r="T528" i="1"/>
  <c r="U528" i="1" s="1"/>
  <c r="W528" i="1" s="1"/>
  <c r="AD527" i="1"/>
  <c r="AF527" i="1" s="1"/>
  <c r="AB527" i="1"/>
  <c r="AC527" i="1" s="1"/>
  <c r="AA527" i="1"/>
  <c r="T527" i="1"/>
  <c r="U527" i="1" s="1"/>
  <c r="W527" i="1" s="1"/>
  <c r="AD526" i="1"/>
  <c r="AF526" i="1" s="1"/>
  <c r="AB526" i="1"/>
  <c r="AC526" i="1" s="1"/>
  <c r="AA526" i="1"/>
  <c r="T526" i="1"/>
  <c r="U526" i="1" s="1"/>
  <c r="W526" i="1" s="1"/>
  <c r="AD525" i="1"/>
  <c r="AF525" i="1" s="1"/>
  <c r="AB525" i="1"/>
  <c r="AC525" i="1" s="1"/>
  <c r="AA525" i="1"/>
  <c r="T525" i="1"/>
  <c r="U525" i="1" s="1"/>
  <c r="W525" i="1" s="1"/>
  <c r="AD524" i="1"/>
  <c r="AF524" i="1" s="1"/>
  <c r="AB524" i="1"/>
  <c r="AC524" i="1" s="1"/>
  <c r="AA524" i="1"/>
  <c r="T524" i="1"/>
  <c r="U524" i="1" s="1"/>
  <c r="W524" i="1" s="1"/>
  <c r="X524" i="1" s="1"/>
  <c r="AD523" i="1"/>
  <c r="AF523" i="1" s="1"/>
  <c r="AB523" i="1"/>
  <c r="AC523" i="1" s="1"/>
  <c r="AA523" i="1"/>
  <c r="T523" i="1"/>
  <c r="U523" i="1" s="1"/>
  <c r="W523" i="1" s="1"/>
  <c r="AD522" i="1"/>
  <c r="AF522" i="1" s="1"/>
  <c r="AB522" i="1"/>
  <c r="AC522" i="1" s="1"/>
  <c r="AA522" i="1"/>
  <c r="T522" i="1"/>
  <c r="U522" i="1" s="1"/>
  <c r="W522" i="1" s="1"/>
  <c r="AD521" i="1"/>
  <c r="AF521" i="1" s="1"/>
  <c r="AB521" i="1"/>
  <c r="AC521" i="1" s="1"/>
  <c r="AA521" i="1"/>
  <c r="T521" i="1"/>
  <c r="U521" i="1" s="1"/>
  <c r="W521" i="1" s="1"/>
  <c r="X521" i="1" s="1"/>
  <c r="AD520" i="1"/>
  <c r="AF520" i="1" s="1"/>
  <c r="AB520" i="1"/>
  <c r="AC520" i="1" s="1"/>
  <c r="AA520" i="1"/>
  <c r="T520" i="1"/>
  <c r="U520" i="1" s="1"/>
  <c r="W520" i="1" s="1"/>
  <c r="AD519" i="1"/>
  <c r="AF519" i="1" s="1"/>
  <c r="AB519" i="1"/>
  <c r="AC519" i="1" s="1"/>
  <c r="AA519" i="1"/>
  <c r="T519" i="1"/>
  <c r="U519" i="1" s="1"/>
  <c r="W519" i="1" s="1"/>
  <c r="AD518" i="1"/>
  <c r="AF518" i="1" s="1"/>
  <c r="AB518" i="1"/>
  <c r="AC518" i="1" s="1"/>
  <c r="AA518" i="1"/>
  <c r="T518" i="1"/>
  <c r="U518" i="1" s="1"/>
  <c r="W518" i="1" s="1"/>
  <c r="AD517" i="1"/>
  <c r="AF517" i="1" s="1"/>
  <c r="AB517" i="1"/>
  <c r="AC517" i="1" s="1"/>
  <c r="AA517" i="1"/>
  <c r="T517" i="1"/>
  <c r="U517" i="1" s="1"/>
  <c r="W517" i="1" s="1"/>
  <c r="AD516" i="1"/>
  <c r="AF516" i="1" s="1"/>
  <c r="AB516" i="1"/>
  <c r="AC516" i="1" s="1"/>
  <c r="AA516" i="1"/>
  <c r="T516" i="1"/>
  <c r="U516" i="1" s="1"/>
  <c r="W516" i="1" s="1"/>
  <c r="X516" i="1" s="1"/>
  <c r="AD515" i="1"/>
  <c r="AF515" i="1" s="1"/>
  <c r="AB515" i="1"/>
  <c r="AC515" i="1" s="1"/>
  <c r="AA515" i="1"/>
  <c r="T515" i="1"/>
  <c r="U515" i="1" s="1"/>
  <c r="W515" i="1" s="1"/>
  <c r="X515" i="1" s="1"/>
  <c r="AD514" i="1"/>
  <c r="AF514" i="1" s="1"/>
  <c r="AB514" i="1"/>
  <c r="AC514" i="1" s="1"/>
  <c r="AA514" i="1"/>
  <c r="T514" i="1"/>
  <c r="U514" i="1" s="1"/>
  <c r="W514" i="1" s="1"/>
  <c r="X514" i="1" s="1"/>
  <c r="AD513" i="1"/>
  <c r="AF513" i="1" s="1"/>
  <c r="AB513" i="1"/>
  <c r="AC513" i="1" s="1"/>
  <c r="AA513" i="1"/>
  <c r="T513" i="1"/>
  <c r="U513" i="1" s="1"/>
  <c r="W513" i="1" s="1"/>
  <c r="X513" i="1" s="1"/>
  <c r="AD512" i="1"/>
  <c r="AF512" i="1" s="1"/>
  <c r="AB512" i="1"/>
  <c r="AC512" i="1" s="1"/>
  <c r="AA512" i="1"/>
  <c r="T512" i="1"/>
  <c r="U512" i="1" s="1"/>
  <c r="W512" i="1" s="1"/>
  <c r="AD511" i="1"/>
  <c r="AF511" i="1" s="1"/>
  <c r="AB511" i="1"/>
  <c r="AC511" i="1" s="1"/>
  <c r="AA511" i="1"/>
  <c r="T511" i="1"/>
  <c r="U511" i="1" s="1"/>
  <c r="W511" i="1" s="1"/>
  <c r="AD510" i="1"/>
  <c r="AF510" i="1" s="1"/>
  <c r="AB510" i="1"/>
  <c r="AC510" i="1" s="1"/>
  <c r="AA510" i="1"/>
  <c r="T510" i="1"/>
  <c r="U510" i="1" s="1"/>
  <c r="W510" i="1" s="1"/>
  <c r="AD509" i="1"/>
  <c r="AF509" i="1" s="1"/>
  <c r="AB509" i="1"/>
  <c r="AC509" i="1" s="1"/>
  <c r="AA509" i="1"/>
  <c r="T509" i="1"/>
  <c r="U509" i="1" s="1"/>
  <c r="W509" i="1" s="1"/>
  <c r="AD508" i="1"/>
  <c r="AF508" i="1" s="1"/>
  <c r="AB508" i="1"/>
  <c r="AC508" i="1" s="1"/>
  <c r="AA508" i="1"/>
  <c r="T508" i="1"/>
  <c r="U508" i="1" s="1"/>
  <c r="W508" i="1" s="1"/>
  <c r="X508" i="1" s="1"/>
  <c r="AD507" i="1"/>
  <c r="AF507" i="1" s="1"/>
  <c r="AB507" i="1"/>
  <c r="AC507" i="1" s="1"/>
  <c r="AA507" i="1"/>
  <c r="T507" i="1"/>
  <c r="U507" i="1" s="1"/>
  <c r="W507" i="1" s="1"/>
  <c r="AD506" i="1"/>
  <c r="AF506" i="1" s="1"/>
  <c r="AB506" i="1"/>
  <c r="AC506" i="1" s="1"/>
  <c r="AA506" i="1"/>
  <c r="T506" i="1"/>
  <c r="U506" i="1" s="1"/>
  <c r="W506" i="1" s="1"/>
  <c r="AD505" i="1"/>
  <c r="AF505" i="1" s="1"/>
  <c r="AB505" i="1"/>
  <c r="AC505" i="1" s="1"/>
  <c r="AA505" i="1"/>
  <c r="T505" i="1"/>
  <c r="U505" i="1" s="1"/>
  <c r="W505" i="1" s="1"/>
  <c r="X505" i="1" s="1"/>
  <c r="AD504" i="1"/>
  <c r="AF504" i="1" s="1"/>
  <c r="AB504" i="1"/>
  <c r="AC504" i="1" s="1"/>
  <c r="AA504" i="1"/>
  <c r="T504" i="1"/>
  <c r="U504" i="1" s="1"/>
  <c r="W504" i="1" s="1"/>
  <c r="AD503" i="1"/>
  <c r="AF503" i="1" s="1"/>
  <c r="AB503" i="1"/>
  <c r="AC503" i="1" s="1"/>
  <c r="AA503" i="1"/>
  <c r="T503" i="1"/>
  <c r="U503" i="1" s="1"/>
  <c r="W503" i="1" s="1"/>
  <c r="AD502" i="1"/>
  <c r="AF502" i="1" s="1"/>
  <c r="AB502" i="1"/>
  <c r="AC502" i="1" s="1"/>
  <c r="AA502" i="1"/>
  <c r="T502" i="1"/>
  <c r="U502" i="1" s="1"/>
  <c r="W502" i="1" s="1"/>
  <c r="AD501" i="1"/>
  <c r="AF501" i="1" s="1"/>
  <c r="AB501" i="1"/>
  <c r="AC501" i="1" s="1"/>
  <c r="AA501" i="1"/>
  <c r="T501" i="1"/>
  <c r="U501" i="1" s="1"/>
  <c r="W501" i="1" s="1"/>
  <c r="AD500" i="1"/>
  <c r="AF500" i="1" s="1"/>
  <c r="AB500" i="1"/>
  <c r="AC500" i="1" s="1"/>
  <c r="AA500" i="1"/>
  <c r="T500" i="1"/>
  <c r="U500" i="1" s="1"/>
  <c r="W500" i="1" s="1"/>
  <c r="AD499" i="1"/>
  <c r="AF499" i="1" s="1"/>
  <c r="AB499" i="1"/>
  <c r="AC499" i="1" s="1"/>
  <c r="AA499" i="1"/>
  <c r="T499" i="1"/>
  <c r="U499" i="1" s="1"/>
  <c r="W499" i="1" s="1"/>
  <c r="X499" i="1" s="1"/>
  <c r="AD498" i="1"/>
  <c r="AF498" i="1" s="1"/>
  <c r="AB498" i="1"/>
  <c r="AC498" i="1" s="1"/>
  <c r="AA498" i="1"/>
  <c r="T498" i="1"/>
  <c r="U498" i="1" s="1"/>
  <c r="W498" i="1" s="1"/>
  <c r="X498" i="1" s="1"/>
  <c r="AD497" i="1"/>
  <c r="AF497" i="1" s="1"/>
  <c r="AB497" i="1"/>
  <c r="AC497" i="1" s="1"/>
  <c r="AA497" i="1"/>
  <c r="T497" i="1"/>
  <c r="U497" i="1" s="1"/>
  <c r="W497" i="1" s="1"/>
  <c r="X497" i="1" s="1"/>
  <c r="AD496" i="1"/>
  <c r="AF496" i="1" s="1"/>
  <c r="AB496" i="1"/>
  <c r="AC496" i="1" s="1"/>
  <c r="AA496" i="1"/>
  <c r="T496" i="1"/>
  <c r="U496" i="1" s="1"/>
  <c r="W496" i="1" s="1"/>
  <c r="AD495" i="1"/>
  <c r="AF495" i="1" s="1"/>
  <c r="AB495" i="1"/>
  <c r="AC495" i="1" s="1"/>
  <c r="AA495" i="1"/>
  <c r="T495" i="1"/>
  <c r="U495" i="1" s="1"/>
  <c r="W495" i="1" s="1"/>
  <c r="AD494" i="1"/>
  <c r="AF494" i="1" s="1"/>
  <c r="AB494" i="1"/>
  <c r="AC494" i="1" s="1"/>
  <c r="AA494" i="1"/>
  <c r="T494" i="1"/>
  <c r="U494" i="1" s="1"/>
  <c r="W494" i="1" s="1"/>
  <c r="AD493" i="1"/>
  <c r="AF493" i="1" s="1"/>
  <c r="AB493" i="1"/>
  <c r="AC493" i="1" s="1"/>
  <c r="AA493" i="1"/>
  <c r="T493" i="1"/>
  <c r="U493" i="1" s="1"/>
  <c r="W493" i="1" s="1"/>
  <c r="AD492" i="1"/>
  <c r="AF492" i="1" s="1"/>
  <c r="AB492" i="1"/>
  <c r="AC492" i="1" s="1"/>
  <c r="AA492" i="1"/>
  <c r="T492" i="1"/>
  <c r="U492" i="1" s="1"/>
  <c r="W492" i="1" s="1"/>
  <c r="X492" i="1" s="1"/>
  <c r="AD491" i="1"/>
  <c r="AF491" i="1" s="1"/>
  <c r="AB491" i="1"/>
  <c r="AC491" i="1" s="1"/>
  <c r="AA491" i="1"/>
  <c r="T491" i="1"/>
  <c r="U491" i="1" s="1"/>
  <c r="W491" i="1" s="1"/>
  <c r="AF490" i="1"/>
  <c r="AB490" i="1"/>
  <c r="AC490" i="1" s="1"/>
  <c r="AA490" i="1"/>
  <c r="T490" i="1"/>
  <c r="U490" i="1" s="1"/>
  <c r="W490" i="1" s="1"/>
  <c r="X490" i="1" s="1"/>
  <c r="Y490" i="1" s="1"/>
  <c r="AD489" i="1"/>
  <c r="AF489" i="1" s="1"/>
  <c r="AB489" i="1"/>
  <c r="AC489" i="1" s="1"/>
  <c r="AA489" i="1"/>
  <c r="T489" i="1"/>
  <c r="U489" i="1" s="1"/>
  <c r="W489" i="1" s="1"/>
  <c r="Z488" i="1"/>
  <c r="T488" i="1"/>
  <c r="U488" i="1" s="1"/>
  <c r="W488" i="1" s="1"/>
  <c r="X488" i="1" s="1"/>
  <c r="AD487" i="1"/>
  <c r="AF487" i="1" s="1"/>
  <c r="AC487" i="1"/>
  <c r="AB487" i="1"/>
  <c r="AA487" i="1"/>
  <c r="T487" i="1"/>
  <c r="U487" i="1" s="1"/>
  <c r="W487" i="1" s="1"/>
  <c r="X487" i="1" s="1"/>
  <c r="AD486" i="1"/>
  <c r="AF486" i="1" s="1"/>
  <c r="AB486" i="1"/>
  <c r="AC486" i="1" s="1"/>
  <c r="AA486" i="1"/>
  <c r="T486" i="1"/>
  <c r="U486" i="1" s="1"/>
  <c r="W486" i="1" s="1"/>
  <c r="AD485" i="1"/>
  <c r="AF485" i="1" s="1"/>
  <c r="AB485" i="1"/>
  <c r="AC485" i="1" s="1"/>
  <c r="AA485" i="1"/>
  <c r="T485" i="1"/>
  <c r="U485" i="1" s="1"/>
  <c r="W485" i="1" s="1"/>
  <c r="AD484" i="1"/>
  <c r="AF484" i="1" s="1"/>
  <c r="AB484" i="1"/>
  <c r="AC484" i="1" s="1"/>
  <c r="AA484" i="1"/>
  <c r="T484" i="1"/>
  <c r="U484" i="1" s="1"/>
  <c r="W484" i="1" s="1"/>
  <c r="AD483" i="1"/>
  <c r="AF483" i="1" s="1"/>
  <c r="AB483" i="1"/>
  <c r="AC483" i="1" s="1"/>
  <c r="AA483" i="1"/>
  <c r="T483" i="1"/>
  <c r="U483" i="1" s="1"/>
  <c r="W483" i="1" s="1"/>
  <c r="AD482" i="1"/>
  <c r="AF482" i="1" s="1"/>
  <c r="AB482" i="1"/>
  <c r="AC482" i="1" s="1"/>
  <c r="AA482" i="1"/>
  <c r="T482" i="1"/>
  <c r="U482" i="1" s="1"/>
  <c r="W482" i="1" s="1"/>
  <c r="X482" i="1" s="1"/>
  <c r="AD481" i="1"/>
  <c r="AF481" i="1" s="1"/>
  <c r="AB481" i="1"/>
  <c r="AC481" i="1" s="1"/>
  <c r="AA481" i="1"/>
  <c r="T481" i="1"/>
  <c r="U481" i="1" s="1"/>
  <c r="W481" i="1" s="1"/>
  <c r="AD480" i="1"/>
  <c r="AF480" i="1" s="1"/>
  <c r="AB480" i="1"/>
  <c r="AC480" i="1" s="1"/>
  <c r="AA480" i="1"/>
  <c r="T480" i="1"/>
  <c r="U480" i="1" s="1"/>
  <c r="W480" i="1" s="1"/>
  <c r="AD479" i="1"/>
  <c r="AF479" i="1" s="1"/>
  <c r="AB479" i="1"/>
  <c r="AC479" i="1" s="1"/>
  <c r="AA479" i="1"/>
  <c r="T479" i="1"/>
  <c r="U479" i="1" s="1"/>
  <c r="W479" i="1" s="1"/>
  <c r="X479" i="1" s="1"/>
  <c r="AD478" i="1"/>
  <c r="AF478" i="1" s="1"/>
  <c r="AB478" i="1"/>
  <c r="AC478" i="1" s="1"/>
  <c r="AA478" i="1"/>
  <c r="T478" i="1"/>
  <c r="U478" i="1" s="1"/>
  <c r="W478" i="1" s="1"/>
  <c r="AF477" i="1"/>
  <c r="AB477" i="1"/>
  <c r="AC477" i="1" s="1"/>
  <c r="AA477" i="1"/>
  <c r="T477" i="1"/>
  <c r="U477" i="1" s="1"/>
  <c r="W477" i="1" s="1"/>
  <c r="AF476" i="1"/>
  <c r="AB476" i="1"/>
  <c r="AC476" i="1" s="1"/>
  <c r="AA476" i="1"/>
  <c r="T476" i="1"/>
  <c r="U476" i="1" s="1"/>
  <c r="W476" i="1" s="1"/>
  <c r="AD475" i="1"/>
  <c r="AF475" i="1" s="1"/>
  <c r="AB475" i="1"/>
  <c r="AC475" i="1" s="1"/>
  <c r="AA475" i="1"/>
  <c r="T475" i="1"/>
  <c r="U475" i="1" s="1"/>
  <c r="W475" i="1" s="1"/>
  <c r="X475" i="1" s="1"/>
  <c r="AD474" i="1"/>
  <c r="AF474" i="1" s="1"/>
  <c r="AB474" i="1"/>
  <c r="AC474" i="1" s="1"/>
  <c r="AA474" i="1"/>
  <c r="T474" i="1"/>
  <c r="U474" i="1" s="1"/>
  <c r="W474" i="1" s="1"/>
  <c r="X474" i="1" s="1"/>
  <c r="AD473" i="1"/>
  <c r="AF473" i="1" s="1"/>
  <c r="AB473" i="1"/>
  <c r="AC473" i="1" s="1"/>
  <c r="AA473" i="1"/>
  <c r="T473" i="1"/>
  <c r="U473" i="1" s="1"/>
  <c r="W473" i="1" s="1"/>
  <c r="AD472" i="1"/>
  <c r="AF472" i="1" s="1"/>
  <c r="AB472" i="1"/>
  <c r="AC472" i="1" s="1"/>
  <c r="AA472" i="1"/>
  <c r="T472" i="1"/>
  <c r="U472" i="1" s="1"/>
  <c r="W472" i="1" s="1"/>
  <c r="X472" i="1" s="1"/>
  <c r="AD471" i="1"/>
  <c r="AF471" i="1" s="1"/>
  <c r="AB471" i="1"/>
  <c r="AC471" i="1" s="1"/>
  <c r="AA471" i="1"/>
  <c r="T471" i="1"/>
  <c r="U471" i="1" s="1"/>
  <c r="W471" i="1" s="1"/>
  <c r="AD470" i="1"/>
  <c r="AF470" i="1" s="1"/>
  <c r="AB470" i="1"/>
  <c r="AC470" i="1" s="1"/>
  <c r="AA470" i="1"/>
  <c r="T470" i="1"/>
  <c r="U470" i="1" s="1"/>
  <c r="W470" i="1" s="1"/>
  <c r="AD469" i="1"/>
  <c r="AF469" i="1" s="1"/>
  <c r="AB469" i="1"/>
  <c r="AC469" i="1" s="1"/>
  <c r="AA469" i="1"/>
  <c r="T469" i="1"/>
  <c r="U469" i="1" s="1"/>
  <c r="W469" i="1" s="1"/>
  <c r="AD468" i="1"/>
  <c r="AF468" i="1" s="1"/>
  <c r="AB468" i="1"/>
  <c r="AC468" i="1" s="1"/>
  <c r="AA468" i="1"/>
  <c r="T468" i="1"/>
  <c r="U468" i="1" s="1"/>
  <c r="W468" i="1" s="1"/>
  <c r="AD467" i="1"/>
  <c r="AF467" i="1" s="1"/>
  <c r="AC467" i="1"/>
  <c r="AB467" i="1"/>
  <c r="AA467" i="1"/>
  <c r="T467" i="1"/>
  <c r="U467" i="1" s="1"/>
  <c r="W467" i="1" s="1"/>
  <c r="X467" i="1" s="1"/>
  <c r="AD466" i="1"/>
  <c r="AF466" i="1" s="1"/>
  <c r="AC466" i="1"/>
  <c r="AB466" i="1"/>
  <c r="AA466" i="1"/>
  <c r="T466" i="1"/>
  <c r="U466" i="1" s="1"/>
  <c r="W466" i="1" s="1"/>
  <c r="AD465" i="1"/>
  <c r="AF465" i="1" s="1"/>
  <c r="AB465" i="1"/>
  <c r="AC465" i="1" s="1"/>
  <c r="AA465" i="1"/>
  <c r="T465" i="1"/>
  <c r="U465" i="1" s="1"/>
  <c r="W465" i="1" s="1"/>
  <c r="AD464" i="1"/>
  <c r="AF464" i="1" s="1"/>
  <c r="AB464" i="1"/>
  <c r="AC464" i="1" s="1"/>
  <c r="AA464" i="1"/>
  <c r="T464" i="1"/>
  <c r="U464" i="1" s="1"/>
  <c r="W464" i="1" s="1"/>
  <c r="X464" i="1" s="1"/>
  <c r="AD463" i="1"/>
  <c r="AF463" i="1" s="1"/>
  <c r="AC463" i="1"/>
  <c r="AB463" i="1"/>
  <c r="AA463" i="1"/>
  <c r="T463" i="1"/>
  <c r="U463" i="1" s="1"/>
  <c r="W463" i="1" s="1"/>
  <c r="AD462" i="1"/>
  <c r="AF462" i="1" s="1"/>
  <c r="AB462" i="1"/>
  <c r="AC462" i="1" s="1"/>
  <c r="AA462" i="1"/>
  <c r="T462" i="1"/>
  <c r="U462" i="1" s="1"/>
  <c r="W462" i="1" s="1"/>
  <c r="AD461" i="1"/>
  <c r="AF461" i="1" s="1"/>
  <c r="AC461" i="1"/>
  <c r="AB461" i="1"/>
  <c r="AA461" i="1"/>
  <c r="T461" i="1"/>
  <c r="U461" i="1" s="1"/>
  <c r="W461" i="1" s="1"/>
  <c r="AD460" i="1"/>
  <c r="AF460" i="1" s="1"/>
  <c r="AB460" i="1"/>
  <c r="AC460" i="1" s="1"/>
  <c r="AA460" i="1"/>
  <c r="T460" i="1"/>
  <c r="U460" i="1" s="1"/>
  <c r="W460" i="1" s="1"/>
  <c r="AD459" i="1"/>
  <c r="AF459" i="1" s="1"/>
  <c r="AB459" i="1"/>
  <c r="AC459" i="1" s="1"/>
  <c r="AA459" i="1"/>
  <c r="T459" i="1"/>
  <c r="U459" i="1" s="1"/>
  <c r="W459" i="1" s="1"/>
  <c r="AD458" i="1"/>
  <c r="AF458" i="1" s="1"/>
  <c r="AB458" i="1"/>
  <c r="AC458" i="1" s="1"/>
  <c r="AA458" i="1"/>
  <c r="T458" i="1"/>
  <c r="U458" i="1" s="1"/>
  <c r="W458" i="1" s="1"/>
  <c r="X458" i="1" s="1"/>
  <c r="AF457" i="1"/>
  <c r="AB457" i="1"/>
  <c r="AC457" i="1" s="1"/>
  <c r="AA457" i="1"/>
  <c r="T457" i="1"/>
  <c r="U457" i="1" s="1"/>
  <c r="W457" i="1" s="1"/>
  <c r="AD456" i="1"/>
  <c r="AF456" i="1" s="1"/>
  <c r="AB456" i="1"/>
  <c r="AC456" i="1" s="1"/>
  <c r="AA456" i="1"/>
  <c r="T456" i="1"/>
  <c r="U456" i="1" s="1"/>
  <c r="W456" i="1" s="1"/>
  <c r="AD455" i="1"/>
  <c r="AF455" i="1" s="1"/>
  <c r="AC455" i="1"/>
  <c r="AB455" i="1"/>
  <c r="AA455" i="1"/>
  <c r="T455" i="1"/>
  <c r="U455" i="1" s="1"/>
  <c r="W455" i="1" s="1"/>
  <c r="AD454" i="1"/>
  <c r="AF454" i="1" s="1"/>
  <c r="AB454" i="1"/>
  <c r="AC454" i="1" s="1"/>
  <c r="AA454" i="1"/>
  <c r="T454" i="1"/>
  <c r="U454" i="1" s="1"/>
  <c r="W454" i="1" s="1"/>
  <c r="AD453" i="1"/>
  <c r="AF453" i="1" s="1"/>
  <c r="AB453" i="1"/>
  <c r="AC453" i="1" s="1"/>
  <c r="AA453" i="1"/>
  <c r="T453" i="1"/>
  <c r="U453" i="1" s="1"/>
  <c r="W453" i="1" s="1"/>
  <c r="X453" i="1" s="1"/>
  <c r="AD452" i="1"/>
  <c r="AF452" i="1" s="1"/>
  <c r="AB452" i="1"/>
  <c r="AC452" i="1" s="1"/>
  <c r="AA452" i="1"/>
  <c r="T452" i="1"/>
  <c r="U452" i="1" s="1"/>
  <c r="W452" i="1" s="1"/>
  <c r="AD451" i="1"/>
  <c r="AF451" i="1" s="1"/>
  <c r="AB451" i="1"/>
  <c r="AC451" i="1" s="1"/>
  <c r="AA451" i="1"/>
  <c r="T451" i="1"/>
  <c r="U451" i="1" s="1"/>
  <c r="W451" i="1" s="1"/>
  <c r="AD450" i="1"/>
  <c r="AF450" i="1" s="1"/>
  <c r="AC450" i="1"/>
  <c r="AB450" i="1"/>
  <c r="AA450" i="1"/>
  <c r="T450" i="1"/>
  <c r="U450" i="1" s="1"/>
  <c r="W450" i="1" s="1"/>
  <c r="AD449" i="1"/>
  <c r="AF449" i="1" s="1"/>
  <c r="AB449" i="1"/>
  <c r="AC449" i="1" s="1"/>
  <c r="AA449" i="1"/>
  <c r="T449" i="1"/>
  <c r="U449" i="1" s="1"/>
  <c r="W449" i="1" s="1"/>
  <c r="X449" i="1" s="1"/>
  <c r="AD448" i="1"/>
  <c r="AF448" i="1" s="1"/>
  <c r="AB448" i="1"/>
  <c r="AC448" i="1" s="1"/>
  <c r="AA448" i="1"/>
  <c r="T448" i="1"/>
  <c r="U448" i="1" s="1"/>
  <c r="W448" i="1" s="1"/>
  <c r="X448" i="1" s="1"/>
  <c r="AD447" i="1"/>
  <c r="AF447" i="1" s="1"/>
  <c r="AB447" i="1"/>
  <c r="AC447" i="1" s="1"/>
  <c r="AA447" i="1"/>
  <c r="T447" i="1"/>
  <c r="U447" i="1" s="1"/>
  <c r="W447" i="1" s="1"/>
  <c r="X447" i="1" s="1"/>
  <c r="AD446" i="1"/>
  <c r="AF446" i="1" s="1"/>
  <c r="AB446" i="1"/>
  <c r="AC446" i="1" s="1"/>
  <c r="AA446" i="1"/>
  <c r="T446" i="1"/>
  <c r="U446" i="1" s="1"/>
  <c r="W446" i="1" s="1"/>
  <c r="AD445" i="1"/>
  <c r="AF445" i="1" s="1"/>
  <c r="AB445" i="1"/>
  <c r="AC445" i="1" s="1"/>
  <c r="AA445" i="1"/>
  <c r="T445" i="1"/>
  <c r="U445" i="1" s="1"/>
  <c r="W445" i="1" s="1"/>
  <c r="X445" i="1" s="1"/>
  <c r="AD444" i="1"/>
  <c r="AF444" i="1" s="1"/>
  <c r="AB444" i="1"/>
  <c r="AC444" i="1" s="1"/>
  <c r="AA444" i="1"/>
  <c r="T444" i="1"/>
  <c r="U444" i="1" s="1"/>
  <c r="W444" i="1" s="1"/>
  <c r="X444" i="1" s="1"/>
  <c r="AD443" i="1"/>
  <c r="AF443" i="1" s="1"/>
  <c r="AB443" i="1"/>
  <c r="AC443" i="1" s="1"/>
  <c r="AA443" i="1"/>
  <c r="T443" i="1"/>
  <c r="U443" i="1" s="1"/>
  <c r="W443" i="1" s="1"/>
  <c r="AD442" i="1"/>
  <c r="AF442" i="1" s="1"/>
  <c r="AB442" i="1"/>
  <c r="AC442" i="1" s="1"/>
  <c r="AA442" i="1"/>
  <c r="T442" i="1"/>
  <c r="U442" i="1" s="1"/>
  <c r="W442" i="1" s="1"/>
  <c r="AD441" i="1"/>
  <c r="AF441" i="1" s="1"/>
  <c r="AB441" i="1"/>
  <c r="AC441" i="1" s="1"/>
  <c r="AA441" i="1"/>
  <c r="T441" i="1"/>
  <c r="U441" i="1" s="1"/>
  <c r="W441" i="1" s="1"/>
  <c r="X441" i="1" s="1"/>
  <c r="AF440" i="1"/>
  <c r="AB440" i="1"/>
  <c r="AC440" i="1" s="1"/>
  <c r="AA440" i="1"/>
  <c r="T440" i="1"/>
  <c r="U440" i="1" s="1"/>
  <c r="W440" i="1" s="1"/>
  <c r="AF439" i="1"/>
  <c r="AB439" i="1"/>
  <c r="AC439" i="1" s="1"/>
  <c r="AA439" i="1"/>
  <c r="T439" i="1"/>
  <c r="U439" i="1" s="1"/>
  <c r="W439" i="1" s="1"/>
  <c r="AF438" i="1"/>
  <c r="AB438" i="1"/>
  <c r="AC438" i="1" s="1"/>
  <c r="AA438" i="1"/>
  <c r="T438" i="1"/>
  <c r="U438" i="1" s="1"/>
  <c r="W438" i="1" s="1"/>
  <c r="X438" i="1" s="1"/>
  <c r="AF437" i="1"/>
  <c r="AB437" i="1"/>
  <c r="AC437" i="1" s="1"/>
  <c r="AA437" i="1"/>
  <c r="T437" i="1"/>
  <c r="U437" i="1" s="1"/>
  <c r="W437" i="1" s="1"/>
  <c r="X437" i="1" s="1"/>
  <c r="AD436" i="1"/>
  <c r="AF436" i="1" s="1"/>
  <c r="AB436" i="1"/>
  <c r="AC436" i="1" s="1"/>
  <c r="AA436" i="1"/>
  <c r="T436" i="1"/>
  <c r="U436" i="1" s="1"/>
  <c r="W436" i="1" s="1"/>
  <c r="AD435" i="1"/>
  <c r="AF435" i="1" s="1"/>
  <c r="AB435" i="1"/>
  <c r="AC435" i="1" s="1"/>
  <c r="AA435" i="1"/>
  <c r="T435" i="1"/>
  <c r="U435" i="1" s="1"/>
  <c r="W435" i="1" s="1"/>
  <c r="AD434" i="1"/>
  <c r="AF434" i="1" s="1"/>
  <c r="AB434" i="1"/>
  <c r="AC434" i="1" s="1"/>
  <c r="AA434" i="1"/>
  <c r="T434" i="1"/>
  <c r="U434" i="1" s="1"/>
  <c r="W434" i="1" s="1"/>
  <c r="AD433" i="1"/>
  <c r="AF433" i="1" s="1"/>
  <c r="AB433" i="1"/>
  <c r="AC433" i="1" s="1"/>
  <c r="AA433" i="1"/>
  <c r="T433" i="1"/>
  <c r="U433" i="1" s="1"/>
  <c r="W433" i="1" s="1"/>
  <c r="AD432" i="1"/>
  <c r="AF432" i="1" s="1"/>
  <c r="AB432" i="1"/>
  <c r="AC432" i="1" s="1"/>
  <c r="AA432" i="1"/>
  <c r="T432" i="1"/>
  <c r="U432" i="1" s="1"/>
  <c r="W432" i="1" s="1"/>
  <c r="AD431" i="1"/>
  <c r="AF431" i="1" s="1"/>
  <c r="AB431" i="1"/>
  <c r="AC431" i="1" s="1"/>
  <c r="AA431" i="1"/>
  <c r="T431" i="1"/>
  <c r="U431" i="1" s="1"/>
  <c r="W431" i="1" s="1"/>
  <c r="AD430" i="1"/>
  <c r="AF430" i="1" s="1"/>
  <c r="AB430" i="1"/>
  <c r="AC430" i="1" s="1"/>
  <c r="AA430" i="1"/>
  <c r="T430" i="1"/>
  <c r="U430" i="1" s="1"/>
  <c r="W430" i="1" s="1"/>
  <c r="AD429" i="1"/>
  <c r="AF429" i="1" s="1"/>
  <c r="AB429" i="1"/>
  <c r="AC429" i="1" s="1"/>
  <c r="AA429" i="1"/>
  <c r="T429" i="1"/>
  <c r="U429" i="1" s="1"/>
  <c r="W429" i="1" s="1"/>
  <c r="AD428" i="1"/>
  <c r="AF428" i="1" s="1"/>
  <c r="AB428" i="1"/>
  <c r="AC428" i="1" s="1"/>
  <c r="AA428" i="1"/>
  <c r="T428" i="1"/>
  <c r="U428" i="1" s="1"/>
  <c r="W428" i="1" s="1"/>
  <c r="AD427" i="1"/>
  <c r="AF427" i="1" s="1"/>
  <c r="AB427" i="1"/>
  <c r="AC427" i="1" s="1"/>
  <c r="AA427" i="1"/>
  <c r="T427" i="1"/>
  <c r="U427" i="1" s="1"/>
  <c r="W427" i="1" s="1"/>
  <c r="AD426" i="1"/>
  <c r="AF426" i="1" s="1"/>
  <c r="AB426" i="1"/>
  <c r="AC426" i="1" s="1"/>
  <c r="AA426" i="1"/>
  <c r="T426" i="1"/>
  <c r="U426" i="1" s="1"/>
  <c r="W426" i="1" s="1"/>
  <c r="AD425" i="1"/>
  <c r="AF425" i="1" s="1"/>
  <c r="AB425" i="1"/>
  <c r="AC425" i="1" s="1"/>
  <c r="AA425" i="1"/>
  <c r="T425" i="1"/>
  <c r="U425" i="1" s="1"/>
  <c r="W425" i="1" s="1"/>
  <c r="AD424" i="1"/>
  <c r="AF424" i="1" s="1"/>
  <c r="AB424" i="1"/>
  <c r="AC424" i="1" s="1"/>
  <c r="AA424" i="1"/>
  <c r="T424" i="1"/>
  <c r="U424" i="1" s="1"/>
  <c r="W424" i="1" s="1"/>
  <c r="AD423" i="1"/>
  <c r="AF423" i="1" s="1"/>
  <c r="AB423" i="1"/>
  <c r="AC423" i="1" s="1"/>
  <c r="AA423" i="1"/>
  <c r="T423" i="1"/>
  <c r="U423" i="1" s="1"/>
  <c r="W423" i="1" s="1"/>
  <c r="AD422" i="1"/>
  <c r="AF422" i="1" s="1"/>
  <c r="AB422" i="1"/>
  <c r="AC422" i="1" s="1"/>
  <c r="AA422" i="1"/>
  <c r="T422" i="1"/>
  <c r="U422" i="1" s="1"/>
  <c r="W422" i="1" s="1"/>
  <c r="AD421" i="1"/>
  <c r="AF421" i="1" s="1"/>
  <c r="AB421" i="1"/>
  <c r="AC421" i="1" s="1"/>
  <c r="AA421" i="1"/>
  <c r="T421" i="1"/>
  <c r="U421" i="1" s="1"/>
  <c r="W421" i="1" s="1"/>
  <c r="AD420" i="1"/>
  <c r="AF420" i="1" s="1"/>
  <c r="AB420" i="1"/>
  <c r="AC420" i="1" s="1"/>
  <c r="AA420" i="1"/>
  <c r="T420" i="1"/>
  <c r="U420" i="1" s="1"/>
  <c r="W420" i="1" s="1"/>
  <c r="AD419" i="1"/>
  <c r="AF419" i="1" s="1"/>
  <c r="AB419" i="1"/>
  <c r="AC419" i="1" s="1"/>
  <c r="AA419" i="1"/>
  <c r="T419" i="1"/>
  <c r="U419" i="1" s="1"/>
  <c r="W419" i="1" s="1"/>
  <c r="AF418" i="1"/>
  <c r="AB418" i="1"/>
  <c r="AC418" i="1" s="1"/>
  <c r="AA418" i="1"/>
  <c r="T418" i="1"/>
  <c r="U418" i="1" s="1"/>
  <c r="W418" i="1" s="1"/>
  <c r="AD417" i="1"/>
  <c r="AF417" i="1" s="1"/>
  <c r="AB417" i="1"/>
  <c r="AC417" i="1" s="1"/>
  <c r="AA417" i="1"/>
  <c r="T417" i="1"/>
  <c r="U417" i="1" s="1"/>
  <c r="W417" i="1" s="1"/>
  <c r="X417" i="1" s="1"/>
  <c r="AD416" i="1"/>
  <c r="AF416" i="1" s="1"/>
  <c r="AB416" i="1"/>
  <c r="AC416" i="1" s="1"/>
  <c r="AA416" i="1"/>
  <c r="T416" i="1"/>
  <c r="U416" i="1" s="1"/>
  <c r="W416" i="1" s="1"/>
  <c r="AD415" i="1"/>
  <c r="AF415" i="1" s="1"/>
  <c r="AB415" i="1"/>
  <c r="AC415" i="1" s="1"/>
  <c r="AA415" i="1"/>
  <c r="T415" i="1"/>
  <c r="U415" i="1" s="1"/>
  <c r="W415" i="1" s="1"/>
  <c r="AD414" i="1"/>
  <c r="AF414" i="1" s="1"/>
  <c r="AB414" i="1"/>
  <c r="AC414" i="1" s="1"/>
  <c r="AA414" i="1"/>
  <c r="T414" i="1"/>
  <c r="U414" i="1" s="1"/>
  <c r="W414" i="1" s="1"/>
  <c r="X414" i="1" s="1"/>
  <c r="AD413" i="1"/>
  <c r="AF413" i="1" s="1"/>
  <c r="AB413" i="1"/>
  <c r="AC413" i="1" s="1"/>
  <c r="AA413" i="1"/>
  <c r="T413" i="1"/>
  <c r="U413" i="1" s="1"/>
  <c r="W413" i="1" s="1"/>
  <c r="X413" i="1" s="1"/>
  <c r="AD412" i="1"/>
  <c r="AF412" i="1" s="1"/>
  <c r="AB412" i="1"/>
  <c r="AC412" i="1" s="1"/>
  <c r="AA412" i="1"/>
  <c r="T412" i="1"/>
  <c r="U412" i="1" s="1"/>
  <c r="W412" i="1" s="1"/>
  <c r="AD411" i="1"/>
  <c r="AF411" i="1" s="1"/>
  <c r="AB411" i="1"/>
  <c r="AC411" i="1" s="1"/>
  <c r="AA411" i="1"/>
  <c r="T411" i="1"/>
  <c r="U411" i="1" s="1"/>
  <c r="W411" i="1" s="1"/>
  <c r="AD410" i="1"/>
  <c r="AF410" i="1" s="1"/>
  <c r="AB410" i="1"/>
  <c r="AC410" i="1" s="1"/>
  <c r="AA410" i="1"/>
  <c r="T410" i="1"/>
  <c r="U410" i="1" s="1"/>
  <c r="W410" i="1" s="1"/>
  <c r="X410" i="1" s="1"/>
  <c r="Y410" i="1" s="1"/>
  <c r="AD409" i="1"/>
  <c r="AF409" i="1" s="1"/>
  <c r="AB409" i="1"/>
  <c r="AC409" i="1" s="1"/>
  <c r="AA409" i="1"/>
  <c r="T409" i="1"/>
  <c r="U409" i="1" s="1"/>
  <c r="W409" i="1" s="1"/>
  <c r="X409" i="1" s="1"/>
  <c r="AD408" i="1"/>
  <c r="AF408" i="1" s="1"/>
  <c r="AB408" i="1"/>
  <c r="AC408" i="1" s="1"/>
  <c r="AA408" i="1"/>
  <c r="T408" i="1"/>
  <c r="U408" i="1" s="1"/>
  <c r="W408" i="1" s="1"/>
  <c r="AD407" i="1"/>
  <c r="AF407" i="1" s="1"/>
  <c r="AB407" i="1"/>
  <c r="AC407" i="1" s="1"/>
  <c r="AA407" i="1"/>
  <c r="T407" i="1"/>
  <c r="U407" i="1" s="1"/>
  <c r="W407" i="1" s="1"/>
  <c r="AD406" i="1"/>
  <c r="AF406" i="1" s="1"/>
  <c r="AB406" i="1"/>
  <c r="AC406" i="1" s="1"/>
  <c r="AA406" i="1"/>
  <c r="T406" i="1"/>
  <c r="U406" i="1" s="1"/>
  <c r="W406" i="1" s="1"/>
  <c r="AD405" i="1"/>
  <c r="AF405" i="1" s="1"/>
  <c r="AB405" i="1"/>
  <c r="AC405" i="1" s="1"/>
  <c r="AA405" i="1"/>
  <c r="T405" i="1"/>
  <c r="U405" i="1" s="1"/>
  <c r="W405" i="1" s="1"/>
  <c r="X405" i="1" s="1"/>
  <c r="AD404" i="1"/>
  <c r="AF404" i="1" s="1"/>
  <c r="AB404" i="1"/>
  <c r="AC404" i="1" s="1"/>
  <c r="AA404" i="1"/>
  <c r="T404" i="1"/>
  <c r="U404" i="1" s="1"/>
  <c r="W404" i="1" s="1"/>
  <c r="AD403" i="1"/>
  <c r="AF403" i="1" s="1"/>
  <c r="AC403" i="1"/>
  <c r="AB403" i="1"/>
  <c r="AA403" i="1"/>
  <c r="T403" i="1"/>
  <c r="U403" i="1" s="1"/>
  <c r="W403" i="1" s="1"/>
  <c r="AD402" i="1"/>
  <c r="AF402" i="1" s="1"/>
  <c r="AB402" i="1"/>
  <c r="AC402" i="1" s="1"/>
  <c r="AA402" i="1"/>
  <c r="T402" i="1"/>
  <c r="U402" i="1" s="1"/>
  <c r="W402" i="1" s="1"/>
  <c r="X402" i="1" s="1"/>
  <c r="AD401" i="1"/>
  <c r="AF401" i="1" s="1"/>
  <c r="AB401" i="1"/>
  <c r="AC401" i="1" s="1"/>
  <c r="AA401" i="1"/>
  <c r="T401" i="1"/>
  <c r="U401" i="1" s="1"/>
  <c r="W401" i="1" s="1"/>
  <c r="X401" i="1" s="1"/>
  <c r="AF400" i="1"/>
  <c r="AB400" i="1"/>
  <c r="AC400" i="1" s="1"/>
  <c r="AA400" i="1"/>
  <c r="T400" i="1"/>
  <c r="U400" i="1" s="1"/>
  <c r="W400" i="1" s="1"/>
  <c r="X400" i="1" s="1"/>
  <c r="AF399" i="1"/>
  <c r="AB399" i="1"/>
  <c r="AC399" i="1" s="1"/>
  <c r="AA399" i="1"/>
  <c r="T399" i="1"/>
  <c r="U399" i="1" s="1"/>
  <c r="W399" i="1" s="1"/>
  <c r="X399" i="1" s="1"/>
  <c r="AF398" i="1"/>
  <c r="AB398" i="1"/>
  <c r="AC398" i="1" s="1"/>
  <c r="AA398" i="1"/>
  <c r="T398" i="1"/>
  <c r="U398" i="1" s="1"/>
  <c r="W398" i="1" s="1"/>
  <c r="AF397" i="1"/>
  <c r="AB397" i="1"/>
  <c r="AC397" i="1" s="1"/>
  <c r="AA397" i="1"/>
  <c r="T397" i="1"/>
  <c r="U397" i="1" s="1"/>
  <c r="W397" i="1" s="1"/>
  <c r="X397" i="1" s="1"/>
  <c r="AF396" i="1"/>
  <c r="AB396" i="1"/>
  <c r="AC396" i="1" s="1"/>
  <c r="AA396" i="1"/>
  <c r="T396" i="1"/>
  <c r="U396" i="1" s="1"/>
  <c r="W396" i="1" s="1"/>
  <c r="X396" i="1" s="1"/>
  <c r="AF395" i="1"/>
  <c r="AB395" i="1"/>
  <c r="AC395" i="1" s="1"/>
  <c r="AA395" i="1"/>
  <c r="T395" i="1"/>
  <c r="U395" i="1" s="1"/>
  <c r="W395" i="1" s="1"/>
  <c r="X395" i="1" s="1"/>
  <c r="AF394" i="1"/>
  <c r="AB394" i="1"/>
  <c r="AC394" i="1" s="1"/>
  <c r="AA394" i="1"/>
  <c r="T394" i="1"/>
  <c r="U394" i="1" s="1"/>
  <c r="W394" i="1" s="1"/>
  <c r="AF393" i="1"/>
  <c r="AB393" i="1"/>
  <c r="AC393" i="1" s="1"/>
  <c r="AA393" i="1"/>
  <c r="T393" i="1"/>
  <c r="U393" i="1" s="1"/>
  <c r="W393" i="1" s="1"/>
  <c r="X393" i="1" s="1"/>
  <c r="AF392" i="1"/>
  <c r="AB392" i="1"/>
  <c r="AC392" i="1" s="1"/>
  <c r="AA392" i="1"/>
  <c r="T392" i="1"/>
  <c r="U392" i="1" s="1"/>
  <c r="W392" i="1" s="1"/>
  <c r="X392" i="1" s="1"/>
  <c r="AD391" i="1"/>
  <c r="AF391" i="1" s="1"/>
  <c r="AB391" i="1"/>
  <c r="AC391" i="1" s="1"/>
  <c r="AA391" i="1"/>
  <c r="T391" i="1"/>
  <c r="U391" i="1" s="1"/>
  <c r="W391" i="1" s="1"/>
  <c r="AF390" i="1"/>
  <c r="AB390" i="1"/>
  <c r="AC390" i="1" s="1"/>
  <c r="AA390" i="1"/>
  <c r="T390" i="1"/>
  <c r="U390" i="1" s="1"/>
  <c r="W390" i="1" s="1"/>
  <c r="AF389" i="1"/>
  <c r="AB389" i="1"/>
  <c r="AC389" i="1" s="1"/>
  <c r="AA389" i="1"/>
  <c r="T389" i="1"/>
  <c r="U389" i="1" s="1"/>
  <c r="W389" i="1" s="1"/>
  <c r="X389" i="1" s="1"/>
  <c r="Y389" i="1" s="1"/>
  <c r="AF388" i="1"/>
  <c r="AB388" i="1"/>
  <c r="AC388" i="1" s="1"/>
  <c r="AA388" i="1"/>
  <c r="T388" i="1"/>
  <c r="U388" i="1" s="1"/>
  <c r="W388" i="1" s="1"/>
  <c r="AF387" i="1"/>
  <c r="AB387" i="1"/>
  <c r="AC387" i="1" s="1"/>
  <c r="AA387" i="1"/>
  <c r="T387" i="1"/>
  <c r="U387" i="1" s="1"/>
  <c r="W387" i="1" s="1"/>
  <c r="AF386" i="1"/>
  <c r="AB386" i="1"/>
  <c r="AC386" i="1" s="1"/>
  <c r="AA386" i="1"/>
  <c r="T386" i="1"/>
  <c r="U386" i="1" s="1"/>
  <c r="W386" i="1" s="1"/>
  <c r="AF385" i="1"/>
  <c r="AB385" i="1"/>
  <c r="AC385" i="1" s="1"/>
  <c r="AA385" i="1"/>
  <c r="T385" i="1"/>
  <c r="U385" i="1" s="1"/>
  <c r="W385" i="1" s="1"/>
  <c r="X385" i="1" s="1"/>
  <c r="Y385" i="1" s="1"/>
  <c r="AF384" i="1"/>
  <c r="AB384" i="1"/>
  <c r="AC384" i="1" s="1"/>
  <c r="AA384" i="1"/>
  <c r="T384" i="1"/>
  <c r="U384" i="1" s="1"/>
  <c r="W384" i="1" s="1"/>
  <c r="AF383" i="1"/>
  <c r="AB383" i="1"/>
  <c r="AC383" i="1" s="1"/>
  <c r="AA383" i="1"/>
  <c r="T383" i="1"/>
  <c r="U383" i="1" s="1"/>
  <c r="W383" i="1" s="1"/>
  <c r="AF382" i="1"/>
  <c r="AB382" i="1"/>
  <c r="AC382" i="1" s="1"/>
  <c r="AA382" i="1"/>
  <c r="T382" i="1"/>
  <c r="U382" i="1" s="1"/>
  <c r="W382" i="1" s="1"/>
  <c r="AF381" i="1"/>
  <c r="AB381" i="1"/>
  <c r="AC381" i="1" s="1"/>
  <c r="AA381" i="1"/>
  <c r="T381" i="1"/>
  <c r="U381" i="1" s="1"/>
  <c r="W381" i="1" s="1"/>
  <c r="X381" i="1" s="1"/>
  <c r="Y381" i="1" s="1"/>
  <c r="AF380" i="1"/>
  <c r="AB380" i="1"/>
  <c r="AC380" i="1" s="1"/>
  <c r="AA380" i="1"/>
  <c r="T380" i="1"/>
  <c r="U380" i="1" s="1"/>
  <c r="W380" i="1" s="1"/>
  <c r="AF379" i="1"/>
  <c r="AB379" i="1"/>
  <c r="AC379" i="1" s="1"/>
  <c r="AA379" i="1"/>
  <c r="T379" i="1"/>
  <c r="U379" i="1" s="1"/>
  <c r="W379" i="1" s="1"/>
  <c r="AF378" i="1"/>
  <c r="AB378" i="1"/>
  <c r="AC378" i="1" s="1"/>
  <c r="AA378" i="1"/>
  <c r="T378" i="1"/>
  <c r="U378" i="1" s="1"/>
  <c r="W378" i="1" s="1"/>
  <c r="AF377" i="1"/>
  <c r="AB377" i="1"/>
  <c r="AC377" i="1" s="1"/>
  <c r="AA377" i="1"/>
  <c r="T377" i="1"/>
  <c r="U377" i="1" s="1"/>
  <c r="W377" i="1" s="1"/>
  <c r="X377" i="1" s="1"/>
  <c r="Y377" i="1" s="1"/>
  <c r="AF376" i="1"/>
  <c r="AB376" i="1"/>
  <c r="AC376" i="1" s="1"/>
  <c r="AA376" i="1"/>
  <c r="T376" i="1"/>
  <c r="U376" i="1" s="1"/>
  <c r="W376" i="1" s="1"/>
  <c r="AF375" i="1"/>
  <c r="AB375" i="1"/>
  <c r="AC375" i="1" s="1"/>
  <c r="AA375" i="1"/>
  <c r="T375" i="1"/>
  <c r="U375" i="1" s="1"/>
  <c r="W375" i="1" s="1"/>
  <c r="AF374" i="1"/>
  <c r="AB374" i="1"/>
  <c r="AC374" i="1" s="1"/>
  <c r="AA374" i="1"/>
  <c r="T374" i="1"/>
  <c r="U374" i="1" s="1"/>
  <c r="W374" i="1" s="1"/>
  <c r="AF373" i="1"/>
  <c r="AB373" i="1"/>
  <c r="AC373" i="1" s="1"/>
  <c r="AA373" i="1"/>
  <c r="T373" i="1"/>
  <c r="U373" i="1" s="1"/>
  <c r="W373" i="1" s="1"/>
  <c r="X373" i="1" s="1"/>
  <c r="Y373" i="1" s="1"/>
  <c r="AF372" i="1"/>
  <c r="AC372" i="1"/>
  <c r="AB372" i="1"/>
  <c r="AA372" i="1"/>
  <c r="T372" i="1"/>
  <c r="U372" i="1" s="1"/>
  <c r="W372" i="1" s="1"/>
  <c r="AF371" i="1"/>
  <c r="AB371" i="1"/>
  <c r="AC371" i="1" s="1"/>
  <c r="AA371" i="1"/>
  <c r="T371" i="1"/>
  <c r="U371" i="1" s="1"/>
  <c r="W371" i="1" s="1"/>
  <c r="AF370" i="1"/>
  <c r="AB370" i="1"/>
  <c r="AC370" i="1" s="1"/>
  <c r="AA370" i="1"/>
  <c r="T370" i="1"/>
  <c r="U370" i="1" s="1"/>
  <c r="W370" i="1" s="1"/>
  <c r="AF369" i="1"/>
  <c r="AB369" i="1"/>
  <c r="AC369" i="1" s="1"/>
  <c r="AA369" i="1"/>
  <c r="T369" i="1"/>
  <c r="U369" i="1" s="1"/>
  <c r="W369" i="1" s="1"/>
  <c r="X369" i="1" s="1"/>
  <c r="Y369" i="1" s="1"/>
  <c r="AF368" i="1"/>
  <c r="AB368" i="1"/>
  <c r="AC368" i="1" s="1"/>
  <c r="AA368" i="1"/>
  <c r="T368" i="1"/>
  <c r="U368" i="1" s="1"/>
  <c r="W368" i="1" s="1"/>
  <c r="AF367" i="1"/>
  <c r="AB367" i="1"/>
  <c r="AC367" i="1" s="1"/>
  <c r="AA367" i="1"/>
  <c r="T367" i="1"/>
  <c r="U367" i="1" s="1"/>
  <c r="W367" i="1" s="1"/>
  <c r="AF366" i="1"/>
  <c r="AB366" i="1"/>
  <c r="AC366" i="1" s="1"/>
  <c r="AA366" i="1"/>
  <c r="T366" i="1"/>
  <c r="U366" i="1" s="1"/>
  <c r="W366" i="1" s="1"/>
  <c r="AF365" i="1"/>
  <c r="AB365" i="1"/>
  <c r="AC365" i="1" s="1"/>
  <c r="AA365" i="1"/>
  <c r="T365" i="1"/>
  <c r="U365" i="1" s="1"/>
  <c r="W365" i="1" s="1"/>
  <c r="X365" i="1" s="1"/>
  <c r="Y365" i="1" s="1"/>
  <c r="AF364" i="1"/>
  <c r="AB364" i="1"/>
  <c r="AC364" i="1" s="1"/>
  <c r="AA364" i="1"/>
  <c r="T364" i="1"/>
  <c r="U364" i="1" s="1"/>
  <c r="W364" i="1" s="1"/>
  <c r="AF363" i="1"/>
  <c r="AB363" i="1"/>
  <c r="AC363" i="1" s="1"/>
  <c r="AA363" i="1"/>
  <c r="T363" i="1"/>
  <c r="U363" i="1" s="1"/>
  <c r="W363" i="1" s="1"/>
  <c r="AF362" i="1"/>
  <c r="AB362" i="1"/>
  <c r="AC362" i="1" s="1"/>
  <c r="AA362" i="1"/>
  <c r="T362" i="1"/>
  <c r="U362" i="1" s="1"/>
  <c r="W362" i="1" s="1"/>
  <c r="AF361" i="1"/>
  <c r="AB361" i="1"/>
  <c r="AC361" i="1" s="1"/>
  <c r="AA361" i="1"/>
  <c r="T361" i="1"/>
  <c r="U361" i="1" s="1"/>
  <c r="W361" i="1" s="1"/>
  <c r="AF360" i="1"/>
  <c r="AB360" i="1"/>
  <c r="AC360" i="1" s="1"/>
  <c r="AA360" i="1"/>
  <c r="T360" i="1"/>
  <c r="U360" i="1" s="1"/>
  <c r="W360" i="1" s="1"/>
  <c r="X360" i="1" s="1"/>
  <c r="AF359" i="1"/>
  <c r="AC359" i="1"/>
  <c r="AA359" i="1"/>
  <c r="T359" i="1"/>
  <c r="U359" i="1" s="1"/>
  <c r="W359" i="1" s="1"/>
  <c r="X359" i="1" s="1"/>
  <c r="AF358" i="1"/>
  <c r="AB358" i="1"/>
  <c r="AC358" i="1" s="1"/>
  <c r="AA358" i="1"/>
  <c r="T358" i="1"/>
  <c r="U358" i="1" s="1"/>
  <c r="W358" i="1" s="1"/>
  <c r="AF357" i="1"/>
  <c r="AB357" i="1"/>
  <c r="AC357" i="1" s="1"/>
  <c r="AA357" i="1"/>
  <c r="T357" i="1"/>
  <c r="U357" i="1" s="1"/>
  <c r="W357" i="1" s="1"/>
  <c r="X357" i="1" s="1"/>
  <c r="AF356" i="1"/>
  <c r="Z356" i="1"/>
  <c r="AB356" i="1" s="1"/>
  <c r="T356" i="1"/>
  <c r="U356" i="1" s="1"/>
  <c r="W356" i="1" s="1"/>
  <c r="AF355" i="1"/>
  <c r="AB355" i="1"/>
  <c r="AC355" i="1" s="1"/>
  <c r="AA355" i="1"/>
  <c r="T355" i="1"/>
  <c r="U355" i="1" s="1"/>
  <c r="W355" i="1" s="1"/>
  <c r="X355" i="1" s="1"/>
  <c r="AF354" i="1"/>
  <c r="AB354" i="1"/>
  <c r="AC354" i="1" s="1"/>
  <c r="AA354" i="1"/>
  <c r="T354" i="1"/>
  <c r="U354" i="1" s="1"/>
  <c r="W354" i="1" s="1"/>
  <c r="X354" i="1" s="1"/>
  <c r="AF353" i="1"/>
  <c r="AB353" i="1"/>
  <c r="AC353" i="1" s="1"/>
  <c r="AA353" i="1"/>
  <c r="T353" i="1"/>
  <c r="U353" i="1" s="1"/>
  <c r="W353" i="1" s="1"/>
  <c r="AF352" i="1"/>
  <c r="AB352" i="1"/>
  <c r="AC352" i="1" s="1"/>
  <c r="AA352" i="1"/>
  <c r="T352" i="1"/>
  <c r="U352" i="1" s="1"/>
  <c r="W352" i="1" s="1"/>
  <c r="AF351" i="1"/>
  <c r="AB351" i="1"/>
  <c r="AC351" i="1" s="1"/>
  <c r="AA351" i="1"/>
  <c r="T351" i="1"/>
  <c r="U351" i="1" s="1"/>
  <c r="W351" i="1" s="1"/>
  <c r="X351" i="1" s="1"/>
  <c r="AF350" i="1"/>
  <c r="AB350" i="1"/>
  <c r="AC350" i="1" s="1"/>
  <c r="AA350" i="1"/>
  <c r="T350" i="1"/>
  <c r="U350" i="1" s="1"/>
  <c r="W350" i="1" s="1"/>
  <c r="AF349" i="1"/>
  <c r="AB349" i="1"/>
  <c r="AC349" i="1" s="1"/>
  <c r="AA349" i="1"/>
  <c r="T349" i="1"/>
  <c r="U349" i="1" s="1"/>
  <c r="W349" i="1" s="1"/>
  <c r="AF348" i="1"/>
  <c r="AB348" i="1"/>
  <c r="AC348" i="1" s="1"/>
  <c r="AA348" i="1"/>
  <c r="T348" i="1"/>
  <c r="U348" i="1" s="1"/>
  <c r="W348" i="1" s="1"/>
  <c r="AF347" i="1"/>
  <c r="AB347" i="1"/>
  <c r="AC347" i="1" s="1"/>
  <c r="AA347" i="1"/>
  <c r="T347" i="1"/>
  <c r="U347" i="1" s="1"/>
  <c r="W347" i="1" s="1"/>
  <c r="AF346" i="1"/>
  <c r="AB346" i="1"/>
  <c r="AC346" i="1" s="1"/>
  <c r="AA346" i="1"/>
  <c r="T346" i="1"/>
  <c r="U346" i="1" s="1"/>
  <c r="W346" i="1" s="1"/>
  <c r="AF345" i="1"/>
  <c r="AB345" i="1"/>
  <c r="AC345" i="1" s="1"/>
  <c r="AA345" i="1"/>
  <c r="T345" i="1"/>
  <c r="U345" i="1" s="1"/>
  <c r="W345" i="1" s="1"/>
  <c r="AF344" i="1"/>
  <c r="AB344" i="1"/>
  <c r="AC344" i="1" s="1"/>
  <c r="AA344" i="1"/>
  <c r="T344" i="1"/>
  <c r="U344" i="1" s="1"/>
  <c r="W344" i="1" s="1"/>
  <c r="AF343" i="1"/>
  <c r="AC343" i="1"/>
  <c r="AA343" i="1"/>
  <c r="T343" i="1"/>
  <c r="U343" i="1" s="1"/>
  <c r="W343" i="1" s="1"/>
  <c r="AF342" i="1"/>
  <c r="AB342" i="1"/>
  <c r="AC342" i="1" s="1"/>
  <c r="AA342" i="1"/>
  <c r="T342" i="1"/>
  <c r="U342" i="1" s="1"/>
  <c r="W342" i="1" s="1"/>
  <c r="X342" i="1" s="1"/>
  <c r="AF341" i="1"/>
  <c r="AB341" i="1"/>
  <c r="AC341" i="1" s="1"/>
  <c r="AA341" i="1"/>
  <c r="T341" i="1"/>
  <c r="U341" i="1" s="1"/>
  <c r="W341" i="1" s="1"/>
  <c r="X341" i="1" s="1"/>
  <c r="AF340" i="1"/>
  <c r="AC340" i="1"/>
  <c r="AA340" i="1"/>
  <c r="T340" i="1"/>
  <c r="U340" i="1" s="1"/>
  <c r="W340" i="1" s="1"/>
  <c r="X340" i="1" s="1"/>
  <c r="AF339" i="1"/>
  <c r="AB339" i="1"/>
  <c r="AC339" i="1" s="1"/>
  <c r="AA339" i="1"/>
  <c r="T339" i="1"/>
  <c r="U339" i="1" s="1"/>
  <c r="W339" i="1" s="1"/>
  <c r="AF338" i="1"/>
  <c r="AB338" i="1"/>
  <c r="AC338" i="1" s="1"/>
  <c r="AA338" i="1"/>
  <c r="T338" i="1"/>
  <c r="U338" i="1" s="1"/>
  <c r="W338" i="1" s="1"/>
  <c r="AF337" i="1"/>
  <c r="AB337" i="1"/>
  <c r="AC337" i="1" s="1"/>
  <c r="AA337" i="1"/>
  <c r="T337" i="1"/>
  <c r="U337" i="1" s="1"/>
  <c r="W337" i="1" s="1"/>
  <c r="X337" i="1" s="1"/>
  <c r="AF336" i="1"/>
  <c r="AB336" i="1"/>
  <c r="AC336" i="1" s="1"/>
  <c r="AA336" i="1"/>
  <c r="T336" i="1"/>
  <c r="U336" i="1" s="1"/>
  <c r="W336" i="1" s="1"/>
  <c r="AF335" i="1"/>
  <c r="AB335" i="1"/>
  <c r="AC335" i="1" s="1"/>
  <c r="AA335" i="1"/>
  <c r="T335" i="1"/>
  <c r="U335" i="1" s="1"/>
  <c r="W335" i="1" s="1"/>
  <c r="AF334" i="1"/>
  <c r="AB334" i="1"/>
  <c r="AC334" i="1" s="1"/>
  <c r="AA334" i="1"/>
  <c r="T334" i="1"/>
  <c r="U334" i="1" s="1"/>
  <c r="W334" i="1" s="1"/>
  <c r="AF333" i="1"/>
  <c r="AC333" i="1"/>
  <c r="AA333" i="1"/>
  <c r="T333" i="1"/>
  <c r="U333" i="1" s="1"/>
  <c r="W333" i="1" s="1"/>
  <c r="AF332" i="1"/>
  <c r="AC332" i="1"/>
  <c r="AA332" i="1"/>
  <c r="T332" i="1"/>
  <c r="U332" i="1" s="1"/>
  <c r="W332" i="1" s="1"/>
  <c r="X332" i="1" s="1"/>
  <c r="AF331" i="1"/>
  <c r="AB331" i="1"/>
  <c r="AC331" i="1" s="1"/>
  <c r="AA331" i="1"/>
  <c r="T331" i="1"/>
  <c r="U331" i="1" s="1"/>
  <c r="W331" i="1" s="1"/>
  <c r="AF330" i="1"/>
  <c r="AB330" i="1"/>
  <c r="AC330" i="1" s="1"/>
  <c r="AA330" i="1"/>
  <c r="T330" i="1"/>
  <c r="U330" i="1" s="1"/>
  <c r="W330" i="1" s="1"/>
  <c r="AF329" i="1"/>
  <c r="AB329" i="1"/>
  <c r="AC329" i="1" s="1"/>
  <c r="AA329" i="1"/>
  <c r="T329" i="1"/>
  <c r="U329" i="1" s="1"/>
  <c r="W329" i="1" s="1"/>
  <c r="AF328" i="1"/>
  <c r="AB328" i="1"/>
  <c r="AC328" i="1" s="1"/>
  <c r="AA328" i="1"/>
  <c r="T328" i="1"/>
  <c r="U328" i="1" s="1"/>
  <c r="W328" i="1" s="1"/>
  <c r="AF327" i="1"/>
  <c r="AB327" i="1"/>
  <c r="AC327" i="1" s="1"/>
  <c r="AA327" i="1"/>
  <c r="T327" i="1"/>
  <c r="U327" i="1" s="1"/>
  <c r="W327" i="1" s="1"/>
  <c r="X327" i="1" s="1"/>
  <c r="AF326" i="1"/>
  <c r="AB326" i="1"/>
  <c r="AC326" i="1" s="1"/>
  <c r="AA326" i="1"/>
  <c r="T326" i="1"/>
  <c r="U326" i="1" s="1"/>
  <c r="W326" i="1" s="1"/>
  <c r="X326" i="1" s="1"/>
  <c r="AF325" i="1"/>
  <c r="AB325" i="1"/>
  <c r="AC325" i="1" s="1"/>
  <c r="AA325" i="1"/>
  <c r="T325" i="1"/>
  <c r="U325" i="1" s="1"/>
  <c r="W325" i="1" s="1"/>
  <c r="AF324" i="1"/>
  <c r="Z324" i="1"/>
  <c r="T324" i="1"/>
  <c r="U324" i="1" s="1"/>
  <c r="W324" i="1" s="1"/>
  <c r="AF323" i="1"/>
  <c r="Z323" i="1"/>
  <c r="T323" i="1"/>
  <c r="U323" i="1" s="1"/>
  <c r="W323" i="1" s="1"/>
  <c r="X323" i="1" s="1"/>
  <c r="Y323" i="1" s="1"/>
  <c r="AF322" i="1"/>
  <c r="Z322" i="1"/>
  <c r="T322" i="1"/>
  <c r="U322" i="1" s="1"/>
  <c r="W322" i="1" s="1"/>
  <c r="X322" i="1" s="1"/>
  <c r="AF321" i="1"/>
  <c r="Z321" i="1"/>
  <c r="AA321" i="1" s="1"/>
  <c r="T321" i="1"/>
  <c r="U321" i="1" s="1"/>
  <c r="W321" i="1" s="1"/>
  <c r="AF320" i="1"/>
  <c r="Z320" i="1"/>
  <c r="AB320" i="1" s="1"/>
  <c r="T320" i="1"/>
  <c r="U320" i="1" s="1"/>
  <c r="W320" i="1" s="1"/>
  <c r="AF319" i="1"/>
  <c r="Z319" i="1"/>
  <c r="AA319" i="1" s="1"/>
  <c r="T319" i="1"/>
  <c r="U319" i="1" s="1"/>
  <c r="W319" i="1" s="1"/>
  <c r="X319" i="1" s="1"/>
  <c r="Y319" i="1" s="1"/>
  <c r="AF318" i="1"/>
  <c r="Z318" i="1"/>
  <c r="T318" i="1"/>
  <c r="U318" i="1" s="1"/>
  <c r="W318" i="1" s="1"/>
  <c r="X318" i="1" s="1"/>
  <c r="AF317" i="1"/>
  <c r="Z317" i="1"/>
  <c r="T317" i="1"/>
  <c r="U317" i="1" s="1"/>
  <c r="W317" i="1" s="1"/>
  <c r="AF316" i="1"/>
  <c r="Z316" i="1"/>
  <c r="AB316" i="1" s="1"/>
  <c r="T316" i="1"/>
  <c r="U316" i="1" s="1"/>
  <c r="W316" i="1" s="1"/>
  <c r="AF315" i="1"/>
  <c r="Z315" i="1"/>
  <c r="AB315" i="1" s="1"/>
  <c r="T315" i="1"/>
  <c r="U315" i="1" s="1"/>
  <c r="W315" i="1" s="1"/>
  <c r="AF314" i="1"/>
  <c r="Z314" i="1"/>
  <c r="T314" i="1"/>
  <c r="U314" i="1" s="1"/>
  <c r="W314" i="1" s="1"/>
  <c r="X314" i="1" s="1"/>
  <c r="AF313" i="1"/>
  <c r="Z313" i="1"/>
  <c r="AA313" i="1" s="1"/>
  <c r="T313" i="1"/>
  <c r="U313" i="1" s="1"/>
  <c r="W313" i="1" s="1"/>
  <c r="AF312" i="1"/>
  <c r="Z312" i="1"/>
  <c r="AB312" i="1" s="1"/>
  <c r="T312" i="1"/>
  <c r="U312" i="1" s="1"/>
  <c r="W312" i="1" s="1"/>
  <c r="AF311" i="1"/>
  <c r="Z311" i="1"/>
  <c r="AA311" i="1" s="1"/>
  <c r="T311" i="1"/>
  <c r="U311" i="1" s="1"/>
  <c r="W311" i="1" s="1"/>
  <c r="X311" i="1" s="1"/>
  <c r="AF310" i="1"/>
  <c r="Z310" i="1"/>
  <c r="T310" i="1"/>
  <c r="U310" i="1" s="1"/>
  <c r="W310" i="1" s="1"/>
  <c r="X310" i="1" s="1"/>
  <c r="AF309" i="1"/>
  <c r="Z309" i="1"/>
  <c r="AA309" i="1" s="1"/>
  <c r="T309" i="1"/>
  <c r="U309" i="1" s="1"/>
  <c r="W309" i="1" s="1"/>
  <c r="AF308" i="1"/>
  <c r="Z308" i="1"/>
  <c r="T308" i="1"/>
  <c r="U308" i="1" s="1"/>
  <c r="W308" i="1" s="1"/>
  <c r="AF307" i="1"/>
  <c r="AB307" i="1"/>
  <c r="AA307" i="1"/>
  <c r="T307" i="1"/>
  <c r="U307" i="1" s="1"/>
  <c r="W307" i="1" s="1"/>
  <c r="AF306" i="1"/>
  <c r="AB306" i="1"/>
  <c r="AC306" i="1" s="1"/>
  <c r="AA306" i="1"/>
  <c r="T306" i="1"/>
  <c r="U306" i="1" s="1"/>
  <c r="W306" i="1" s="1"/>
  <c r="AF305" i="1"/>
  <c r="AB305" i="1"/>
  <c r="AC305" i="1" s="1"/>
  <c r="AA305" i="1"/>
  <c r="T305" i="1"/>
  <c r="U305" i="1" s="1"/>
  <c r="W305" i="1" s="1"/>
  <c r="AF304" i="1"/>
  <c r="AB304" i="1"/>
  <c r="AA304" i="1"/>
  <c r="T304" i="1"/>
  <c r="U304" i="1" s="1"/>
  <c r="W304" i="1" s="1"/>
  <c r="AF303" i="1"/>
  <c r="AB303" i="1"/>
  <c r="AA303" i="1"/>
  <c r="T303" i="1"/>
  <c r="U303" i="1" s="1"/>
  <c r="W303" i="1" s="1"/>
  <c r="AF302" i="1"/>
  <c r="AB302" i="1"/>
  <c r="AA302" i="1"/>
  <c r="T302" i="1"/>
  <c r="U302" i="1" s="1"/>
  <c r="W302" i="1" s="1"/>
  <c r="X302" i="1" s="1"/>
  <c r="AF301" i="1"/>
  <c r="AB301" i="1"/>
  <c r="AA301" i="1"/>
  <c r="T301" i="1"/>
  <c r="U301" i="1" s="1"/>
  <c r="W301" i="1" s="1"/>
  <c r="AF300" i="1"/>
  <c r="AB300" i="1"/>
  <c r="AA300" i="1"/>
  <c r="T300" i="1"/>
  <c r="U300" i="1" s="1"/>
  <c r="W300" i="1" s="1"/>
  <c r="X300" i="1" s="1"/>
  <c r="AF299" i="1"/>
  <c r="AB299" i="1"/>
  <c r="AA299" i="1"/>
  <c r="T299" i="1"/>
  <c r="U299" i="1" s="1"/>
  <c r="W299" i="1" s="1"/>
  <c r="AF298" i="1"/>
  <c r="AB298" i="1"/>
  <c r="AA298" i="1"/>
  <c r="T298" i="1"/>
  <c r="U298" i="1" s="1"/>
  <c r="W298" i="1" s="1"/>
  <c r="AF297" i="1"/>
  <c r="AC297" i="1"/>
  <c r="AB297" i="1"/>
  <c r="AA297" i="1"/>
  <c r="T297" i="1"/>
  <c r="U297" i="1" s="1"/>
  <c r="W297" i="1" s="1"/>
  <c r="AF296" i="1"/>
  <c r="AB296" i="1"/>
  <c r="AC296" i="1" s="1"/>
  <c r="AA296" i="1"/>
  <c r="T296" i="1"/>
  <c r="U296" i="1" s="1"/>
  <c r="W296" i="1" s="1"/>
  <c r="AF295" i="1"/>
  <c r="AB295" i="1"/>
  <c r="AC295" i="1" s="1"/>
  <c r="AA295" i="1"/>
  <c r="T295" i="1"/>
  <c r="U295" i="1" s="1"/>
  <c r="W295" i="1" s="1"/>
  <c r="AF294" i="1"/>
  <c r="AB294" i="1"/>
  <c r="AA294" i="1"/>
  <c r="T294" i="1"/>
  <c r="U294" i="1" s="1"/>
  <c r="W294" i="1" s="1"/>
  <c r="X294" i="1" s="1"/>
  <c r="AD293" i="1"/>
  <c r="AF293" i="1" s="1"/>
  <c r="AB293" i="1"/>
  <c r="AC293" i="1" s="1"/>
  <c r="AA293" i="1"/>
  <c r="T293" i="1"/>
  <c r="U293" i="1" s="1"/>
  <c r="W293" i="1" s="1"/>
  <c r="AF292" i="1"/>
  <c r="AB292" i="1"/>
  <c r="AA292" i="1"/>
  <c r="T292" i="1"/>
  <c r="U292" i="1" s="1"/>
  <c r="W292" i="1" s="1"/>
  <c r="AF291" i="1"/>
  <c r="AB291" i="1"/>
  <c r="AC291" i="1" s="1"/>
  <c r="AA291" i="1"/>
  <c r="T291" i="1"/>
  <c r="U291" i="1" s="1"/>
  <c r="W291" i="1" s="1"/>
  <c r="AF290" i="1"/>
  <c r="AB290" i="1"/>
  <c r="AA290" i="1"/>
  <c r="T290" i="1"/>
  <c r="U290" i="1" s="1"/>
  <c r="W290" i="1" s="1"/>
  <c r="X290" i="1" s="1"/>
  <c r="AF289" i="1"/>
  <c r="AC289" i="1"/>
  <c r="AB289" i="1"/>
  <c r="AA289" i="1"/>
  <c r="T289" i="1"/>
  <c r="U289" i="1" s="1"/>
  <c r="W289" i="1" s="1"/>
  <c r="AF288" i="1"/>
  <c r="Z288" i="1"/>
  <c r="T288" i="1"/>
  <c r="U288" i="1" s="1"/>
  <c r="W288" i="1" s="1"/>
  <c r="AF287" i="1"/>
  <c r="AB287" i="1"/>
  <c r="AC287" i="1" s="1"/>
  <c r="AA287" i="1"/>
  <c r="T287" i="1"/>
  <c r="U287" i="1" s="1"/>
  <c r="W287" i="1" s="1"/>
  <c r="AF286" i="1"/>
  <c r="AB286" i="1"/>
  <c r="AC286" i="1" s="1"/>
  <c r="AA286" i="1"/>
  <c r="T286" i="1"/>
  <c r="U286" i="1" s="1"/>
  <c r="W286" i="1" s="1"/>
  <c r="AF285" i="1"/>
  <c r="AC285" i="1"/>
  <c r="AA285" i="1"/>
  <c r="T285" i="1"/>
  <c r="U285" i="1" s="1"/>
  <c r="W285" i="1" s="1"/>
  <c r="AF284" i="1"/>
  <c r="AB284" i="1"/>
  <c r="AC284" i="1" s="1"/>
  <c r="AA284" i="1"/>
  <c r="T284" i="1"/>
  <c r="U284" i="1" s="1"/>
  <c r="W284" i="1" s="1"/>
  <c r="AF283" i="1"/>
  <c r="AB283" i="1"/>
  <c r="AC283" i="1" s="1"/>
  <c r="AA283" i="1"/>
  <c r="T283" i="1"/>
  <c r="U283" i="1" s="1"/>
  <c r="W283" i="1" s="1"/>
  <c r="AF282" i="1"/>
  <c r="AB282" i="1"/>
  <c r="AC282" i="1" s="1"/>
  <c r="AA282" i="1"/>
  <c r="T282" i="1"/>
  <c r="U282" i="1" s="1"/>
  <c r="W282" i="1" s="1"/>
  <c r="AF281" i="1"/>
  <c r="AB281" i="1"/>
  <c r="AC281" i="1" s="1"/>
  <c r="AA281" i="1"/>
  <c r="T281" i="1"/>
  <c r="U281" i="1" s="1"/>
  <c r="W281" i="1" s="1"/>
  <c r="AF280" i="1"/>
  <c r="AB280" i="1"/>
  <c r="AC280" i="1" s="1"/>
  <c r="AA280" i="1"/>
  <c r="T280" i="1"/>
  <c r="U280" i="1" s="1"/>
  <c r="W280" i="1" s="1"/>
  <c r="AD279" i="1"/>
  <c r="AF279" i="1" s="1"/>
  <c r="AB279" i="1"/>
  <c r="AC279" i="1" s="1"/>
  <c r="AA279" i="1"/>
  <c r="T279" i="1"/>
  <c r="U279" i="1" s="1"/>
  <c r="W279" i="1" s="1"/>
  <c r="AF278" i="1"/>
  <c r="AC278" i="1"/>
  <c r="AB278" i="1"/>
  <c r="AA278" i="1"/>
  <c r="T278" i="1"/>
  <c r="U278" i="1" s="1"/>
  <c r="W278" i="1" s="1"/>
  <c r="AF277" i="1"/>
  <c r="AB277" i="1"/>
  <c r="AC277" i="1" s="1"/>
  <c r="AA277" i="1"/>
  <c r="T277" i="1"/>
  <c r="U277" i="1" s="1"/>
  <c r="W277" i="1" s="1"/>
  <c r="AF276" i="1"/>
  <c r="AB276" i="1"/>
  <c r="AC276" i="1" s="1"/>
  <c r="AA276" i="1"/>
  <c r="T276" i="1"/>
  <c r="U276" i="1" s="1"/>
  <c r="W276" i="1" s="1"/>
  <c r="AF275" i="1"/>
  <c r="AC275" i="1"/>
  <c r="AA275" i="1"/>
  <c r="T275" i="1"/>
  <c r="U275" i="1" s="1"/>
  <c r="W275" i="1" s="1"/>
  <c r="AF274" i="1"/>
  <c r="AB274" i="1"/>
  <c r="AC274" i="1" s="1"/>
  <c r="AA274" i="1"/>
  <c r="T274" i="1"/>
  <c r="U274" i="1" s="1"/>
  <c r="W274" i="1" s="1"/>
  <c r="AF273" i="1"/>
  <c r="AB273" i="1"/>
  <c r="AC273" i="1" s="1"/>
  <c r="AA273" i="1"/>
  <c r="T273" i="1"/>
  <c r="U273" i="1" s="1"/>
  <c r="W273" i="1" s="1"/>
  <c r="AF272" i="1"/>
  <c r="AB272" i="1"/>
  <c r="AC272" i="1" s="1"/>
  <c r="AA272" i="1"/>
  <c r="T272" i="1"/>
  <c r="U272" i="1" s="1"/>
  <c r="W272" i="1" s="1"/>
  <c r="AF271" i="1"/>
  <c r="AB271" i="1"/>
  <c r="AC271" i="1" s="1"/>
  <c r="AA271" i="1"/>
  <c r="T271" i="1"/>
  <c r="U271" i="1" s="1"/>
  <c r="W271" i="1" s="1"/>
  <c r="AF270" i="1"/>
  <c r="AB270" i="1"/>
  <c r="AC270" i="1" s="1"/>
  <c r="AA270" i="1"/>
  <c r="T270" i="1"/>
  <c r="U270" i="1" s="1"/>
  <c r="W270" i="1" s="1"/>
  <c r="AF269" i="1"/>
  <c r="AB269" i="1"/>
  <c r="AC269" i="1" s="1"/>
  <c r="AA269" i="1"/>
  <c r="T269" i="1"/>
  <c r="U269" i="1" s="1"/>
  <c r="W269" i="1" s="1"/>
  <c r="AF268" i="1"/>
  <c r="AB268" i="1"/>
  <c r="AC268" i="1" s="1"/>
  <c r="AA268" i="1"/>
  <c r="T268" i="1"/>
  <c r="U268" i="1" s="1"/>
  <c r="W268" i="1" s="1"/>
  <c r="AF267" i="1"/>
  <c r="AB267" i="1"/>
  <c r="AA267" i="1"/>
  <c r="T267" i="1"/>
  <c r="U267" i="1" s="1"/>
  <c r="W267" i="1" s="1"/>
  <c r="AF266" i="1"/>
  <c r="AB266" i="1"/>
  <c r="AC266" i="1" s="1"/>
  <c r="AA266" i="1"/>
  <c r="T266" i="1"/>
  <c r="U266" i="1" s="1"/>
  <c r="W266" i="1" s="1"/>
  <c r="AF265" i="1"/>
  <c r="AB265" i="1"/>
  <c r="AA265" i="1"/>
  <c r="T265" i="1"/>
  <c r="U265" i="1" s="1"/>
  <c r="W265" i="1" s="1"/>
  <c r="AF264" i="1"/>
  <c r="AB264" i="1"/>
  <c r="AC264" i="1" s="1"/>
  <c r="AA264" i="1"/>
  <c r="T264" i="1"/>
  <c r="U264" i="1" s="1"/>
  <c r="W264" i="1" s="1"/>
  <c r="AF263" i="1"/>
  <c r="AB263" i="1"/>
  <c r="AA263" i="1"/>
  <c r="T263" i="1"/>
  <c r="U263" i="1" s="1"/>
  <c r="W263" i="1" s="1"/>
  <c r="AF262" i="1"/>
  <c r="AB262" i="1"/>
  <c r="AC262" i="1" s="1"/>
  <c r="AA262" i="1"/>
  <c r="T262" i="1"/>
  <c r="U262" i="1" s="1"/>
  <c r="W262" i="1" s="1"/>
  <c r="AF261" i="1"/>
  <c r="AB261" i="1"/>
  <c r="AA261" i="1"/>
  <c r="T261" i="1"/>
  <c r="U261" i="1" s="1"/>
  <c r="W261" i="1" s="1"/>
  <c r="AF260" i="1"/>
  <c r="AB260" i="1"/>
  <c r="AC260" i="1" s="1"/>
  <c r="AA260" i="1"/>
  <c r="T260" i="1"/>
  <c r="U260" i="1" s="1"/>
  <c r="W260" i="1" s="1"/>
  <c r="AF259" i="1"/>
  <c r="AB259" i="1"/>
  <c r="AA259" i="1"/>
  <c r="T259" i="1"/>
  <c r="U259" i="1" s="1"/>
  <c r="W259" i="1" s="1"/>
  <c r="AF258" i="1"/>
  <c r="AB258" i="1"/>
  <c r="AC258" i="1" s="1"/>
  <c r="AA258" i="1"/>
  <c r="T258" i="1"/>
  <c r="U258" i="1" s="1"/>
  <c r="W258" i="1" s="1"/>
  <c r="AF257" i="1"/>
  <c r="AB257" i="1"/>
  <c r="AA257" i="1"/>
  <c r="T257" i="1"/>
  <c r="U257" i="1" s="1"/>
  <c r="W257" i="1" s="1"/>
  <c r="AF256" i="1"/>
  <c r="AB256" i="1"/>
  <c r="AC256" i="1" s="1"/>
  <c r="AA256" i="1"/>
  <c r="T256" i="1"/>
  <c r="U256" i="1" s="1"/>
  <c r="W256" i="1" s="1"/>
  <c r="AF255" i="1"/>
  <c r="AB255" i="1"/>
  <c r="AA255" i="1"/>
  <c r="T255" i="1"/>
  <c r="U255" i="1" s="1"/>
  <c r="W255" i="1" s="1"/>
  <c r="AF254" i="1"/>
  <c r="AB254" i="1"/>
  <c r="AC254" i="1" s="1"/>
  <c r="AA254" i="1"/>
  <c r="T254" i="1"/>
  <c r="U254" i="1" s="1"/>
  <c r="W254" i="1" s="1"/>
  <c r="AF253" i="1"/>
  <c r="AB253" i="1"/>
  <c r="AA253" i="1"/>
  <c r="T253" i="1"/>
  <c r="U253" i="1" s="1"/>
  <c r="W253" i="1" s="1"/>
  <c r="AF252" i="1"/>
  <c r="AB252" i="1"/>
  <c r="AC252" i="1" s="1"/>
  <c r="AA252" i="1"/>
  <c r="T252" i="1"/>
  <c r="U252" i="1" s="1"/>
  <c r="W252" i="1" s="1"/>
  <c r="X252" i="1" s="1"/>
  <c r="AF251" i="1"/>
  <c r="AB251" i="1"/>
  <c r="AA251" i="1"/>
  <c r="T251" i="1"/>
  <c r="U251" i="1" s="1"/>
  <c r="W251" i="1" s="1"/>
  <c r="X251" i="1" s="1"/>
  <c r="AF250" i="1"/>
  <c r="AB250" i="1"/>
  <c r="AC250" i="1" s="1"/>
  <c r="AA250" i="1"/>
  <c r="T250" i="1"/>
  <c r="U250" i="1" s="1"/>
  <c r="W250" i="1" s="1"/>
  <c r="AF249" i="1"/>
  <c r="AB249" i="1"/>
  <c r="AA249" i="1"/>
  <c r="T249" i="1"/>
  <c r="U249" i="1" s="1"/>
  <c r="W249" i="1" s="1"/>
  <c r="X249" i="1" s="1"/>
  <c r="AF248" i="1"/>
  <c r="AB248" i="1"/>
  <c r="AA248" i="1"/>
  <c r="T248" i="1"/>
  <c r="U248" i="1" s="1"/>
  <c r="W248" i="1" s="1"/>
  <c r="X248" i="1" s="1"/>
  <c r="AF247" i="1"/>
  <c r="AB247" i="1"/>
  <c r="AC247" i="1" s="1"/>
  <c r="AA247" i="1"/>
  <c r="T247" i="1"/>
  <c r="U247" i="1" s="1"/>
  <c r="W247" i="1" s="1"/>
  <c r="X247" i="1" s="1"/>
  <c r="AF246" i="1"/>
  <c r="AB246" i="1"/>
  <c r="AC246" i="1" s="1"/>
  <c r="AA246" i="1"/>
  <c r="T246" i="1"/>
  <c r="U246" i="1" s="1"/>
  <c r="W246" i="1" s="1"/>
  <c r="AF245" i="1"/>
  <c r="AB245" i="1"/>
  <c r="AA245" i="1"/>
  <c r="T245" i="1"/>
  <c r="U245" i="1" s="1"/>
  <c r="W245" i="1" s="1"/>
  <c r="X245" i="1" s="1"/>
  <c r="AF244" i="1"/>
  <c r="AB244" i="1"/>
  <c r="AA244" i="1"/>
  <c r="T244" i="1"/>
  <c r="U244" i="1" s="1"/>
  <c r="W244" i="1" s="1"/>
  <c r="X244" i="1" s="1"/>
  <c r="AF243" i="1"/>
  <c r="AB243" i="1"/>
  <c r="AC243" i="1" s="1"/>
  <c r="AA243" i="1"/>
  <c r="T243" i="1"/>
  <c r="U243" i="1" s="1"/>
  <c r="W243" i="1" s="1"/>
  <c r="X243" i="1" s="1"/>
  <c r="AF242" i="1"/>
  <c r="AB242" i="1"/>
  <c r="AC242" i="1" s="1"/>
  <c r="AA242" i="1"/>
  <c r="T242" i="1"/>
  <c r="U242" i="1" s="1"/>
  <c r="W242" i="1" s="1"/>
  <c r="AF241" i="1"/>
  <c r="AB241" i="1"/>
  <c r="AC241" i="1" s="1"/>
  <c r="AA241" i="1"/>
  <c r="T241" i="1"/>
  <c r="U241" i="1" s="1"/>
  <c r="W241" i="1" s="1"/>
  <c r="X241" i="1" s="1"/>
  <c r="AF240" i="1"/>
  <c r="AB240" i="1"/>
  <c r="AC240" i="1" s="1"/>
  <c r="AA240" i="1"/>
  <c r="T240" i="1"/>
  <c r="U240" i="1" s="1"/>
  <c r="W240" i="1" s="1"/>
  <c r="X240" i="1" s="1"/>
  <c r="AF239" i="1"/>
  <c r="AB239" i="1"/>
  <c r="AC239" i="1" s="1"/>
  <c r="AA239" i="1"/>
  <c r="T239" i="1"/>
  <c r="U239" i="1" s="1"/>
  <c r="W239" i="1" s="1"/>
  <c r="X239" i="1" s="1"/>
  <c r="AF238" i="1"/>
  <c r="AB238" i="1"/>
  <c r="AC238" i="1" s="1"/>
  <c r="AA238" i="1"/>
  <c r="T238" i="1"/>
  <c r="U238" i="1" s="1"/>
  <c r="W238" i="1" s="1"/>
  <c r="AF237" i="1"/>
  <c r="AB237" i="1"/>
  <c r="AC237" i="1" s="1"/>
  <c r="AA237" i="1"/>
  <c r="T237" i="1"/>
  <c r="U237" i="1" s="1"/>
  <c r="W237" i="1" s="1"/>
  <c r="AF236" i="1"/>
  <c r="AB236" i="1"/>
  <c r="AC236" i="1" s="1"/>
  <c r="AA236" i="1"/>
  <c r="T236" i="1"/>
  <c r="U236" i="1" s="1"/>
  <c r="W236" i="1" s="1"/>
  <c r="X236" i="1" s="1"/>
  <c r="AF235" i="1"/>
  <c r="AB235" i="1"/>
  <c r="AC235" i="1" s="1"/>
  <c r="AA235" i="1"/>
  <c r="T235" i="1"/>
  <c r="U235" i="1" s="1"/>
  <c r="W235" i="1" s="1"/>
  <c r="X235" i="1" s="1"/>
  <c r="AF234" i="1"/>
  <c r="AB234" i="1"/>
  <c r="AC234" i="1" s="1"/>
  <c r="AA234" i="1"/>
  <c r="T234" i="1"/>
  <c r="U234" i="1" s="1"/>
  <c r="W234" i="1" s="1"/>
  <c r="AF233" i="1"/>
  <c r="AB233" i="1"/>
  <c r="AA233" i="1"/>
  <c r="T233" i="1"/>
  <c r="U233" i="1" s="1"/>
  <c r="W233" i="1" s="1"/>
  <c r="X233" i="1" s="1"/>
  <c r="AF232" i="1"/>
  <c r="AB232" i="1"/>
  <c r="AC232" i="1" s="1"/>
  <c r="AA232" i="1"/>
  <c r="T232" i="1"/>
  <c r="U232" i="1" s="1"/>
  <c r="W232" i="1" s="1"/>
  <c r="AF231" i="1"/>
  <c r="AB231" i="1"/>
  <c r="AC231" i="1" s="1"/>
  <c r="AA231" i="1"/>
  <c r="T231" i="1"/>
  <c r="U231" i="1" s="1"/>
  <c r="W231" i="1" s="1"/>
  <c r="X231" i="1" s="1"/>
  <c r="AF230" i="1"/>
  <c r="AB230" i="1"/>
  <c r="AC230" i="1" s="1"/>
  <c r="AA230" i="1"/>
  <c r="T230" i="1"/>
  <c r="U230" i="1" s="1"/>
  <c r="W230" i="1" s="1"/>
  <c r="AF229" i="1"/>
  <c r="AB229" i="1"/>
  <c r="AA229" i="1"/>
  <c r="T229" i="1"/>
  <c r="U229" i="1" s="1"/>
  <c r="W229" i="1" s="1"/>
  <c r="X229" i="1" s="1"/>
  <c r="AF228" i="1"/>
  <c r="AB228" i="1"/>
  <c r="AA228" i="1"/>
  <c r="T228" i="1"/>
  <c r="U228" i="1" s="1"/>
  <c r="W228" i="1" s="1"/>
  <c r="AF227" i="1"/>
  <c r="AB227" i="1"/>
  <c r="AC227" i="1" s="1"/>
  <c r="AA227" i="1"/>
  <c r="T227" i="1"/>
  <c r="U227" i="1" s="1"/>
  <c r="W227" i="1" s="1"/>
  <c r="X227" i="1" s="1"/>
  <c r="AF226" i="1"/>
  <c r="AB226" i="1"/>
  <c r="AC226" i="1" s="1"/>
  <c r="AA226" i="1"/>
  <c r="T226" i="1"/>
  <c r="U226" i="1" s="1"/>
  <c r="W226" i="1" s="1"/>
  <c r="AF225" i="1"/>
  <c r="AB225" i="1"/>
  <c r="AA225" i="1"/>
  <c r="T225" i="1"/>
  <c r="U225" i="1" s="1"/>
  <c r="W225" i="1" s="1"/>
  <c r="X225" i="1" s="1"/>
  <c r="AF224" i="1"/>
  <c r="AB224" i="1"/>
  <c r="AA224" i="1"/>
  <c r="T224" i="1"/>
  <c r="U224" i="1" s="1"/>
  <c r="W224" i="1" s="1"/>
  <c r="X224" i="1" s="1"/>
  <c r="AF223" i="1"/>
  <c r="AB223" i="1"/>
  <c r="AA223" i="1"/>
  <c r="T223" i="1"/>
  <c r="U223" i="1" s="1"/>
  <c r="W223" i="1" s="1"/>
  <c r="X223" i="1" s="1"/>
  <c r="AF222" i="1"/>
  <c r="AB222" i="1"/>
  <c r="AC222" i="1" s="1"/>
  <c r="AA222" i="1"/>
  <c r="T222" i="1"/>
  <c r="U222" i="1" s="1"/>
  <c r="W222" i="1" s="1"/>
  <c r="AF221" i="1"/>
  <c r="AB221" i="1"/>
  <c r="AA221" i="1"/>
  <c r="T221" i="1"/>
  <c r="U221" i="1" s="1"/>
  <c r="W221" i="1" s="1"/>
  <c r="AF220" i="1"/>
  <c r="AB220" i="1"/>
  <c r="AA220" i="1"/>
  <c r="T220" i="1"/>
  <c r="U220" i="1" s="1"/>
  <c r="W220" i="1" s="1"/>
  <c r="X220" i="1" s="1"/>
  <c r="AF219" i="1"/>
  <c r="AB219" i="1"/>
  <c r="AA219" i="1"/>
  <c r="T219" i="1"/>
  <c r="U219" i="1" s="1"/>
  <c r="W219" i="1" s="1"/>
  <c r="X219" i="1" s="1"/>
  <c r="AF218" i="1"/>
  <c r="AB218" i="1"/>
  <c r="AC218" i="1" s="1"/>
  <c r="AA218" i="1"/>
  <c r="T218" i="1"/>
  <c r="U218" i="1" s="1"/>
  <c r="W218" i="1" s="1"/>
  <c r="AF217" i="1"/>
  <c r="AB217" i="1"/>
  <c r="AC217" i="1" s="1"/>
  <c r="AA217" i="1"/>
  <c r="T217" i="1"/>
  <c r="U217" i="1" s="1"/>
  <c r="W217" i="1" s="1"/>
  <c r="AF216" i="1"/>
  <c r="AB216" i="1"/>
  <c r="AA216" i="1"/>
  <c r="T216" i="1"/>
  <c r="U216" i="1" s="1"/>
  <c r="W216" i="1" s="1"/>
  <c r="X216" i="1" s="1"/>
  <c r="AF215" i="1"/>
  <c r="AB215" i="1"/>
  <c r="AC215" i="1" s="1"/>
  <c r="AA215" i="1"/>
  <c r="T215" i="1"/>
  <c r="U215" i="1" s="1"/>
  <c r="W215" i="1" s="1"/>
  <c r="X215" i="1" s="1"/>
  <c r="AF214" i="1"/>
  <c r="AB214" i="1"/>
  <c r="AC214" i="1" s="1"/>
  <c r="AA214" i="1"/>
  <c r="T214" i="1"/>
  <c r="U214" i="1" s="1"/>
  <c r="W214" i="1" s="1"/>
  <c r="AF213" i="1"/>
  <c r="AB213" i="1"/>
  <c r="AA213" i="1"/>
  <c r="T213" i="1"/>
  <c r="U213" i="1" s="1"/>
  <c r="W213" i="1" s="1"/>
  <c r="X213" i="1" s="1"/>
  <c r="AF212" i="1"/>
  <c r="AB212" i="1"/>
  <c r="AA212" i="1"/>
  <c r="T212" i="1"/>
  <c r="U212" i="1" s="1"/>
  <c r="W212" i="1" s="1"/>
  <c r="AF211" i="1"/>
  <c r="AB211" i="1"/>
  <c r="AC211" i="1" s="1"/>
  <c r="AA211" i="1"/>
  <c r="T211" i="1"/>
  <c r="U211" i="1" s="1"/>
  <c r="W211" i="1" s="1"/>
  <c r="X211" i="1" s="1"/>
  <c r="AF210" i="1"/>
  <c r="AB210" i="1"/>
  <c r="AC210" i="1" s="1"/>
  <c r="AA210" i="1"/>
  <c r="T210" i="1"/>
  <c r="U210" i="1" s="1"/>
  <c r="W210" i="1" s="1"/>
  <c r="AF209" i="1"/>
  <c r="AB209" i="1"/>
  <c r="AC209" i="1" s="1"/>
  <c r="AA209" i="1"/>
  <c r="T209" i="1"/>
  <c r="U209" i="1" s="1"/>
  <c r="W209" i="1" s="1"/>
  <c r="X209" i="1" s="1"/>
  <c r="AF208" i="1"/>
  <c r="AB208" i="1"/>
  <c r="AA208" i="1"/>
  <c r="T208" i="1"/>
  <c r="U208" i="1" s="1"/>
  <c r="W208" i="1" s="1"/>
  <c r="X208" i="1" s="1"/>
  <c r="AF207" i="1"/>
  <c r="AB207" i="1"/>
  <c r="AC207" i="1" s="1"/>
  <c r="AA207" i="1"/>
  <c r="T207" i="1"/>
  <c r="U207" i="1" s="1"/>
  <c r="W207" i="1" s="1"/>
  <c r="X207" i="1" s="1"/>
  <c r="AF206" i="1"/>
  <c r="AB206" i="1"/>
  <c r="AC206" i="1" s="1"/>
  <c r="AA206" i="1"/>
  <c r="T206" i="1"/>
  <c r="U206" i="1" s="1"/>
  <c r="W206" i="1" s="1"/>
  <c r="AF205" i="1"/>
  <c r="AB205" i="1"/>
  <c r="AC205" i="1" s="1"/>
  <c r="AA205" i="1"/>
  <c r="T205" i="1"/>
  <c r="U205" i="1" s="1"/>
  <c r="W205" i="1" s="1"/>
  <c r="AF204" i="1"/>
  <c r="AB204" i="1"/>
  <c r="AA204" i="1"/>
  <c r="T204" i="1"/>
  <c r="U204" i="1" s="1"/>
  <c r="W204" i="1" s="1"/>
  <c r="X204" i="1" s="1"/>
  <c r="AF203" i="1"/>
  <c r="AB203" i="1"/>
  <c r="AC203" i="1" s="1"/>
  <c r="AA203" i="1"/>
  <c r="T203" i="1"/>
  <c r="U203" i="1" s="1"/>
  <c r="W203" i="1" s="1"/>
  <c r="X203" i="1" s="1"/>
  <c r="AB202" i="1"/>
  <c r="AC202" i="1" s="1"/>
  <c r="AA202" i="1"/>
  <c r="Z202" i="1"/>
  <c r="AD202" i="1" s="1"/>
  <c r="AF202" i="1" s="1"/>
  <c r="T202" i="1"/>
  <c r="U202" i="1" s="1"/>
  <c r="W202" i="1" s="1"/>
  <c r="AF201" i="1"/>
  <c r="AB201" i="1"/>
  <c r="AA201" i="1"/>
  <c r="T201" i="1"/>
  <c r="U201" i="1" s="1"/>
  <c r="W201" i="1" s="1"/>
  <c r="AF200" i="1"/>
  <c r="AB200" i="1"/>
  <c r="AA200" i="1"/>
  <c r="T200" i="1"/>
  <c r="U200" i="1" s="1"/>
  <c r="W200" i="1" s="1"/>
  <c r="AF199" i="1"/>
  <c r="AB199" i="1"/>
  <c r="AA199" i="1"/>
  <c r="T199" i="1"/>
  <c r="U199" i="1" s="1"/>
  <c r="W199" i="1" s="1"/>
  <c r="AF198" i="1"/>
  <c r="AB198" i="1"/>
  <c r="AA198" i="1"/>
  <c r="T198" i="1"/>
  <c r="U198" i="1" s="1"/>
  <c r="W198" i="1" s="1"/>
  <c r="AF197" i="1"/>
  <c r="AB197" i="1"/>
  <c r="AA197" i="1"/>
  <c r="T197" i="1"/>
  <c r="U197" i="1" s="1"/>
  <c r="W197" i="1" s="1"/>
  <c r="AF196" i="1"/>
  <c r="AB196" i="1"/>
  <c r="AA196" i="1"/>
  <c r="T196" i="1"/>
  <c r="U196" i="1" s="1"/>
  <c r="W196" i="1" s="1"/>
  <c r="AF195" i="1"/>
  <c r="AB195" i="1"/>
  <c r="AC195" i="1" s="1"/>
  <c r="AA195" i="1"/>
  <c r="T195" i="1"/>
  <c r="U195" i="1" s="1"/>
  <c r="W195" i="1" s="1"/>
  <c r="AF194" i="1"/>
  <c r="AB194" i="1"/>
  <c r="AA194" i="1"/>
  <c r="T194" i="1"/>
  <c r="U194" i="1" s="1"/>
  <c r="W194" i="1" s="1"/>
  <c r="X194" i="1" s="1"/>
  <c r="AF193" i="1"/>
  <c r="AB193" i="1"/>
  <c r="AC193" i="1" s="1"/>
  <c r="AA193" i="1"/>
  <c r="T193" i="1"/>
  <c r="U193" i="1" s="1"/>
  <c r="W193" i="1" s="1"/>
  <c r="AF192" i="1"/>
  <c r="AB192" i="1"/>
  <c r="AA192" i="1"/>
  <c r="T192" i="1"/>
  <c r="U192" i="1" s="1"/>
  <c r="W192" i="1" s="1"/>
  <c r="AF191" i="1"/>
  <c r="AB191" i="1"/>
  <c r="AC191" i="1" s="1"/>
  <c r="AA191" i="1"/>
  <c r="T191" i="1"/>
  <c r="U191" i="1" s="1"/>
  <c r="W191" i="1" s="1"/>
  <c r="X191" i="1" s="1"/>
  <c r="AF190" i="1"/>
  <c r="AB190" i="1"/>
  <c r="AA190" i="1"/>
  <c r="T190" i="1"/>
  <c r="U190" i="1" s="1"/>
  <c r="W190" i="1" s="1"/>
  <c r="AF189" i="1"/>
  <c r="AB189" i="1"/>
  <c r="AC189" i="1" s="1"/>
  <c r="AA189" i="1"/>
  <c r="T189" i="1"/>
  <c r="U189" i="1" s="1"/>
  <c r="W189" i="1" s="1"/>
  <c r="AF188" i="1"/>
  <c r="AB188" i="1"/>
  <c r="AA188" i="1"/>
  <c r="T188" i="1"/>
  <c r="U188" i="1" s="1"/>
  <c r="W188" i="1" s="1"/>
  <c r="AF187" i="1"/>
  <c r="AB187" i="1"/>
  <c r="AC187" i="1" s="1"/>
  <c r="AA187" i="1"/>
  <c r="T187" i="1"/>
  <c r="U187" i="1" s="1"/>
  <c r="W187" i="1" s="1"/>
  <c r="AF186" i="1"/>
  <c r="AB186" i="1"/>
  <c r="AA186" i="1"/>
  <c r="T186" i="1"/>
  <c r="U186" i="1" s="1"/>
  <c r="W186" i="1" s="1"/>
  <c r="X186" i="1" s="1"/>
  <c r="AF185" i="1"/>
  <c r="AB185" i="1"/>
  <c r="AC185" i="1" s="1"/>
  <c r="AA185" i="1"/>
  <c r="T185" i="1"/>
  <c r="U185" i="1" s="1"/>
  <c r="W185" i="1" s="1"/>
  <c r="AF184" i="1"/>
  <c r="AB184" i="1"/>
  <c r="AA184" i="1"/>
  <c r="T184" i="1"/>
  <c r="U184" i="1" s="1"/>
  <c r="W184" i="1" s="1"/>
  <c r="X184" i="1" s="1"/>
  <c r="AF183" i="1"/>
  <c r="AB183" i="1"/>
  <c r="AC183" i="1" s="1"/>
  <c r="AA183" i="1"/>
  <c r="T183" i="1"/>
  <c r="U183" i="1" s="1"/>
  <c r="W183" i="1" s="1"/>
  <c r="X183" i="1" s="1"/>
  <c r="AF182" i="1"/>
  <c r="AB182" i="1"/>
  <c r="AA182" i="1"/>
  <c r="T182" i="1"/>
  <c r="U182" i="1" s="1"/>
  <c r="W182" i="1" s="1"/>
  <c r="AF181" i="1"/>
  <c r="AB181" i="1"/>
  <c r="AC181" i="1" s="1"/>
  <c r="AA181" i="1"/>
  <c r="T181" i="1"/>
  <c r="U181" i="1" s="1"/>
  <c r="W181" i="1" s="1"/>
  <c r="AF180" i="1"/>
  <c r="AB180" i="1"/>
  <c r="AA180" i="1"/>
  <c r="T180" i="1"/>
  <c r="U180" i="1" s="1"/>
  <c r="W180" i="1" s="1"/>
  <c r="AF179" i="1"/>
  <c r="AB179" i="1"/>
  <c r="AC179" i="1" s="1"/>
  <c r="AA179" i="1"/>
  <c r="T179" i="1"/>
  <c r="U179" i="1" s="1"/>
  <c r="W179" i="1" s="1"/>
  <c r="AF178" i="1"/>
  <c r="AB178" i="1"/>
  <c r="AA178" i="1"/>
  <c r="T178" i="1"/>
  <c r="U178" i="1" s="1"/>
  <c r="W178" i="1" s="1"/>
  <c r="X178" i="1" s="1"/>
  <c r="AF177" i="1"/>
  <c r="AB177" i="1"/>
  <c r="AC177" i="1" s="1"/>
  <c r="AA177" i="1"/>
  <c r="T177" i="1"/>
  <c r="U177" i="1" s="1"/>
  <c r="W177" i="1" s="1"/>
  <c r="AF176" i="1"/>
  <c r="AB176" i="1"/>
  <c r="AA176" i="1"/>
  <c r="T176" i="1"/>
  <c r="U176" i="1" s="1"/>
  <c r="W176" i="1" s="1"/>
  <c r="AF175" i="1"/>
  <c r="AB175" i="1"/>
  <c r="AC175" i="1" s="1"/>
  <c r="AA175" i="1"/>
  <c r="T175" i="1"/>
  <c r="U175" i="1" s="1"/>
  <c r="W175" i="1" s="1"/>
  <c r="X175" i="1" s="1"/>
  <c r="AF174" i="1"/>
  <c r="AB174" i="1"/>
  <c r="AA174" i="1"/>
  <c r="T174" i="1"/>
  <c r="U174" i="1" s="1"/>
  <c r="W174" i="1" s="1"/>
  <c r="AF173" i="1"/>
  <c r="AB173" i="1"/>
  <c r="AC173" i="1" s="1"/>
  <c r="AA173" i="1"/>
  <c r="T173" i="1"/>
  <c r="U173" i="1" s="1"/>
  <c r="W173" i="1" s="1"/>
  <c r="X173" i="1" s="1"/>
  <c r="AF172" i="1"/>
  <c r="AB172" i="1"/>
  <c r="AA172" i="1"/>
  <c r="T172" i="1"/>
  <c r="U172" i="1" s="1"/>
  <c r="W172" i="1" s="1"/>
  <c r="AF171" i="1"/>
  <c r="AB171" i="1"/>
  <c r="AC171" i="1" s="1"/>
  <c r="AA171" i="1"/>
  <c r="T171" i="1"/>
  <c r="U171" i="1" s="1"/>
  <c r="W171" i="1" s="1"/>
  <c r="AF170" i="1"/>
  <c r="AB170" i="1"/>
  <c r="AA170" i="1"/>
  <c r="T170" i="1"/>
  <c r="U170" i="1" s="1"/>
  <c r="W170" i="1" s="1"/>
  <c r="X170" i="1" s="1"/>
  <c r="AF169" i="1"/>
  <c r="AB169" i="1"/>
  <c r="AC169" i="1" s="1"/>
  <c r="AA169" i="1"/>
  <c r="T169" i="1"/>
  <c r="U169" i="1" s="1"/>
  <c r="W169" i="1" s="1"/>
  <c r="AF168" i="1"/>
  <c r="AB168" i="1"/>
  <c r="AA168" i="1"/>
  <c r="T168" i="1"/>
  <c r="U168" i="1" s="1"/>
  <c r="W168" i="1" s="1"/>
  <c r="AF167" i="1"/>
  <c r="AB167" i="1"/>
  <c r="AC167" i="1" s="1"/>
  <c r="AA167" i="1"/>
  <c r="T167" i="1"/>
  <c r="U167" i="1" s="1"/>
  <c r="W167" i="1" s="1"/>
  <c r="X167" i="1" s="1"/>
  <c r="AF166" i="1"/>
  <c r="AB166" i="1"/>
  <c r="AA166" i="1"/>
  <c r="T166" i="1"/>
  <c r="U166" i="1" s="1"/>
  <c r="W166" i="1" s="1"/>
  <c r="AF165" i="1"/>
  <c r="AB165" i="1"/>
  <c r="AC165" i="1" s="1"/>
  <c r="AA165" i="1"/>
  <c r="T165" i="1"/>
  <c r="U165" i="1" s="1"/>
  <c r="W165" i="1" s="1"/>
  <c r="AF164" i="1"/>
  <c r="AB164" i="1"/>
  <c r="AA164" i="1"/>
  <c r="T164" i="1"/>
  <c r="U164" i="1" s="1"/>
  <c r="W164" i="1" s="1"/>
  <c r="AF163" i="1"/>
  <c r="AB163" i="1"/>
  <c r="AC163" i="1" s="1"/>
  <c r="AA163" i="1"/>
  <c r="T163" i="1"/>
  <c r="U163" i="1" s="1"/>
  <c r="W163" i="1" s="1"/>
  <c r="AF162" i="1"/>
  <c r="AB162" i="1"/>
  <c r="AA162" i="1"/>
  <c r="T162" i="1"/>
  <c r="U162" i="1" s="1"/>
  <c r="W162" i="1" s="1"/>
  <c r="X162" i="1" s="1"/>
  <c r="AF161" i="1"/>
  <c r="AB161" i="1"/>
  <c r="AC161" i="1" s="1"/>
  <c r="AA161" i="1"/>
  <c r="T161" i="1"/>
  <c r="U161" i="1" s="1"/>
  <c r="W161" i="1" s="1"/>
  <c r="AF160" i="1"/>
  <c r="AA160" i="1"/>
  <c r="T160" i="1"/>
  <c r="U160" i="1" s="1"/>
  <c r="W160" i="1" s="1"/>
  <c r="AF159" i="1"/>
  <c r="AB159" i="1"/>
  <c r="AC159" i="1" s="1"/>
  <c r="AA159" i="1"/>
  <c r="T159" i="1"/>
  <c r="U159" i="1" s="1"/>
  <c r="W159" i="1" s="1"/>
  <c r="X159" i="1" s="1"/>
  <c r="AF158" i="1"/>
  <c r="AB158" i="1"/>
  <c r="AA158" i="1"/>
  <c r="T158" i="1"/>
  <c r="U158" i="1" s="1"/>
  <c r="W158" i="1" s="1"/>
  <c r="AF157" i="1"/>
  <c r="AB157" i="1"/>
  <c r="AC157" i="1" s="1"/>
  <c r="AA157" i="1"/>
  <c r="T157" i="1"/>
  <c r="U157" i="1" s="1"/>
  <c r="W157" i="1" s="1"/>
  <c r="AF156" i="1"/>
  <c r="AB156" i="1"/>
  <c r="AA156" i="1"/>
  <c r="T156" i="1"/>
  <c r="U156" i="1" s="1"/>
  <c r="W156" i="1" s="1"/>
  <c r="AF155" i="1"/>
  <c r="AB155" i="1"/>
  <c r="AC155" i="1" s="1"/>
  <c r="AA155" i="1"/>
  <c r="T155" i="1"/>
  <c r="U155" i="1" s="1"/>
  <c r="W155" i="1" s="1"/>
  <c r="AF154" i="1"/>
  <c r="AB154" i="1"/>
  <c r="AA154" i="1"/>
  <c r="T154" i="1"/>
  <c r="U154" i="1" s="1"/>
  <c r="W154" i="1" s="1"/>
  <c r="X154" i="1" s="1"/>
  <c r="AF153" i="1"/>
  <c r="AB153" i="1"/>
  <c r="AC153" i="1" s="1"/>
  <c r="AA153" i="1"/>
  <c r="T153" i="1"/>
  <c r="U153" i="1" s="1"/>
  <c r="W153" i="1" s="1"/>
  <c r="AF152" i="1"/>
  <c r="AB152" i="1"/>
  <c r="AA152" i="1"/>
  <c r="T152" i="1"/>
  <c r="U152" i="1" s="1"/>
  <c r="W152" i="1" s="1"/>
  <c r="X152" i="1" s="1"/>
  <c r="AF151" i="1"/>
  <c r="AB151" i="1"/>
  <c r="AC151" i="1" s="1"/>
  <c r="AA151" i="1"/>
  <c r="T151" i="1"/>
  <c r="U151" i="1" s="1"/>
  <c r="W151" i="1" s="1"/>
  <c r="X151" i="1" s="1"/>
  <c r="AF150" i="1"/>
  <c r="AB150" i="1"/>
  <c r="AA150" i="1"/>
  <c r="T150" i="1"/>
  <c r="U150" i="1" s="1"/>
  <c r="W150" i="1" s="1"/>
  <c r="AF149" i="1"/>
  <c r="AB149" i="1"/>
  <c r="AC149" i="1" s="1"/>
  <c r="AA149" i="1"/>
  <c r="T149" i="1"/>
  <c r="U149" i="1" s="1"/>
  <c r="W149" i="1" s="1"/>
  <c r="AF148" i="1"/>
  <c r="AB148" i="1"/>
  <c r="AA148" i="1"/>
  <c r="T148" i="1"/>
  <c r="U148" i="1" s="1"/>
  <c r="W148" i="1" s="1"/>
  <c r="AF147" i="1"/>
  <c r="AB147" i="1"/>
  <c r="AC147" i="1" s="1"/>
  <c r="AA147" i="1"/>
  <c r="T147" i="1"/>
  <c r="U147" i="1" s="1"/>
  <c r="W147" i="1" s="1"/>
  <c r="AF146" i="1"/>
  <c r="AB146" i="1"/>
  <c r="AA146" i="1"/>
  <c r="T146" i="1"/>
  <c r="U146" i="1" s="1"/>
  <c r="W146" i="1" s="1"/>
  <c r="X146" i="1" s="1"/>
  <c r="AF145" i="1"/>
  <c r="AB145" i="1"/>
  <c r="AC145" i="1" s="1"/>
  <c r="AA145" i="1"/>
  <c r="T145" i="1"/>
  <c r="U145" i="1" s="1"/>
  <c r="W145" i="1" s="1"/>
  <c r="AF144" i="1"/>
  <c r="AB144" i="1"/>
  <c r="AA144" i="1"/>
  <c r="T144" i="1"/>
  <c r="U144" i="1" s="1"/>
  <c r="W144" i="1" s="1"/>
  <c r="AF143" i="1"/>
  <c r="AB143" i="1"/>
  <c r="AC143" i="1" s="1"/>
  <c r="AA143" i="1"/>
  <c r="T143" i="1"/>
  <c r="U143" i="1" s="1"/>
  <c r="W143" i="1" s="1"/>
  <c r="X143" i="1" s="1"/>
  <c r="AF142" i="1"/>
  <c r="AB142" i="1"/>
  <c r="AA142" i="1"/>
  <c r="T142" i="1"/>
  <c r="U142" i="1" s="1"/>
  <c r="W142" i="1" s="1"/>
  <c r="AF141" i="1"/>
  <c r="AB141" i="1"/>
  <c r="AC141" i="1" s="1"/>
  <c r="AA141" i="1"/>
  <c r="T141" i="1"/>
  <c r="U141" i="1" s="1"/>
  <c r="W141" i="1" s="1"/>
  <c r="X141" i="1" s="1"/>
  <c r="AF140" i="1"/>
  <c r="AB140" i="1"/>
  <c r="AA140" i="1"/>
  <c r="T140" i="1"/>
  <c r="U140" i="1" s="1"/>
  <c r="W140" i="1" s="1"/>
  <c r="AF139" i="1"/>
  <c r="AB139" i="1"/>
  <c r="AC139" i="1" s="1"/>
  <c r="AA139" i="1"/>
  <c r="T139" i="1"/>
  <c r="U139" i="1" s="1"/>
  <c r="W139" i="1" s="1"/>
  <c r="AF138" i="1"/>
  <c r="AB138" i="1"/>
  <c r="AA138" i="1"/>
  <c r="T138" i="1"/>
  <c r="U138" i="1" s="1"/>
  <c r="W138" i="1" s="1"/>
  <c r="X138" i="1" s="1"/>
  <c r="AF137" i="1"/>
  <c r="AB137" i="1"/>
  <c r="AC137" i="1" s="1"/>
  <c r="AA137" i="1"/>
  <c r="T137" i="1"/>
  <c r="U137" i="1" s="1"/>
  <c r="W137" i="1" s="1"/>
  <c r="AF136" i="1"/>
  <c r="AB136" i="1"/>
  <c r="AA136" i="1"/>
  <c r="T136" i="1"/>
  <c r="U136" i="1" s="1"/>
  <c r="W136" i="1" s="1"/>
  <c r="AF135" i="1"/>
  <c r="AB135" i="1"/>
  <c r="AC135" i="1" s="1"/>
  <c r="AA135" i="1"/>
  <c r="T135" i="1"/>
  <c r="U135" i="1" s="1"/>
  <c r="W135" i="1" s="1"/>
  <c r="X135" i="1" s="1"/>
  <c r="AF134" i="1"/>
  <c r="AB134" i="1"/>
  <c r="AA134" i="1"/>
  <c r="T134" i="1"/>
  <c r="U134" i="1" s="1"/>
  <c r="W134" i="1" s="1"/>
  <c r="AF133" i="1"/>
  <c r="AB133" i="1"/>
  <c r="AA133" i="1"/>
  <c r="T133" i="1"/>
  <c r="U133" i="1" s="1"/>
  <c r="W133" i="1" s="1"/>
  <c r="AF132" i="1"/>
  <c r="AB132" i="1"/>
  <c r="AA132" i="1"/>
  <c r="T132" i="1"/>
  <c r="U132" i="1" s="1"/>
  <c r="W132" i="1" s="1"/>
  <c r="AF131" i="1"/>
  <c r="AB131" i="1"/>
  <c r="AC131" i="1" s="1"/>
  <c r="AA131" i="1"/>
  <c r="T131" i="1"/>
  <c r="U131" i="1" s="1"/>
  <c r="W131" i="1" s="1"/>
  <c r="AF130" i="1"/>
  <c r="AB130" i="1"/>
  <c r="AA130" i="1"/>
  <c r="T130" i="1"/>
  <c r="U130" i="1" s="1"/>
  <c r="W130" i="1" s="1"/>
  <c r="X130" i="1" s="1"/>
  <c r="AF129" i="1"/>
  <c r="AB129" i="1"/>
  <c r="AC129" i="1" s="1"/>
  <c r="AA129" i="1"/>
  <c r="T129" i="1"/>
  <c r="U129" i="1" s="1"/>
  <c r="W129" i="1" s="1"/>
  <c r="AF128" i="1"/>
  <c r="AB128" i="1"/>
  <c r="AA128" i="1"/>
  <c r="T128" i="1"/>
  <c r="U128" i="1" s="1"/>
  <c r="W128" i="1" s="1"/>
  <c r="AF127" i="1"/>
  <c r="AB127" i="1"/>
  <c r="AC127" i="1" s="1"/>
  <c r="AA127" i="1"/>
  <c r="T127" i="1"/>
  <c r="U127" i="1" s="1"/>
  <c r="W127" i="1" s="1"/>
  <c r="X127" i="1" s="1"/>
  <c r="AF126" i="1"/>
  <c r="AB126" i="1"/>
  <c r="AA126" i="1"/>
  <c r="T126" i="1"/>
  <c r="U126" i="1" s="1"/>
  <c r="W126" i="1" s="1"/>
  <c r="AF125" i="1"/>
  <c r="AB125" i="1"/>
  <c r="AC125" i="1" s="1"/>
  <c r="AA125" i="1"/>
  <c r="T125" i="1"/>
  <c r="U125" i="1" s="1"/>
  <c r="W125" i="1" s="1"/>
  <c r="AF124" i="1"/>
  <c r="AB124" i="1"/>
  <c r="AA124" i="1"/>
  <c r="T124" i="1"/>
  <c r="U124" i="1" s="1"/>
  <c r="W124" i="1" s="1"/>
  <c r="AF123" i="1"/>
  <c r="AC123" i="1"/>
  <c r="AA123" i="1"/>
  <c r="T123" i="1"/>
  <c r="U123" i="1" s="1"/>
  <c r="W123" i="1" s="1"/>
  <c r="AF122" i="1"/>
  <c r="AB122" i="1"/>
  <c r="AA122" i="1"/>
  <c r="T122" i="1"/>
  <c r="U122" i="1" s="1"/>
  <c r="W122" i="1" s="1"/>
  <c r="X122" i="1" s="1"/>
  <c r="Y122" i="1" s="1"/>
  <c r="AF121" i="1"/>
  <c r="AB121" i="1"/>
  <c r="AC121" i="1" s="1"/>
  <c r="AA121" i="1"/>
  <c r="T121" i="1"/>
  <c r="U121" i="1" s="1"/>
  <c r="W121" i="1" s="1"/>
  <c r="X121" i="1" s="1"/>
  <c r="AF120" i="1"/>
  <c r="AB120" i="1"/>
  <c r="AC120" i="1" s="1"/>
  <c r="AA120" i="1"/>
  <c r="T120" i="1"/>
  <c r="U120" i="1" s="1"/>
  <c r="W120" i="1" s="1"/>
  <c r="X120" i="1" s="1"/>
  <c r="Y120" i="1" s="1"/>
  <c r="AF119" i="1"/>
  <c r="AB119" i="1"/>
  <c r="AC119" i="1" s="1"/>
  <c r="AA119" i="1"/>
  <c r="T119" i="1"/>
  <c r="U119" i="1" s="1"/>
  <c r="W119" i="1" s="1"/>
  <c r="X119" i="1" s="1"/>
  <c r="AF118" i="1"/>
  <c r="AB118" i="1"/>
  <c r="AC118" i="1" s="1"/>
  <c r="AA118" i="1"/>
  <c r="T118" i="1"/>
  <c r="U118" i="1" s="1"/>
  <c r="W118" i="1" s="1"/>
  <c r="X118" i="1" s="1"/>
  <c r="Y118" i="1" s="1"/>
  <c r="AF117" i="1"/>
  <c r="AB117" i="1"/>
  <c r="AC117" i="1" s="1"/>
  <c r="AA117" i="1"/>
  <c r="T117" i="1"/>
  <c r="U117" i="1" s="1"/>
  <c r="W117" i="1" s="1"/>
  <c r="X117" i="1" s="1"/>
  <c r="AF116" i="1"/>
  <c r="AB116" i="1"/>
  <c r="AC116" i="1" s="1"/>
  <c r="AA116" i="1"/>
  <c r="T116" i="1"/>
  <c r="U116" i="1" s="1"/>
  <c r="W116" i="1" s="1"/>
  <c r="X116" i="1" s="1"/>
  <c r="Y116" i="1" s="1"/>
  <c r="AF115" i="1"/>
  <c r="AB115" i="1"/>
  <c r="AC115" i="1" s="1"/>
  <c r="AA115" i="1"/>
  <c r="T115" i="1"/>
  <c r="U115" i="1" s="1"/>
  <c r="W115" i="1" s="1"/>
  <c r="X115" i="1" s="1"/>
  <c r="AF114" i="1"/>
  <c r="AB114" i="1"/>
  <c r="AC114" i="1" s="1"/>
  <c r="AA114" i="1"/>
  <c r="T114" i="1"/>
  <c r="U114" i="1" s="1"/>
  <c r="W114" i="1" s="1"/>
  <c r="X114" i="1" s="1"/>
  <c r="Y114" i="1" s="1"/>
  <c r="AF113" i="1"/>
  <c r="AB113" i="1"/>
  <c r="AC113" i="1" s="1"/>
  <c r="AA113" i="1"/>
  <c r="T113" i="1"/>
  <c r="U113" i="1" s="1"/>
  <c r="W113" i="1" s="1"/>
  <c r="X113" i="1" s="1"/>
  <c r="AF112" i="1"/>
  <c r="AB112" i="1"/>
  <c r="AC112" i="1" s="1"/>
  <c r="AA112" i="1"/>
  <c r="T112" i="1"/>
  <c r="U112" i="1" s="1"/>
  <c r="W112" i="1" s="1"/>
  <c r="X112" i="1" s="1"/>
  <c r="Y112" i="1" s="1"/>
  <c r="AF111" i="1"/>
  <c r="AB111" i="1"/>
  <c r="AC111" i="1" s="1"/>
  <c r="AA111" i="1"/>
  <c r="T111" i="1"/>
  <c r="U111" i="1" s="1"/>
  <c r="W111" i="1" s="1"/>
  <c r="X111" i="1" s="1"/>
  <c r="AF110" i="1"/>
  <c r="AB110" i="1"/>
  <c r="AC110" i="1" s="1"/>
  <c r="AA110" i="1"/>
  <c r="T110" i="1"/>
  <c r="U110" i="1" s="1"/>
  <c r="W110" i="1" s="1"/>
  <c r="X110" i="1" s="1"/>
  <c r="Y110" i="1" s="1"/>
  <c r="AF109" i="1"/>
  <c r="AB109" i="1"/>
  <c r="AC109" i="1" s="1"/>
  <c r="AA109" i="1"/>
  <c r="T109" i="1"/>
  <c r="U109" i="1" s="1"/>
  <c r="W109" i="1" s="1"/>
  <c r="X109" i="1" s="1"/>
  <c r="AF108" i="1"/>
  <c r="AB108" i="1"/>
  <c r="AC108" i="1" s="1"/>
  <c r="AA108" i="1"/>
  <c r="T108" i="1"/>
  <c r="U108" i="1" s="1"/>
  <c r="W108" i="1" s="1"/>
  <c r="X108" i="1" s="1"/>
  <c r="Y108" i="1" s="1"/>
  <c r="AF107" i="1"/>
  <c r="AB107" i="1"/>
  <c r="AC107" i="1" s="1"/>
  <c r="AA107" i="1"/>
  <c r="T107" i="1"/>
  <c r="U107" i="1" s="1"/>
  <c r="W107" i="1" s="1"/>
  <c r="X107" i="1" s="1"/>
  <c r="AF106" i="1"/>
  <c r="AB106" i="1"/>
  <c r="AC106" i="1" s="1"/>
  <c r="AA106" i="1"/>
  <c r="T106" i="1"/>
  <c r="U106" i="1" s="1"/>
  <c r="W106" i="1" s="1"/>
  <c r="X106" i="1" s="1"/>
  <c r="Y106" i="1" s="1"/>
  <c r="AF105" i="1"/>
  <c r="AB105" i="1"/>
  <c r="AC105" i="1" s="1"/>
  <c r="AA105" i="1"/>
  <c r="T105" i="1"/>
  <c r="U105" i="1" s="1"/>
  <c r="W105" i="1" s="1"/>
  <c r="X105" i="1" s="1"/>
  <c r="AF104" i="1"/>
  <c r="AB104" i="1"/>
  <c r="AC104" i="1" s="1"/>
  <c r="AA104" i="1"/>
  <c r="T104" i="1"/>
  <c r="U104" i="1" s="1"/>
  <c r="W104" i="1" s="1"/>
  <c r="X104" i="1" s="1"/>
  <c r="Y104" i="1" s="1"/>
  <c r="AF103" i="1"/>
  <c r="AB103" i="1"/>
  <c r="AC103" i="1" s="1"/>
  <c r="AA103" i="1"/>
  <c r="T103" i="1"/>
  <c r="U103" i="1" s="1"/>
  <c r="W103" i="1" s="1"/>
  <c r="X103" i="1" s="1"/>
  <c r="AF102" i="1"/>
  <c r="AB102" i="1"/>
  <c r="AC102" i="1" s="1"/>
  <c r="AA102" i="1"/>
  <c r="T102" i="1"/>
  <c r="U102" i="1" s="1"/>
  <c r="W102" i="1" s="1"/>
  <c r="X102" i="1" s="1"/>
  <c r="Y102" i="1" s="1"/>
  <c r="AF101" i="1"/>
  <c r="AB101" i="1"/>
  <c r="AC101" i="1" s="1"/>
  <c r="AA101" i="1"/>
  <c r="T101" i="1"/>
  <c r="U101" i="1" s="1"/>
  <c r="W101" i="1" s="1"/>
  <c r="X101" i="1" s="1"/>
  <c r="AF100" i="1"/>
  <c r="AG100" i="1" s="1"/>
  <c r="AC100" i="1"/>
  <c r="AA100" i="1"/>
  <c r="T100" i="1"/>
  <c r="U100" i="1" s="1"/>
  <c r="W100" i="1" s="1"/>
  <c r="AF99" i="1"/>
  <c r="AB99" i="1"/>
  <c r="AC99" i="1" s="1"/>
  <c r="AA99" i="1"/>
  <c r="T99" i="1"/>
  <c r="U99" i="1" s="1"/>
  <c r="W99" i="1" s="1"/>
  <c r="X99" i="1" s="1"/>
  <c r="Y99" i="1" s="1"/>
  <c r="AF98" i="1"/>
  <c r="AB98" i="1"/>
  <c r="AC98" i="1" s="1"/>
  <c r="AA98" i="1"/>
  <c r="T98" i="1"/>
  <c r="U98" i="1" s="1"/>
  <c r="W98" i="1" s="1"/>
  <c r="X98" i="1" s="1"/>
  <c r="AF97" i="1"/>
  <c r="AB97" i="1"/>
  <c r="AA97" i="1"/>
  <c r="T97" i="1"/>
  <c r="U97" i="1" s="1"/>
  <c r="W97" i="1" s="1"/>
  <c r="AF96" i="1"/>
  <c r="AB96" i="1"/>
  <c r="AA96" i="1"/>
  <c r="T96" i="1"/>
  <c r="U96" i="1" s="1"/>
  <c r="W96" i="1" s="1"/>
  <c r="AF95" i="1"/>
  <c r="AB95" i="1"/>
  <c r="AC95" i="1" s="1"/>
  <c r="AA95" i="1"/>
  <c r="T95" i="1"/>
  <c r="U95" i="1" s="1"/>
  <c r="W95" i="1" s="1"/>
  <c r="X95" i="1" s="1"/>
  <c r="Y95" i="1" s="1"/>
  <c r="AF94" i="1"/>
  <c r="AB94" i="1"/>
  <c r="AA94" i="1"/>
  <c r="T94" i="1"/>
  <c r="U94" i="1" s="1"/>
  <c r="W94" i="1" s="1"/>
  <c r="X94" i="1" s="1"/>
  <c r="AF93" i="1"/>
  <c r="AB93" i="1"/>
  <c r="AA93" i="1"/>
  <c r="T93" i="1"/>
  <c r="U93" i="1" s="1"/>
  <c r="W93" i="1" s="1"/>
  <c r="AF92" i="1"/>
  <c r="AB92" i="1"/>
  <c r="AA92" i="1"/>
  <c r="T92" i="1"/>
  <c r="U92" i="1" s="1"/>
  <c r="W92" i="1" s="1"/>
  <c r="AD91" i="1"/>
  <c r="AF91" i="1" s="1"/>
  <c r="AB91" i="1"/>
  <c r="AC91" i="1" s="1"/>
  <c r="AA91" i="1"/>
  <c r="T91" i="1"/>
  <c r="U91" i="1" s="1"/>
  <c r="W91" i="1" s="1"/>
  <c r="X91" i="1" s="1"/>
  <c r="Y91" i="1" s="1"/>
  <c r="AF90" i="1"/>
  <c r="AB90" i="1"/>
  <c r="AC90" i="1" s="1"/>
  <c r="AA90" i="1"/>
  <c r="T90" i="1"/>
  <c r="U90" i="1" s="1"/>
  <c r="W90" i="1" s="1"/>
  <c r="AF89" i="1"/>
  <c r="AB89" i="1"/>
  <c r="AC89" i="1" s="1"/>
  <c r="AA89" i="1"/>
  <c r="T89" i="1"/>
  <c r="U89" i="1" s="1"/>
  <c r="W89" i="1" s="1"/>
  <c r="AF88" i="1"/>
  <c r="AB88" i="1"/>
  <c r="AC88" i="1" s="1"/>
  <c r="AA88" i="1"/>
  <c r="T88" i="1"/>
  <c r="U88" i="1" s="1"/>
  <c r="W88" i="1" s="1"/>
  <c r="X88" i="1" s="1"/>
  <c r="AF87" i="1"/>
  <c r="AB87" i="1"/>
  <c r="AC87" i="1" s="1"/>
  <c r="AA87" i="1"/>
  <c r="T87" i="1"/>
  <c r="U87" i="1" s="1"/>
  <c r="W87" i="1" s="1"/>
  <c r="AF86" i="1"/>
  <c r="AB86" i="1"/>
  <c r="AC86" i="1" s="1"/>
  <c r="AA86" i="1"/>
  <c r="T86" i="1"/>
  <c r="U86" i="1" s="1"/>
  <c r="W86" i="1" s="1"/>
  <c r="AF85" i="1"/>
  <c r="AB85" i="1"/>
  <c r="AC85" i="1" s="1"/>
  <c r="AA85" i="1"/>
  <c r="T85" i="1"/>
  <c r="U85" i="1" s="1"/>
  <c r="W85" i="1" s="1"/>
  <c r="AF84" i="1"/>
  <c r="AB84" i="1"/>
  <c r="AC84" i="1" s="1"/>
  <c r="AA84" i="1"/>
  <c r="T84" i="1"/>
  <c r="U84" i="1" s="1"/>
  <c r="W84" i="1" s="1"/>
  <c r="AF83" i="1"/>
  <c r="AB83" i="1"/>
  <c r="AC83" i="1" s="1"/>
  <c r="AA83" i="1"/>
  <c r="T83" i="1"/>
  <c r="U83" i="1" s="1"/>
  <c r="W83" i="1" s="1"/>
  <c r="AF82" i="1"/>
  <c r="AB82" i="1"/>
  <c r="AC82" i="1" s="1"/>
  <c r="AA82" i="1"/>
  <c r="T82" i="1"/>
  <c r="U82" i="1" s="1"/>
  <c r="W82" i="1" s="1"/>
  <c r="AF81" i="1"/>
  <c r="AB81" i="1"/>
  <c r="AC81" i="1" s="1"/>
  <c r="AA81" i="1"/>
  <c r="T81" i="1"/>
  <c r="U81" i="1" s="1"/>
  <c r="W81" i="1" s="1"/>
  <c r="X81" i="1" s="1"/>
  <c r="AF80" i="1"/>
  <c r="AB80" i="1"/>
  <c r="AC80" i="1" s="1"/>
  <c r="AA80" i="1"/>
  <c r="T80" i="1"/>
  <c r="U80" i="1" s="1"/>
  <c r="W80" i="1" s="1"/>
  <c r="AD79" i="1"/>
  <c r="AF79" i="1" s="1"/>
  <c r="AB79" i="1"/>
  <c r="AC79" i="1" s="1"/>
  <c r="AA79" i="1"/>
  <c r="T79" i="1"/>
  <c r="U79" i="1" s="1"/>
  <c r="W79" i="1" s="1"/>
  <c r="AF78" i="1"/>
  <c r="AB78" i="1"/>
  <c r="AC78" i="1" s="1"/>
  <c r="AA78" i="1"/>
  <c r="T78" i="1"/>
  <c r="U78" i="1" s="1"/>
  <c r="W78" i="1" s="1"/>
  <c r="X78" i="1" s="1"/>
  <c r="AF77" i="1"/>
  <c r="AB77" i="1"/>
  <c r="AC77" i="1" s="1"/>
  <c r="AA77" i="1"/>
  <c r="T77" i="1"/>
  <c r="U77" i="1" s="1"/>
  <c r="W77" i="1" s="1"/>
  <c r="AF76" i="1"/>
  <c r="AB76" i="1"/>
  <c r="AC76" i="1" s="1"/>
  <c r="AA76" i="1"/>
  <c r="T76" i="1"/>
  <c r="U76" i="1" s="1"/>
  <c r="W76" i="1" s="1"/>
  <c r="AF75" i="1"/>
  <c r="AB75" i="1"/>
  <c r="AC75" i="1" s="1"/>
  <c r="AA75" i="1"/>
  <c r="T75" i="1"/>
  <c r="U75" i="1" s="1"/>
  <c r="W75" i="1" s="1"/>
  <c r="AF74" i="1"/>
  <c r="AB74" i="1"/>
  <c r="AC74" i="1" s="1"/>
  <c r="AA74" i="1"/>
  <c r="T74" i="1"/>
  <c r="U74" i="1" s="1"/>
  <c r="W74" i="1" s="1"/>
  <c r="AF73" i="1"/>
  <c r="AB73" i="1"/>
  <c r="AC73" i="1" s="1"/>
  <c r="AA73" i="1"/>
  <c r="T73" i="1"/>
  <c r="U73" i="1" s="1"/>
  <c r="W73" i="1" s="1"/>
  <c r="AF72" i="1"/>
  <c r="AB72" i="1"/>
  <c r="AC72" i="1" s="1"/>
  <c r="AA72" i="1"/>
  <c r="T72" i="1"/>
  <c r="U72" i="1" s="1"/>
  <c r="W72" i="1" s="1"/>
  <c r="AF71" i="1"/>
  <c r="AB71" i="1"/>
  <c r="AC71" i="1" s="1"/>
  <c r="AA71" i="1"/>
  <c r="T71" i="1"/>
  <c r="U71" i="1" s="1"/>
  <c r="W71" i="1" s="1"/>
  <c r="AF70" i="1"/>
  <c r="AB70" i="1"/>
  <c r="AC70" i="1" s="1"/>
  <c r="AA70" i="1"/>
  <c r="T70" i="1"/>
  <c r="U70" i="1" s="1"/>
  <c r="W70" i="1" s="1"/>
  <c r="AF69" i="1"/>
  <c r="AB69" i="1"/>
  <c r="AC69" i="1" s="1"/>
  <c r="AA69" i="1"/>
  <c r="T69" i="1"/>
  <c r="U69" i="1" s="1"/>
  <c r="W69" i="1" s="1"/>
  <c r="AF68" i="1"/>
  <c r="AB68" i="1"/>
  <c r="AA68" i="1"/>
  <c r="T68" i="1"/>
  <c r="U68" i="1" s="1"/>
  <c r="W68" i="1" s="1"/>
  <c r="AF67" i="1"/>
  <c r="AB67" i="1"/>
  <c r="AC67" i="1" s="1"/>
  <c r="AA67" i="1"/>
  <c r="T67" i="1"/>
  <c r="U67" i="1" s="1"/>
  <c r="W67" i="1" s="1"/>
  <c r="AF66" i="1"/>
  <c r="AB66" i="1"/>
  <c r="AC66" i="1" s="1"/>
  <c r="AA66" i="1"/>
  <c r="T66" i="1"/>
  <c r="U66" i="1" s="1"/>
  <c r="W66" i="1" s="1"/>
  <c r="AF65" i="1"/>
  <c r="AB65" i="1"/>
  <c r="AC65" i="1" s="1"/>
  <c r="AA65" i="1"/>
  <c r="T65" i="1"/>
  <c r="U65" i="1" s="1"/>
  <c r="W65" i="1" s="1"/>
  <c r="AF64" i="1"/>
  <c r="AB64" i="1"/>
  <c r="AC64" i="1" s="1"/>
  <c r="AA64" i="1"/>
  <c r="T64" i="1"/>
  <c r="U64" i="1" s="1"/>
  <c r="W64" i="1" s="1"/>
  <c r="AF63" i="1"/>
  <c r="AB63" i="1"/>
  <c r="AC63" i="1" s="1"/>
  <c r="AA63" i="1"/>
  <c r="T63" i="1"/>
  <c r="U63" i="1" s="1"/>
  <c r="W63" i="1" s="1"/>
  <c r="AF62" i="1"/>
  <c r="AB62" i="1"/>
  <c r="AC62" i="1" s="1"/>
  <c r="AA62" i="1"/>
  <c r="T62" i="1"/>
  <c r="U62" i="1" s="1"/>
  <c r="W62" i="1" s="1"/>
  <c r="AF61" i="1"/>
  <c r="AB61" i="1"/>
  <c r="AC61" i="1" s="1"/>
  <c r="AA61" i="1"/>
  <c r="T61" i="1"/>
  <c r="U61" i="1" s="1"/>
  <c r="W61" i="1" s="1"/>
  <c r="AF60" i="1"/>
  <c r="AB60" i="1"/>
  <c r="AC60" i="1" s="1"/>
  <c r="AA60" i="1"/>
  <c r="T60" i="1"/>
  <c r="U60" i="1" s="1"/>
  <c r="W60" i="1" s="1"/>
  <c r="AF59" i="1"/>
  <c r="AB59" i="1"/>
  <c r="AC59" i="1" s="1"/>
  <c r="AA59" i="1"/>
  <c r="T59" i="1"/>
  <c r="U59" i="1" s="1"/>
  <c r="W59" i="1" s="1"/>
  <c r="AF58" i="1"/>
  <c r="AB58" i="1"/>
  <c r="AC58" i="1" s="1"/>
  <c r="AA58" i="1"/>
  <c r="T58" i="1"/>
  <c r="U58" i="1" s="1"/>
  <c r="W58" i="1" s="1"/>
  <c r="AF57" i="1"/>
  <c r="AB57" i="1"/>
  <c r="AC57" i="1" s="1"/>
  <c r="AA57" i="1"/>
  <c r="T57" i="1"/>
  <c r="U57" i="1" s="1"/>
  <c r="W57" i="1" s="1"/>
  <c r="X57" i="1" s="1"/>
  <c r="AF56" i="1"/>
  <c r="AB56" i="1"/>
  <c r="AC56" i="1" s="1"/>
  <c r="AA56" i="1"/>
  <c r="T56" i="1"/>
  <c r="U56" i="1" s="1"/>
  <c r="W56" i="1" s="1"/>
  <c r="AF55" i="1"/>
  <c r="AB55" i="1"/>
  <c r="AC55" i="1" s="1"/>
  <c r="AA55" i="1"/>
  <c r="T55" i="1"/>
  <c r="U55" i="1" s="1"/>
  <c r="W55" i="1" s="1"/>
  <c r="AF54" i="1"/>
  <c r="AB54" i="1"/>
  <c r="AC54" i="1" s="1"/>
  <c r="AA54" i="1"/>
  <c r="T54" i="1"/>
  <c r="U54" i="1" s="1"/>
  <c r="W54" i="1" s="1"/>
  <c r="AF53" i="1"/>
  <c r="AB53" i="1"/>
  <c r="AC53" i="1" s="1"/>
  <c r="AA53" i="1"/>
  <c r="T53" i="1"/>
  <c r="U53" i="1" s="1"/>
  <c r="W53" i="1" s="1"/>
  <c r="AD52" i="1"/>
  <c r="AF52" i="1" s="1"/>
  <c r="AB52" i="1"/>
  <c r="AC52" i="1" s="1"/>
  <c r="AA52" i="1"/>
  <c r="T52" i="1"/>
  <c r="U52" i="1" s="1"/>
  <c r="W52" i="1" s="1"/>
  <c r="AF51" i="1"/>
  <c r="AB51" i="1"/>
  <c r="AC51" i="1" s="1"/>
  <c r="AA51" i="1"/>
  <c r="T51" i="1"/>
  <c r="U51" i="1" s="1"/>
  <c r="W51" i="1" s="1"/>
  <c r="AF50" i="1"/>
  <c r="AB50" i="1"/>
  <c r="AC50" i="1" s="1"/>
  <c r="AA50" i="1"/>
  <c r="T50" i="1"/>
  <c r="U50" i="1" s="1"/>
  <c r="W50" i="1" s="1"/>
  <c r="X50" i="1" s="1"/>
  <c r="AF49" i="1"/>
  <c r="AB49" i="1"/>
  <c r="AC49" i="1" s="1"/>
  <c r="AA49" i="1"/>
  <c r="T49" i="1"/>
  <c r="U49" i="1" s="1"/>
  <c r="W49" i="1" s="1"/>
  <c r="AF48" i="1"/>
  <c r="AB48" i="1"/>
  <c r="AC48" i="1" s="1"/>
  <c r="AA48" i="1"/>
  <c r="T48" i="1"/>
  <c r="U48" i="1" s="1"/>
  <c r="W48" i="1" s="1"/>
  <c r="AD47" i="1"/>
  <c r="AF47" i="1" s="1"/>
  <c r="AB47" i="1"/>
  <c r="AC47" i="1" s="1"/>
  <c r="AA47" i="1"/>
  <c r="T47" i="1"/>
  <c r="U47" i="1" s="1"/>
  <c r="W47" i="1" s="1"/>
  <c r="X47" i="1" s="1"/>
  <c r="AF46" i="1"/>
  <c r="AB46" i="1"/>
  <c r="AC46" i="1" s="1"/>
  <c r="AA46" i="1"/>
  <c r="T46" i="1"/>
  <c r="U46" i="1" s="1"/>
  <c r="W46" i="1" s="1"/>
  <c r="AF45" i="1"/>
  <c r="AB45" i="1"/>
  <c r="AC45" i="1" s="1"/>
  <c r="AA45" i="1"/>
  <c r="T45" i="1"/>
  <c r="U45" i="1" s="1"/>
  <c r="W45" i="1" s="1"/>
  <c r="AF44" i="1"/>
  <c r="AC44" i="1"/>
  <c r="AA44" i="1"/>
  <c r="T44" i="1"/>
  <c r="U44" i="1" s="1"/>
  <c r="W44" i="1" s="1"/>
  <c r="AF43" i="1"/>
  <c r="AB43" i="1"/>
  <c r="AC43" i="1" s="1"/>
  <c r="AA43" i="1"/>
  <c r="T43" i="1"/>
  <c r="U43" i="1" s="1"/>
  <c r="W43" i="1" s="1"/>
  <c r="AF42" i="1"/>
  <c r="AB42" i="1"/>
  <c r="AC42" i="1" s="1"/>
  <c r="AA42" i="1"/>
  <c r="T42" i="1"/>
  <c r="U42" i="1" s="1"/>
  <c r="W42" i="1" s="1"/>
  <c r="AF41" i="1"/>
  <c r="AB41" i="1"/>
  <c r="AC41" i="1" s="1"/>
  <c r="AA41" i="1"/>
  <c r="T41" i="1"/>
  <c r="U41" i="1" s="1"/>
  <c r="W41" i="1" s="1"/>
  <c r="AF40" i="1"/>
  <c r="AB40" i="1"/>
  <c r="AC40" i="1" s="1"/>
  <c r="AA40" i="1"/>
  <c r="T40" i="1"/>
  <c r="U40" i="1" s="1"/>
  <c r="W40" i="1" s="1"/>
  <c r="AF39" i="1"/>
  <c r="AB39" i="1"/>
  <c r="AC39" i="1" s="1"/>
  <c r="AA39" i="1"/>
  <c r="T39" i="1"/>
  <c r="U39" i="1" s="1"/>
  <c r="W39" i="1" s="1"/>
  <c r="AF38" i="1"/>
  <c r="AB38" i="1"/>
  <c r="AC38" i="1" s="1"/>
  <c r="AA38" i="1"/>
  <c r="T38" i="1"/>
  <c r="U38" i="1" s="1"/>
  <c r="W38" i="1" s="1"/>
  <c r="AF37" i="1"/>
  <c r="AB37" i="1"/>
  <c r="AC37" i="1" s="1"/>
  <c r="AA37" i="1"/>
  <c r="T37" i="1"/>
  <c r="U37" i="1" s="1"/>
  <c r="W37" i="1" s="1"/>
  <c r="AF36" i="1"/>
  <c r="AB36" i="1"/>
  <c r="AC36" i="1" s="1"/>
  <c r="AA36" i="1"/>
  <c r="T36" i="1"/>
  <c r="U36" i="1" s="1"/>
  <c r="W36" i="1" s="1"/>
  <c r="AF35" i="1"/>
  <c r="AB35" i="1"/>
  <c r="AC35" i="1" s="1"/>
  <c r="AA35" i="1"/>
  <c r="T35" i="1"/>
  <c r="U35" i="1" s="1"/>
  <c r="W35" i="1" s="1"/>
  <c r="AF34" i="1"/>
  <c r="AB34" i="1"/>
  <c r="AC34" i="1" s="1"/>
  <c r="AA34" i="1"/>
  <c r="T34" i="1"/>
  <c r="U34" i="1" s="1"/>
  <c r="W34" i="1" s="1"/>
  <c r="AF33" i="1"/>
  <c r="AB33" i="1"/>
  <c r="AC33" i="1" s="1"/>
  <c r="AA33" i="1"/>
  <c r="T33" i="1"/>
  <c r="U33" i="1" s="1"/>
  <c r="W33" i="1" s="1"/>
  <c r="AF32" i="1"/>
  <c r="AB32" i="1"/>
  <c r="AC32" i="1" s="1"/>
  <c r="AA32" i="1"/>
  <c r="T32" i="1"/>
  <c r="U32" i="1" s="1"/>
  <c r="W32" i="1" s="1"/>
  <c r="AF31" i="1"/>
  <c r="AB31" i="1"/>
  <c r="AC31" i="1" s="1"/>
  <c r="AA31" i="1"/>
  <c r="T31" i="1"/>
  <c r="U31" i="1" s="1"/>
  <c r="W31" i="1" s="1"/>
  <c r="AF30" i="1"/>
  <c r="AB30" i="1"/>
  <c r="AC30" i="1" s="1"/>
  <c r="AA30" i="1"/>
  <c r="T30" i="1"/>
  <c r="U30" i="1" s="1"/>
  <c r="W30" i="1" s="1"/>
  <c r="AF29" i="1"/>
  <c r="AB29" i="1"/>
  <c r="AC29" i="1" s="1"/>
  <c r="AA29" i="1"/>
  <c r="T29" i="1"/>
  <c r="U29" i="1" s="1"/>
  <c r="W29" i="1" s="1"/>
  <c r="AF28" i="1"/>
  <c r="AB28" i="1"/>
  <c r="AC28" i="1" s="1"/>
  <c r="AA28" i="1"/>
  <c r="T28" i="1"/>
  <c r="U28" i="1" s="1"/>
  <c r="W28" i="1" s="1"/>
  <c r="AF27" i="1"/>
  <c r="AB27" i="1"/>
  <c r="AC27" i="1" s="1"/>
  <c r="AA27" i="1"/>
  <c r="T27" i="1"/>
  <c r="U27" i="1" s="1"/>
  <c r="W27" i="1" s="1"/>
  <c r="AF26" i="1"/>
  <c r="AB26" i="1"/>
  <c r="AC26" i="1" s="1"/>
  <c r="AA26" i="1"/>
  <c r="T26" i="1"/>
  <c r="U26" i="1" s="1"/>
  <c r="W26" i="1" s="1"/>
  <c r="AF25" i="1"/>
  <c r="AB25" i="1"/>
  <c r="AC25" i="1" s="1"/>
  <c r="AA25" i="1"/>
  <c r="T25" i="1"/>
  <c r="U25" i="1" s="1"/>
  <c r="W25" i="1" s="1"/>
  <c r="AF24" i="1"/>
  <c r="AB24" i="1"/>
  <c r="AC24" i="1" s="1"/>
  <c r="AA24" i="1"/>
  <c r="T24" i="1"/>
  <c r="U24" i="1" s="1"/>
  <c r="W24" i="1" s="1"/>
  <c r="AF23" i="1"/>
  <c r="AB23" i="1"/>
  <c r="AC23" i="1" s="1"/>
  <c r="AA23" i="1"/>
  <c r="T23" i="1"/>
  <c r="U23" i="1" s="1"/>
  <c r="W23" i="1" s="1"/>
  <c r="X23" i="1" s="1"/>
  <c r="AF22" i="1"/>
  <c r="AB22" i="1"/>
  <c r="AC22" i="1" s="1"/>
  <c r="AA22" i="1"/>
  <c r="T22" i="1"/>
  <c r="U22" i="1" s="1"/>
  <c r="W22" i="1" s="1"/>
  <c r="AF21" i="1"/>
  <c r="AB21" i="1"/>
  <c r="AC21" i="1" s="1"/>
  <c r="AA21" i="1"/>
  <c r="T21" i="1"/>
  <c r="U21" i="1" s="1"/>
  <c r="W21" i="1" s="1"/>
  <c r="AF20" i="1"/>
  <c r="AB20" i="1"/>
  <c r="AC20" i="1" s="1"/>
  <c r="AA20" i="1"/>
  <c r="T20" i="1"/>
  <c r="U20" i="1" s="1"/>
  <c r="W20" i="1" s="1"/>
  <c r="AF19" i="1"/>
  <c r="AB19" i="1"/>
  <c r="AC19" i="1" s="1"/>
  <c r="AA19" i="1"/>
  <c r="T19" i="1"/>
  <c r="U19" i="1" s="1"/>
  <c r="W19" i="1" s="1"/>
  <c r="AF18" i="1"/>
  <c r="AB18" i="1"/>
  <c r="AC18" i="1" s="1"/>
  <c r="AA18" i="1"/>
  <c r="T18" i="1"/>
  <c r="U18" i="1" s="1"/>
  <c r="W18" i="1" s="1"/>
  <c r="AF17" i="1"/>
  <c r="AB17" i="1"/>
  <c r="AC17" i="1" s="1"/>
  <c r="AA17" i="1"/>
  <c r="T17" i="1"/>
  <c r="U17" i="1" s="1"/>
  <c r="W17" i="1" s="1"/>
  <c r="AF16" i="1"/>
  <c r="AB16" i="1"/>
  <c r="AC16" i="1" s="1"/>
  <c r="AA16" i="1"/>
  <c r="T16" i="1"/>
  <c r="U16" i="1" s="1"/>
  <c r="W16" i="1" s="1"/>
  <c r="AF15" i="1"/>
  <c r="AB15" i="1"/>
  <c r="AC15" i="1" s="1"/>
  <c r="AA15" i="1"/>
  <c r="T15" i="1"/>
  <c r="U15" i="1" s="1"/>
  <c r="W15" i="1" s="1"/>
  <c r="AF14" i="1"/>
  <c r="AB14" i="1"/>
  <c r="AC14" i="1" s="1"/>
  <c r="AA14" i="1"/>
  <c r="T14" i="1"/>
  <c r="U14" i="1" s="1"/>
  <c r="W14" i="1" s="1"/>
  <c r="AF13" i="1"/>
  <c r="AB13" i="1"/>
  <c r="AC13" i="1" s="1"/>
  <c r="AA13" i="1"/>
  <c r="T13" i="1"/>
  <c r="U13" i="1" s="1"/>
  <c r="W13" i="1" s="1"/>
  <c r="AF12" i="1"/>
  <c r="AB12" i="1"/>
  <c r="AC12" i="1" s="1"/>
  <c r="AA12" i="1"/>
  <c r="T12" i="1"/>
  <c r="U12" i="1" s="1"/>
  <c r="W12" i="1" s="1"/>
  <c r="AF11" i="1"/>
  <c r="AB11" i="1"/>
  <c r="AC11" i="1" s="1"/>
  <c r="AA11" i="1"/>
  <c r="T11" i="1"/>
  <c r="U11" i="1" s="1"/>
  <c r="W11" i="1" s="1"/>
  <c r="AF10" i="1"/>
  <c r="AB10" i="1"/>
  <c r="AC10" i="1" s="1"/>
  <c r="AA10" i="1"/>
  <c r="T10" i="1"/>
  <c r="U10" i="1" s="1"/>
  <c r="W10" i="1" s="1"/>
  <c r="AF9" i="1"/>
  <c r="AB9" i="1"/>
  <c r="AC9" i="1" s="1"/>
  <c r="AA9" i="1"/>
  <c r="T9" i="1"/>
  <c r="U9" i="1" s="1"/>
  <c r="W9" i="1" s="1"/>
  <c r="AF8" i="1"/>
  <c r="AB8" i="1"/>
  <c r="AC8" i="1" s="1"/>
  <c r="AA8" i="1"/>
  <c r="T8" i="1"/>
  <c r="U8" i="1" s="1"/>
  <c r="W8" i="1" s="1"/>
  <c r="AF7" i="1"/>
  <c r="AC7" i="1"/>
  <c r="AA7" i="1"/>
  <c r="T7" i="1"/>
  <c r="U7" i="1" s="1"/>
  <c r="W7" i="1" s="1"/>
  <c r="AF6" i="1"/>
  <c r="AC6" i="1"/>
  <c r="AA6" i="1"/>
  <c r="T6" i="1"/>
  <c r="U6" i="1" s="1"/>
  <c r="W6" i="1" s="1"/>
  <c r="AF5" i="1"/>
  <c r="AB5" i="1"/>
  <c r="AC5" i="1" s="1"/>
  <c r="AA5" i="1"/>
  <c r="T5" i="1"/>
  <c r="U5" i="1" s="1"/>
  <c r="W5" i="1" s="1"/>
  <c r="AF4" i="1"/>
  <c r="AB4" i="1"/>
  <c r="AC4" i="1" s="1"/>
  <c r="AA4" i="1"/>
  <c r="T4" i="1"/>
  <c r="U4" i="1" s="1"/>
  <c r="W4" i="1" s="1"/>
  <c r="AF3" i="1"/>
  <c r="AB3" i="1"/>
  <c r="AC3" i="1" s="1"/>
  <c r="AA3" i="1"/>
  <c r="T3" i="1"/>
  <c r="U3" i="1" s="1"/>
  <c r="W3" i="1" s="1"/>
  <c r="AF2" i="1"/>
  <c r="AB2" i="1"/>
  <c r="AC2" i="1" s="1"/>
  <c r="AA2" i="1"/>
  <c r="T2" i="1"/>
  <c r="U2" i="1" s="1"/>
  <c r="W2" i="1" s="1"/>
  <c r="AB1246" i="1" l="1"/>
  <c r="AC1337" i="1"/>
  <c r="AG298" i="1"/>
  <c r="AG307" i="1"/>
  <c r="AB983" i="1"/>
  <c r="AC983" i="1" s="1"/>
  <c r="K9" i="9"/>
  <c r="J9" i="9" s="1"/>
  <c r="AG141" i="1"/>
  <c r="AG217" i="1"/>
  <c r="AG237" i="1"/>
  <c r="AG245" i="1"/>
  <c r="AB319" i="1"/>
  <c r="AG319" i="1" s="1"/>
  <c r="Y983" i="1"/>
  <c r="Y1028" i="1"/>
  <c r="AG289" i="1"/>
  <c r="AG208" i="1"/>
  <c r="AG228" i="1"/>
  <c r="AG292" i="1"/>
  <c r="AG294" i="1"/>
  <c r="AG316" i="1"/>
  <c r="AA1225" i="1"/>
  <c r="Y1240" i="1"/>
  <c r="AG1245" i="1"/>
  <c r="AG1265" i="1"/>
  <c r="Y1112" i="1"/>
  <c r="Y1146" i="1"/>
  <c r="AH1216" i="1"/>
  <c r="AC1225" i="1"/>
  <c r="AG206" i="1"/>
  <c r="AG247" i="1"/>
  <c r="AG250" i="1"/>
  <c r="Y755" i="1"/>
  <c r="AB855" i="1"/>
  <c r="AC855" i="1" s="1"/>
  <c r="AD1165" i="1"/>
  <c r="AF1165" i="1" s="1"/>
  <c r="AH1179" i="1"/>
  <c r="AG207" i="1"/>
  <c r="AG235" i="1"/>
  <c r="AG315" i="1"/>
  <c r="Y790" i="1"/>
  <c r="Y816" i="1"/>
  <c r="AH1217" i="1"/>
  <c r="AH1222" i="1"/>
  <c r="AG93" i="1"/>
  <c r="AG97" i="1"/>
  <c r="AG219" i="1"/>
  <c r="AG221" i="1"/>
  <c r="AG223" i="1"/>
  <c r="AG225" i="1"/>
  <c r="Y448" i="1"/>
  <c r="Y516" i="1"/>
  <c r="AA1232" i="1"/>
  <c r="AB1232" i="1"/>
  <c r="AG1232" i="1" s="1"/>
  <c r="AC229" i="1"/>
  <c r="AG229" i="1"/>
  <c r="X632" i="1"/>
  <c r="Y632" i="1" s="1"/>
  <c r="X1266" i="1"/>
  <c r="Y1266" i="1" s="1"/>
  <c r="AG68" i="1"/>
  <c r="AD832" i="1"/>
  <c r="AF832" i="1" s="1"/>
  <c r="AA832" i="1"/>
  <c r="X941" i="1"/>
  <c r="Y941" i="1" s="1"/>
  <c r="AC133" i="1"/>
  <c r="AG133" i="1"/>
  <c r="AG165" i="1"/>
  <c r="Y744" i="1"/>
  <c r="AH1219" i="1"/>
  <c r="AG1272" i="1"/>
  <c r="AG227" i="1"/>
  <c r="Y1015" i="1"/>
  <c r="AH1218" i="1"/>
  <c r="AG173" i="1"/>
  <c r="AG203" i="1"/>
  <c r="AG204" i="1"/>
  <c r="AG209" i="1"/>
  <c r="AG213" i="1"/>
  <c r="AG216" i="1"/>
  <c r="AG249" i="1"/>
  <c r="AG251" i="1"/>
  <c r="AG320" i="1"/>
  <c r="Y445" i="1"/>
  <c r="Y728" i="1"/>
  <c r="X136" i="1"/>
  <c r="Y136" i="1" s="1"/>
  <c r="X176" i="1"/>
  <c r="Y176" i="1" s="1"/>
  <c r="X181" i="1"/>
  <c r="Y181" i="1" s="1"/>
  <c r="X295" i="1"/>
  <c r="Y295" i="1" s="1"/>
  <c r="X296" i="1"/>
  <c r="Y296" i="1" s="1"/>
  <c r="X297" i="1"/>
  <c r="Y297" i="1" s="1"/>
  <c r="X144" i="1"/>
  <c r="Y144" i="1" s="1"/>
  <c r="X189" i="1"/>
  <c r="Y189" i="1" s="1"/>
  <c r="X165" i="1"/>
  <c r="Y165" i="1" s="1"/>
  <c r="X149" i="1"/>
  <c r="Y149" i="1" s="1"/>
  <c r="X192" i="1"/>
  <c r="Y192" i="1" s="1"/>
  <c r="X315" i="1"/>
  <c r="Y315" i="1" s="1"/>
  <c r="X157" i="1"/>
  <c r="Y157" i="1" s="1"/>
  <c r="X160" i="1"/>
  <c r="Y160" i="1" s="1"/>
  <c r="X125" i="1"/>
  <c r="Y125" i="1" s="1"/>
  <c r="X128" i="1"/>
  <c r="Y128" i="1" s="1"/>
  <c r="X133" i="1"/>
  <c r="Y133" i="1" s="1"/>
  <c r="X168" i="1"/>
  <c r="Y168" i="1" s="1"/>
  <c r="AD655" i="1"/>
  <c r="AF655" i="1" s="1"/>
  <c r="AB655" i="1"/>
  <c r="X829" i="1"/>
  <c r="Y829" i="1" s="1"/>
  <c r="X943" i="1"/>
  <c r="Y943" i="1" s="1"/>
  <c r="X433" i="1"/>
  <c r="Y433" i="1" s="1"/>
  <c r="X473" i="1"/>
  <c r="Y473" i="1" s="1"/>
  <c r="AC1269" i="1"/>
  <c r="AG1269" i="1"/>
  <c r="AC97" i="1"/>
  <c r="AG101" i="1"/>
  <c r="AG105" i="1"/>
  <c r="AG107" i="1"/>
  <c r="Y141" i="1"/>
  <c r="Y152" i="1"/>
  <c r="Y173" i="1"/>
  <c r="AC223" i="1"/>
  <c r="AC225" i="1"/>
  <c r="AG231" i="1"/>
  <c r="AG113" i="1"/>
  <c r="AG149" i="1"/>
  <c r="AG181" i="1"/>
  <c r="AG233" i="1"/>
  <c r="AG234" i="1"/>
  <c r="AG243" i="1"/>
  <c r="AC249" i="1"/>
  <c r="Y340" i="1"/>
  <c r="X616" i="1"/>
  <c r="Y616" i="1" s="1"/>
  <c r="AD846" i="1"/>
  <c r="AF846" i="1" s="1"/>
  <c r="AB846" i="1"/>
  <c r="AC846" i="1" s="1"/>
  <c r="Z845" i="1"/>
  <c r="AD845" i="1" s="1"/>
  <c r="AF845" i="1" s="1"/>
  <c r="AA846" i="1"/>
  <c r="AB1127" i="1"/>
  <c r="AC1127" i="1" s="1"/>
  <c r="AA1127" i="1"/>
  <c r="X1138" i="1"/>
  <c r="Y1138" i="1" s="1"/>
  <c r="AH1185" i="1"/>
  <c r="AC1185" i="1"/>
  <c r="AC1234" i="1"/>
  <c r="AG1234" i="1"/>
  <c r="Y184" i="1"/>
  <c r="AC213" i="1"/>
  <c r="AC216" i="1"/>
  <c r="AC219" i="1"/>
  <c r="AG241" i="1"/>
  <c r="AC251" i="1"/>
  <c r="AC294" i="1"/>
  <c r="AA315" i="1"/>
  <c r="AC93" i="1"/>
  <c r="AG109" i="1"/>
  <c r="AG115" i="1"/>
  <c r="AG94" i="1"/>
  <c r="AG98" i="1"/>
  <c r="AG117" i="1"/>
  <c r="AG121" i="1"/>
  <c r="AG125" i="1"/>
  <c r="AG157" i="1"/>
  <c r="AG189" i="1"/>
  <c r="AC233" i="1"/>
  <c r="Y239" i="1"/>
  <c r="AG239" i="1"/>
  <c r="Y243" i="1"/>
  <c r="AB311" i="1"/>
  <c r="AG311" i="1" s="1"/>
  <c r="Y342" i="1"/>
  <c r="AD549" i="1"/>
  <c r="AF549" i="1" s="1"/>
  <c r="AA549" i="1"/>
  <c r="AD910" i="1"/>
  <c r="AF910" i="1" s="1"/>
  <c r="AB910" i="1"/>
  <c r="AC910" i="1" s="1"/>
  <c r="X1118" i="1"/>
  <c r="Y1118" i="1" s="1"/>
  <c r="X705" i="1"/>
  <c r="Y705" i="1" s="1"/>
  <c r="X837" i="1"/>
  <c r="Y837" i="1" s="1"/>
  <c r="X624" i="1"/>
  <c r="Y624" i="1" s="1"/>
  <c r="Y770" i="1"/>
  <c r="AD1160" i="1"/>
  <c r="AF1160" i="1" s="1"/>
  <c r="AA1160" i="1"/>
  <c r="AC1232" i="1"/>
  <c r="AH1181" i="1"/>
  <c r="AC1181" i="1"/>
  <c r="AH1183" i="1"/>
  <c r="AH1177" i="1"/>
  <c r="Y1249" i="1"/>
  <c r="AG1251" i="1"/>
  <c r="AC1177" i="1"/>
  <c r="Y1204" i="1"/>
  <c r="X1232" i="1"/>
  <c r="Y1232" i="1" s="1"/>
  <c r="Y1078" i="1"/>
  <c r="Y1130" i="1"/>
  <c r="AC1165" i="1"/>
  <c r="X1177" i="1"/>
  <c r="Y1177" i="1" s="1"/>
  <c r="AC1179" i="1"/>
  <c r="AC1183" i="1"/>
  <c r="AC1230" i="1"/>
  <c r="AG1231" i="1"/>
  <c r="AG1266" i="1"/>
  <c r="X268" i="1"/>
  <c r="Y268" i="1" s="1"/>
  <c r="X256" i="1"/>
  <c r="Y256" i="1" s="1"/>
  <c r="X264" i="1"/>
  <c r="Y264" i="1" s="1"/>
  <c r="X260" i="1"/>
  <c r="Y260" i="1" s="1"/>
  <c r="AC257" i="1"/>
  <c r="AG257" i="1"/>
  <c r="AC265" i="1"/>
  <c r="AG265" i="1"/>
  <c r="X286" i="1"/>
  <c r="Y286" i="1" s="1"/>
  <c r="X423" i="1"/>
  <c r="Y423" i="1" s="1"/>
  <c r="X426" i="1"/>
  <c r="Y426" i="1" s="1"/>
  <c r="X825" i="1"/>
  <c r="Y825" i="1" s="1"/>
  <c r="AG66" i="1"/>
  <c r="AG67" i="1"/>
  <c r="AC68" i="1"/>
  <c r="AC94" i="1"/>
  <c r="AG99" i="1"/>
  <c r="AG103" i="1"/>
  <c r="AG111" i="1"/>
  <c r="AG119" i="1"/>
  <c r="AG127" i="1"/>
  <c r="AG135" i="1"/>
  <c r="AG143" i="1"/>
  <c r="AG151" i="1"/>
  <c r="AG159" i="1"/>
  <c r="AG167" i="1"/>
  <c r="AG175" i="1"/>
  <c r="AG183" i="1"/>
  <c r="AG191" i="1"/>
  <c r="AC204" i="1"/>
  <c r="AG205" i="1"/>
  <c r="Y207" i="1"/>
  <c r="AC208" i="1"/>
  <c r="Y211" i="1"/>
  <c r="AG211" i="1"/>
  <c r="AC221" i="1"/>
  <c r="AG222" i="1"/>
  <c r="AC228" i="1"/>
  <c r="AG232" i="1"/>
  <c r="AG244" i="1"/>
  <c r="AC244" i="1"/>
  <c r="X287" i="1"/>
  <c r="Y287" i="1" s="1"/>
  <c r="X288" i="1"/>
  <c r="Y288" i="1" s="1"/>
  <c r="AG290" i="1"/>
  <c r="AC290" i="1"/>
  <c r="X306" i="1"/>
  <c r="Y306" i="1" s="1"/>
  <c r="X331" i="1"/>
  <c r="Y331" i="1" s="1"/>
  <c r="Y402" i="1"/>
  <c r="X418" i="1"/>
  <c r="Y418" i="1" s="1"/>
  <c r="X421" i="1"/>
  <c r="Y421" i="1" s="1"/>
  <c r="X424" i="1"/>
  <c r="Y424" i="1" s="1"/>
  <c r="X429" i="1"/>
  <c r="Y429" i="1" s="1"/>
  <c r="X259" i="1"/>
  <c r="Y259" i="1" s="1"/>
  <c r="AB323" i="1"/>
  <c r="AG323" i="1" s="1"/>
  <c r="AA323" i="1"/>
  <c r="AG64" i="1"/>
  <c r="AG65" i="1"/>
  <c r="AG95" i="1"/>
  <c r="AG96" i="1"/>
  <c r="AG212" i="1"/>
  <c r="AG215" i="1"/>
  <c r="AG218" i="1"/>
  <c r="AG220" i="1"/>
  <c r="AG224" i="1"/>
  <c r="AG238" i="1"/>
  <c r="X253" i="1"/>
  <c r="Y253" i="1" s="1"/>
  <c r="AC255" i="1"/>
  <c r="AG255" i="1"/>
  <c r="X257" i="1"/>
  <c r="Y257" i="1" s="1"/>
  <c r="AC259" i="1"/>
  <c r="AG259" i="1"/>
  <c r="X261" i="1"/>
  <c r="Y261" i="1" s="1"/>
  <c r="AC263" i="1"/>
  <c r="AG263" i="1"/>
  <c r="X265" i="1"/>
  <c r="Y265" i="1" s="1"/>
  <c r="AC267" i="1"/>
  <c r="AG267" i="1"/>
  <c r="X269" i="1"/>
  <c r="Y269" i="1" s="1"/>
  <c r="X270" i="1"/>
  <c r="Y270" i="1" s="1"/>
  <c r="X271" i="1"/>
  <c r="Y271" i="1" s="1"/>
  <c r="X272" i="1"/>
  <c r="Y272" i="1" s="1"/>
  <c r="X273" i="1"/>
  <c r="Y273" i="1" s="1"/>
  <c r="X274" i="1"/>
  <c r="Y274" i="1" s="1"/>
  <c r="X275" i="1"/>
  <c r="Y275" i="1" s="1"/>
  <c r="X276" i="1"/>
  <c r="Y276" i="1" s="1"/>
  <c r="X277" i="1"/>
  <c r="Y277" i="1" s="1"/>
  <c r="X278" i="1"/>
  <c r="Y278" i="1" s="1"/>
  <c r="AC288" i="1"/>
  <c r="AB288" i="1"/>
  <c r="AG288" i="1" s="1"/>
  <c r="AA288" i="1"/>
  <c r="AC315" i="1"/>
  <c r="X358" i="1"/>
  <c r="Y358" i="1" s="1"/>
  <c r="X419" i="1"/>
  <c r="Y419" i="1" s="1"/>
  <c r="X422" i="1"/>
  <c r="Y422" i="1" s="1"/>
  <c r="X427" i="1"/>
  <c r="Y427" i="1" s="1"/>
  <c r="X430" i="1"/>
  <c r="Y430" i="1" s="1"/>
  <c r="AC253" i="1"/>
  <c r="AG253" i="1"/>
  <c r="X255" i="1"/>
  <c r="Y255" i="1" s="1"/>
  <c r="AC261" i="1"/>
  <c r="AG261" i="1"/>
  <c r="X263" i="1"/>
  <c r="Y263" i="1" s="1"/>
  <c r="X267" i="1"/>
  <c r="Y267" i="1" s="1"/>
  <c r="X285" i="1"/>
  <c r="Y285" i="1" s="1"/>
  <c r="Y311" i="1"/>
  <c r="X330" i="1"/>
  <c r="Y330" i="1" s="1"/>
  <c r="X406" i="1"/>
  <c r="Y406" i="1" s="1"/>
  <c r="AG92" i="1"/>
  <c r="AC212" i="1"/>
  <c r="AC220" i="1"/>
  <c r="Y223" i="1"/>
  <c r="AC224" i="1"/>
  <c r="Y227" i="1"/>
  <c r="AC245" i="1"/>
  <c r="X254" i="1"/>
  <c r="Y254" i="1" s="1"/>
  <c r="X258" i="1"/>
  <c r="Y258" i="1" s="1"/>
  <c r="X262" i="1"/>
  <c r="Y262" i="1" s="1"/>
  <c r="X266" i="1"/>
  <c r="Y266" i="1" s="1"/>
  <c r="X279" i="1"/>
  <c r="Y279" i="1" s="1"/>
  <c r="X280" i="1"/>
  <c r="Y280" i="1" s="1"/>
  <c r="X281" i="1"/>
  <c r="Y281" i="1" s="1"/>
  <c r="X282" i="1"/>
  <c r="Y282" i="1" s="1"/>
  <c r="X283" i="1"/>
  <c r="Y283" i="1" s="1"/>
  <c r="X284" i="1"/>
  <c r="Y284" i="1" s="1"/>
  <c r="X291" i="1"/>
  <c r="Y291" i="1" s="1"/>
  <c r="Y414" i="1"/>
  <c r="X420" i="1"/>
  <c r="Y420" i="1" s="1"/>
  <c r="X425" i="1"/>
  <c r="Y425" i="1" s="1"/>
  <c r="X428" i="1"/>
  <c r="Y428" i="1" s="1"/>
  <c r="X440" i="1"/>
  <c r="Y440" i="1" s="1"/>
  <c r="AG312" i="1"/>
  <c r="X459" i="1"/>
  <c r="Y459" i="1" s="1"/>
  <c r="X732" i="1"/>
  <c r="Y732" i="1" s="1"/>
  <c r="AG248" i="1"/>
  <c r="AG297" i="1"/>
  <c r="AG302" i="1"/>
  <c r="AG304" i="1"/>
  <c r="AG306" i="1"/>
  <c r="X442" i="1"/>
  <c r="Y442" i="1" s="1"/>
  <c r="X532" i="1"/>
  <c r="Y532" i="1" s="1"/>
  <c r="X546" i="1"/>
  <c r="Y546" i="1" s="1"/>
  <c r="AG236" i="1"/>
  <c r="AG240" i="1"/>
  <c r="AC248" i="1"/>
  <c r="AG269" i="1"/>
  <c r="AG271" i="1"/>
  <c r="AG273" i="1"/>
  <c r="AG275" i="1"/>
  <c r="AG277" i="1"/>
  <c r="AG281" i="1"/>
  <c r="AG283" i="1"/>
  <c r="AG285" i="1"/>
  <c r="AG287" i="1"/>
  <c r="AG291" i="1"/>
  <c r="AG300" i="1"/>
  <c r="AC302" i="1"/>
  <c r="AC304" i="1"/>
  <c r="Y355" i="1"/>
  <c r="Y395" i="1"/>
  <c r="Y399" i="1"/>
  <c r="Y437" i="1"/>
  <c r="Y453" i="1"/>
  <c r="X457" i="1"/>
  <c r="Y457" i="1" s="1"/>
  <c r="Y475" i="1"/>
  <c r="X500" i="1"/>
  <c r="Y500" i="1" s="1"/>
  <c r="X555" i="1"/>
  <c r="Y555" i="1" s="1"/>
  <c r="X806" i="1"/>
  <c r="Y806" i="1" s="1"/>
  <c r="X812" i="1"/>
  <c r="Y812" i="1" s="1"/>
  <c r="AG840" i="1"/>
  <c r="AC840" i="1"/>
  <c r="AC969" i="1"/>
  <c r="AG969" i="1"/>
  <c r="X594" i="1"/>
  <c r="Y594" i="1" s="1"/>
  <c r="X740" i="1"/>
  <c r="Y740" i="1" s="1"/>
  <c r="X906" i="1"/>
  <c r="Y906" i="1" s="1"/>
  <c r="X1115" i="1"/>
  <c r="Y1115" i="1" s="1"/>
  <c r="Y447" i="1"/>
  <c r="Y488" i="1"/>
  <c r="X713" i="1"/>
  <c r="Y713" i="1" s="1"/>
  <c r="X1103" i="1"/>
  <c r="Y1103" i="1" s="1"/>
  <c r="X889" i="1"/>
  <c r="Y889" i="1" s="1"/>
  <c r="X896" i="1"/>
  <c r="Y896" i="1" s="1"/>
  <c r="X934" i="1"/>
  <c r="Y934" i="1" s="1"/>
  <c r="AB1002" i="1"/>
  <c r="AC1002" i="1" s="1"/>
  <c r="AF1002" i="1"/>
  <c r="X1094" i="1"/>
  <c r="Y1094" i="1" s="1"/>
  <c r="X1110" i="1"/>
  <c r="Y1110" i="1" s="1"/>
  <c r="AG1242" i="1"/>
  <c r="AC1242" i="1"/>
  <c r="X848" i="1"/>
  <c r="Y848" i="1" s="1"/>
  <c r="X898" i="1"/>
  <c r="Y898" i="1" s="1"/>
  <c r="X902" i="1"/>
  <c r="Y902" i="1" s="1"/>
  <c r="X904" i="1"/>
  <c r="Y904" i="1" s="1"/>
  <c r="X936" i="1"/>
  <c r="Y936" i="1" s="1"/>
  <c r="AG1167" i="1"/>
  <c r="AC1167" i="1"/>
  <c r="Y579" i="1"/>
  <c r="Y709" i="1"/>
  <c r="Y736" i="1"/>
  <c r="Y768" i="1"/>
  <c r="Y782" i="1"/>
  <c r="Y788" i="1"/>
  <c r="Y802" i="1"/>
  <c r="Y809" i="1"/>
  <c r="X856" i="1"/>
  <c r="Y856" i="1" s="1"/>
  <c r="AG889" i="1"/>
  <c r="AC889" i="1"/>
  <c r="X894" i="1"/>
  <c r="Y894" i="1" s="1"/>
  <c r="X900" i="1"/>
  <c r="Y900" i="1" s="1"/>
  <c r="X951" i="1"/>
  <c r="Y951" i="1" s="1"/>
  <c r="AB971" i="1"/>
  <c r="AC971" i="1" s="1"/>
  <c r="AD971" i="1"/>
  <c r="AF971" i="1" s="1"/>
  <c r="AA971" i="1"/>
  <c r="X1106" i="1"/>
  <c r="Y1106" i="1" s="1"/>
  <c r="X1123" i="1"/>
  <c r="Y1123" i="1" s="1"/>
  <c r="AG1039" i="1"/>
  <c r="Y1085" i="1"/>
  <c r="X1218" i="1"/>
  <c r="Y1218" i="1" s="1"/>
  <c r="AH1220" i="1"/>
  <c r="AC1220" i="1"/>
  <c r="AB1228" i="1"/>
  <c r="AG1228" i="1" s="1"/>
  <c r="AA1228" i="1"/>
  <c r="AA888" i="1"/>
  <c r="AA933" i="1"/>
  <c r="Y959" i="1"/>
  <c r="X1081" i="1"/>
  <c r="Y1081" i="1" s="1"/>
  <c r="X1151" i="1"/>
  <c r="Y1151" i="1" s="1"/>
  <c r="X1159" i="1"/>
  <c r="Y1159" i="1" s="1"/>
  <c r="X1235" i="1"/>
  <c r="Y1235" i="1" s="1"/>
  <c r="AG1247" i="1"/>
  <c r="AC1247" i="1"/>
  <c r="AC1248" i="1"/>
  <c r="AG1248" i="1"/>
  <c r="AA910" i="1"/>
  <c r="Y1135" i="1"/>
  <c r="Y1143" i="1"/>
  <c r="Y1165" i="1"/>
  <c r="AH1221" i="1"/>
  <c r="AC1221" i="1"/>
  <c r="X1237" i="1"/>
  <c r="Y1237" i="1" s="1"/>
  <c r="AH1188" i="1"/>
  <c r="AH1191" i="1"/>
  <c r="AH1193" i="1"/>
  <c r="AH1195" i="1"/>
  <c r="AG1225" i="1"/>
  <c r="AG1230" i="1"/>
  <c r="AG1235" i="1"/>
  <c r="AG1236" i="1"/>
  <c r="AG1237" i="1"/>
  <c r="AG1241" i="1"/>
  <c r="AG1244" i="1"/>
  <c r="AG1249" i="1"/>
  <c r="AG1268" i="1"/>
  <c r="AA1165" i="1"/>
  <c r="X1220" i="1"/>
  <c r="Y1220" i="1" s="1"/>
  <c r="AG1229" i="1"/>
  <c r="AG1238" i="1"/>
  <c r="X1270" i="1"/>
  <c r="Y1270" i="1" s="1"/>
  <c r="Y1154" i="1"/>
  <c r="Y1222" i="1"/>
  <c r="AG1270" i="1"/>
  <c r="X299" i="1"/>
  <c r="Y299" i="1" s="1"/>
  <c r="X321" i="1"/>
  <c r="Y321" i="1" s="1"/>
  <c r="X2" i="1"/>
  <c r="Y2" i="1" s="1"/>
  <c r="X4" i="1"/>
  <c r="Y4" i="1" s="1"/>
  <c r="X18" i="1"/>
  <c r="Y18" i="1" s="1"/>
  <c r="X20" i="1"/>
  <c r="Y20" i="1" s="1"/>
  <c r="X34" i="1"/>
  <c r="Y34" i="1" s="1"/>
  <c r="X36" i="1"/>
  <c r="Y36" i="1" s="1"/>
  <c r="X52" i="1"/>
  <c r="Y52" i="1" s="1"/>
  <c r="X55" i="1"/>
  <c r="Y55" i="1" s="1"/>
  <c r="X67" i="1"/>
  <c r="Y67" i="1" s="1"/>
  <c r="X74" i="1"/>
  <c r="Y74" i="1" s="1"/>
  <c r="X93" i="1"/>
  <c r="Y93" i="1" s="1"/>
  <c r="X124" i="1"/>
  <c r="Y124" i="1" s="1"/>
  <c r="X132" i="1"/>
  <c r="Y132" i="1" s="1"/>
  <c r="X140" i="1"/>
  <c r="Y140" i="1" s="1"/>
  <c r="X148" i="1"/>
  <c r="Y148" i="1" s="1"/>
  <c r="X156" i="1"/>
  <c r="Y156" i="1" s="1"/>
  <c r="X164" i="1"/>
  <c r="Y164" i="1" s="1"/>
  <c r="X172" i="1"/>
  <c r="Y172" i="1" s="1"/>
  <c r="X180" i="1"/>
  <c r="Y180" i="1" s="1"/>
  <c r="X188" i="1"/>
  <c r="Y188" i="1" s="1"/>
  <c r="X197" i="1"/>
  <c r="Y197" i="1" s="1"/>
  <c r="X307" i="1"/>
  <c r="Y307" i="1" s="1"/>
  <c r="X325" i="1"/>
  <c r="Y325" i="1" s="1"/>
  <c r="X6" i="1"/>
  <c r="Y6" i="1" s="1"/>
  <c r="X8" i="1"/>
  <c r="Y8" i="1" s="1"/>
  <c r="X25" i="1"/>
  <c r="Y25" i="1" s="1"/>
  <c r="X38" i="1"/>
  <c r="Y38" i="1" s="1"/>
  <c r="X40" i="1"/>
  <c r="Y40" i="1" s="1"/>
  <c r="X59" i="1"/>
  <c r="Y59" i="1" s="1"/>
  <c r="X68" i="1"/>
  <c r="Y68" i="1" s="1"/>
  <c r="X75" i="1"/>
  <c r="Y75" i="1" s="1"/>
  <c r="X83" i="1"/>
  <c r="Y83" i="1" s="1"/>
  <c r="X289" i="1"/>
  <c r="Y289" i="1" s="1"/>
  <c r="X328" i="1"/>
  <c r="Y328" i="1" s="1"/>
  <c r="X14" i="1"/>
  <c r="Y14" i="1" s="1"/>
  <c r="X16" i="1"/>
  <c r="Y16" i="1" s="1"/>
  <c r="X17" i="1"/>
  <c r="Y17" i="1" s="1"/>
  <c r="X30" i="1"/>
  <c r="Y30" i="1" s="1"/>
  <c r="X32" i="1"/>
  <c r="Y32" i="1" s="1"/>
  <c r="X33" i="1"/>
  <c r="Y33" i="1" s="1"/>
  <c r="X46" i="1"/>
  <c r="Y46" i="1" s="1"/>
  <c r="X48" i="1"/>
  <c r="Y48" i="1" s="1"/>
  <c r="X64" i="1"/>
  <c r="Y64" i="1" s="1"/>
  <c r="X69" i="1"/>
  <c r="Y69" i="1" s="1"/>
  <c r="X70" i="1"/>
  <c r="Y70" i="1" s="1"/>
  <c r="X79" i="1"/>
  <c r="Y79" i="1" s="1"/>
  <c r="X85" i="1"/>
  <c r="Y85" i="1" s="1"/>
  <c r="X86" i="1"/>
  <c r="Y86" i="1" s="1"/>
  <c r="X89" i="1"/>
  <c r="Y89" i="1" s="1"/>
  <c r="X96" i="1"/>
  <c r="Y96" i="1" s="1"/>
  <c r="X97" i="1"/>
  <c r="Y97" i="1" s="1"/>
  <c r="X126" i="1"/>
  <c r="Y126" i="1" s="1"/>
  <c r="X129" i="1"/>
  <c r="Y129" i="1" s="1"/>
  <c r="X134" i="1"/>
  <c r="Y134" i="1" s="1"/>
  <c r="X137" i="1"/>
  <c r="Y137" i="1" s="1"/>
  <c r="X142" i="1"/>
  <c r="Y142" i="1" s="1"/>
  <c r="X145" i="1"/>
  <c r="Y145" i="1" s="1"/>
  <c r="X150" i="1"/>
  <c r="Y150" i="1" s="1"/>
  <c r="X153" i="1"/>
  <c r="Y153" i="1" s="1"/>
  <c r="X158" i="1"/>
  <c r="Y158" i="1" s="1"/>
  <c r="X161" i="1"/>
  <c r="Y161" i="1" s="1"/>
  <c r="X166" i="1"/>
  <c r="Y166" i="1" s="1"/>
  <c r="X169" i="1"/>
  <c r="Y169" i="1" s="1"/>
  <c r="X174" i="1"/>
  <c r="Y174" i="1" s="1"/>
  <c r="X177" i="1"/>
  <c r="Y177" i="1" s="1"/>
  <c r="X182" i="1"/>
  <c r="Y182" i="1" s="1"/>
  <c r="X185" i="1"/>
  <c r="Y185" i="1" s="1"/>
  <c r="X190" i="1"/>
  <c r="Y190" i="1" s="1"/>
  <c r="X193" i="1"/>
  <c r="Y193" i="1" s="1"/>
  <c r="X320" i="1"/>
  <c r="Y320" i="1" s="1"/>
  <c r="X5" i="1"/>
  <c r="Y5" i="1" s="1"/>
  <c r="X21" i="1"/>
  <c r="Y21" i="1" s="1"/>
  <c r="X37" i="1"/>
  <c r="Y37" i="1" s="1"/>
  <c r="X49" i="1"/>
  <c r="Y49" i="1" s="1"/>
  <c r="X51" i="1"/>
  <c r="Y51" i="1" s="1"/>
  <c r="X54" i="1"/>
  <c r="Y54" i="1" s="1"/>
  <c r="X71" i="1"/>
  <c r="Y71" i="1" s="1"/>
  <c r="X73" i="1"/>
  <c r="Y73" i="1" s="1"/>
  <c r="X80" i="1"/>
  <c r="Y80" i="1" s="1"/>
  <c r="X90" i="1"/>
  <c r="Y90" i="1" s="1"/>
  <c r="X92" i="1"/>
  <c r="Y92" i="1" s="1"/>
  <c r="X123" i="1"/>
  <c r="Y123" i="1" s="1"/>
  <c r="X131" i="1"/>
  <c r="Y131" i="1" s="1"/>
  <c r="X139" i="1"/>
  <c r="Y139" i="1" s="1"/>
  <c r="X147" i="1"/>
  <c r="Y147" i="1" s="1"/>
  <c r="X155" i="1"/>
  <c r="Y155" i="1" s="1"/>
  <c r="X163" i="1"/>
  <c r="Y163" i="1" s="1"/>
  <c r="X171" i="1"/>
  <c r="Y171" i="1" s="1"/>
  <c r="X179" i="1"/>
  <c r="Y179" i="1" s="1"/>
  <c r="X187" i="1"/>
  <c r="Y187" i="1" s="1"/>
  <c r="X195" i="1"/>
  <c r="Y195" i="1" s="1"/>
  <c r="X196" i="1"/>
  <c r="Y196" i="1" s="1"/>
  <c r="X309" i="1"/>
  <c r="Y309" i="1" s="1"/>
  <c r="X9" i="1"/>
  <c r="Y9" i="1" s="1"/>
  <c r="X22" i="1"/>
  <c r="Y22" i="1" s="1"/>
  <c r="X24" i="1"/>
  <c r="Y24" i="1" s="1"/>
  <c r="X41" i="1"/>
  <c r="Y41" i="1" s="1"/>
  <c r="X56" i="1"/>
  <c r="Y56" i="1" s="1"/>
  <c r="X58" i="1"/>
  <c r="Y58" i="1" s="1"/>
  <c r="X65" i="1"/>
  <c r="Y65" i="1" s="1"/>
  <c r="X76" i="1"/>
  <c r="Y76" i="1" s="1"/>
  <c r="X82" i="1"/>
  <c r="Y82" i="1" s="1"/>
  <c r="X10" i="1"/>
  <c r="Y10" i="1" s="1"/>
  <c r="X12" i="1"/>
  <c r="Y12" i="1" s="1"/>
  <c r="X13" i="1"/>
  <c r="Y13" i="1" s="1"/>
  <c r="X26" i="1"/>
  <c r="Y26" i="1" s="1"/>
  <c r="X28" i="1"/>
  <c r="Y28" i="1" s="1"/>
  <c r="X29" i="1"/>
  <c r="Y29" i="1" s="1"/>
  <c r="X42" i="1"/>
  <c r="Y42" i="1" s="1"/>
  <c r="X44" i="1"/>
  <c r="Y44" i="1" s="1"/>
  <c r="X45" i="1"/>
  <c r="Y45" i="1" s="1"/>
  <c r="X60" i="1"/>
  <c r="Y60" i="1" s="1"/>
  <c r="X62" i="1"/>
  <c r="Y62" i="1" s="1"/>
  <c r="X63" i="1"/>
  <c r="Y63" i="1" s="1"/>
  <c r="X66" i="1"/>
  <c r="Y66" i="1" s="1"/>
  <c r="X77" i="1"/>
  <c r="Y77" i="1" s="1"/>
  <c r="X84" i="1"/>
  <c r="Y84" i="1" s="1"/>
  <c r="X100" i="1"/>
  <c r="Y100" i="1" s="1"/>
  <c r="X200" i="1"/>
  <c r="Y200" i="1" s="1"/>
  <c r="X201" i="1"/>
  <c r="Y201" i="1" s="1"/>
  <c r="X293" i="1"/>
  <c r="Y293" i="1" s="1"/>
  <c r="X301" i="1"/>
  <c r="Y301" i="1" s="1"/>
  <c r="X316" i="1"/>
  <c r="Y316" i="1" s="1"/>
  <c r="X339" i="1"/>
  <c r="Y339" i="1" s="1"/>
  <c r="AC201" i="1"/>
  <c r="AG201" i="1"/>
  <c r="AC301" i="1"/>
  <c r="AG301" i="1"/>
  <c r="X308" i="1"/>
  <c r="Y308" i="1" s="1"/>
  <c r="AA318" i="1"/>
  <c r="AB318" i="1"/>
  <c r="AG318" i="1" s="1"/>
  <c r="X324" i="1"/>
  <c r="Y324" i="1" s="1"/>
  <c r="X329" i="1"/>
  <c r="Y329" i="1" s="1"/>
  <c r="X353" i="1"/>
  <c r="Y353" i="1" s="1"/>
  <c r="X364" i="1"/>
  <c r="Y364" i="1" s="1"/>
  <c r="X374" i="1"/>
  <c r="Y374" i="1" s="1"/>
  <c r="X446" i="1"/>
  <c r="Y446" i="1" s="1"/>
  <c r="X465" i="1"/>
  <c r="Y465" i="1" s="1"/>
  <c r="X471" i="1"/>
  <c r="Y471" i="1" s="1"/>
  <c r="X506" i="1"/>
  <c r="Y506" i="1" s="1"/>
  <c r="X534" i="1"/>
  <c r="Y534" i="1" s="1"/>
  <c r="X741" i="1"/>
  <c r="Y741" i="1" s="1"/>
  <c r="X752" i="1"/>
  <c r="Y752" i="1" s="1"/>
  <c r="X3" i="1"/>
  <c r="Y3" i="1" s="1"/>
  <c r="X7" i="1"/>
  <c r="Y7" i="1" s="1"/>
  <c r="X27" i="1"/>
  <c r="Y27" i="1" s="1"/>
  <c r="X35" i="1"/>
  <c r="Y35" i="1" s="1"/>
  <c r="X43" i="1"/>
  <c r="Y43" i="1" s="1"/>
  <c r="Y103" i="1"/>
  <c r="Y107" i="1"/>
  <c r="Y119" i="1"/>
  <c r="AG126" i="1"/>
  <c r="AC126" i="1"/>
  <c r="AG150" i="1"/>
  <c r="AC150" i="1"/>
  <c r="Y151" i="1"/>
  <c r="Y154" i="1"/>
  <c r="AG158" i="1"/>
  <c r="AC158" i="1"/>
  <c r="Y159" i="1"/>
  <c r="Y183" i="1"/>
  <c r="AG190" i="1"/>
  <c r="AC190" i="1"/>
  <c r="Y191" i="1"/>
  <c r="Y194" i="1"/>
  <c r="Y231" i="1"/>
  <c r="X238" i="1"/>
  <c r="Y238" i="1" s="1"/>
  <c r="Y247" i="1"/>
  <c r="X304" i="1"/>
  <c r="Y304" i="1" s="1"/>
  <c r="AA308" i="1"/>
  <c r="Y354" i="1"/>
  <c r="X356" i="1"/>
  <c r="Y356" i="1" s="1"/>
  <c r="X394" i="1"/>
  <c r="Y394" i="1" s="1"/>
  <c r="X398" i="1"/>
  <c r="Y398" i="1" s="1"/>
  <c r="X404" i="1"/>
  <c r="Y404" i="1" s="1"/>
  <c r="X407" i="1"/>
  <c r="Y407" i="1" s="1"/>
  <c r="X432" i="1"/>
  <c r="Y432" i="1" s="1"/>
  <c r="X526" i="1"/>
  <c r="Y526" i="1" s="1"/>
  <c r="X590" i="1"/>
  <c r="Y590" i="1" s="1"/>
  <c r="X612" i="1"/>
  <c r="Y612" i="1" s="1"/>
  <c r="X620" i="1"/>
  <c r="Y620" i="1" s="1"/>
  <c r="X636" i="1"/>
  <c r="Y636" i="1" s="1"/>
  <c r="X810" i="1"/>
  <c r="Y810" i="1" s="1"/>
  <c r="X822" i="1"/>
  <c r="Y822" i="1" s="1"/>
  <c r="X823" i="1"/>
  <c r="Y823" i="1" s="1"/>
  <c r="X832" i="1"/>
  <c r="Y832" i="1" s="1"/>
  <c r="X836" i="1"/>
  <c r="Y836" i="1" s="1"/>
  <c r="X851" i="1"/>
  <c r="Y851" i="1" s="1"/>
  <c r="X858" i="1"/>
  <c r="Y858" i="1" s="1"/>
  <c r="X860" i="1"/>
  <c r="Y860" i="1" s="1"/>
  <c r="X862" i="1"/>
  <c r="Y862" i="1" s="1"/>
  <c r="X864" i="1"/>
  <c r="Y864" i="1" s="1"/>
  <c r="X865" i="1"/>
  <c r="Y865" i="1" s="1"/>
  <c r="X872" i="1"/>
  <c r="Y872" i="1" s="1"/>
  <c r="X873" i="1"/>
  <c r="Y873" i="1" s="1"/>
  <c r="X880" i="1"/>
  <c r="Y880" i="1" s="1"/>
  <c r="X881" i="1"/>
  <c r="Y881" i="1" s="1"/>
  <c r="X882" i="1"/>
  <c r="Y882" i="1" s="1"/>
  <c r="X916" i="1"/>
  <c r="Y916" i="1" s="1"/>
  <c r="X925" i="1"/>
  <c r="Y925" i="1" s="1"/>
  <c r="X926" i="1"/>
  <c r="Y926" i="1" s="1"/>
  <c r="X935" i="1"/>
  <c r="Y935" i="1" s="1"/>
  <c r="X937" i="1"/>
  <c r="Y937" i="1" s="1"/>
  <c r="AB939" i="1"/>
  <c r="AC939" i="1" s="1"/>
  <c r="AA939" i="1"/>
  <c r="AD939" i="1"/>
  <c r="AF939" i="1" s="1"/>
  <c r="X961" i="1"/>
  <c r="Y961" i="1" s="1"/>
  <c r="X969" i="1"/>
  <c r="Y969" i="1" s="1"/>
  <c r="X978" i="1"/>
  <c r="Y978" i="1" s="1"/>
  <c r="X984" i="1"/>
  <c r="Y984" i="1" s="1"/>
  <c r="AG124" i="1"/>
  <c r="AC124" i="1"/>
  <c r="AG132" i="1"/>
  <c r="AC132" i="1"/>
  <c r="AG140" i="1"/>
  <c r="AC140" i="1"/>
  <c r="AG148" i="1"/>
  <c r="AC148" i="1"/>
  <c r="AG156" i="1"/>
  <c r="AC156" i="1"/>
  <c r="AG164" i="1"/>
  <c r="AC164" i="1"/>
  <c r="AG172" i="1"/>
  <c r="AC172" i="1"/>
  <c r="AG180" i="1"/>
  <c r="AC180" i="1"/>
  <c r="AG188" i="1"/>
  <c r="AC188" i="1"/>
  <c r="AC197" i="1"/>
  <c r="AG197" i="1"/>
  <c r="X218" i="1"/>
  <c r="Y218" i="1" s="1"/>
  <c r="Y233" i="1"/>
  <c r="X234" i="1"/>
  <c r="Y234" i="1" s="1"/>
  <c r="Y244" i="1"/>
  <c r="X250" i="1"/>
  <c r="Y250" i="1" s="1"/>
  <c r="X313" i="1"/>
  <c r="Y313" i="1" s="1"/>
  <c r="AB317" i="1"/>
  <c r="AG317" i="1" s="1"/>
  <c r="X378" i="1"/>
  <c r="Y378" i="1" s="1"/>
  <c r="X386" i="1"/>
  <c r="Y386" i="1" s="1"/>
  <c r="X390" i="1"/>
  <c r="Y390" i="1" s="1"/>
  <c r="X469" i="1"/>
  <c r="Y469" i="1" s="1"/>
  <c r="X512" i="1"/>
  <c r="Y512" i="1" s="1"/>
  <c r="X596" i="1"/>
  <c r="Y596" i="1" s="1"/>
  <c r="X742" i="1"/>
  <c r="Y742" i="1" s="1"/>
  <c r="X750" i="1"/>
  <c r="Y750" i="1" s="1"/>
  <c r="X11" i="1"/>
  <c r="Y11" i="1" s="1"/>
  <c r="X15" i="1"/>
  <c r="Y15" i="1" s="1"/>
  <c r="X19" i="1"/>
  <c r="Y19" i="1" s="1"/>
  <c r="X31" i="1"/>
  <c r="Y31" i="1" s="1"/>
  <c r="X39" i="1"/>
  <c r="Y39" i="1" s="1"/>
  <c r="X53" i="1"/>
  <c r="Y53" i="1" s="1"/>
  <c r="X61" i="1"/>
  <c r="Y61" i="1" s="1"/>
  <c r="X72" i="1"/>
  <c r="Y72" i="1" s="1"/>
  <c r="X87" i="1"/>
  <c r="Y87" i="1" s="1"/>
  <c r="AC92" i="1"/>
  <c r="AC96" i="1"/>
  <c r="Y109" i="1"/>
  <c r="Y111" i="1"/>
  <c r="Y127" i="1"/>
  <c r="Y130" i="1"/>
  <c r="AG134" i="1"/>
  <c r="AC134" i="1"/>
  <c r="Y135" i="1"/>
  <c r="Y138" i="1"/>
  <c r="AG174" i="1"/>
  <c r="AC174" i="1"/>
  <c r="AG198" i="1"/>
  <c r="AC198" i="1"/>
  <c r="X222" i="1"/>
  <c r="Y222" i="1" s="1"/>
  <c r="X228" i="1"/>
  <c r="Y228" i="1" s="1"/>
  <c r="AC298" i="1"/>
  <c r="AA314" i="1"/>
  <c r="AB314" i="1"/>
  <c r="AG314" i="1" s="1"/>
  <c r="AA317" i="1"/>
  <c r="AA324" i="1"/>
  <c r="Y341" i="1"/>
  <c r="X343" i="1"/>
  <c r="Y343" i="1" s="1"/>
  <c r="X350" i="1"/>
  <c r="Y350" i="1" s="1"/>
  <c r="X435" i="1"/>
  <c r="Y435" i="1" s="1"/>
  <c r="X522" i="1"/>
  <c r="Y522" i="1" s="1"/>
  <c r="X528" i="1"/>
  <c r="Y528" i="1" s="1"/>
  <c r="X542" i="1"/>
  <c r="Y542" i="1" s="1"/>
  <c r="X549" i="1"/>
  <c r="Y549" i="1" s="1"/>
  <c r="X584" i="1"/>
  <c r="Y584" i="1" s="1"/>
  <c r="X588" i="1"/>
  <c r="Y588" i="1" s="1"/>
  <c r="X628" i="1"/>
  <c r="Y628" i="1" s="1"/>
  <c r="X737" i="1"/>
  <c r="Y737" i="1" s="1"/>
  <c r="X805" i="1"/>
  <c r="Y805" i="1" s="1"/>
  <c r="X807" i="1"/>
  <c r="Y807" i="1" s="1"/>
  <c r="Y23" i="1"/>
  <c r="Y47" i="1"/>
  <c r="Y50" i="1"/>
  <c r="Y57" i="1"/>
  <c r="Y88" i="1"/>
  <c r="AG128" i="1"/>
  <c r="AC128" i="1"/>
  <c r="AG129" i="1"/>
  <c r="AG136" i="1"/>
  <c r="AC136" i="1"/>
  <c r="AG137" i="1"/>
  <c r="AG144" i="1"/>
  <c r="AC144" i="1"/>
  <c r="AG145" i="1"/>
  <c r="AG152" i="1"/>
  <c r="AC152" i="1"/>
  <c r="AG153" i="1"/>
  <c r="AG160" i="1"/>
  <c r="AC160" i="1"/>
  <c r="AG161" i="1"/>
  <c r="AG168" i="1"/>
  <c r="AC168" i="1"/>
  <c r="AG169" i="1"/>
  <c r="AG176" i="1"/>
  <c r="AC176" i="1"/>
  <c r="AG177" i="1"/>
  <c r="AG184" i="1"/>
  <c r="AC184" i="1"/>
  <c r="AG185" i="1"/>
  <c r="AG192" i="1"/>
  <c r="AC192" i="1"/>
  <c r="AG193" i="1"/>
  <c r="AC199" i="1"/>
  <c r="AG199" i="1"/>
  <c r="Y203" i="1"/>
  <c r="Y204" i="1"/>
  <c r="X205" i="1"/>
  <c r="Y205" i="1" s="1"/>
  <c r="Y209" i="1"/>
  <c r="X210" i="1"/>
  <c r="Y210" i="1" s="1"/>
  <c r="AG210" i="1"/>
  <c r="Y219" i="1"/>
  <c r="Y220" i="1"/>
  <c r="X221" i="1"/>
  <c r="Y221" i="1" s="1"/>
  <c r="Y225" i="1"/>
  <c r="X226" i="1"/>
  <c r="Y226" i="1" s="1"/>
  <c r="AG226" i="1"/>
  <c r="X232" i="1"/>
  <c r="Y232" i="1" s="1"/>
  <c r="Y235" i="1"/>
  <c r="Y236" i="1"/>
  <c r="X237" i="1"/>
  <c r="Y237" i="1" s="1"/>
  <c r="Y241" i="1"/>
  <c r="X242" i="1"/>
  <c r="Y242" i="1" s="1"/>
  <c r="AG242" i="1"/>
  <c r="Y251" i="1"/>
  <c r="Y252" i="1"/>
  <c r="AC292" i="1"/>
  <c r="X298" i="1"/>
  <c r="Y298" i="1" s="1"/>
  <c r="Y300" i="1"/>
  <c r="AC300" i="1"/>
  <c r="AB308" i="1"/>
  <c r="AG308" i="1" s="1"/>
  <c r="AB309" i="1"/>
  <c r="AG309" i="1" s="1"/>
  <c r="AA310" i="1"/>
  <c r="AB310" i="1"/>
  <c r="AG310" i="1" s="1"/>
  <c r="AA320" i="1"/>
  <c r="AC320" i="1"/>
  <c r="AB324" i="1"/>
  <c r="AG324" i="1" s="1"/>
  <c r="Y326" i="1"/>
  <c r="Y332" i="1"/>
  <c r="X334" i="1"/>
  <c r="Y334" i="1" s="1"/>
  <c r="X344" i="1"/>
  <c r="Y344" i="1" s="1"/>
  <c r="X347" i="1"/>
  <c r="Y347" i="1" s="1"/>
  <c r="Y351" i="1"/>
  <c r="X352" i="1"/>
  <c r="Y352" i="1" s="1"/>
  <c r="Y360" i="1"/>
  <c r="X361" i="1"/>
  <c r="Y361" i="1" s="1"/>
  <c r="X408" i="1"/>
  <c r="Y408" i="1" s="1"/>
  <c r="X411" i="1"/>
  <c r="Y411" i="1" s="1"/>
  <c r="X439" i="1"/>
  <c r="Y439" i="1" s="1"/>
  <c r="X443" i="1"/>
  <c r="Y443" i="1" s="1"/>
  <c r="X450" i="1"/>
  <c r="Y450" i="1" s="1"/>
  <c r="X452" i="1"/>
  <c r="Y452" i="1" s="1"/>
  <c r="X461" i="1"/>
  <c r="Y461" i="1" s="1"/>
  <c r="X480" i="1"/>
  <c r="Y480" i="1" s="1"/>
  <c r="X484" i="1"/>
  <c r="Y484" i="1" s="1"/>
  <c r="X486" i="1"/>
  <c r="Y486" i="1" s="1"/>
  <c r="X502" i="1"/>
  <c r="Y502" i="1" s="1"/>
  <c r="X548" i="1"/>
  <c r="Y548" i="1" s="1"/>
  <c r="X570" i="1"/>
  <c r="Y570" i="1" s="1"/>
  <c r="X575" i="1"/>
  <c r="Y575" i="1" s="1"/>
  <c r="X600" i="1"/>
  <c r="Y600" i="1" s="1"/>
  <c r="X604" i="1"/>
  <c r="Y604" i="1" s="1"/>
  <c r="X606" i="1"/>
  <c r="Y606" i="1" s="1"/>
  <c r="X756" i="1"/>
  <c r="Y756" i="1" s="1"/>
  <c r="X199" i="1"/>
  <c r="Y199" i="1" s="1"/>
  <c r="Y249" i="1"/>
  <c r="X305" i="1"/>
  <c r="Y305" i="1" s="1"/>
  <c r="AA312" i="1"/>
  <c r="AC312" i="1"/>
  <c r="X346" i="1"/>
  <c r="Y346" i="1" s="1"/>
  <c r="X349" i="1"/>
  <c r="Y349" i="1" s="1"/>
  <c r="Y359" i="1"/>
  <c r="X363" i="1"/>
  <c r="Y363" i="1" s="1"/>
  <c r="X366" i="1"/>
  <c r="Y366" i="1" s="1"/>
  <c r="X370" i="1"/>
  <c r="Y370" i="1" s="1"/>
  <c r="X382" i="1"/>
  <c r="Y382" i="1" s="1"/>
  <c r="X416" i="1"/>
  <c r="Y416" i="1" s="1"/>
  <c r="X434" i="1"/>
  <c r="Y434" i="1" s="1"/>
  <c r="X477" i="1"/>
  <c r="Y477" i="1" s="1"/>
  <c r="X510" i="1"/>
  <c r="Y510" i="1" s="1"/>
  <c r="X561" i="1"/>
  <c r="Y561" i="1" s="1"/>
  <c r="X580" i="1"/>
  <c r="Y580" i="1" s="1"/>
  <c r="Y101" i="1"/>
  <c r="Y105" i="1"/>
  <c r="Y113" i="1"/>
  <c r="Y115" i="1"/>
  <c r="Y117" i="1"/>
  <c r="Y121" i="1"/>
  <c r="AG142" i="1"/>
  <c r="AC142" i="1"/>
  <c r="Y143" i="1"/>
  <c r="Y146" i="1"/>
  <c r="Y162" i="1"/>
  <c r="AG166" i="1"/>
  <c r="AC166" i="1"/>
  <c r="Y167" i="1"/>
  <c r="Y170" i="1"/>
  <c r="Y175" i="1"/>
  <c r="Y178" i="1"/>
  <c r="AG182" i="1"/>
  <c r="AC182" i="1"/>
  <c r="Y186" i="1"/>
  <c r="X206" i="1"/>
  <c r="Y206" i="1" s="1"/>
  <c r="X212" i="1"/>
  <c r="Y212" i="1" s="1"/>
  <c r="Y215" i="1"/>
  <c r="Y216" i="1"/>
  <c r="X217" i="1"/>
  <c r="Y217" i="1" s="1"/>
  <c r="Y248" i="1"/>
  <c r="AC303" i="1"/>
  <c r="AG303" i="1"/>
  <c r="AC307" i="1"/>
  <c r="AB313" i="1"/>
  <c r="AG313" i="1" s="1"/>
  <c r="Y327" i="1"/>
  <c r="X333" i="1"/>
  <c r="Y333" i="1" s="1"/>
  <c r="X336" i="1"/>
  <c r="Y336" i="1" s="1"/>
  <c r="Y357" i="1"/>
  <c r="Y78" i="1"/>
  <c r="Y81" i="1"/>
  <c r="Y94" i="1"/>
  <c r="Y98" i="1"/>
  <c r="AG102" i="1"/>
  <c r="AG104" i="1"/>
  <c r="AG106" i="1"/>
  <c r="AG108" i="1"/>
  <c r="AG110" i="1"/>
  <c r="AG112" i="1"/>
  <c r="AG114" i="1"/>
  <c r="AG116" i="1"/>
  <c r="AG118" i="1"/>
  <c r="AG120" i="1"/>
  <c r="AG122" i="1"/>
  <c r="AC122" i="1"/>
  <c r="AG123" i="1"/>
  <c r="AG130" i="1"/>
  <c r="AC130" i="1"/>
  <c r="AG131" i="1"/>
  <c r="AG138" i="1"/>
  <c r="AC138" i="1"/>
  <c r="AG139" i="1"/>
  <c r="AG146" i="1"/>
  <c r="AC146" i="1"/>
  <c r="AG147" i="1"/>
  <c r="AG154" i="1"/>
  <c r="AC154" i="1"/>
  <c r="AG155" i="1"/>
  <c r="AG162" i="1"/>
  <c r="AC162" i="1"/>
  <c r="AG163" i="1"/>
  <c r="AG170" i="1"/>
  <c r="AC170" i="1"/>
  <c r="AG171" i="1"/>
  <c r="AG178" i="1"/>
  <c r="AC178" i="1"/>
  <c r="AG179" i="1"/>
  <c r="AG186" i="1"/>
  <c r="AC186" i="1"/>
  <c r="AG187" i="1"/>
  <c r="AG194" i="1"/>
  <c r="AC194" i="1"/>
  <c r="AG195" i="1"/>
  <c r="AG196" i="1"/>
  <c r="AC196" i="1"/>
  <c r="X198" i="1"/>
  <c r="Y198" i="1" s="1"/>
  <c r="AG200" i="1"/>
  <c r="AC200" i="1"/>
  <c r="X202" i="1"/>
  <c r="Y202" i="1" s="1"/>
  <c r="Y208" i="1"/>
  <c r="Y213" i="1"/>
  <c r="X214" i="1"/>
  <c r="Y214" i="1" s="1"/>
  <c r="AG214" i="1"/>
  <c r="Y224" i="1"/>
  <c r="Y229" i="1"/>
  <c r="X230" i="1"/>
  <c r="Y230" i="1" s="1"/>
  <c r="AG230" i="1"/>
  <c r="Y240" i="1"/>
  <c r="Y245" i="1"/>
  <c r="X246" i="1"/>
  <c r="Y246" i="1" s="1"/>
  <c r="AG246" i="1"/>
  <c r="X292" i="1"/>
  <c r="Y292" i="1" s="1"/>
  <c r="AC299" i="1"/>
  <c r="AG299" i="1"/>
  <c r="Y302" i="1"/>
  <c r="X303" i="1"/>
  <c r="Y303" i="1" s="1"/>
  <c r="X312" i="1"/>
  <c r="Y312" i="1" s="1"/>
  <c r="AA316" i="1"/>
  <c r="AC316" i="1"/>
  <c r="X317" i="1"/>
  <c r="Y317" i="1" s="1"/>
  <c r="AB321" i="1"/>
  <c r="AG321" i="1" s="1"/>
  <c r="AA322" i="1"/>
  <c r="AB322" i="1"/>
  <c r="AG322" i="1" s="1"/>
  <c r="X335" i="1"/>
  <c r="Y335" i="1" s="1"/>
  <c r="Y337" i="1"/>
  <c r="X338" i="1"/>
  <c r="Y338" i="1" s="1"/>
  <c r="X345" i="1"/>
  <c r="Y345" i="1" s="1"/>
  <c r="X348" i="1"/>
  <c r="Y348" i="1" s="1"/>
  <c r="X362" i="1"/>
  <c r="Y362" i="1" s="1"/>
  <c r="X367" i="1"/>
  <c r="Y367" i="1" s="1"/>
  <c r="X368" i="1"/>
  <c r="Y368" i="1" s="1"/>
  <c r="X371" i="1"/>
  <c r="Y371" i="1" s="1"/>
  <c r="X372" i="1"/>
  <c r="Y372" i="1" s="1"/>
  <c r="X375" i="1"/>
  <c r="Y375" i="1" s="1"/>
  <c r="X376" i="1"/>
  <c r="Y376" i="1" s="1"/>
  <c r="X379" i="1"/>
  <c r="Y379" i="1" s="1"/>
  <c r="X380" i="1"/>
  <c r="Y380" i="1" s="1"/>
  <c r="X383" i="1"/>
  <c r="Y383" i="1" s="1"/>
  <c r="X384" i="1"/>
  <c r="Y384" i="1" s="1"/>
  <c r="X387" i="1"/>
  <c r="Y387" i="1" s="1"/>
  <c r="X388" i="1"/>
  <c r="Y388" i="1" s="1"/>
  <c r="X391" i="1"/>
  <c r="Y391" i="1" s="1"/>
  <c r="X403" i="1"/>
  <c r="Y403" i="1" s="1"/>
  <c r="X412" i="1"/>
  <c r="Y412" i="1" s="1"/>
  <c r="X415" i="1"/>
  <c r="Y415" i="1" s="1"/>
  <c r="X431" i="1"/>
  <c r="Y431" i="1" s="1"/>
  <c r="X436" i="1"/>
  <c r="Y436" i="1" s="1"/>
  <c r="X494" i="1"/>
  <c r="Y494" i="1" s="1"/>
  <c r="X496" i="1"/>
  <c r="Y496" i="1" s="1"/>
  <c r="X518" i="1"/>
  <c r="Y518" i="1" s="1"/>
  <c r="X547" i="1"/>
  <c r="Y547" i="1" s="1"/>
  <c r="X557" i="1"/>
  <c r="Y557" i="1" s="1"/>
  <c r="X567" i="1"/>
  <c r="Y567" i="1" s="1"/>
  <c r="X568" i="1"/>
  <c r="Y568" i="1" s="1"/>
  <c r="X581" i="1"/>
  <c r="Y581" i="1" s="1"/>
  <c r="X714" i="1"/>
  <c r="Y714" i="1" s="1"/>
  <c r="AG254" i="1"/>
  <c r="AG256" i="1"/>
  <c r="AG258" i="1"/>
  <c r="AG260" i="1"/>
  <c r="AG262" i="1"/>
  <c r="AG264" i="1"/>
  <c r="AG266" i="1"/>
  <c r="AG268" i="1"/>
  <c r="AG270" i="1"/>
  <c r="AG272" i="1"/>
  <c r="AG274" i="1"/>
  <c r="AG276" i="1"/>
  <c r="AG278" i="1"/>
  <c r="AG280" i="1"/>
  <c r="AG282" i="1"/>
  <c r="AG284" i="1"/>
  <c r="AG286" i="1"/>
  <c r="Y290" i="1"/>
  <c r="Y294" i="1"/>
  <c r="AG296" i="1"/>
  <c r="Y310" i="1"/>
  <c r="Y314" i="1"/>
  <c r="Y318" i="1"/>
  <c r="Y322" i="1"/>
  <c r="Y392" i="1"/>
  <c r="Y396" i="1"/>
  <c r="Y438" i="1"/>
  <c r="X455" i="1"/>
  <c r="Y455" i="1" s="1"/>
  <c r="Y458" i="1"/>
  <c r="X460" i="1"/>
  <c r="Y460" i="1" s="1"/>
  <c r="Y474" i="1"/>
  <c r="X476" i="1"/>
  <c r="Y476" i="1" s="1"/>
  <c r="X489" i="1"/>
  <c r="Y489" i="1" s="1"/>
  <c r="Y498" i="1"/>
  <c r="Y499" i="1"/>
  <c r="X501" i="1"/>
  <c r="Y501" i="1" s="1"/>
  <c r="Y514" i="1"/>
  <c r="Y515" i="1"/>
  <c r="X517" i="1"/>
  <c r="Y517" i="1" s="1"/>
  <c r="Y530" i="1"/>
  <c r="Y531" i="1"/>
  <c r="X533" i="1"/>
  <c r="Y533" i="1" s="1"/>
  <c r="Y540" i="1"/>
  <c r="AB551" i="1"/>
  <c r="AC551" i="1" s="1"/>
  <c r="AD551" i="1"/>
  <c r="AF551" i="1" s="1"/>
  <c r="AA551" i="1"/>
  <c r="Y553" i="1"/>
  <c r="Y554" i="1"/>
  <c r="X556" i="1"/>
  <c r="Y556" i="1" s="1"/>
  <c r="X563" i="1"/>
  <c r="Y563" i="1" s="1"/>
  <c r="Y573" i="1"/>
  <c r="Y592" i="1"/>
  <c r="Y593" i="1"/>
  <c r="X595" i="1"/>
  <c r="Y595" i="1" s="1"/>
  <c r="Y608" i="1"/>
  <c r="Y609" i="1"/>
  <c r="Y610" i="1"/>
  <c r="X611" i="1"/>
  <c r="Y611" i="1" s="1"/>
  <c r="Y617" i="1"/>
  <c r="Y618" i="1"/>
  <c r="X619" i="1"/>
  <c r="Y619" i="1" s="1"/>
  <c r="Y625" i="1"/>
  <c r="Y626" i="1"/>
  <c r="X627" i="1"/>
  <c r="Y627" i="1" s="1"/>
  <c r="Y633" i="1"/>
  <c r="Y634" i="1"/>
  <c r="X635" i="1"/>
  <c r="Y635" i="1" s="1"/>
  <c r="Y657" i="1"/>
  <c r="X658" i="1"/>
  <c r="Y658" i="1" s="1"/>
  <c r="X688" i="1"/>
  <c r="Y688" i="1" s="1"/>
  <c r="X695" i="1"/>
  <c r="Y695" i="1" s="1"/>
  <c r="X710" i="1"/>
  <c r="Y710" i="1" s="1"/>
  <c r="X760" i="1"/>
  <c r="Y760" i="1" s="1"/>
  <c r="X773" i="1"/>
  <c r="Y773" i="1" s="1"/>
  <c r="AG824" i="1"/>
  <c r="AC824" i="1"/>
  <c r="X826" i="1"/>
  <c r="Y826" i="1" s="1"/>
  <c r="X827" i="1"/>
  <c r="Y827" i="1" s="1"/>
  <c r="Y833" i="1"/>
  <c r="X834" i="1"/>
  <c r="Y834" i="1" s="1"/>
  <c r="X839" i="1"/>
  <c r="Y839" i="1" s="1"/>
  <c r="X846" i="1"/>
  <c r="Y846" i="1" s="1"/>
  <c r="X857" i="1"/>
  <c r="Y857" i="1" s="1"/>
  <c r="X909" i="1"/>
  <c r="Y909" i="1" s="1"/>
  <c r="X910" i="1"/>
  <c r="Y910" i="1" s="1"/>
  <c r="X917" i="1"/>
  <c r="Y917" i="1" s="1"/>
  <c r="X928" i="1"/>
  <c r="Y928" i="1" s="1"/>
  <c r="X953" i="1"/>
  <c r="Y953" i="1" s="1"/>
  <c r="X963" i="1"/>
  <c r="Y963" i="1" s="1"/>
  <c r="X971" i="1"/>
  <c r="Y971" i="1" s="1"/>
  <c r="X980" i="1"/>
  <c r="Y980" i="1" s="1"/>
  <c r="X986" i="1"/>
  <c r="Y986" i="1" s="1"/>
  <c r="X990" i="1"/>
  <c r="Y990" i="1" s="1"/>
  <c r="X994" i="1"/>
  <c r="Y994" i="1" s="1"/>
  <c r="X998" i="1"/>
  <c r="Y998" i="1" s="1"/>
  <c r="X1001" i="1"/>
  <c r="Y1001" i="1" s="1"/>
  <c r="X1002" i="1"/>
  <c r="Y1002" i="1" s="1"/>
  <c r="X1034" i="1"/>
  <c r="Y1034" i="1" s="1"/>
  <c r="X1042" i="1"/>
  <c r="Y1042" i="1" s="1"/>
  <c r="X1049" i="1"/>
  <c r="Y1049" i="1" s="1"/>
  <c r="X1058" i="1"/>
  <c r="Y1058" i="1" s="1"/>
  <c r="X1060" i="1"/>
  <c r="Y1060" i="1" s="1"/>
  <c r="X1074" i="1"/>
  <c r="Y1074" i="1" s="1"/>
  <c r="X1082" i="1"/>
  <c r="Y1082" i="1" s="1"/>
  <c r="X1086" i="1"/>
  <c r="Y1086" i="1" s="1"/>
  <c r="X1116" i="1"/>
  <c r="Y1116" i="1" s="1"/>
  <c r="X1122" i="1"/>
  <c r="Y1122" i="1" s="1"/>
  <c r="X1149" i="1"/>
  <c r="Y1149" i="1" s="1"/>
  <c r="X1169" i="1"/>
  <c r="Y1169" i="1" s="1"/>
  <c r="X1173" i="1"/>
  <c r="Y1173" i="1" s="1"/>
  <c r="X1207" i="1"/>
  <c r="Y1207" i="1" s="1"/>
  <c r="AH1209" i="1"/>
  <c r="AC1209" i="1"/>
  <c r="X1211" i="1"/>
  <c r="Y1211" i="1" s="1"/>
  <c r="X1214" i="1"/>
  <c r="Y1214" i="1" s="1"/>
  <c r="X1229" i="1"/>
  <c r="Y1229" i="1" s="1"/>
  <c r="X1230" i="1"/>
  <c r="Y1230" i="1" s="1"/>
  <c r="X1251" i="1"/>
  <c r="Y1251" i="1" s="1"/>
  <c r="X1268" i="1"/>
  <c r="Y1268" i="1" s="1"/>
  <c r="AG1271" i="1"/>
  <c r="AC1271" i="1"/>
  <c r="AC356" i="1"/>
  <c r="X456" i="1"/>
  <c r="Y456" i="1" s="1"/>
  <c r="X468" i="1"/>
  <c r="Y468" i="1" s="1"/>
  <c r="X483" i="1"/>
  <c r="Y483" i="1" s="1"/>
  <c r="AB488" i="1"/>
  <c r="AA488" i="1"/>
  <c r="AD488" i="1"/>
  <c r="AF488" i="1" s="1"/>
  <c r="AC488" i="1"/>
  <c r="X493" i="1"/>
  <c r="Y493" i="1" s="1"/>
  <c r="X509" i="1"/>
  <c r="Y509" i="1" s="1"/>
  <c r="X525" i="1"/>
  <c r="Y525" i="1" s="1"/>
  <c r="X544" i="1"/>
  <c r="Y544" i="1" s="1"/>
  <c r="X562" i="1"/>
  <c r="Y562" i="1" s="1"/>
  <c r="X565" i="1"/>
  <c r="Y565" i="1" s="1"/>
  <c r="X577" i="1"/>
  <c r="Y577" i="1" s="1"/>
  <c r="X587" i="1"/>
  <c r="Y587" i="1" s="1"/>
  <c r="X603" i="1"/>
  <c r="Y603" i="1" s="1"/>
  <c r="X720" i="1"/>
  <c r="Y720" i="1" s="1"/>
  <c r="X738" i="1"/>
  <c r="Y738" i="1" s="1"/>
  <c r="X749" i="1"/>
  <c r="Y749" i="1" s="1"/>
  <c r="X781" i="1"/>
  <c r="Y781" i="1" s="1"/>
  <c r="X785" i="1"/>
  <c r="Y785" i="1" s="1"/>
  <c r="X791" i="1"/>
  <c r="Y791" i="1" s="1"/>
  <c r="X803" i="1"/>
  <c r="Y803" i="1" s="1"/>
  <c r="X817" i="1"/>
  <c r="Y817" i="1" s="1"/>
  <c r="AA356" i="1"/>
  <c r="Y393" i="1"/>
  <c r="Y397" i="1"/>
  <c r="Y400" i="1"/>
  <c r="Y441" i="1"/>
  <c r="Y444" i="1"/>
  <c r="Y449" i="1"/>
  <c r="X451" i="1"/>
  <c r="Y451" i="1" s="1"/>
  <c r="X454" i="1"/>
  <c r="Y454" i="1" s="1"/>
  <c r="X463" i="1"/>
  <c r="Y463" i="1" s="1"/>
  <c r="X466" i="1"/>
  <c r="Y466" i="1" s="1"/>
  <c r="Y467" i="1"/>
  <c r="X478" i="1"/>
  <c r="Y478" i="1" s="1"/>
  <c r="X481" i="1"/>
  <c r="Y481" i="1" s="1"/>
  <c r="Y482" i="1"/>
  <c r="X491" i="1"/>
  <c r="Y491" i="1" s="1"/>
  <c r="Y492" i="1"/>
  <c r="X504" i="1"/>
  <c r="Y504" i="1" s="1"/>
  <c r="X507" i="1"/>
  <c r="Y507" i="1" s="1"/>
  <c r="Y508" i="1"/>
  <c r="X520" i="1"/>
  <c r="Y520" i="1" s="1"/>
  <c r="X523" i="1"/>
  <c r="Y523" i="1" s="1"/>
  <c r="Y524" i="1"/>
  <c r="X536" i="1"/>
  <c r="Y536" i="1" s="1"/>
  <c r="Y538" i="1"/>
  <c r="Y539" i="1"/>
  <c r="X541" i="1"/>
  <c r="Y541" i="1" s="1"/>
  <c r="X551" i="1"/>
  <c r="Y551" i="1" s="1"/>
  <c r="X559" i="1"/>
  <c r="Y559" i="1" s="1"/>
  <c r="X566" i="1"/>
  <c r="Y566" i="1" s="1"/>
  <c r="X569" i="1"/>
  <c r="Y569" i="1" s="1"/>
  <c r="Y572" i="1"/>
  <c r="X574" i="1"/>
  <c r="Y574" i="1" s="1"/>
  <c r="X585" i="1"/>
  <c r="Y585" i="1" s="1"/>
  <c r="Y586" i="1"/>
  <c r="X598" i="1"/>
  <c r="Y598" i="1" s="1"/>
  <c r="X601" i="1"/>
  <c r="Y601" i="1" s="1"/>
  <c r="Y602" i="1"/>
  <c r="Y661" i="1"/>
  <c r="X662" i="1"/>
  <c r="Y662" i="1" s="1"/>
  <c r="Y689" i="1"/>
  <c r="X690" i="1"/>
  <c r="Y690" i="1" s="1"/>
  <c r="X696" i="1"/>
  <c r="Y696" i="1" s="1"/>
  <c r="X702" i="1"/>
  <c r="Y702" i="1" s="1"/>
  <c r="X703" i="1"/>
  <c r="Y703" i="1" s="1"/>
  <c r="X715" i="1"/>
  <c r="Y715" i="1" s="1"/>
  <c r="X733" i="1"/>
  <c r="Y733" i="1" s="1"/>
  <c r="X761" i="1"/>
  <c r="Y761" i="1" s="1"/>
  <c r="X769" i="1"/>
  <c r="Y769" i="1" s="1"/>
  <c r="X774" i="1"/>
  <c r="Y774" i="1" s="1"/>
  <c r="X775" i="1"/>
  <c r="Y775" i="1" s="1"/>
  <c r="X778" i="1"/>
  <c r="Y778" i="1" s="1"/>
  <c r="X779" i="1"/>
  <c r="Y779" i="1" s="1"/>
  <c r="Y780" i="1"/>
  <c r="X783" i="1"/>
  <c r="Y783" i="1" s="1"/>
  <c r="X799" i="1"/>
  <c r="Y799" i="1" s="1"/>
  <c r="X615" i="1"/>
  <c r="Y615" i="1" s="1"/>
  <c r="X623" i="1"/>
  <c r="Y623" i="1" s="1"/>
  <c r="X631" i="1"/>
  <c r="Y631" i="1" s="1"/>
  <c r="Y674" i="1"/>
  <c r="Y675" i="1"/>
  <c r="Y676" i="1"/>
  <c r="Y677" i="1"/>
  <c r="Y678" i="1"/>
  <c r="Y679" i="1"/>
  <c r="Y680" i="1"/>
  <c r="X681" i="1"/>
  <c r="Y681" i="1" s="1"/>
  <c r="X687" i="1"/>
  <c r="Y687" i="1" s="1"/>
  <c r="X711" i="1"/>
  <c r="Y711" i="1" s="1"/>
  <c r="Y722" i="1"/>
  <c r="X723" i="1"/>
  <c r="Y723" i="1" s="1"/>
  <c r="X734" i="1"/>
  <c r="Y734" i="1" s="1"/>
  <c r="X753" i="1"/>
  <c r="Y753" i="1" s="1"/>
  <c r="X772" i="1"/>
  <c r="Y772" i="1" s="1"/>
  <c r="X777" i="1"/>
  <c r="Y777" i="1" s="1"/>
  <c r="X792" i="1"/>
  <c r="Y792" i="1" s="1"/>
  <c r="Y794" i="1"/>
  <c r="X795" i="1"/>
  <c r="Y795" i="1" s="1"/>
  <c r="X800" i="1"/>
  <c r="Y800" i="1" s="1"/>
  <c r="X818" i="1"/>
  <c r="Y818" i="1" s="1"/>
  <c r="X847" i="1"/>
  <c r="Y847" i="1" s="1"/>
  <c r="Y401" i="1"/>
  <c r="Y405" i="1"/>
  <c r="Y409" i="1"/>
  <c r="Y413" i="1"/>
  <c r="Y417" i="1"/>
  <c r="X462" i="1"/>
  <c r="Y462" i="1" s="1"/>
  <c r="Y464" i="1"/>
  <c r="X470" i="1"/>
  <c r="Y470" i="1" s="1"/>
  <c r="Y472" i="1"/>
  <c r="Y479" i="1"/>
  <c r="X485" i="1"/>
  <c r="Y485" i="1" s="1"/>
  <c r="Y487" i="1"/>
  <c r="X495" i="1"/>
  <c r="Y495" i="1" s="1"/>
  <c r="Y497" i="1"/>
  <c r="X503" i="1"/>
  <c r="Y503" i="1" s="1"/>
  <c r="Y505" i="1"/>
  <c r="X511" i="1"/>
  <c r="Y511" i="1" s="1"/>
  <c r="Y513" i="1"/>
  <c r="X519" i="1"/>
  <c r="Y519" i="1" s="1"/>
  <c r="Y521" i="1"/>
  <c r="X527" i="1"/>
  <c r="Y527" i="1" s="1"/>
  <c r="Y529" i="1"/>
  <c r="X535" i="1"/>
  <c r="Y535" i="1" s="1"/>
  <c r="Y537" i="1"/>
  <c r="X543" i="1"/>
  <c r="Y543" i="1" s="1"/>
  <c r="Y545" i="1"/>
  <c r="Y552" i="1"/>
  <c r="X558" i="1"/>
  <c r="Y558" i="1" s="1"/>
  <c r="X576" i="1"/>
  <c r="Y576" i="1" s="1"/>
  <c r="Y578" i="1"/>
  <c r="Y583" i="1"/>
  <c r="X589" i="1"/>
  <c r="Y589" i="1" s="1"/>
  <c r="Y591" i="1"/>
  <c r="X597" i="1"/>
  <c r="Y597" i="1" s="1"/>
  <c r="Y599" i="1"/>
  <c r="X605" i="1"/>
  <c r="Y605" i="1" s="1"/>
  <c r="Y607" i="1"/>
  <c r="X613" i="1"/>
  <c r="Y613" i="1" s="1"/>
  <c r="X614" i="1"/>
  <c r="Y614" i="1" s="1"/>
  <c r="X621" i="1"/>
  <c r="Y621" i="1" s="1"/>
  <c r="X622" i="1"/>
  <c r="Y622" i="1" s="1"/>
  <c r="X629" i="1"/>
  <c r="Y629" i="1" s="1"/>
  <c r="X630" i="1"/>
  <c r="Y630" i="1" s="1"/>
  <c r="X637" i="1"/>
  <c r="Y637" i="1" s="1"/>
  <c r="X638" i="1"/>
  <c r="Y638" i="1" s="1"/>
  <c r="X639" i="1"/>
  <c r="Y639" i="1" s="1"/>
  <c r="X640" i="1"/>
  <c r="Y640" i="1" s="1"/>
  <c r="X641" i="1"/>
  <c r="Y641" i="1" s="1"/>
  <c r="X642" i="1"/>
  <c r="Y642" i="1" s="1"/>
  <c r="X643" i="1"/>
  <c r="Y643" i="1" s="1"/>
  <c r="X644" i="1"/>
  <c r="Y644" i="1" s="1"/>
  <c r="X645" i="1"/>
  <c r="Y645" i="1" s="1"/>
  <c r="X646" i="1"/>
  <c r="Y646" i="1" s="1"/>
  <c r="X647" i="1"/>
  <c r="Y647" i="1" s="1"/>
  <c r="X648" i="1"/>
  <c r="Y648" i="1" s="1"/>
  <c r="X649" i="1"/>
  <c r="Y649" i="1" s="1"/>
  <c r="X650" i="1"/>
  <c r="Y650" i="1" s="1"/>
  <c r="X651" i="1"/>
  <c r="Y651" i="1" s="1"/>
  <c r="X652" i="1"/>
  <c r="Y652" i="1" s="1"/>
  <c r="X653" i="1"/>
  <c r="Y653" i="1" s="1"/>
  <c r="X654" i="1"/>
  <c r="Y654" i="1" s="1"/>
  <c r="X655" i="1"/>
  <c r="Y655" i="1" s="1"/>
  <c r="X656" i="1"/>
  <c r="Y656" i="1" s="1"/>
  <c r="Y659" i="1"/>
  <c r="X660" i="1"/>
  <c r="Y660" i="1" s="1"/>
  <c r="X663" i="1"/>
  <c r="Y663" i="1" s="1"/>
  <c r="X664" i="1"/>
  <c r="Y664" i="1" s="1"/>
  <c r="X665" i="1"/>
  <c r="Y665" i="1" s="1"/>
  <c r="X666" i="1"/>
  <c r="Y666" i="1" s="1"/>
  <c r="X667" i="1"/>
  <c r="Y667" i="1" s="1"/>
  <c r="X668" i="1"/>
  <c r="Y668" i="1" s="1"/>
  <c r="X669" i="1"/>
  <c r="Y669" i="1" s="1"/>
  <c r="X670" i="1"/>
  <c r="Y670" i="1" s="1"/>
  <c r="X671" i="1"/>
  <c r="Y671" i="1" s="1"/>
  <c r="X672" i="1"/>
  <c r="Y672" i="1" s="1"/>
  <c r="X673" i="1"/>
  <c r="Y673" i="1" s="1"/>
  <c r="X683" i="1"/>
  <c r="Y683" i="1" s="1"/>
  <c r="Y697" i="1"/>
  <c r="X698" i="1"/>
  <c r="Y698" i="1" s="1"/>
  <c r="X706" i="1"/>
  <c r="Y706" i="1" s="1"/>
  <c r="X707" i="1"/>
  <c r="Y707" i="1" s="1"/>
  <c r="X721" i="1"/>
  <c r="Y721" i="1" s="1"/>
  <c r="X729" i="1"/>
  <c r="Y729" i="1" s="1"/>
  <c r="X730" i="1"/>
  <c r="Y730" i="1" s="1"/>
  <c r="X745" i="1"/>
  <c r="Y745" i="1" s="1"/>
  <c r="X748" i="1"/>
  <c r="Y748" i="1" s="1"/>
  <c r="Y762" i="1"/>
  <c r="X763" i="1"/>
  <c r="Y763" i="1" s="1"/>
  <c r="X767" i="1"/>
  <c r="Y767" i="1" s="1"/>
  <c r="X771" i="1"/>
  <c r="Y771" i="1" s="1"/>
  <c r="Y786" i="1"/>
  <c r="X793" i="1"/>
  <c r="Y793" i="1" s="1"/>
  <c r="X797" i="1"/>
  <c r="Y797" i="1" s="1"/>
  <c r="X804" i="1"/>
  <c r="Y804" i="1" s="1"/>
  <c r="X813" i="1"/>
  <c r="Y813" i="1" s="1"/>
  <c r="X814" i="1"/>
  <c r="Y814" i="1" s="1"/>
  <c r="X830" i="1"/>
  <c r="Y830" i="1" s="1"/>
  <c r="X831" i="1"/>
  <c r="Y831" i="1" s="1"/>
  <c r="X838" i="1"/>
  <c r="Y838" i="1" s="1"/>
  <c r="Y840" i="1"/>
  <c r="X841" i="1"/>
  <c r="Y841" i="1" s="1"/>
  <c r="AC549" i="1"/>
  <c r="AC655" i="1"/>
  <c r="AA655" i="1"/>
  <c r="Y685" i="1"/>
  <c r="X686" i="1"/>
  <c r="Y686" i="1" s="1"/>
  <c r="Y693" i="1"/>
  <c r="X694" i="1"/>
  <c r="Y694" i="1" s="1"/>
  <c r="Y701" i="1"/>
  <c r="Y718" i="1"/>
  <c r="X719" i="1"/>
  <c r="Y719" i="1" s="1"/>
  <c r="Y726" i="1"/>
  <c r="X727" i="1"/>
  <c r="Y727" i="1" s="1"/>
  <c r="Y758" i="1"/>
  <c r="X759" i="1"/>
  <c r="Y759" i="1" s="1"/>
  <c r="Y766" i="1"/>
  <c r="X776" i="1"/>
  <c r="Y776" i="1" s="1"/>
  <c r="Y789" i="1"/>
  <c r="Y821" i="1"/>
  <c r="Y844" i="1"/>
  <c r="X845" i="1"/>
  <c r="Y845" i="1" s="1"/>
  <c r="X849" i="1"/>
  <c r="Y849" i="1" s="1"/>
  <c r="X884" i="1"/>
  <c r="Y884" i="1" s="1"/>
  <c r="X885" i="1"/>
  <c r="Y885" i="1" s="1"/>
  <c r="X886" i="1"/>
  <c r="Y886" i="1" s="1"/>
  <c r="X940" i="1"/>
  <c r="Y940" i="1" s="1"/>
  <c r="X946" i="1"/>
  <c r="Y946" i="1" s="1"/>
  <c r="X967" i="1"/>
  <c r="Y967" i="1" s="1"/>
  <c r="X976" i="1"/>
  <c r="Y976" i="1" s="1"/>
  <c r="Y682" i="1"/>
  <c r="X684" i="1"/>
  <c r="Y684" i="1" s="1"/>
  <c r="Y691" i="1"/>
  <c r="X692" i="1"/>
  <c r="Y692" i="1" s="1"/>
  <c r="Y699" i="1"/>
  <c r="X700" i="1"/>
  <c r="Y700" i="1" s="1"/>
  <c r="X704" i="1"/>
  <c r="Y704" i="1" s="1"/>
  <c r="X708" i="1"/>
  <c r="Y708" i="1" s="1"/>
  <c r="X712" i="1"/>
  <c r="Y712" i="1" s="1"/>
  <c r="Y716" i="1"/>
  <c r="X717" i="1"/>
  <c r="Y717" i="1" s="1"/>
  <c r="Y724" i="1"/>
  <c r="X725" i="1"/>
  <c r="Y725" i="1" s="1"/>
  <c r="X731" i="1"/>
  <c r="Y731" i="1" s="1"/>
  <c r="X735" i="1"/>
  <c r="Y735" i="1" s="1"/>
  <c r="X739" i="1"/>
  <c r="Y739" i="1" s="1"/>
  <c r="X743" i="1"/>
  <c r="Y743" i="1" s="1"/>
  <c r="X746" i="1"/>
  <c r="Y746" i="1" s="1"/>
  <c r="X747" i="1"/>
  <c r="Y747" i="1" s="1"/>
  <c r="Y751" i="1"/>
  <c r="X754" i="1"/>
  <c r="Y754" i="1" s="1"/>
  <c r="X757" i="1"/>
  <c r="Y757" i="1" s="1"/>
  <c r="Y764" i="1"/>
  <c r="X765" i="1"/>
  <c r="Y765" i="1" s="1"/>
  <c r="X784" i="1"/>
  <c r="Y784" i="1" s="1"/>
  <c r="X787" i="1"/>
  <c r="Y787" i="1" s="1"/>
  <c r="Y796" i="1"/>
  <c r="X798" i="1"/>
  <c r="Y798" i="1" s="1"/>
  <c r="X801" i="1"/>
  <c r="Y801" i="1" s="1"/>
  <c r="X808" i="1"/>
  <c r="Y808" i="1" s="1"/>
  <c r="X811" i="1"/>
  <c r="Y811" i="1" s="1"/>
  <c r="X815" i="1"/>
  <c r="Y815" i="1" s="1"/>
  <c r="Y819" i="1"/>
  <c r="X820" i="1"/>
  <c r="Y820" i="1" s="1"/>
  <c r="X824" i="1"/>
  <c r="Y824" i="1" s="1"/>
  <c r="X828" i="1"/>
  <c r="Y828" i="1" s="1"/>
  <c r="Y835" i="1"/>
  <c r="Y842" i="1"/>
  <c r="X843" i="1"/>
  <c r="Y843" i="1" s="1"/>
  <c r="X850" i="1"/>
  <c r="Y850" i="1" s="1"/>
  <c r="X853" i="1"/>
  <c r="Y853" i="1" s="1"/>
  <c r="X854" i="1"/>
  <c r="Y854" i="1" s="1"/>
  <c r="X868" i="1"/>
  <c r="Y868" i="1" s="1"/>
  <c r="X869" i="1"/>
  <c r="Y869" i="1" s="1"/>
  <c r="X876" i="1"/>
  <c r="Y876" i="1" s="1"/>
  <c r="X877" i="1"/>
  <c r="Y877" i="1" s="1"/>
  <c r="X888" i="1"/>
  <c r="Y888" i="1" s="1"/>
  <c r="X929" i="1"/>
  <c r="Y929" i="1" s="1"/>
  <c r="X945" i="1"/>
  <c r="Y945" i="1" s="1"/>
  <c r="X954" i="1"/>
  <c r="Y954" i="1" s="1"/>
  <c r="X965" i="1"/>
  <c r="Y965" i="1" s="1"/>
  <c r="X974" i="1"/>
  <c r="Y974" i="1" s="1"/>
  <c r="X982" i="1"/>
  <c r="Y982" i="1" s="1"/>
  <c r="AG831" i="1"/>
  <c r="AB832" i="1"/>
  <c r="AC832" i="1" s="1"/>
  <c r="Y855" i="1"/>
  <c r="Y859" i="1"/>
  <c r="Y861" i="1"/>
  <c r="Y863" i="1"/>
  <c r="X890" i="1"/>
  <c r="Y890" i="1" s="1"/>
  <c r="X892" i="1"/>
  <c r="Y892" i="1" s="1"/>
  <c r="X915" i="1"/>
  <c r="Y915" i="1" s="1"/>
  <c r="X923" i="1"/>
  <c r="Y923" i="1" s="1"/>
  <c r="X931" i="1"/>
  <c r="Y931" i="1" s="1"/>
  <c r="X948" i="1"/>
  <c r="Y948" i="1" s="1"/>
  <c r="X956" i="1"/>
  <c r="Y956" i="1" s="1"/>
  <c r="X987" i="1"/>
  <c r="Y987" i="1" s="1"/>
  <c r="X991" i="1"/>
  <c r="Y991" i="1" s="1"/>
  <c r="X995" i="1"/>
  <c r="Y995" i="1" s="1"/>
  <c r="X1003" i="1"/>
  <c r="Y1003" i="1" s="1"/>
  <c r="X1019" i="1"/>
  <c r="Y1019" i="1" s="1"/>
  <c r="X1032" i="1"/>
  <c r="Y1032" i="1" s="1"/>
  <c r="X1040" i="1"/>
  <c r="Y1040" i="1" s="1"/>
  <c r="X1057" i="1"/>
  <c r="Y1057" i="1" s="1"/>
  <c r="X866" i="1"/>
  <c r="Y866" i="1" s="1"/>
  <c r="X870" i="1"/>
  <c r="Y870" i="1" s="1"/>
  <c r="X874" i="1"/>
  <c r="Y874" i="1" s="1"/>
  <c r="X878" i="1"/>
  <c r="Y878" i="1" s="1"/>
  <c r="X893" i="1"/>
  <c r="Y893" i="1" s="1"/>
  <c r="X895" i="1"/>
  <c r="Y895" i="1" s="1"/>
  <c r="X897" i="1"/>
  <c r="Y897" i="1" s="1"/>
  <c r="X899" i="1"/>
  <c r="Y899" i="1" s="1"/>
  <c r="X901" i="1"/>
  <c r="Y901" i="1" s="1"/>
  <c r="X903" i="1"/>
  <c r="Y903" i="1" s="1"/>
  <c r="X905" i="1"/>
  <c r="Y905" i="1" s="1"/>
  <c r="X907" i="1"/>
  <c r="Y907" i="1" s="1"/>
  <c r="X913" i="1"/>
  <c r="Y913" i="1" s="1"/>
  <c r="X914" i="1"/>
  <c r="Y914" i="1" s="1"/>
  <c r="X921" i="1"/>
  <c r="Y921" i="1" s="1"/>
  <c r="X922" i="1"/>
  <c r="Y922" i="1" s="1"/>
  <c r="Y930" i="1"/>
  <c r="X933" i="1"/>
  <c r="Y933" i="1" s="1"/>
  <c r="X942" i="1"/>
  <c r="Y942" i="1" s="1"/>
  <c r="Y947" i="1"/>
  <c r="X950" i="1"/>
  <c r="Y950" i="1" s="1"/>
  <c r="Y955" i="1"/>
  <c r="X958" i="1"/>
  <c r="Y958" i="1" s="1"/>
  <c r="X962" i="1"/>
  <c r="Y962" i="1" s="1"/>
  <c r="X964" i="1"/>
  <c r="Y964" i="1" s="1"/>
  <c r="X966" i="1"/>
  <c r="Y966" i="1" s="1"/>
  <c r="X968" i="1"/>
  <c r="Y968" i="1" s="1"/>
  <c r="X970" i="1"/>
  <c r="Y970" i="1" s="1"/>
  <c r="X972" i="1"/>
  <c r="Y972" i="1" s="1"/>
  <c r="X985" i="1"/>
  <c r="Y985" i="1" s="1"/>
  <c r="X988" i="1"/>
  <c r="Y988" i="1" s="1"/>
  <c r="X992" i="1"/>
  <c r="Y992" i="1" s="1"/>
  <c r="X996" i="1"/>
  <c r="Y996" i="1" s="1"/>
  <c r="X999" i="1"/>
  <c r="Y999" i="1" s="1"/>
  <c r="X1017" i="1"/>
  <c r="Y1017" i="1" s="1"/>
  <c r="X1030" i="1"/>
  <c r="Y1030" i="1" s="1"/>
  <c r="X1038" i="1"/>
  <c r="Y1038" i="1" s="1"/>
  <c r="X1046" i="1"/>
  <c r="Y1046" i="1" s="1"/>
  <c r="Y852" i="1"/>
  <c r="Y867" i="1"/>
  <c r="Y871" i="1"/>
  <c r="Y875" i="1"/>
  <c r="Y879" i="1"/>
  <c r="Y883" i="1"/>
  <c r="Y887" i="1"/>
  <c r="Y891" i="1"/>
  <c r="Y908" i="1"/>
  <c r="X911" i="1"/>
  <c r="Y911" i="1" s="1"/>
  <c r="X912" i="1"/>
  <c r="Y912" i="1" s="1"/>
  <c r="Y918" i="1"/>
  <c r="X919" i="1"/>
  <c r="Y919" i="1" s="1"/>
  <c r="X920" i="1"/>
  <c r="Y920" i="1" s="1"/>
  <c r="Y924" i="1"/>
  <c r="X927" i="1"/>
  <c r="Y927" i="1" s="1"/>
  <c r="Y932" i="1"/>
  <c r="Y938" i="1"/>
  <c r="X939" i="1"/>
  <c r="Y939" i="1" s="1"/>
  <c r="X944" i="1"/>
  <c r="Y944" i="1" s="1"/>
  <c r="Y949" i="1"/>
  <c r="X952" i="1"/>
  <c r="Y952" i="1" s="1"/>
  <c r="Y957" i="1"/>
  <c r="X960" i="1"/>
  <c r="Y960" i="1" s="1"/>
  <c r="X973" i="1"/>
  <c r="Y973" i="1" s="1"/>
  <c r="X975" i="1"/>
  <c r="Y975" i="1" s="1"/>
  <c r="X977" i="1"/>
  <c r="Y977" i="1" s="1"/>
  <c r="X979" i="1"/>
  <c r="Y979" i="1" s="1"/>
  <c r="X981" i="1"/>
  <c r="Y981" i="1" s="1"/>
  <c r="X989" i="1"/>
  <c r="Y989" i="1" s="1"/>
  <c r="X993" i="1"/>
  <c r="Y993" i="1" s="1"/>
  <c r="X997" i="1"/>
  <c r="Y997" i="1" s="1"/>
  <c r="X1000" i="1"/>
  <c r="Y1000" i="1" s="1"/>
  <c r="X1036" i="1"/>
  <c r="Y1036" i="1" s="1"/>
  <c r="X1044" i="1"/>
  <c r="Y1044" i="1" s="1"/>
  <c r="X1051" i="1"/>
  <c r="Y1051" i="1" s="1"/>
  <c r="AB888" i="1"/>
  <c r="AC888" i="1" s="1"/>
  <c r="AB933" i="1"/>
  <c r="AC933" i="1" s="1"/>
  <c r="AD983" i="1"/>
  <c r="AF983" i="1" s="1"/>
  <c r="X1004" i="1"/>
  <c r="Y1004" i="1" s="1"/>
  <c r="X1006" i="1"/>
  <c r="Y1006" i="1" s="1"/>
  <c r="X1008" i="1"/>
  <c r="Y1008" i="1" s="1"/>
  <c r="X1010" i="1"/>
  <c r="Y1010" i="1" s="1"/>
  <c r="X1012" i="1"/>
  <c r="Y1012" i="1" s="1"/>
  <c r="X1014" i="1"/>
  <c r="Y1014" i="1" s="1"/>
  <c r="X1021" i="1"/>
  <c r="Y1021" i="1" s="1"/>
  <c r="X1023" i="1"/>
  <c r="Y1023" i="1" s="1"/>
  <c r="X1025" i="1"/>
  <c r="Y1025" i="1" s="1"/>
  <c r="X1027" i="1"/>
  <c r="Y1027" i="1" s="1"/>
  <c r="X1053" i="1"/>
  <c r="Y1053" i="1" s="1"/>
  <c r="X1061" i="1"/>
  <c r="Y1061" i="1" s="1"/>
  <c r="X1065" i="1"/>
  <c r="Y1065" i="1" s="1"/>
  <c r="X1072" i="1"/>
  <c r="Y1072" i="1" s="1"/>
  <c r="X1087" i="1"/>
  <c r="Y1087" i="1" s="1"/>
  <c r="X1090" i="1"/>
  <c r="Y1090" i="1" s="1"/>
  <c r="X1099" i="1"/>
  <c r="Y1099" i="1" s="1"/>
  <c r="X1114" i="1"/>
  <c r="Y1114" i="1" s="1"/>
  <c r="X1141" i="1"/>
  <c r="Y1141" i="1" s="1"/>
  <c r="X1160" i="1"/>
  <c r="Y1160" i="1" s="1"/>
  <c r="AD855" i="1"/>
  <c r="AF855" i="1" s="1"/>
  <c r="Y1005" i="1"/>
  <c r="Y1007" i="1"/>
  <c r="Y1009" i="1"/>
  <c r="Y1011" i="1"/>
  <c r="Y1013" i="1"/>
  <c r="X1016" i="1"/>
  <c r="Y1016" i="1" s="1"/>
  <c r="Y1020" i="1"/>
  <c r="Y1022" i="1"/>
  <c r="Y1024" i="1"/>
  <c r="Y1026" i="1"/>
  <c r="X1048" i="1"/>
  <c r="Y1048" i="1" s="1"/>
  <c r="X1050" i="1"/>
  <c r="Y1050" i="1" s="1"/>
  <c r="Y1052" i="1"/>
  <c r="X1055" i="1"/>
  <c r="Y1055" i="1" s="1"/>
  <c r="X1062" i="1"/>
  <c r="Y1062" i="1" s="1"/>
  <c r="X1073" i="1"/>
  <c r="Y1073" i="1" s="1"/>
  <c r="X1088" i="1"/>
  <c r="Y1088" i="1" s="1"/>
  <c r="X1097" i="1"/>
  <c r="Y1097" i="1" s="1"/>
  <c r="X1105" i="1"/>
  <c r="Y1105" i="1" s="1"/>
  <c r="X1107" i="1"/>
  <c r="Y1107" i="1" s="1"/>
  <c r="X1133" i="1"/>
  <c r="Y1133" i="1" s="1"/>
  <c r="X1158" i="1"/>
  <c r="Y1158" i="1" s="1"/>
  <c r="X1018" i="1"/>
  <c r="Y1018" i="1" s="1"/>
  <c r="X1029" i="1"/>
  <c r="Y1029" i="1" s="1"/>
  <c r="X1031" i="1"/>
  <c r="Y1031" i="1" s="1"/>
  <c r="X1033" i="1"/>
  <c r="Y1033" i="1" s="1"/>
  <c r="X1035" i="1"/>
  <c r="Y1035" i="1" s="1"/>
  <c r="X1037" i="1"/>
  <c r="Y1037" i="1" s="1"/>
  <c r="X1039" i="1"/>
  <c r="Y1039" i="1" s="1"/>
  <c r="X1041" i="1"/>
  <c r="Y1041" i="1" s="1"/>
  <c r="X1043" i="1"/>
  <c r="Y1043" i="1" s="1"/>
  <c r="X1045" i="1"/>
  <c r="Y1045" i="1" s="1"/>
  <c r="X1047" i="1"/>
  <c r="Y1047" i="1" s="1"/>
  <c r="Y1054" i="1"/>
  <c r="X1056" i="1"/>
  <c r="Y1056" i="1" s="1"/>
  <c r="X1059" i="1"/>
  <c r="Y1059" i="1" s="1"/>
  <c r="X1066" i="1"/>
  <c r="Y1066" i="1" s="1"/>
  <c r="X1069" i="1"/>
  <c r="Y1069" i="1" s="1"/>
  <c r="X1077" i="1"/>
  <c r="Y1077" i="1" s="1"/>
  <c r="X1080" i="1"/>
  <c r="Y1080" i="1" s="1"/>
  <c r="X1084" i="1"/>
  <c r="Y1084" i="1" s="1"/>
  <c r="X1092" i="1"/>
  <c r="Y1092" i="1" s="1"/>
  <c r="X1095" i="1"/>
  <c r="Y1095" i="1" s="1"/>
  <c r="X1101" i="1"/>
  <c r="Y1101" i="1" s="1"/>
  <c r="X1104" i="1"/>
  <c r="Y1104" i="1" s="1"/>
  <c r="X1124" i="1"/>
  <c r="Y1124" i="1" s="1"/>
  <c r="X1127" i="1"/>
  <c r="Y1127" i="1" s="1"/>
  <c r="AD1028" i="1"/>
  <c r="AF1028" i="1" s="1"/>
  <c r="X1109" i="1"/>
  <c r="Y1109" i="1" s="1"/>
  <c r="X1117" i="1"/>
  <c r="Y1117" i="1" s="1"/>
  <c r="X1128" i="1"/>
  <c r="Y1128" i="1" s="1"/>
  <c r="X1136" i="1"/>
  <c r="Y1136" i="1" s="1"/>
  <c r="X1144" i="1"/>
  <c r="Y1144" i="1" s="1"/>
  <c r="X1152" i="1"/>
  <c r="Y1152" i="1" s="1"/>
  <c r="X1155" i="1"/>
  <c r="Y1155" i="1" s="1"/>
  <c r="X1170" i="1"/>
  <c r="Y1170" i="1" s="1"/>
  <c r="X1180" i="1"/>
  <c r="Y1180" i="1" s="1"/>
  <c r="X1182" i="1"/>
  <c r="Y1182" i="1" s="1"/>
  <c r="X1184" i="1"/>
  <c r="Y1184" i="1" s="1"/>
  <c r="X1186" i="1"/>
  <c r="Y1186" i="1" s="1"/>
  <c r="X1189" i="1"/>
  <c r="Y1189" i="1" s="1"/>
  <c r="X1192" i="1"/>
  <c r="Y1192" i="1" s="1"/>
  <c r="X1194" i="1"/>
  <c r="Y1194" i="1" s="1"/>
  <c r="X1196" i="1"/>
  <c r="Y1196" i="1" s="1"/>
  <c r="AA1028" i="1"/>
  <c r="X1068" i="1"/>
  <c r="Y1068" i="1" s="1"/>
  <c r="X1070" i="1"/>
  <c r="Y1070" i="1" s="1"/>
  <c r="Y1071" i="1"/>
  <c r="X1089" i="1"/>
  <c r="Y1089" i="1" s="1"/>
  <c r="Y1091" i="1"/>
  <c r="X1098" i="1"/>
  <c r="Y1098" i="1" s="1"/>
  <c r="Y1100" i="1"/>
  <c r="Y1108" i="1"/>
  <c r="X1111" i="1"/>
  <c r="Y1111" i="1" s="1"/>
  <c r="Y1119" i="1"/>
  <c r="X1120" i="1"/>
  <c r="Y1120" i="1" s="1"/>
  <c r="X1125" i="1"/>
  <c r="Y1125" i="1" s="1"/>
  <c r="X1129" i="1"/>
  <c r="Y1129" i="1" s="1"/>
  <c r="Y1134" i="1"/>
  <c r="X1137" i="1"/>
  <c r="Y1137" i="1" s="1"/>
  <c r="Y1142" i="1"/>
  <c r="X1145" i="1"/>
  <c r="Y1145" i="1" s="1"/>
  <c r="Y1150" i="1"/>
  <c r="Y1153" i="1"/>
  <c r="X1156" i="1"/>
  <c r="Y1156" i="1" s="1"/>
  <c r="Y1161" i="1"/>
  <c r="X1162" i="1"/>
  <c r="Y1162" i="1" s="1"/>
  <c r="X1167" i="1"/>
  <c r="Y1167" i="1" s="1"/>
  <c r="X1171" i="1"/>
  <c r="Y1171" i="1" s="1"/>
  <c r="Y1063" i="1"/>
  <c r="X1076" i="1"/>
  <c r="Y1076" i="1" s="1"/>
  <c r="Y1079" i="1"/>
  <c r="Y1093" i="1"/>
  <c r="X1096" i="1"/>
  <c r="Y1096" i="1" s="1"/>
  <c r="Y1102" i="1"/>
  <c r="X1113" i="1"/>
  <c r="Y1113" i="1" s="1"/>
  <c r="X1121" i="1"/>
  <c r="Y1121" i="1" s="1"/>
  <c r="X1126" i="1"/>
  <c r="Y1126" i="1" s="1"/>
  <c r="Y1131" i="1"/>
  <c r="X1132" i="1"/>
  <c r="Y1132" i="1" s="1"/>
  <c r="Y1139" i="1"/>
  <c r="X1140" i="1"/>
  <c r="Y1140" i="1" s="1"/>
  <c r="Y1147" i="1"/>
  <c r="X1148" i="1"/>
  <c r="Y1148" i="1" s="1"/>
  <c r="AG1152" i="1"/>
  <c r="AC1152" i="1"/>
  <c r="X1157" i="1"/>
  <c r="Y1157" i="1" s="1"/>
  <c r="X1163" i="1"/>
  <c r="Y1163" i="1" s="1"/>
  <c r="X1166" i="1"/>
  <c r="Y1166" i="1" s="1"/>
  <c r="X1172" i="1"/>
  <c r="Y1172" i="1" s="1"/>
  <c r="AH1175" i="1"/>
  <c r="AC1175" i="1"/>
  <c r="AH1176" i="1"/>
  <c r="AC1176" i="1"/>
  <c r="AH1178" i="1"/>
  <c r="AC1178" i="1"/>
  <c r="AH1180" i="1"/>
  <c r="AC1180" i="1"/>
  <c r="AH1182" i="1"/>
  <c r="AC1182" i="1"/>
  <c r="AH1184" i="1"/>
  <c r="AC1184" i="1"/>
  <c r="AH1186" i="1"/>
  <c r="AC1186" i="1"/>
  <c r="AB1160" i="1"/>
  <c r="AC1160" i="1" s="1"/>
  <c r="AH1197" i="1"/>
  <c r="AC1197" i="1"/>
  <c r="AH1198" i="1"/>
  <c r="AC1198" i="1"/>
  <c r="AH1199" i="1"/>
  <c r="AC1199" i="1"/>
  <c r="X1201" i="1"/>
  <c r="Y1201" i="1" s="1"/>
  <c r="AH1202" i="1"/>
  <c r="AC1202" i="1"/>
  <c r="X1203" i="1"/>
  <c r="Y1203" i="1" s="1"/>
  <c r="X1206" i="1"/>
  <c r="Y1206" i="1" s="1"/>
  <c r="AH1208" i="1"/>
  <c r="AC1208" i="1"/>
  <c r="X1210" i="1"/>
  <c r="Y1210" i="1" s="1"/>
  <c r="AH1212" i="1"/>
  <c r="AC1212" i="1"/>
  <c r="X1215" i="1"/>
  <c r="Y1215" i="1" s="1"/>
  <c r="AG1257" i="1"/>
  <c r="AC1257" i="1"/>
  <c r="X1259" i="1"/>
  <c r="Y1259" i="1" s="1"/>
  <c r="X1260" i="1"/>
  <c r="Y1260" i="1" s="1"/>
  <c r="X1265" i="1"/>
  <c r="Y1265" i="1" s="1"/>
  <c r="Y1168" i="1"/>
  <c r="X1175" i="1"/>
  <c r="Y1175" i="1" s="1"/>
  <c r="X1176" i="1"/>
  <c r="Y1176" i="1" s="1"/>
  <c r="Y1187" i="1"/>
  <c r="X1188" i="1"/>
  <c r="Y1188" i="1" s="1"/>
  <c r="AH1189" i="1"/>
  <c r="X1191" i="1"/>
  <c r="Y1191" i="1" s="1"/>
  <c r="AH1192" i="1"/>
  <c r="X1193" i="1"/>
  <c r="Y1193" i="1" s="1"/>
  <c r="AH1194" i="1"/>
  <c r="X1195" i="1"/>
  <c r="Y1195" i="1" s="1"/>
  <c r="Y1200" i="1"/>
  <c r="AH1207" i="1"/>
  <c r="AC1207" i="1"/>
  <c r="X1209" i="1"/>
  <c r="Y1209" i="1" s="1"/>
  <c r="AH1211" i="1"/>
  <c r="AC1211" i="1"/>
  <c r="X1213" i="1"/>
  <c r="Y1213" i="1" s="1"/>
  <c r="X1231" i="1"/>
  <c r="Y1231" i="1" s="1"/>
  <c r="AC1252" i="1"/>
  <c r="AG1252" i="1"/>
  <c r="X1254" i="1"/>
  <c r="Y1254" i="1" s="1"/>
  <c r="X1255" i="1"/>
  <c r="Y1255" i="1" s="1"/>
  <c r="Y1164" i="1"/>
  <c r="Y1179" i="1"/>
  <c r="Y1181" i="1"/>
  <c r="Y1183" i="1"/>
  <c r="Y1185" i="1"/>
  <c r="X1197" i="1"/>
  <c r="Y1197" i="1" s="1"/>
  <c r="X1198" i="1"/>
  <c r="Y1198" i="1" s="1"/>
  <c r="X1199" i="1"/>
  <c r="Y1199" i="1" s="1"/>
  <c r="X1202" i="1"/>
  <c r="Y1202" i="1" s="1"/>
  <c r="X1205" i="1"/>
  <c r="Y1205" i="1" s="1"/>
  <c r="AH1206" i="1"/>
  <c r="AC1206" i="1"/>
  <c r="X1208" i="1"/>
  <c r="Y1208" i="1" s="1"/>
  <c r="AH1210" i="1"/>
  <c r="AC1210" i="1"/>
  <c r="X1212" i="1"/>
  <c r="Y1212" i="1" s="1"/>
  <c r="Y1216" i="1"/>
  <c r="AB1224" i="1"/>
  <c r="AG1224" i="1" s="1"/>
  <c r="AA1224" i="1"/>
  <c r="AG1227" i="1"/>
  <c r="AC1239" i="1"/>
  <c r="AG1239" i="1"/>
  <c r="AC1240" i="1"/>
  <c r="AG1240" i="1"/>
  <c r="X1242" i="1"/>
  <c r="Y1242" i="1" s="1"/>
  <c r="AC1243" i="1"/>
  <c r="AG1243" i="1"/>
  <c r="AG1246" i="1"/>
  <c r="AC1246" i="1"/>
  <c r="AH1196" i="1"/>
  <c r="AH1203" i="1"/>
  <c r="AC1203" i="1"/>
  <c r="X1226" i="1"/>
  <c r="Y1226" i="1" s="1"/>
  <c r="X1233" i="1"/>
  <c r="Y1233" i="1" s="1"/>
  <c r="AG1253" i="1"/>
  <c r="AC1253" i="1"/>
  <c r="X1256" i="1"/>
  <c r="Y1256" i="1" s="1"/>
  <c r="AG1267" i="1"/>
  <c r="AC1267" i="1"/>
  <c r="X1358" i="1"/>
  <c r="Y1358" i="1" s="1"/>
  <c r="AC1188" i="1"/>
  <c r="AC1189" i="1"/>
  <c r="AC1191" i="1"/>
  <c r="AC1192" i="1"/>
  <c r="AC1193" i="1"/>
  <c r="AC1194" i="1"/>
  <c r="AC1195" i="1"/>
  <c r="AH1200" i="1"/>
  <c r="AC1200" i="1"/>
  <c r="AH1204" i="1"/>
  <c r="AC1204" i="1"/>
  <c r="Y1225" i="1"/>
  <c r="AB1226" i="1"/>
  <c r="AG1226" i="1" s="1"/>
  <c r="AA1227" i="1"/>
  <c r="AA1229" i="1"/>
  <c r="AC1229" i="1"/>
  <c r="AB1233" i="1"/>
  <c r="AA1233" i="1"/>
  <c r="AC1236" i="1"/>
  <c r="X1239" i="1"/>
  <c r="Y1239" i="1" s="1"/>
  <c r="Y1248" i="1"/>
  <c r="X1252" i="1"/>
  <c r="Y1252" i="1" s="1"/>
  <c r="AC1260" i="1"/>
  <c r="AG1260" i="1"/>
  <c r="X1262" i="1"/>
  <c r="Y1262" i="1" s="1"/>
  <c r="AH1201" i="1"/>
  <c r="AC1201" i="1"/>
  <c r="AH1205" i="1"/>
  <c r="AC1205" i="1"/>
  <c r="X1224" i="1"/>
  <c r="Y1224" i="1" s="1"/>
  <c r="X1234" i="1"/>
  <c r="Y1234" i="1" s="1"/>
  <c r="X1236" i="1"/>
  <c r="Y1236" i="1" s="1"/>
  <c r="X1241" i="1"/>
  <c r="Y1241" i="1" s="1"/>
  <c r="Y1244" i="1"/>
  <c r="X1245" i="1"/>
  <c r="Y1245" i="1" s="1"/>
  <c r="X1247" i="1"/>
  <c r="Y1247" i="1" s="1"/>
  <c r="AG1250" i="1"/>
  <c r="AC1250" i="1"/>
  <c r="AC1256" i="1"/>
  <c r="AG1256" i="1"/>
  <c r="X1258" i="1"/>
  <c r="Y1258" i="1" s="1"/>
  <c r="AG1261" i="1"/>
  <c r="AC1261" i="1"/>
  <c r="X1263" i="1"/>
  <c r="Y1263" i="1" s="1"/>
  <c r="X1264" i="1"/>
  <c r="Y1264" i="1" s="1"/>
  <c r="Y1269" i="1"/>
  <c r="X1272" i="1"/>
  <c r="Y1272" i="1" s="1"/>
  <c r="AC1231" i="1"/>
  <c r="Y1246" i="1"/>
  <c r="AA1251" i="1"/>
  <c r="AC1251" i="1"/>
  <c r="AC1254" i="1"/>
  <c r="AG1254" i="1"/>
  <c r="AC1258" i="1"/>
  <c r="AG1258" i="1"/>
  <c r="AC1262" i="1"/>
  <c r="AG1262" i="1"/>
  <c r="Y1238" i="1"/>
  <c r="X1243" i="1"/>
  <c r="Y1243" i="1" s="1"/>
  <c r="X1250" i="1"/>
  <c r="Y1250" i="1" s="1"/>
  <c r="X1253" i="1"/>
  <c r="Y1253" i="1" s="1"/>
  <c r="AG1255" i="1"/>
  <c r="AC1255" i="1"/>
  <c r="X1257" i="1"/>
  <c r="Y1257" i="1" s="1"/>
  <c r="AG1259" i="1"/>
  <c r="AC1259" i="1"/>
  <c r="X1261" i="1"/>
  <c r="Y1261" i="1" s="1"/>
  <c r="AG1263" i="1"/>
  <c r="AC1263" i="1"/>
  <c r="AB1264" i="1"/>
  <c r="AG1264" i="1" s="1"/>
  <c r="X1267" i="1"/>
  <c r="Y1267" i="1" s="1"/>
  <c r="X1271" i="1"/>
  <c r="Y1271" i="1" s="1"/>
  <c r="M6" i="9"/>
  <c r="M9" i="9" s="1"/>
  <c r="AC1292" i="1"/>
  <c r="K54" i="2"/>
  <c r="AC319" i="1" l="1"/>
  <c r="AB845" i="1"/>
  <c r="AC845" i="1" s="1"/>
  <c r="AC1228" i="1"/>
  <c r="AC323" i="1"/>
  <c r="AC1264" i="1"/>
  <c r="AC1226" i="1"/>
  <c r="AC311" i="1"/>
  <c r="AA845" i="1"/>
  <c r="AC313" i="1"/>
  <c r="AC317" i="1"/>
  <c r="AC308" i="1"/>
  <c r="AC318" i="1"/>
  <c r="AG1233" i="1"/>
  <c r="AC1233" i="1"/>
  <c r="W1227" i="1"/>
  <c r="AC1224" i="1"/>
  <c r="AC322" i="1"/>
  <c r="AC310" i="1"/>
  <c r="AC314" i="1"/>
  <c r="AC324" i="1"/>
  <c r="AC1227" i="1"/>
  <c r="AC321" i="1"/>
  <c r="AC309" i="1"/>
  <c r="X1227" i="1" l="1"/>
  <c r="Y1227" i="1" s="1"/>
</calcChain>
</file>

<file path=xl/comments1.xml><?xml version="1.0" encoding="utf-8"?>
<comments xmlns="http://schemas.openxmlformats.org/spreadsheetml/2006/main">
  <authors>
    <author>作者</author>
  </authors>
  <commentList>
    <comment ref="AD1" authorId="0" shapeId="0">
      <text>
        <r>
          <rPr>
            <b/>
            <sz val="9"/>
            <rFont val="宋体"/>
            <family val="3"/>
            <charset val="134"/>
          </rPr>
          <t>分广告形式，如有多个继续添加列</t>
        </r>
      </text>
    </comment>
    <comment ref="N115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OA中价格已经是5折后价格，无其他优惠</t>
        </r>
      </text>
    </comment>
  </commentList>
</comments>
</file>

<file path=xl/comments2.xml><?xml version="1.0" encoding="utf-8"?>
<comments xmlns="http://schemas.openxmlformats.org/spreadsheetml/2006/main">
  <authors>
    <author>Helen Tian</author>
    <author>作者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H1" authorId="1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sharedStrings.xml><?xml version="1.0" encoding="utf-8"?>
<sst xmlns="http://schemas.openxmlformats.org/spreadsheetml/2006/main" count="21878" uniqueCount="1664">
  <si>
    <t>周期</t>
  </si>
  <si>
    <t>签约主体</t>
  </si>
  <si>
    <t>事业部</t>
  </si>
  <si>
    <t>销售</t>
  </si>
  <si>
    <t>客服</t>
  </si>
  <si>
    <t>客户名称</t>
  </si>
  <si>
    <t>OA客户名称</t>
  </si>
  <si>
    <t>调整OA客户名称</t>
  </si>
  <si>
    <t>媒体简称</t>
  </si>
  <si>
    <t>整理后投放媒体</t>
  </si>
  <si>
    <t>投放媒体</t>
  </si>
  <si>
    <t>媒体账户名称</t>
  </si>
  <si>
    <t>广告形式</t>
  </si>
  <si>
    <t>客户优惠政策</t>
  </si>
  <si>
    <t>返还形式</t>
  </si>
  <si>
    <t>特殊订单</t>
  </si>
  <si>
    <t>期初账户余额</t>
  </si>
  <si>
    <t>期初剩余未充值</t>
  </si>
  <si>
    <t>本期下单金额</t>
  </si>
  <si>
    <t>本期应返优惠金额</t>
  </si>
  <si>
    <t>本期应充值金额</t>
  </si>
  <si>
    <t>本期已充值金额</t>
  </si>
  <si>
    <t>本期未充值金额</t>
  </si>
  <si>
    <t>本期未充值现金</t>
  </si>
  <si>
    <t>本次未充值优惠</t>
  </si>
  <si>
    <t>本期总消耗</t>
  </si>
  <si>
    <t>本期期末账户余额</t>
  </si>
  <si>
    <t>客户现金消耗</t>
  </si>
  <si>
    <t>客户优惠消耗</t>
  </si>
  <si>
    <t>媒体现金消耗</t>
  </si>
  <si>
    <t>媒体返点比例</t>
  </si>
  <si>
    <t>媒体返点金额</t>
  </si>
  <si>
    <t>本期毛利</t>
  </si>
  <si>
    <t>RE</t>
  </si>
  <si>
    <t>RE后利润</t>
  </si>
  <si>
    <t>客户折扣</t>
  </si>
  <si>
    <t>备注</t>
  </si>
  <si>
    <t>备注2</t>
  </si>
  <si>
    <t>北京多彩</t>
  </si>
  <si>
    <t>事业四部</t>
  </si>
  <si>
    <t>王小薇（销售）</t>
  </si>
  <si>
    <t>罗嘉欣</t>
  </si>
  <si>
    <t>安吉汽车租赁有限公司</t>
  </si>
  <si>
    <t>魅族</t>
  </si>
  <si>
    <t>霍尔果斯智媒广告有限公司</t>
  </si>
  <si>
    <t>霍尔果斯智媒广告有限公司-魅族</t>
  </si>
  <si>
    <t>CPD</t>
  </si>
  <si>
    <t>无</t>
  </si>
  <si>
    <t>卢俊雄（客服）</t>
  </si>
  <si>
    <t>北京宝盛科技有限公司</t>
  </si>
  <si>
    <t>太仓聚一堂网络科技有限公司</t>
  </si>
  <si>
    <t>返货</t>
  </si>
  <si>
    <t>北京慧达天下科技有限公司</t>
  </si>
  <si>
    <t>100返8</t>
  </si>
  <si>
    <t>事业一部</t>
  </si>
  <si>
    <t>李蕊</t>
  </si>
  <si>
    <t>韩雪凝</t>
  </si>
  <si>
    <t>北京火币天下网络技术有限公司</t>
  </si>
  <si>
    <t>订正充值记录</t>
  </si>
  <si>
    <t>事业五部</t>
  </si>
  <si>
    <t>杨帆</t>
  </si>
  <si>
    <t>马晓雪</t>
  </si>
  <si>
    <t>北京坚果金服科技有限公司</t>
  </si>
  <si>
    <t>100返5</t>
  </si>
  <si>
    <t>尹太娅</t>
  </si>
  <si>
    <t>北京搜狐新媒体信息技术有限公司</t>
  </si>
  <si>
    <t>北京搜狐新媒体信息技术有限公司1</t>
  </si>
  <si>
    <t>王森林</t>
  </si>
  <si>
    <t>北京云动九天科技有限公司</t>
  </si>
  <si>
    <t>100返10</t>
  </si>
  <si>
    <t>北京掌上壹柒科技有限公司</t>
  </si>
  <si>
    <t>陈敏妍</t>
  </si>
  <si>
    <t>北京尊嘉资产管理有限公司</t>
  </si>
  <si>
    <t>上海蔓盈信息科技有限公司</t>
  </si>
  <si>
    <t>成都福宝科技有限公司</t>
  </si>
  <si>
    <t>事业三部</t>
  </si>
  <si>
    <t>王璟（销售）</t>
  </si>
  <si>
    <t>刘丹</t>
  </si>
  <si>
    <t>成都咕咚科技有限公司</t>
  </si>
  <si>
    <t>成都乐动信息技术有限公司</t>
  </si>
  <si>
    <t>订正充值记录，切换合作主体存在期初，但无法确认金额</t>
  </si>
  <si>
    <t>罗东明</t>
  </si>
  <si>
    <t>张咏然</t>
  </si>
  <si>
    <t>广州荔支网络技术有限公司</t>
  </si>
  <si>
    <t>广州市一把伞网络科技有限公司</t>
  </si>
  <si>
    <t>100返13</t>
  </si>
  <si>
    <t>广州神准网络科技有限公司</t>
  </si>
  <si>
    <t>哈尔滨惟鑫科技有限公司</t>
  </si>
  <si>
    <t>事业二部</t>
  </si>
  <si>
    <t>张孝涵</t>
  </si>
  <si>
    <t>余蒙怡</t>
  </si>
  <si>
    <t>杭州合家互联网金融服务有限公司</t>
  </si>
  <si>
    <t>杭州微甜科技有限公司</t>
  </si>
  <si>
    <t>浙江黄金宝投资股份有限公司</t>
  </si>
  <si>
    <t>100返11</t>
  </si>
  <si>
    <t>韩洲</t>
  </si>
  <si>
    <t>龚慧</t>
  </si>
  <si>
    <t>杭州卓赢科技有限公司</t>
  </si>
  <si>
    <t>韩洲（客服）</t>
  </si>
  <si>
    <t>和信电子商务有限公司天津科技分公司</t>
  </si>
  <si>
    <t>和信电子商务有限公司</t>
  </si>
  <si>
    <t>商店100返8</t>
  </si>
  <si>
    <t>叶丹</t>
  </si>
  <si>
    <t>赵梦凡</t>
  </si>
  <si>
    <t>霍尔果斯米娱信息科技有限公司</t>
  </si>
  <si>
    <t>Beijing Changxing Information Technology Co., Ltd.-嘀嗒拼车/霍尔果斯呜哩网络科技有限公司/Beijing xiadu mutual entertainment technology co./百度在线网络技术（北京）有限公司/北京一览科技有限公司/</t>
  </si>
  <si>
    <t>王玥</t>
  </si>
  <si>
    <t>迟江雪</t>
  </si>
  <si>
    <t>霍尔果斯中润信息技术有限公司</t>
  </si>
  <si>
    <t>北京中润互联信息技术有限公司</t>
  </si>
  <si>
    <t>金源二部</t>
  </si>
  <si>
    <t>马冠一</t>
  </si>
  <si>
    <t>李美霞（客服）</t>
  </si>
  <si>
    <t>吉安市盛成传媒有限公司</t>
  </si>
  <si>
    <t>广州盛成妈妈网络科技股份有限公司</t>
  </si>
  <si>
    <t>洪宇萌</t>
  </si>
  <si>
    <t>江苏旭升网络科技有限公司</t>
  </si>
  <si>
    <t>100返12</t>
  </si>
  <si>
    <t>文冰婵</t>
  </si>
  <si>
    <t>江西昌圣网络技术有限责任公司</t>
  </si>
  <si>
    <t/>
  </si>
  <si>
    <t>返点比例有问题</t>
  </si>
  <si>
    <t>江西巨邦传媒有限公司</t>
  </si>
  <si>
    <t>北京聚亿园科技有限公司</t>
  </si>
  <si>
    <t>刘佳薇</t>
  </si>
  <si>
    <t>晋松（上海）网络技术有限公司</t>
  </si>
  <si>
    <t>100返5即充即返，100返3季度返</t>
  </si>
  <si>
    <t>前锦网络信息技术（上海）有限公司</t>
  </si>
  <si>
    <t>戴平</t>
  </si>
  <si>
    <t>上海贝涛金融信息服务有限公司</t>
  </si>
  <si>
    <t>上海市贝涛金融信息服务有限公司</t>
  </si>
  <si>
    <t>张永昕</t>
  </si>
  <si>
    <t>上海二三四五金融科技有限公司</t>
  </si>
  <si>
    <t>上海二三四五海隆金融信息服务有限公司</t>
  </si>
  <si>
    <t>上海二三四五网络科技有限公司</t>
  </si>
  <si>
    <t>上海合合信息科技发展有限公司</t>
  </si>
  <si>
    <t>上海京东到家元信信息技术有限公司</t>
  </si>
  <si>
    <t>金源六部</t>
  </si>
  <si>
    <t>曹晶</t>
  </si>
  <si>
    <t>金娜</t>
  </si>
  <si>
    <t>上海淇毓信息科技有限公司</t>
  </si>
  <si>
    <t>上海淇毓信息科技有限公司2</t>
  </si>
  <si>
    <t>上海风絮金融信息服务中心</t>
  </si>
  <si>
    <t>上海如庆金融信息服务有限公司</t>
  </si>
  <si>
    <t>商店100返5</t>
  </si>
  <si>
    <t>上海享途网络科技有限公司</t>
  </si>
  <si>
    <t>上海享途网络科技有限公司-5</t>
  </si>
  <si>
    <t>深圳市果酱时代科技有限公司</t>
  </si>
  <si>
    <t>深圳市时代映像文化传媒有限公司</t>
  </si>
  <si>
    <t>需要事业部补充oa数据</t>
  </si>
  <si>
    <t>李卓（客服）</t>
  </si>
  <si>
    <t>深圳市微网力合信息技术有限公司</t>
  </si>
  <si>
    <t>天津市中昂时代科技有限公司</t>
  </si>
  <si>
    <t>探探文化发展（北京）有限公司</t>
  </si>
  <si>
    <t>邓歌</t>
  </si>
  <si>
    <t>筑欣网络技术（北京）有限公司</t>
  </si>
  <si>
    <t>朱婷</t>
  </si>
  <si>
    <t>和民餐饮（深圳）有限公司</t>
  </si>
  <si>
    <t>大众点评</t>
  </si>
  <si>
    <t>互诚信息技术（上海）有限公司</t>
  </si>
  <si>
    <t>CPT</t>
  </si>
  <si>
    <t>服务费</t>
  </si>
  <si>
    <t>上海朋利来餐饮管理有限公司</t>
  </si>
  <si>
    <t>上海鑫沣餐饮有限公司</t>
  </si>
  <si>
    <t>外婆家餐饮集团有限公司</t>
  </si>
  <si>
    <t>百度</t>
  </si>
  <si>
    <t>霍尔果斯智媒广告有限公司-百度</t>
  </si>
  <si>
    <t>仇袁（客服）</t>
  </si>
  <si>
    <t>北京小度信息科技有限公司</t>
  </si>
  <si>
    <t>拉扎斯网络科技（上海）有限公司</t>
  </si>
  <si>
    <t>vivo</t>
  </si>
  <si>
    <t>维沃通信科技有限公司</t>
  </si>
  <si>
    <t>维沃通信科技有限公司-vivo</t>
  </si>
  <si>
    <t>100返2</t>
  </si>
  <si>
    <t>本期消耗有误，已更新</t>
  </si>
  <si>
    <t>荣鸽</t>
  </si>
  <si>
    <t>凡普金科集团有限公司</t>
  </si>
  <si>
    <t>凡普金科企业发展（上海）有限公司</t>
  </si>
  <si>
    <t>品牌专区</t>
  </si>
  <si>
    <t>T</t>
  </si>
  <si>
    <t>4.25折</t>
  </si>
  <si>
    <t>刘贾冠衡</t>
  </si>
  <si>
    <t>憨分数据科技（上海）有限公司</t>
  </si>
  <si>
    <t>信息流</t>
  </si>
  <si>
    <t>100返30</t>
  </si>
  <si>
    <t>CPC</t>
  </si>
  <si>
    <t>100返4</t>
  </si>
  <si>
    <t>李曦</t>
  </si>
  <si>
    <t>杭州奇治信息技术股份有限公司</t>
  </si>
  <si>
    <t>100返3</t>
  </si>
  <si>
    <t>冯博梁</t>
  </si>
  <si>
    <t>湖南快乐阳光互动娱乐传媒有限公司</t>
  </si>
  <si>
    <t>赵晓云</t>
  </si>
  <si>
    <t>100返6</t>
  </si>
  <si>
    <t>朱婷（客服）</t>
  </si>
  <si>
    <t>上海点芒网络科技有限公司</t>
  </si>
  <si>
    <t>上海鸿道文化传播有限公司</t>
  </si>
  <si>
    <t>上海聚力传媒技术有限公司</t>
  </si>
  <si>
    <t>4%现金点</t>
  </si>
  <si>
    <t>金源科技</t>
  </si>
  <si>
    <t>综合事业部</t>
  </si>
  <si>
    <t>费珂</t>
  </si>
  <si>
    <t>上海新飞凡电子商务有限公司</t>
  </si>
  <si>
    <t>霍尔果斯东润网络科技有限公司- 上海新飞凡电子商务有限公司</t>
  </si>
  <si>
    <t>小米</t>
  </si>
  <si>
    <t>新疆亨利嘉业网络科技有限公司</t>
  </si>
  <si>
    <t>新疆亨利嘉业网络科技有限公司-小米</t>
  </si>
  <si>
    <t>万达网络科技有限公司</t>
  </si>
  <si>
    <t>新增</t>
  </si>
  <si>
    <t>上海花事电子商务有限公司</t>
  </si>
  <si>
    <t>殷俊渊（销售）</t>
  </si>
  <si>
    <t>深圳市前海优世科技有限公司</t>
  </si>
  <si>
    <t>深圳萨摩耶互联网金融服务有限公司</t>
  </si>
  <si>
    <t>书铭信息科技（上海）有限公司</t>
  </si>
  <si>
    <t>天津慧嘉元天广告传媒有限公司</t>
  </si>
  <si>
    <t>一汽丰田汽车销售有限公司</t>
  </si>
  <si>
    <t>安彼迎信息科技（北京）有限公司</t>
  </si>
  <si>
    <t>华为</t>
  </si>
  <si>
    <t>霍尔果斯智媒广告有限公司-华为</t>
  </si>
  <si>
    <t>安彼迎网络（北京）有限公司</t>
  </si>
  <si>
    <t>智媒后台消耗838861.44元，另外40万充值于客户后台消耗</t>
  </si>
  <si>
    <t>智媒后台消耗25960.5元，另外2万充值于客户后台消耗</t>
  </si>
  <si>
    <t>智媒后台消耗40,801.80元，另外50万充值于客户后台消耗</t>
  </si>
  <si>
    <t>智媒后台消耗234,166元，另外135万充值于客户后台消耗</t>
  </si>
  <si>
    <t>珠海市轻点文化传播有限公司</t>
  </si>
  <si>
    <t>王宇（客服）</t>
  </si>
  <si>
    <t>北京酷讯科技有限公司</t>
  </si>
  <si>
    <t>搜狗</t>
  </si>
  <si>
    <t>霍尔果斯宝盛广告有限公司</t>
  </si>
  <si>
    <t>霍尔果斯宝盛广告有限公司-搜狗</t>
  </si>
  <si>
    <t>北京三快在线科技有限公司</t>
  </si>
  <si>
    <t>北京侨外出国咨询服务有限公司</t>
  </si>
  <si>
    <t>北京纷享互动广告有限公司-北京侨外出国咨询服务有限公司</t>
  </si>
  <si>
    <t>100返25</t>
  </si>
  <si>
    <t>由于后台无权限看到此客户信息，消耗按充值核算</t>
  </si>
  <si>
    <t>北京三快云计算有限公司</t>
  </si>
  <si>
    <t>北京屹品文惠科技有限公司</t>
  </si>
  <si>
    <t>北京字节跳动网络技术有限公司</t>
  </si>
  <si>
    <t>100返9</t>
  </si>
  <si>
    <t>丁悦（客服）</t>
  </si>
  <si>
    <t>杭州来疯科技有限公司</t>
  </si>
  <si>
    <t>5折</t>
  </si>
  <si>
    <t>淘宝（中国）软件有限公司</t>
  </si>
  <si>
    <t>三星</t>
  </si>
  <si>
    <t>北京鹏泰互动广告有限公司</t>
  </si>
  <si>
    <t>【新】北京鹏泰互动广告有限公司-三星</t>
  </si>
  <si>
    <t>浙江天猫技术有限公司-新</t>
  </si>
  <si>
    <t>广州上致瑞向广告有限公司-吉安市盛成传媒有限公司</t>
  </si>
  <si>
    <t>广州盛成妈妈网络科技有限公司</t>
  </si>
  <si>
    <t>刘贾冠衡（客服）</t>
  </si>
  <si>
    <t>萌小猪（上海）网络科技有限公司</t>
  </si>
  <si>
    <t>厦门三快在线科技有限公司</t>
  </si>
  <si>
    <t>金源广告</t>
  </si>
  <si>
    <t>朱玉</t>
  </si>
  <si>
    <t>上海移时广告有限公司</t>
  </si>
  <si>
    <t>广州上致瑞向广告有限公司-上海移时广告有限公司</t>
  </si>
  <si>
    <t>王曦</t>
  </si>
  <si>
    <t>秦健峰</t>
  </si>
  <si>
    <t>深圳市赢众通金融信息服务有限责任公司</t>
  </si>
  <si>
    <t>折扣</t>
  </si>
  <si>
    <t>天津今日头条科技有限公司</t>
  </si>
  <si>
    <t>北京字节跳动科技有限公司</t>
  </si>
  <si>
    <t>头条消耗，已统一到一笔订单</t>
  </si>
  <si>
    <t>深圳市优联达科技有限公司</t>
  </si>
  <si>
    <t>哇棒移动传媒股份有限公司</t>
  </si>
  <si>
    <t>哇棒移动传媒股份有限公司2</t>
  </si>
  <si>
    <t>北京鹏泰互动广告有限公司-三星</t>
  </si>
  <si>
    <t>北京六间房科技有限公司-石榴直播</t>
  </si>
  <si>
    <t>2.5元/CPD</t>
  </si>
  <si>
    <t>5.15-9.4为溢价，本期总消耗已调整为客户金额</t>
  </si>
  <si>
    <t>曲文龙</t>
  </si>
  <si>
    <t>霍尔果斯摩柏信息科技有限公司</t>
  </si>
  <si>
    <t>【旧】霍尔果斯摩柏信息科技有限公司-三星</t>
  </si>
  <si>
    <t>北京摩柏时空广告有限公司</t>
  </si>
  <si>
    <t>上海阿牛信息科技有限公司</t>
  </si>
  <si>
    <t>上海阿牛信息科技有限公司1</t>
  </si>
  <si>
    <t>上海欢尚电子商务有限公司</t>
  </si>
  <si>
    <t>杨春梅</t>
  </si>
  <si>
    <t>一拓文化传媒（上海）有限公司</t>
  </si>
  <si>
    <t>广东健客医药有限公司</t>
  </si>
  <si>
    <t>李平子</t>
  </si>
  <si>
    <t>帅珠纯</t>
  </si>
  <si>
    <t>唯品会（中国）有限公司</t>
  </si>
  <si>
    <t>广州唯品会信息科技有限公司</t>
  </si>
  <si>
    <t>武汉屈臣氏个人用品商店有限公司昆山第二分公司</t>
  </si>
  <si>
    <t>广州上致瑞向广告有限公司-武汉屈臣氏个人用品商店有限公司昆山第二分公司</t>
  </si>
  <si>
    <t>上海阑途信息技术有限公司</t>
  </si>
  <si>
    <t>广州上致瑞向广告有限公司-上海阑途信息技术有限公司</t>
  </si>
  <si>
    <t>金华星秀文化传播有限公司</t>
  </si>
  <si>
    <t>广州上致瑞向广告有限公司--金华星秀文化传播有限公司</t>
  </si>
  <si>
    <t>测试未签约</t>
  </si>
  <si>
    <t>坤舟信息技术（杭州）有限公司</t>
  </si>
  <si>
    <t>免费为客户提供测试资源，不需客户回款，故客户金额为0</t>
  </si>
  <si>
    <t>朱婷（销售）</t>
  </si>
  <si>
    <t>杭州火烧云科技有限公司</t>
  </si>
  <si>
    <t>广州坚和网络科技有限公司</t>
  </si>
  <si>
    <t>代真真</t>
  </si>
  <si>
    <t>腾讯科技北京有限公司</t>
  </si>
  <si>
    <t>上海易帛网络科技有限公司-腾讯科技北京有限公司</t>
  </si>
  <si>
    <t>咪咕视讯科技有限公司-腾讯科技北京有限公司</t>
  </si>
  <si>
    <t>腾讯科技（北京）有限公司</t>
  </si>
  <si>
    <t>腾讯科技（深圳）有限公司-三部</t>
  </si>
  <si>
    <t>此单为转单，消耗已清零</t>
  </si>
  <si>
    <t>舶乐蜜电子商务（上海）有限公司</t>
  </si>
  <si>
    <t>王岩</t>
  </si>
  <si>
    <t>北京行圆汽车信息技术有限公司</t>
  </si>
  <si>
    <t>北京微播视界科技有限公司</t>
  </si>
  <si>
    <t>北京微播视界科技有限公司-火山小视频</t>
  </si>
  <si>
    <t>北京字节跳动网络技术有限公司-内涵段子</t>
  </si>
  <si>
    <t>北京我最在行信息技术有限公司</t>
  </si>
  <si>
    <t>上海易帛网络科技有限公司-北京我最在行信息技术有限公司</t>
  </si>
  <si>
    <t>咪咕视讯科技有限公司-北京我最在行信息技术有限公司</t>
  </si>
  <si>
    <t>运城市阳光文化传媒有限公司</t>
  </si>
  <si>
    <t>北京字节跳动科技有限公司-头条视频</t>
  </si>
  <si>
    <t>北京三快在线科技有限公司-美团外卖</t>
  </si>
  <si>
    <t>阚凡薇</t>
  </si>
  <si>
    <t>北京思享时光科技有限公司</t>
  </si>
  <si>
    <t>上海易帛网络科技有限公司-北京思享时光科技有限公司</t>
  </si>
  <si>
    <t>霍尔果斯东润网络科技有限公司-北京思享时光科技有限公司</t>
  </si>
  <si>
    <t>上海茂碧信息科技有限公司</t>
  </si>
  <si>
    <t>深圳市云尚互动科技有限公司</t>
  </si>
  <si>
    <t>张雪</t>
  </si>
  <si>
    <t>北京每日优鲜电子商务有限公司</t>
  </si>
  <si>
    <t>上海易鑫融资租赁有限公司</t>
  </si>
  <si>
    <t>北京易鑫信息科技有限公司</t>
  </si>
  <si>
    <t>北京祥禾雨科技有限公司</t>
  </si>
  <si>
    <t>广东奥园奥买家电子商务有限公司</t>
  </si>
  <si>
    <t>天津水毅云信息技术有限公司</t>
  </si>
  <si>
    <t>广州华多网络科技有限公司</t>
  </si>
  <si>
    <t>开看（杭州）信息技术有限公司</t>
  </si>
  <si>
    <t>杭州米络科技有限公司</t>
  </si>
  <si>
    <t>腾讯科技（深圳）有限公司</t>
  </si>
  <si>
    <t>深圳市腾讯计算机系统有限公司</t>
  </si>
  <si>
    <t>霍尔果斯智媒</t>
  </si>
  <si>
    <t>北京亿万无线信息技术有限公司</t>
  </si>
  <si>
    <t>霍尔果斯智媒广告有限公司-北京亿万无线信息技术有限公司</t>
  </si>
  <si>
    <t>上海萌店信息科技有限公司</t>
  </si>
  <si>
    <t>北京唤醒之光网络科技有限公司</t>
  </si>
  <si>
    <t>上海宝库信息技术有限公司</t>
  </si>
  <si>
    <t>上海宝库信息技术有限公司1</t>
  </si>
  <si>
    <t>北京屏方网络科技公司</t>
  </si>
  <si>
    <t>北京纷享互动广告有限公司-北京屏方网络科技公司</t>
  </si>
  <si>
    <t>北京屏方网络科技有限公司</t>
  </si>
  <si>
    <t>深圳逗溜网科技有限公司</t>
  </si>
  <si>
    <t>深圳市追梦科技有限公司</t>
  </si>
  <si>
    <t>优视科技（中国）有限公司</t>
  </si>
  <si>
    <t>上海全土豆文化传播有限公司</t>
  </si>
  <si>
    <t>上海全土文化传播有限公司</t>
  </si>
  <si>
    <t>杭州小竹科技有限公司</t>
  </si>
  <si>
    <t>北京纷享互动广告有限公司-杭州小竹科技有限公司</t>
  </si>
  <si>
    <t>上海触乐信息科技有限公司</t>
  </si>
  <si>
    <t>上海触乐信息科技邮箱公司</t>
  </si>
  <si>
    <t>合一信息技术（北京）有限公司</t>
  </si>
  <si>
    <t>北京寺库商贸有限公司</t>
  </si>
  <si>
    <t>北京寺库电子商贸有限公司</t>
  </si>
  <si>
    <t>分享一下（北京）科技有限公司</t>
  </si>
  <si>
    <t>分享一下（北京）科技有限公司1</t>
  </si>
  <si>
    <t>炫一下（北京）科技有限公司</t>
  </si>
  <si>
    <t>北京友缘在线网络科技股份有限公司</t>
  </si>
  <si>
    <t>北京友缘在线网络科技股份有限公司-有缘网</t>
  </si>
  <si>
    <t>北京斗米优聘科技发展有限公司</t>
  </si>
  <si>
    <t>北京世诚优聘科技发展有限公司</t>
  </si>
  <si>
    <t>吉安法艾斯网络科技有限公司</t>
  </si>
  <si>
    <t>凤凰飞扬（北京）新媒体信息技术有限公司</t>
  </si>
  <si>
    <t>北京华品博睿网络技术有限公司</t>
  </si>
  <si>
    <t>北京华品博睿网络技术有限公司-店长直聘</t>
  </si>
  <si>
    <t>厦门有门网络科技有限公司</t>
  </si>
  <si>
    <t>深圳市精点网络科技有限公司</t>
  </si>
  <si>
    <t>师坤帅</t>
  </si>
  <si>
    <t>北京花旺在线商贸有限公司</t>
  </si>
  <si>
    <t>王博瑛（客服）</t>
  </si>
  <si>
    <t>北京纷享互动广告有限公司-淘宝（中国）软件有限公司</t>
  </si>
  <si>
    <t>咪咕视讯科技有限公司-淘宝（中国）软件有限公司</t>
  </si>
  <si>
    <t>淘宝（中国）软件有限公司-淘宝</t>
  </si>
  <si>
    <t>北京当当网信息技术有限公司</t>
  </si>
  <si>
    <t>北京当当科文电子商务有限公司-当当</t>
  </si>
  <si>
    <t>当当数媒（武汉）电子商务有限公司</t>
  </si>
  <si>
    <t>北京当当科文电子商务有限公司-当当读书</t>
  </si>
  <si>
    <t>广州水云网络科技有限公司</t>
  </si>
  <si>
    <t>北京金堤科技有限公司</t>
  </si>
  <si>
    <t>北京唔哩网络技术有限公司</t>
  </si>
  <si>
    <t>上海基分文化传播有限公司</t>
  </si>
  <si>
    <t>上海阅客信息科技有限公司</t>
  </si>
  <si>
    <t>浙江齐聚科技有限公司</t>
  </si>
  <si>
    <t>浙江齐聚科技有限公司-齐齐直播</t>
  </si>
  <si>
    <t>北京湃点互动科技有限公司</t>
  </si>
  <si>
    <t>Beijing Changxing Information Technology Co., Ltd.-嘀嗒拼车</t>
  </si>
  <si>
    <t>北京陌陌信息技术有限公司</t>
  </si>
  <si>
    <t xml:space="preserve">北京陌陌信息技术有限公司 </t>
  </si>
  <si>
    <t>优估（上海）信息科技有限公司</t>
  </si>
  <si>
    <t>北京纷享互动广告有限公司-优估（上海）信息科技有限公司</t>
  </si>
  <si>
    <t>咪咕视讯科技有限公司-优估（上海）信息科技有限公司</t>
  </si>
  <si>
    <t>北京爱奇艺科技有限公司</t>
  </si>
  <si>
    <t>北京奇元科技有限公司</t>
  </si>
  <si>
    <t>北京奇虎科技有限公司</t>
  </si>
  <si>
    <t>北京搜狗科技发展有限公司</t>
  </si>
  <si>
    <t>朱力（销售）</t>
  </si>
  <si>
    <t>车智互通（北京）广告有限公司</t>
  </si>
  <si>
    <t>北京车之家信息技术有限公司</t>
  </si>
  <si>
    <t>刘晓琦</t>
  </si>
  <si>
    <t>东峡大通（北京）管理咨询有限公司</t>
  </si>
  <si>
    <t>北京六间房科技有限公司</t>
  </si>
  <si>
    <t>广州上致瑞向广告有限公司-上海欢尚电子商务有限公司【三星】</t>
  </si>
  <si>
    <t>霍尔果斯摩柏信息科技有限公司-三星</t>
  </si>
  <si>
    <t>北京四轮科技有限公司</t>
  </si>
  <si>
    <t>杭州情咖网络技术有限公司</t>
  </si>
  <si>
    <t xml:space="preserve">杭州情咖网络技术有限公司 </t>
  </si>
  <si>
    <t>上海本来生活信息科技有限公司</t>
  </si>
  <si>
    <t>广州上致瑞向广告有限公司-上海本来生活信息科技有限公司</t>
  </si>
  <si>
    <t>上海豆萌科技有限公司</t>
  </si>
  <si>
    <t>上海美昔贸易有限公司</t>
  </si>
  <si>
    <t>浙报传媒控股集团有限公司</t>
  </si>
  <si>
    <t>浙江日报报业集团</t>
  </si>
  <si>
    <t>北京爱德康赛广告有限公司</t>
  </si>
  <si>
    <t>广州上致瑞向广告有限公司-北京爱德康赛广告有限公司</t>
  </si>
  <si>
    <t>平安健康互联网股份有限公司</t>
  </si>
  <si>
    <t>广州小虾网络科技有限公司</t>
  </si>
  <si>
    <t>广州上致瑞向广告有限公司-广州小虾网络科技有限公司</t>
  </si>
  <si>
    <t>珠海云迈网络科技有限公司</t>
  </si>
  <si>
    <t>广州上致瑞向广告有限公司-珠海云迈网络科技有限公司</t>
  </si>
  <si>
    <t>咪咕视讯科技有限公司-珠海云迈网络科技有限公司</t>
  </si>
  <si>
    <t>杭州贝购科技有限公司</t>
  </si>
  <si>
    <t>杭州贝购科技有限公司（新）</t>
  </si>
  <si>
    <t>上海初生网络科技有限公司</t>
  </si>
  <si>
    <t>杭州热澜科技有限公司</t>
  </si>
  <si>
    <t>上海星艾网络科技有限公司</t>
  </si>
  <si>
    <t xml:space="preserve">上海星艾网络科技有限公司 </t>
  </si>
  <si>
    <t>上海悦易网络信息技术有限公司</t>
  </si>
  <si>
    <t>深圳市激活信息有限公司</t>
  </si>
  <si>
    <t xml:space="preserve">深圳市激活信息有限公司 </t>
  </si>
  <si>
    <t>重庆鸿巨网络科技有限公司</t>
  </si>
  <si>
    <t>重庆鸿巨网络科技有限公司（新）</t>
  </si>
  <si>
    <t>重庆鸿巨网络科技有限公司-小草情趣商城</t>
  </si>
  <si>
    <t>事业六部</t>
  </si>
  <si>
    <t>刘瑶瑶</t>
  </si>
  <si>
    <t>张鑫宇</t>
  </si>
  <si>
    <t>上海中彦信息科技有限公司</t>
  </si>
  <si>
    <t xml:space="preserve">上海中彦信息科技有限公司  </t>
  </si>
  <si>
    <t>看法（北京）科技有限公司-亨利</t>
  </si>
  <si>
    <t>上海快猫文化传媒有限公司</t>
  </si>
  <si>
    <t>政策变更</t>
  </si>
  <si>
    <t>杭州卷瓜网络有限公司</t>
  </si>
  <si>
    <t>北京字节跳动网络技术有限公司-今日头条</t>
  </si>
  <si>
    <t>微梦创科网络科技（中国）有限公司</t>
  </si>
  <si>
    <t>北京微梦创科网络技术有限公司</t>
  </si>
  <si>
    <t>深圳掌众网络服务有限公司</t>
  </si>
  <si>
    <t>北京心动时空网络科技有限公司</t>
  </si>
  <si>
    <t>北京心跳时空科技有限公司</t>
  </si>
  <si>
    <t>浙江齐聚科技有限公司1</t>
  </si>
  <si>
    <t>订单重复</t>
  </si>
  <si>
    <t>汪超</t>
  </si>
  <si>
    <t>北京星河时代信息技术有限公司</t>
  </si>
  <si>
    <t>上海丫丫信息科技有限公司</t>
  </si>
  <si>
    <t>上海易鑫融资租赁有限公司1</t>
  </si>
  <si>
    <t>北京易鑫信息科技有限公司-淘车二手车</t>
  </si>
  <si>
    <t>脸萌技术（深圳）有限公司</t>
  </si>
  <si>
    <t>浙江帕加网络科技有限公司</t>
  </si>
  <si>
    <t>广州虎牙信息科技有限公司</t>
  </si>
  <si>
    <t xml:space="preserve">广州虎牙信息科技有限公司 </t>
  </si>
  <si>
    <t>上海寻梦信息技术有限公司</t>
  </si>
  <si>
    <t>深圳天游网络科技有限公司</t>
  </si>
  <si>
    <t>北京天亚科创软件有限公司</t>
  </si>
  <si>
    <t>凡博（北京）科技有限公司</t>
  </si>
  <si>
    <t>贵阳语玩科技有限公司</t>
  </si>
  <si>
    <t>杭州富聊科技有限公司</t>
  </si>
  <si>
    <t>杭州知聊信息技术有限公司</t>
  </si>
  <si>
    <t xml:space="preserve">筑欣网络技术（北京）有限公司 </t>
  </si>
  <si>
    <t>北京来人网络科技有限公司</t>
  </si>
  <si>
    <t>谭啸</t>
  </si>
  <si>
    <t>北京万江恒通科技有限公司</t>
  </si>
  <si>
    <t>北京维康恒美信息技术有限公司</t>
  </si>
  <si>
    <t>湖北微果网络科技有限公司</t>
  </si>
  <si>
    <t>武汉秀美时代科技有限公司</t>
  </si>
  <si>
    <t>杭州迈优文化创意有限公司</t>
  </si>
  <si>
    <t>北京纷享互动广告有限公司-腾讯科技北京有限公司-5</t>
  </si>
  <si>
    <t>快看世界（北京）科技有限公司</t>
  </si>
  <si>
    <t>北京京东世纪贸易有限公司</t>
  </si>
  <si>
    <t>北京京东世纪贸易有限公司1</t>
  </si>
  <si>
    <t>杭州点望科技有限公司</t>
  </si>
  <si>
    <t>北京花千树信息科技有限公司</t>
  </si>
  <si>
    <t>上海花千树信息科技有限公司</t>
  </si>
  <si>
    <t>北京神指飞扬科技有限公司</t>
  </si>
  <si>
    <t>苏州老玩童信息技术有限公司</t>
  </si>
  <si>
    <t>国鼎网络空间安全技术有限公司</t>
  </si>
  <si>
    <t>邯郸市永年区镜像互联网科技有限公司</t>
  </si>
  <si>
    <t>北京天卓科技有限公司</t>
  </si>
  <si>
    <t>北京华品博睿网络技术有限公司-BOSS直聘</t>
  </si>
  <si>
    <t>北京盖得排行信息科技有限公司</t>
  </si>
  <si>
    <t>北京拉勾网络技术有限公司</t>
  </si>
  <si>
    <t>欢聚时代文化传媒（北京）有限公司</t>
  </si>
  <si>
    <t>北京小唱科技有限公司</t>
  </si>
  <si>
    <t>新疆互联视通信息科技有限公司</t>
  </si>
  <si>
    <t>霍尔果斯智媒广告有限公司-新疆互联视通信息科技有限公司</t>
  </si>
  <si>
    <t>江苏万圣广告传媒有限公司</t>
  </si>
  <si>
    <t>北京中文在线文化传媒有限公司</t>
  </si>
  <si>
    <t>返现</t>
  </si>
  <si>
    <t>北京嘀嘀无限科技发展有限公司</t>
  </si>
  <si>
    <t>北京纷享互动广告有限公司-北京嘀嘀无限科技发展有限公司</t>
  </si>
  <si>
    <t>咪咕视讯科技有限公司-北京嘀嘀无限科技发展有限公司</t>
  </si>
  <si>
    <t>北京小桔科技有限公司</t>
  </si>
  <si>
    <t>武汉指趣互娱信息技术有限公司</t>
  </si>
  <si>
    <t>成都沁雨科技有限公司</t>
  </si>
  <si>
    <t>霍尔果斯东润网络科技有限公司</t>
  </si>
  <si>
    <t>北京善义善美科技有限公司</t>
  </si>
  <si>
    <t>广州酷狗计算机科技有限公司</t>
  </si>
  <si>
    <t>胡雅雯（客服）</t>
  </si>
  <si>
    <t>北京完美创意科技有限公司</t>
  </si>
  <si>
    <t>北京一点网聚信息技术有限公司</t>
  </si>
  <si>
    <t>北京爱奇艺科技有限公司1</t>
  </si>
  <si>
    <t>100返7</t>
  </si>
  <si>
    <t>北京亚美云和科技有限公司</t>
  </si>
  <si>
    <t>上海到喜啦信息技术有限公司</t>
  </si>
  <si>
    <t>上海阅文信息技术有限公司</t>
  </si>
  <si>
    <t>百度在线网络技术（北京）有限公司</t>
  </si>
  <si>
    <t>车伯乐（北京）信息科技有限公司</t>
  </si>
  <si>
    <t>北京纷享互动广告有限公司-车伯乐（北京）信息科技有限公司1</t>
  </si>
  <si>
    <t>咪咕视讯科技有限公司-车伯乐（北京）信息科技有限公司</t>
  </si>
  <si>
    <t>光锐恒宇（北京）科技有限公司</t>
  </si>
  <si>
    <t>王璟</t>
  </si>
  <si>
    <t>杭州再顾科技有限公司</t>
  </si>
  <si>
    <t>上海易帛网络科技有限公司-杭州再顾科技有限公司</t>
  </si>
  <si>
    <t>咪咕视讯科技有限公司-杭州再顾科技有限公司</t>
  </si>
  <si>
    <t>6折</t>
  </si>
  <si>
    <t>CPT下单，本期总消耗已更改为客户金额</t>
  </si>
  <si>
    <t>优视科技（中国）有限公司1</t>
  </si>
  <si>
    <t>8折</t>
  </si>
  <si>
    <t>厦门美图之家科技有限公司</t>
  </si>
  <si>
    <t>安迈国际文化传媒（北京）有限公司</t>
  </si>
  <si>
    <t>哈尔滨米娱信息技术有限公司</t>
  </si>
  <si>
    <t>百度在线网络技术（北京）有限公司-好看视频</t>
  </si>
  <si>
    <t>光锐恒宇（北京）科技有限公司-快视频</t>
  </si>
  <si>
    <t>金瓜子科技发展（北京）有限公司</t>
  </si>
  <si>
    <t>金瓜子科技发展（北京）有限公司1</t>
  </si>
  <si>
    <t>北京国美在线电子商务有限公司</t>
  </si>
  <si>
    <t>北京华诚东方科技有限公司</t>
  </si>
  <si>
    <t>北京搜狐新媒体信息技术有限公司-搜狐新闻</t>
  </si>
  <si>
    <t>北京希珥瑞思科技有限公司</t>
  </si>
  <si>
    <t>投放效果不好，不回款</t>
  </si>
  <si>
    <t>北京达佳互联信息技术有限公司</t>
  </si>
  <si>
    <t>北京一笑科技发展有限公司</t>
  </si>
  <si>
    <t>广州市万表科技股份有限公司</t>
  </si>
  <si>
    <t>因发票原因未收钱</t>
  </si>
  <si>
    <t>玖秀互动（北京）文化传媒有限公司</t>
  </si>
  <si>
    <t>秋盟（武汉）科技有限公司</t>
  </si>
  <si>
    <t>小咖秀（北京）科技有限公司</t>
  </si>
  <si>
    <t>北京来看科技有限公司</t>
  </si>
  <si>
    <t>北京蜜枝科技有限公司</t>
  </si>
  <si>
    <t>衢州之品科技有限公司</t>
  </si>
  <si>
    <t>上海易帛网络科技有限公司-衢州之品科技有限公司</t>
  </si>
  <si>
    <t>咪咕视讯科技有限公司-衢州之品科技有限公司</t>
  </si>
  <si>
    <t>成都美尔贝科技股份有限公司</t>
  </si>
  <si>
    <t>广州上致瑞向广告有限公司-成都美尔贝科技股份有限公司</t>
  </si>
  <si>
    <t>成都美尔贝网络科技有限公司</t>
  </si>
  <si>
    <t>广州小迈网络科技有限公司</t>
  </si>
  <si>
    <t>金毛豆技术开发（北京）有限公司</t>
  </si>
  <si>
    <t>上海一谈网络科技有限公司</t>
  </si>
  <si>
    <t xml:space="preserve">卢思蕴 </t>
  </si>
  <si>
    <t>深圳东来网络科技有限公司</t>
  </si>
  <si>
    <t>深圳市快通联科技有限公司</t>
  </si>
  <si>
    <t>9.8折</t>
  </si>
  <si>
    <t>深圳信通知本科技有限公司</t>
  </si>
  <si>
    <t>苏州朗动网络科技有限公司</t>
  </si>
  <si>
    <t>西双版纳鸿巨网络科技有限公司</t>
  </si>
  <si>
    <t>新疆讯百信息科技有限公司</t>
  </si>
  <si>
    <t>优信数享（北京）信息技术有限公司</t>
  </si>
  <si>
    <t>重庆鸿巨网络科技有限公司-春色成人情趣商城</t>
  </si>
  <si>
    <t>重庆市祥航科技有限公司</t>
  </si>
  <si>
    <t>霍尔果斯玩否科技有限公司</t>
  </si>
  <si>
    <t>霍尔果斯玩否科技有限公司-8</t>
  </si>
  <si>
    <t>北京亨利嘉业科技有限公司</t>
  </si>
  <si>
    <t>杭州纳财网络科技有限公司</t>
  </si>
  <si>
    <t>成都雍景科技有限公司</t>
  </si>
  <si>
    <t>重庆鸿巨网络科技有限公司-趣网</t>
  </si>
  <si>
    <t>淮安爱德康赛广告有限公司</t>
  </si>
  <si>
    <t>淮安爱德康赛广告有限公司（vivo小米）</t>
  </si>
  <si>
    <t>广州小米信息服务有限公司</t>
  </si>
  <si>
    <t>广州小米信息服务有限公司-小米</t>
  </si>
  <si>
    <t>淮安爱德康赛广告有限公司（网服）</t>
  </si>
  <si>
    <t>李梓豪</t>
  </si>
  <si>
    <t>霍尔果斯赢动广告有限公司</t>
  </si>
  <si>
    <t>霍尔果斯赢动广告有限公司（网服）</t>
  </si>
  <si>
    <t>商店100返5，非商店100返15.</t>
  </si>
  <si>
    <t>上海派慎网络科技有限公司</t>
  </si>
  <si>
    <t>上海派慎网络科技有限公司1</t>
  </si>
  <si>
    <t>上海派慎网络科技有限公司（网服）</t>
  </si>
  <si>
    <t>上海盈睿广告有限公司</t>
  </si>
  <si>
    <t>上海盈睿广告有限公司-小米</t>
  </si>
  <si>
    <t>上海盈睿广告有限公司（网服）</t>
  </si>
  <si>
    <t>100返16</t>
  </si>
  <si>
    <t>二代期初余额不全</t>
  </si>
  <si>
    <t>北京妙医佳信息技术有限公司</t>
  </si>
  <si>
    <t>广州上致瑞向广告有限公司-北京妙医佳信息技术有限公司-小米</t>
  </si>
  <si>
    <t>上海东方报业有限公司</t>
  </si>
  <si>
    <t>北京点众科技股份有限公司</t>
  </si>
  <si>
    <t>北京点众快看科技有限公司</t>
  </si>
  <si>
    <t>CPM</t>
  </si>
  <si>
    <t>安徽一拓通信科技集团股份有限公司</t>
  </si>
  <si>
    <t>安徽一拓通信科技集团有限公司（网服）</t>
  </si>
  <si>
    <t>杭州鸿大网络发展股份有限公司</t>
  </si>
  <si>
    <t>苏州其乐网络科技有限公司</t>
  </si>
  <si>
    <t>足记文化传播（上海）有限公司</t>
  </si>
  <si>
    <t>上海金银猫金融服务有限公司</t>
  </si>
  <si>
    <t>广州上致瑞向广告有限公司-上海金银猫金融服务有限公司</t>
  </si>
  <si>
    <t>北京智美创思广告有限公司</t>
  </si>
  <si>
    <t>北京智美创思广告有限公司-小米金融（KIWI）</t>
  </si>
  <si>
    <t>消耗金额有误，已更正</t>
  </si>
  <si>
    <t>浙报传媒集团股份有限公司</t>
  </si>
  <si>
    <t>广州上致瑞向广告有限公司-浙报传媒集团股份有限公司</t>
  </si>
  <si>
    <t>上海薄荷信息科技有限公司</t>
  </si>
  <si>
    <t>上海新梨视网络科技有限公司</t>
  </si>
  <si>
    <t>北京微然网络科技有限公司</t>
  </si>
  <si>
    <t>期初余额有误，已更正</t>
  </si>
  <si>
    <t>100返8（2%即返，6%季返）</t>
  </si>
  <si>
    <t>商店100返2非商店100返4</t>
  </si>
  <si>
    <t>北京默契破冰科技有限公司</t>
  </si>
  <si>
    <t>广州上致瑞向广告有限公司-北京默契破冰科技有限公司</t>
  </si>
  <si>
    <t>广州微一网络科技有限公司</t>
  </si>
  <si>
    <t>广州上致瑞向广告有限公司-广州微一网络科技有限公司</t>
  </si>
  <si>
    <t>北京智美创思广告有限公司-小米电商</t>
  </si>
  <si>
    <t>深圳市分期乐网络科技有限公司</t>
  </si>
  <si>
    <t>广州上致瑞向广告有限公司-深圳市分期乐网络科技有限公司</t>
  </si>
  <si>
    <t>深圳市有我行科技有限公司</t>
  </si>
  <si>
    <t>广州上致瑞向广告有限公司-深圳市有我行科技有限公司</t>
  </si>
  <si>
    <t>深圳市广天地科技有限公司</t>
  </si>
  <si>
    <t>北京品众互动网络营销技术有限公司</t>
  </si>
  <si>
    <t>北京品众互动网络营销技术有限公司-小米</t>
  </si>
  <si>
    <t>北京淘金者科技有限公司</t>
  </si>
  <si>
    <t>上海易帛网络科技有限公司-北京淘金者科技有限公司</t>
  </si>
  <si>
    <t>咪咕视讯科技有限公司-北京淘金者科技有限公司</t>
  </si>
  <si>
    <t>应用商店2%信息流8%</t>
  </si>
  <si>
    <t>广州两把刷子信息科技有限公司</t>
  </si>
  <si>
    <t>广州市千钧网络科技有限公司</t>
  </si>
  <si>
    <t>杭州天涯若比邻网络信息服务有限公司</t>
  </si>
  <si>
    <t>金华星秀文化传播有限公司（新浪SHOW）</t>
  </si>
  <si>
    <t>安徽省渠道网络股份有限公司</t>
  </si>
  <si>
    <t>新浪网技术（中国）有限公司</t>
  </si>
  <si>
    <t>咪咕视讯科技有限公司-新浪网技术（中国）有限公司</t>
  </si>
  <si>
    <t>北京新潮讯捷信息技术有限公司</t>
  </si>
  <si>
    <t>上海易帛网络科技有限公司-新浪网技术（中国）有限公司</t>
  </si>
  <si>
    <t>北京智美创思广告有限公司-小米金融</t>
  </si>
  <si>
    <t>日月同行信息技术（北京）有限公司（网服）</t>
  </si>
  <si>
    <t>北京微网通联股份有限公司</t>
  </si>
  <si>
    <t>北京微网通联股份有限公司（网服）</t>
  </si>
  <si>
    <t>100返20</t>
  </si>
  <si>
    <t>北京亨利嘉业科技有限公司（网服）</t>
  </si>
  <si>
    <t>新疆亨利嘉业网络科技有限公司-一直播</t>
  </si>
  <si>
    <t>3.5折</t>
  </si>
  <si>
    <t>郭蕴辉</t>
  </si>
  <si>
    <t>北京峰趣互联网信息服务有限公司</t>
  </si>
  <si>
    <t>北京金影科技有限公司</t>
  </si>
  <si>
    <t>北京天创时代信息技术有限公司</t>
  </si>
  <si>
    <t>上海即果信息技术有限公司</t>
  </si>
  <si>
    <t>上海若友网络科技有限公司</t>
  </si>
  <si>
    <t>杭州再顾科技有限公司（网易严选）</t>
  </si>
  <si>
    <t>北京品众互动网络营销技术有限公司（网服）</t>
  </si>
  <si>
    <t>飞狐信息技术（天津）有限公司</t>
  </si>
  <si>
    <t>武汉斗鱼网络科技有限公司</t>
  </si>
  <si>
    <t>上海易帛网络科技有限公司-武汉斗鱼网络科技有限公司</t>
  </si>
  <si>
    <t>咪咕视讯科技有限公司-武汉斗鱼网络科技有限公司</t>
  </si>
  <si>
    <t>深圳辉煌明天科技有限公司</t>
  </si>
  <si>
    <t>深圳辉煌明天科技有限公司（网服）</t>
  </si>
  <si>
    <t>深圳市优联达科技有限公司（网服）</t>
  </si>
  <si>
    <t>100返15</t>
  </si>
  <si>
    <t>西藏山南灵云传媒有限公司</t>
  </si>
  <si>
    <t>西藏山南灵云传媒（网服）</t>
  </si>
  <si>
    <t>特殊订单，政策变更</t>
  </si>
  <si>
    <t>北京易车互动广告有限公司</t>
  </si>
  <si>
    <t>上海易帛网络科技有限公司-北京易车互动广告有限公司</t>
  </si>
  <si>
    <t>咪咕视讯科技有限公司-北京易车互动广告有限公司</t>
  </si>
  <si>
    <t>北京汇鑫仁和投资咨询有限公司</t>
  </si>
  <si>
    <t>北京意畅高科软件有限公司</t>
  </si>
  <si>
    <t>北京等等付科技有限公司</t>
  </si>
  <si>
    <t>得到（天津）文化传播有限公司</t>
  </si>
  <si>
    <t>100返14</t>
  </si>
  <si>
    <t>掌阅科技股份有限公司</t>
  </si>
  <si>
    <t>北京数通世纪信息技术有限公司</t>
  </si>
  <si>
    <t>北京数通世纪信息技术有限公司（网服）</t>
  </si>
  <si>
    <t>北京云锐国际文化传媒有限公司</t>
  </si>
  <si>
    <t>北京云锐国际文化传媒有限公司（网服）</t>
  </si>
  <si>
    <t>霍尔果斯大娱互动科技有限公司</t>
  </si>
  <si>
    <t>霍尔果斯大娱互动科技有限公司（网服）</t>
  </si>
  <si>
    <t>上海涌玉文化传播有限公司</t>
  </si>
  <si>
    <t>上海涌玉文化传播有限公司（网服）</t>
  </si>
  <si>
    <t>深圳市掌众传媒有限公司</t>
  </si>
  <si>
    <t>深圳市掌众信息技术有限公司（网服）</t>
  </si>
  <si>
    <t>北京音之邦文化科技有限公司</t>
  </si>
  <si>
    <t>网易有道信息技术（北京）有限公司</t>
  </si>
  <si>
    <t>咪咕视讯科技有限公司-网易有道信息技术（北京）有限公司</t>
  </si>
  <si>
    <t>北京酷我科技有限公司</t>
  </si>
  <si>
    <t>北京乐嗨科技有限公司</t>
  </si>
  <si>
    <t>嗨秀（北京）科技有限公司</t>
  </si>
  <si>
    <t>北京摩点会想科技有限公司</t>
  </si>
  <si>
    <t>北京摩点众筹科技有限公司</t>
  </si>
  <si>
    <t>北京快看阅读科技有限公司</t>
  </si>
  <si>
    <t>北京崔玉涛儿童健康管理中心有限公司</t>
  </si>
  <si>
    <t>上海易帛网络科技有限公司-北京崔玉涛儿童健康管理中心有限公司</t>
  </si>
  <si>
    <t>咪咕视讯科技有限公司-北京崔玉涛儿童健康管理中心有限公司</t>
  </si>
  <si>
    <t>北京中润无线广告有限公司</t>
  </si>
  <si>
    <t>北京中润无线广告有限公司（网服）</t>
  </si>
  <si>
    <t>北京小川在线网络技术有限公司</t>
  </si>
  <si>
    <t>北京小川科技有限公司</t>
  </si>
  <si>
    <t>上海易鑫融资租赁有限公司（淘车二手车）</t>
  </si>
  <si>
    <t>深圳市脸萌科技有限公司</t>
  </si>
  <si>
    <t>北京我乐视界信息科技有限公司广州分公司</t>
  </si>
  <si>
    <t>霍尔果斯易力文化传媒有限公司</t>
  </si>
  <si>
    <t>霍尔果斯呜哩网络科技有限公司</t>
  </si>
  <si>
    <t>广州朋客网络科技有限公司</t>
  </si>
  <si>
    <t>深圳市聚讯科技有限公司</t>
  </si>
  <si>
    <t>深圳市聚讯科技有限公司（网服）</t>
  </si>
  <si>
    <t>杭州米络科技有限公司（KK直播）</t>
  </si>
  <si>
    <t>广州上致瑞向广告有限公司-广州虎牙信息科技有限公司</t>
  </si>
  <si>
    <t>CPC-品牌</t>
  </si>
  <si>
    <t>100返0</t>
  </si>
  <si>
    <t>广州水煮信息科技有限公司</t>
  </si>
  <si>
    <t>广州聚好玩信息科技有限公司</t>
  </si>
  <si>
    <t>达疆网络科技（上海）有限公司</t>
  </si>
  <si>
    <t>上海新兰德证券投资咨询顾问有限公司</t>
  </si>
  <si>
    <t>北京纷享互动广告有限公司-上海新兰德证券投资咨询顾问有限公司</t>
  </si>
  <si>
    <t>殷俊渊</t>
  </si>
  <si>
    <t>北京思行合一文化传播有限公司</t>
  </si>
  <si>
    <t>北京纷享互动广告有限公司-北京来人网络科技有限公司</t>
  </si>
  <si>
    <t>北京宏宇创新科技有限公司</t>
  </si>
  <si>
    <t>北京中文万维科技有限公司</t>
  </si>
  <si>
    <t>北京中文万维科技有限公司1</t>
  </si>
  <si>
    <t>北京爱音斯坦文化传媒股份有限公司</t>
  </si>
  <si>
    <t>北京问师兄科技有限公司</t>
  </si>
  <si>
    <t>北京纷享互动广告有限公司-北京问师兄科技有限公司</t>
  </si>
  <si>
    <t>丁悦（销售）</t>
  </si>
  <si>
    <t>卡惠（平潭）科技有限公司</t>
  </si>
  <si>
    <t>北京纷享互动广告有限公司-卡惠（平潭）科技有限公司</t>
  </si>
  <si>
    <t>钱包管家（北京）科技有限公司</t>
  </si>
  <si>
    <t>上海爱有网络科技有限公司</t>
  </si>
  <si>
    <t>杏树林信息技术(北京)有限公司</t>
  </si>
  <si>
    <t>北京纷享互动广告有限公司-杏树林信息技术(北京)有限公司</t>
  </si>
  <si>
    <t>杏树林信息技术（北京）有限公司</t>
  </si>
  <si>
    <t>北京有梦文化有限公司</t>
  </si>
  <si>
    <t>喀什完美时空信息科技有限公司</t>
  </si>
  <si>
    <t>深圳市快读科技有限公司</t>
  </si>
  <si>
    <t>上海触宝信息技术有限公司</t>
  </si>
  <si>
    <t>北京墨迹风云科技股份有限公司</t>
  </si>
  <si>
    <t>品牌订单，客户实算实结，中途撤单，故金额有变更</t>
  </si>
  <si>
    <t>上海非梧不栖信息科技有限公司</t>
  </si>
  <si>
    <t>璧合广告有限公司</t>
  </si>
  <si>
    <t>金华秀吧信息科技有限公司</t>
  </si>
  <si>
    <t>北京看了吗视频信息技术有限公司</t>
  </si>
  <si>
    <t>广东神马搜索科技有限公司</t>
  </si>
  <si>
    <t>北京纷享互动广告有限公司-广东神马搜索科技有限公司</t>
  </si>
  <si>
    <t>广州阿里巴巴文学信息技术有限公司</t>
  </si>
  <si>
    <t>巴士在线科技有限公司</t>
  </si>
  <si>
    <t>北京纷享互动广告有限公司-巴士在线科技有限公司</t>
  </si>
  <si>
    <t>极客邦控股（北京）有限公司</t>
  </si>
  <si>
    <t>海南大王信息技术有限公司</t>
  </si>
  <si>
    <t>北京大王互动信息技术有限公司</t>
  </si>
  <si>
    <t>上海纳客宝信息技术有限公司</t>
  </si>
  <si>
    <t>北京纷享互动广告有限公司-上海纳客宝信息技术有限公司</t>
  </si>
  <si>
    <t>咪咕视讯科技有限公司</t>
  </si>
  <si>
    <t>北京纷享互动广告有限公司-咪咕视讯科技有限公司</t>
  </si>
  <si>
    <t>天津百合信息技术服务有限公司</t>
  </si>
  <si>
    <t>北京纷享互动广告有限公司-天津百合信息技术服务有限公司</t>
  </si>
  <si>
    <t>百合网股份有限公司</t>
  </si>
  <si>
    <t>杭州来疯科技有限公司1</t>
  </si>
  <si>
    <t>咪咕互动娱乐有限公司</t>
  </si>
  <si>
    <t>溢价</t>
  </si>
  <si>
    <t>咪咕数字传媒有限公司</t>
  </si>
  <si>
    <t>咪咕音乐有限公司</t>
  </si>
  <si>
    <t>北京天盈九州网络技术有限公司</t>
  </si>
  <si>
    <t>北京新浪阅读信息技术有限公司</t>
  </si>
  <si>
    <t>咪咕动漫有限公司</t>
  </si>
  <si>
    <t>北京珂奥利昂利斯广告有限公司</t>
  </si>
  <si>
    <t>北京珂奥利昂利斯广告有限公司（网服）</t>
  </si>
  <si>
    <t>万码信息技术（大连）有限公司</t>
  </si>
  <si>
    <t>暴风体育（北京）有限责任公司</t>
  </si>
  <si>
    <t>北京凤娱网络技术有限公司</t>
  </si>
  <si>
    <t>北京九十文化传播有限公司</t>
  </si>
  <si>
    <t>金华火龙科技有限公司</t>
  </si>
  <si>
    <t>上海公昌金融信息服务有限公司</t>
  </si>
  <si>
    <t>北京求之易数据有限公司</t>
  </si>
  <si>
    <t>山东脚印网络科技有限公司</t>
  </si>
  <si>
    <t>山东脚印网络科技有限公司（网服）</t>
  </si>
  <si>
    <t>北京合众力道科技有限公司</t>
  </si>
  <si>
    <t>北京耐飞科技有限公司</t>
  </si>
  <si>
    <t>北京联合网视文化传播有限公司</t>
  </si>
  <si>
    <t>第一视频（北京）网络技术有限公司</t>
  </si>
  <si>
    <t>第一视频（北京）网络技术有限公司（第一视频榴莲直播）</t>
  </si>
  <si>
    <t>杭州饭桃花科技有限公司</t>
  </si>
  <si>
    <t>欢聚时代文化传媒（北京）有限公司（网服）</t>
  </si>
  <si>
    <t>霍尔果斯秦业网络科技有限公司</t>
  </si>
  <si>
    <t>北京臻昊伟业网络科技有限公司</t>
  </si>
  <si>
    <t>霍尔果斯秦业网络科技有限公司1</t>
  </si>
  <si>
    <t>北京深谋财富投资管理有限公司</t>
  </si>
  <si>
    <t>河南智汇魔方科技股份有限公司</t>
  </si>
  <si>
    <t>霍尔果斯智媒广告有限公司-河南智汇魔方科技股份有限公司</t>
  </si>
  <si>
    <t>央广传媒发展总公司</t>
  </si>
  <si>
    <t>北京高梓行远科技有限公司</t>
  </si>
  <si>
    <t>霍尔果斯智媒广告有限公司-当当数媒（武汉）电子商务有限公司</t>
  </si>
  <si>
    <t>上海三叉戟信息科技有限公司</t>
  </si>
  <si>
    <t>同道精英（天津）信息技术有限公司</t>
  </si>
  <si>
    <t>万仕道（北京）管理咨询有限公司</t>
  </si>
  <si>
    <t>云智联网络科技（北京）有限公司</t>
  </si>
  <si>
    <t>北京指趣传悦文化传播有限公司</t>
  </si>
  <si>
    <t>北京指趣传悦文化传播有限公司（网服）</t>
  </si>
  <si>
    <t>江苏旭升网络科技有限公司（网服）</t>
  </si>
  <si>
    <t>念鑫资产管理有限公司</t>
  </si>
  <si>
    <t>北京纷享互动广告有限公司-车伯乐（北京）信息科技有限公司</t>
  </si>
  <si>
    <t>斑马秀（北京）信息科技有限公司</t>
  </si>
  <si>
    <t>优舫（北京）信息科技有限公司</t>
  </si>
  <si>
    <t>北京纷享互动广告有限公司-优舫（北京）信息科技有限公司</t>
  </si>
  <si>
    <t>咪咕视讯科技有限公司-优舫（北京）信息科技有限公司</t>
  </si>
  <si>
    <t>优信拍（北京）信息科技有限公司</t>
  </si>
  <si>
    <t xml:space="preserve">新浪网技术（中国）有限公司 </t>
  </si>
  <si>
    <t>程成</t>
  </si>
  <si>
    <t>北京枫藤互动网络技术有限公司</t>
  </si>
  <si>
    <t>程成C</t>
  </si>
  <si>
    <t>商店100返2；</t>
  </si>
  <si>
    <t>北京虎嗅信息科技股份有限公司</t>
  </si>
  <si>
    <t>广东时代传媒有限公司</t>
  </si>
  <si>
    <t>马客微互动（北京）传媒技术有限公司 -广东时代传媒有限公司 (马客微-时代传媒)</t>
  </si>
  <si>
    <t>深圳市云之维科技有限公司</t>
  </si>
  <si>
    <t>马客微互动（北京）传媒技术有限公司 -深圳市云之维科技有限公司</t>
  </si>
  <si>
    <t>深圳市浩云科技有限公司（网服）</t>
  </si>
  <si>
    <t>宋莎莎</t>
  </si>
  <si>
    <t>北京搜狗科技发展有限公司1</t>
  </si>
  <si>
    <t>北京搜狗科技发展有限公司（今日热点头条）</t>
  </si>
  <si>
    <t>北京搜狗网络技术有限公司</t>
  </si>
  <si>
    <t>北京搜狗信息服务有限公司</t>
  </si>
  <si>
    <t>万达网络科技有限公司（万益通）</t>
  </si>
  <si>
    <t>非商店100返3</t>
  </si>
  <si>
    <t>商店100返2,；</t>
  </si>
  <si>
    <t>庄重</t>
  </si>
  <si>
    <t>骑记（厦门）科技有限公司</t>
  </si>
  <si>
    <t>滴滴出行科技有限公司</t>
  </si>
  <si>
    <t>霍尔果斯爱看书网信息科技有限公司</t>
  </si>
  <si>
    <t>霍尔果斯鸿鹭华阅文化传播有限公司</t>
  </si>
  <si>
    <t>李泽盛</t>
  </si>
  <si>
    <t>王小薇</t>
  </si>
  <si>
    <t>上海三叉戟信息科技有限公司（急客约）</t>
  </si>
  <si>
    <t>广州形点网络科技有限公司</t>
  </si>
  <si>
    <t>杭州赫尔墨斯网络科技有限公司</t>
  </si>
  <si>
    <t>16年客户17年没投放</t>
  </si>
  <si>
    <t>深圳第一蓝筹科技有限公司</t>
  </si>
  <si>
    <t>上海途顺网络科技有限公司</t>
  </si>
  <si>
    <t>北京卡路里信息技术有限公司</t>
  </si>
  <si>
    <t>北京轻松每餐科技有限公司</t>
  </si>
  <si>
    <t>友乐活（北京）网络科技有限公司</t>
  </si>
  <si>
    <t>乐视体育文化产业发展（北京）有限公司</t>
  </si>
  <si>
    <t>上海图虫网络科技有限公司</t>
  </si>
  <si>
    <t>17年期初余额已退款，未消耗</t>
  </si>
  <si>
    <t>北京中新互动文化传媒有限公司</t>
  </si>
  <si>
    <t>海南亿科思奇科技有限公司</t>
  </si>
  <si>
    <t>上海聚胜万合广告有限公司</t>
  </si>
  <si>
    <t>银橙（上海）信息技术有限公司</t>
  </si>
  <si>
    <t>上海熊猫互娱文化有限公司</t>
  </si>
  <si>
    <t>17年无下单，无充值</t>
  </si>
  <si>
    <t>乐视网信息技术（北京）股份有限公司</t>
  </si>
  <si>
    <t>无下单无充值</t>
  </si>
  <si>
    <t>上海易点时空网络有限公司</t>
  </si>
  <si>
    <t>上海麦广网络科技有限公司</t>
  </si>
  <si>
    <t>邰伟庚</t>
  </si>
  <si>
    <t>日月同行信息技术（北京）有限公司</t>
  </si>
  <si>
    <t>上海逗趣网络科技有限公司</t>
  </si>
  <si>
    <t>优酷信息技术（北京）有限公司</t>
  </si>
  <si>
    <t>商机在线（北京）网络技术有限公司</t>
  </si>
  <si>
    <t>湖南极视互联科技有限公司</t>
  </si>
  <si>
    <t>上海腾牛电子商务有限公司</t>
  </si>
  <si>
    <t>北京冠游时空数码技术有限公司</t>
  </si>
  <si>
    <t>上海大娱数码科技有限公司</t>
  </si>
  <si>
    <t>上海大娱数码科技有限公司-vivo</t>
  </si>
  <si>
    <t>易帛-舶乐蜜电子商务（上海）有限公司</t>
  </si>
  <si>
    <t>咪咕视讯科技有限公司-舶乐蜜电子商务（上海）有限公司</t>
  </si>
  <si>
    <t>优联达充值的，但是属于我们家业绩  所以比消耗要多</t>
  </si>
  <si>
    <t>丁悦</t>
  </si>
  <si>
    <t>上海融谐信息技术有限公司</t>
  </si>
  <si>
    <t>新增，金银猫订单</t>
  </si>
  <si>
    <t>中信二十一世纪（中国）科技有限公司</t>
  </si>
  <si>
    <t>广东世婴信息科技有限公司</t>
  </si>
  <si>
    <t>上海聚胜万合广告有限公司2</t>
  </si>
  <si>
    <t>【快看】深圳辉煌明天科技有限公司-vivo</t>
  </si>
  <si>
    <t>北京派瑞威行广告有限公司</t>
  </si>
  <si>
    <t>北京派瑞威行广告有限公司-vivo</t>
  </si>
  <si>
    <t>上海盈睿广告有限公司-vivo</t>
  </si>
  <si>
    <t>深圳辉煌明天科技有限公司-vivo</t>
  </si>
  <si>
    <t>深圳辉煌明天科技有限公司-免费小说vivo</t>
  </si>
  <si>
    <t>国鼎文化科技产业发展股份有限公司</t>
  </si>
  <si>
    <t>北京智美创思广告有限公司-vivo金融电商</t>
  </si>
  <si>
    <t>2%+2%</t>
  </si>
  <si>
    <t>深圳市优品投资顾问有限公司</t>
  </si>
  <si>
    <t>浙江草根网络科技有限公司</t>
  </si>
  <si>
    <t>天翼视讯传媒有限公司</t>
  </si>
  <si>
    <t>商店100返2</t>
  </si>
  <si>
    <t xml:space="preserve">上海嵩恒网络科技有限公司   </t>
  </si>
  <si>
    <t>广州上致瑞向广告有限公司-上海嵩恒网络科技股份有限公司</t>
  </si>
  <si>
    <t>上海嵩恒网络科技有限公司</t>
  </si>
  <si>
    <t>海南面对面文化传媒有限公司</t>
  </si>
  <si>
    <t>深圳市果酱时代科技有限公司-旧</t>
  </si>
  <si>
    <t>香港鑫圣金业集团有限公司</t>
  </si>
  <si>
    <t>广东康爱多连锁药店有限公司</t>
  </si>
  <si>
    <t>应用商店2%信息流4%</t>
  </si>
  <si>
    <t>广州晨景信息科技有限公司</t>
  </si>
  <si>
    <t>广州腾光信息科技有限公司</t>
  </si>
  <si>
    <t>海南火豚娱乐有限公司</t>
  </si>
  <si>
    <t>广州上致瑞向广告有限公司-海南火豚娱乐有限公司</t>
  </si>
  <si>
    <t>深圳市世纪天游科技有限公司</t>
  </si>
  <si>
    <t>广州上致瑞向广告有限公司-深圳市世纪天游科技有限公司</t>
  </si>
  <si>
    <t>咪咕视讯科技有限公司-深圳市世纪天游科技有限公司</t>
  </si>
  <si>
    <t>海南天天众彩科技有限公司</t>
  </si>
  <si>
    <t>深圳前海佛罗米科技有限公司</t>
  </si>
  <si>
    <t>深圳市乐唯科技开发有限公司</t>
  </si>
  <si>
    <t>深圳市乐宜科技有限公司</t>
  </si>
  <si>
    <t>南京四合创为网络科技有限公司</t>
  </si>
  <si>
    <t>南京四合创为网络科技有限公司1</t>
  </si>
  <si>
    <t>上海牛娃互联网金融信息服务有限公司</t>
  </si>
  <si>
    <t>深圳声控科技有限公司</t>
  </si>
  <si>
    <t>天翼阅读文化传播有限公司</t>
  </si>
  <si>
    <t>杭州汉唐文化传播有限公司</t>
  </si>
  <si>
    <t>上海酷金企业管理有限公司</t>
  </si>
  <si>
    <t>号百信息服务有限公司</t>
  </si>
  <si>
    <t>天翼爱动漫文化传媒有限公司</t>
  </si>
  <si>
    <t>点入广告传媒（上海）有限公司</t>
  </si>
  <si>
    <t>新疆亨利嘉业网络科技有限公司-vivo-3</t>
  </si>
  <si>
    <t>北京派瑞威行广告有限公
司</t>
  </si>
  <si>
    <t>北京酷划在线网络技术有限公司</t>
  </si>
  <si>
    <t>北京天桐互动科技有限公司</t>
  </si>
  <si>
    <t>北京天桐互动信息技术有限公司</t>
  </si>
  <si>
    <t>（旧）江西昌圣网络技术有限责任公司</t>
  </si>
  <si>
    <t>北京百传中云信息科技有限公司</t>
  </si>
  <si>
    <t>北京家事无忧家政服务有限公司</t>
  </si>
  <si>
    <t>北京乐优优广告有限公司</t>
  </si>
  <si>
    <t>9折</t>
  </si>
  <si>
    <t>CPC9折</t>
  </si>
  <si>
    <t>乐视视频</t>
  </si>
  <si>
    <t>广州奇异果互动科技股份有限公司</t>
  </si>
  <si>
    <t>广东奇异果互动科技股份有限公司</t>
  </si>
  <si>
    <t>上海仁志文化传媒有限公司</t>
  </si>
  <si>
    <t>北京懒财信息科技有限公司</t>
  </si>
  <si>
    <t>上海麦克风文化传媒有限公司</t>
  </si>
  <si>
    <t>北京众信利民信息技术有限公司</t>
  </si>
  <si>
    <t>上海易帛网络科技有限公司-北京众信利民信息技术有限公司</t>
  </si>
  <si>
    <t>霍尔果斯东润网络科技有限公司-北京众信利民信息技术有限公司</t>
  </si>
  <si>
    <t>银如意（天津）贵金属经营有限公司</t>
  </si>
  <si>
    <t>春秋航空股份有限公司</t>
  </si>
  <si>
    <t>广州上致瑞向广告有限公司-春秋航空股份有限公司</t>
  </si>
  <si>
    <t>随身云（南京）信息技术有限公司</t>
  </si>
  <si>
    <t>上海诺吾网络科技有限公司</t>
  </si>
  <si>
    <t>上海童石网络科技股份有限公司</t>
  </si>
  <si>
    <t>深圳投之家金融信息服务有限公司</t>
  </si>
  <si>
    <t>北京畅聊天下科技股份有限公司</t>
  </si>
  <si>
    <t>青岛百洋健康药房连锁有限公司</t>
  </si>
  <si>
    <t>广州上致瑞向广告有限公司-青岛百洋健康药房连锁有限公司</t>
  </si>
  <si>
    <t>北京齐欣互动科技有限公司</t>
  </si>
  <si>
    <t>马客微互动（北京）传媒技术有限公司 -北京齐欣互动科技有限公司</t>
  </si>
  <si>
    <t>小糖互联（北京）网络科技有限公司</t>
  </si>
  <si>
    <t>广州快银互联网金融信息服务有限公司</t>
  </si>
  <si>
    <t>广州勤沃网络科技有限公司</t>
  </si>
  <si>
    <t>伊里斯（北京）科技有限公司</t>
  </si>
  <si>
    <t>杭州炫映科技有限公司</t>
  </si>
  <si>
    <t>深圳市爱聊科技有限公司</t>
  </si>
  <si>
    <t>深圳市有信网络技术有限公司</t>
  </si>
  <si>
    <t>深圳新思维教育科技有限公司广州分公司</t>
  </si>
  <si>
    <t>深圳新思维教育科技有限公司</t>
  </si>
  <si>
    <t>深圳有咖互动科技有限公司</t>
  </si>
  <si>
    <t>100返1</t>
  </si>
  <si>
    <t>福建虎翼网络科技有限公司</t>
  </si>
  <si>
    <t>霍尔果斯智媒广告有限公司-广州虎牙信息科技有限公司</t>
  </si>
  <si>
    <t>北京润德智达科技有限公司</t>
  </si>
  <si>
    <t>掌阅科技股份有限公司1</t>
  </si>
  <si>
    <t>北京新陌科技有限公司</t>
  </si>
  <si>
    <t>北京纷享互动广告有限公司-北京新陌科技有限公司</t>
  </si>
  <si>
    <t>北京昊泓信息咨询有限公司</t>
  </si>
  <si>
    <t>大连万追梦信息技术有限公司</t>
  </si>
  <si>
    <t>大连云栖科技有限公司</t>
  </si>
  <si>
    <t>深圳好彩互联网有限公司</t>
  </si>
  <si>
    <t>四川虾淘网络科技有限公司</t>
  </si>
  <si>
    <t>深圳平安通信科技有限公司</t>
  </si>
  <si>
    <t>徐德洋</t>
  </si>
  <si>
    <t>星果时代信息技术有限公司</t>
  </si>
  <si>
    <t>喀什尚河信息科技有限公司</t>
  </si>
  <si>
    <t>华晋天下（北京）传媒股份公司</t>
  </si>
  <si>
    <t>此客户消费大于充值，需找事业部确认</t>
  </si>
  <si>
    <t>上海快猫文化传媒有限公司1</t>
  </si>
  <si>
    <t>网易（杭州）网络有限公司</t>
  </si>
  <si>
    <t>北京川上科技有限公司</t>
  </si>
  <si>
    <t>北京好赞移动科技有限公司</t>
  </si>
  <si>
    <t>北京好赞移动科技有限公司 </t>
  </si>
  <si>
    <t>北京疯狂体育产业管理有限公司</t>
  </si>
  <si>
    <t>开望（杭州）科技有限公司</t>
  </si>
  <si>
    <t>北京橘子文化传媒有限公司</t>
  </si>
  <si>
    <t>北京我乐视界信息科技有限公司</t>
  </si>
  <si>
    <t>北京我乐视界信息科技有限公司-广州分公司</t>
  </si>
  <si>
    <t>广州群歌信息科技有限公司</t>
  </si>
  <si>
    <t>北京纷享互动广告有限公司-北京天盈九州网络技术有限公司</t>
  </si>
  <si>
    <t>沪江教育科技（上海）股份有限公司</t>
  </si>
  <si>
    <t>北京欢聚时刻科技有限公司</t>
  </si>
  <si>
    <t>天津星影聚合互联网科技有限公司</t>
  </si>
  <si>
    <t>北京万物小草智能科技有限公司</t>
  </si>
  <si>
    <t>厦门爱秀网络科技有限公司</t>
  </si>
  <si>
    <t>北京山河无疆网络科技有限公司</t>
  </si>
  <si>
    <t>西安利尔品牌营销策划有限公司</t>
  </si>
  <si>
    <t>北京盈衍网络科技有限公司</t>
  </si>
  <si>
    <t>广州市久邦数码科技有限公司</t>
  </si>
  <si>
    <t>北京云雷文化传播有限公司</t>
  </si>
  <si>
    <t>宜昌泰沐科技有限公司</t>
  </si>
  <si>
    <t>北京当当科文电子商务有限公司</t>
  </si>
  <si>
    <t>北京金易木网络科技有限公司</t>
  </si>
  <si>
    <t>畅娱互动科技（ 北京 ）有限公司</t>
  </si>
  <si>
    <t>畅娱互动科技（北京）有限公司</t>
  </si>
  <si>
    <t>北京灵尚网络科技有限公司</t>
  </si>
  <si>
    <t>上海证大喜马拉雅网络科技有限公司</t>
  </si>
  <si>
    <t>喜大(上海)网络科技有限公司</t>
  </si>
  <si>
    <t>喜大（上海）网络科技有限公司</t>
  </si>
  <si>
    <t>广东因特利信息科技股份有限公司</t>
  </si>
  <si>
    <t>广发证券股份有限公司</t>
  </si>
  <si>
    <t>万达信息科技有限公司</t>
  </si>
  <si>
    <t>耀方信息技术（上海）有限公司</t>
  </si>
  <si>
    <t>广东壹号大药房连锁有限公司</t>
  </si>
  <si>
    <t>天津掌上乐创科技有限公司</t>
  </si>
  <si>
    <t>霍尔果斯东润网络科技有限公司-天津掌上乐创科技有限公司</t>
  </si>
  <si>
    <t>6%现金点</t>
  </si>
  <si>
    <t>人人贷理财</t>
  </si>
  <si>
    <t>坦克世界直播</t>
  </si>
  <si>
    <t>北京凌众时代广告有限公司</t>
  </si>
  <si>
    <t>点融理财</t>
  </si>
  <si>
    <t>同城约爱</t>
  </si>
  <si>
    <t>美术宝</t>
  </si>
  <si>
    <t>广州上致瑞向广告有限公司-上海新梨视网络科技有限公司</t>
  </si>
  <si>
    <t>途牛旅游</t>
  </si>
  <si>
    <t>喵呜</t>
  </si>
  <si>
    <t>上海陆家嘴国际金融资产交易市场股份有限公</t>
  </si>
  <si>
    <t>百度糯米</t>
  </si>
  <si>
    <t>同城快约</t>
  </si>
  <si>
    <t>上海凯猫网络科技有限公司</t>
  </si>
  <si>
    <t>乐享动</t>
  </si>
  <si>
    <t>投之家理财</t>
  </si>
  <si>
    <t>开看美女直播</t>
  </si>
  <si>
    <t>辣椒直播平台</t>
  </si>
  <si>
    <t>华宝智投</t>
  </si>
  <si>
    <t>江苏宝贝金融信息服务有限公司</t>
  </si>
  <si>
    <t>宁波合众芸创财富投资管理有限公司</t>
  </si>
  <si>
    <t>人人行科技股份有限公司</t>
  </si>
  <si>
    <t>贷款</t>
  </si>
  <si>
    <t>宜人财富</t>
  </si>
  <si>
    <t>惠众商务顾问（北京）有限公司</t>
  </si>
  <si>
    <t>广州鹏誉商务服务有限公司</t>
  </si>
  <si>
    <t>一嗨租车</t>
  </si>
  <si>
    <t>深圳进门财经科技有限公司</t>
  </si>
  <si>
    <t>袁铭</t>
  </si>
  <si>
    <t>北京悟空出行科技有限公司</t>
  </si>
  <si>
    <t>广州上致瑞向广告有限公司-北京悟空出行科技有限公司</t>
  </si>
  <si>
    <t>咪咕视讯科技有限公司-北京悟空出行科技有限公司</t>
  </si>
  <si>
    <t>淮安爱德康赛广告有限公司-vivo</t>
  </si>
  <si>
    <t>广州上致瑞向广告有限公司-北京妙医佳信息技术有限公司-vivo</t>
  </si>
  <si>
    <t>上海律知网络科技有限公司</t>
  </si>
  <si>
    <t>广州上致瑞向---上海律知网络科技有限公司</t>
  </si>
  <si>
    <t>北京读我科技有限公司</t>
  </si>
  <si>
    <t>广州上致瑞向广告有限公司-北京读我科技有限公司</t>
  </si>
  <si>
    <t>北京智乐活科技有限公司</t>
  </si>
  <si>
    <t>广州上致瑞向广告有限公司-北京智乐活科技有限公司</t>
  </si>
  <si>
    <t>咪咕视讯科技有限公司-北京智乐活科技有限公司</t>
  </si>
  <si>
    <t>上海袋虎信息技术有限公司</t>
  </si>
  <si>
    <t>北京纷享互动广告有限公司-上海袋虎信息技术有限公司</t>
  </si>
  <si>
    <t>山西美好蕴育生物科技有限责任公司</t>
  </si>
  <si>
    <t>北京缪客科技有限公司</t>
  </si>
  <si>
    <t>上海享互网络科技有限公司</t>
  </si>
  <si>
    <t>平安好房（上海）电子商务有限公司</t>
  </si>
  <si>
    <t>广州上致瑞向广告有限公司-平安好房（上海）电子商务有限公司</t>
  </si>
  <si>
    <t>北京智美创思广告有限公司-vivo旅教工</t>
  </si>
  <si>
    <t>北京智美创思广告有限公司-vivo旅教工--Q4</t>
  </si>
  <si>
    <t>广州智悦网络科技有限公司</t>
  </si>
  <si>
    <t>广州氧气宝宝教育咨询服务有限公司</t>
  </si>
  <si>
    <t>广州盛成网络科技股份有限公司</t>
  </si>
  <si>
    <t>快手</t>
  </si>
  <si>
    <t>北京汇创思拓数字科技有限公司</t>
  </si>
  <si>
    <t>北京汇创思拓数字科技有限公司-快手</t>
  </si>
  <si>
    <t>南京途牛国际旅行社有限公司</t>
  </si>
  <si>
    <t>应用宝</t>
  </si>
  <si>
    <t>深圳市凯胜金服企业管理有限公司</t>
  </si>
  <si>
    <t>紫博蓝网络科技（北京）股份有限公司</t>
  </si>
  <si>
    <t>思行合一</t>
  </si>
  <si>
    <t>广州上致瑞向广告有限公司-北京达佳互联信息技术有限公司</t>
  </si>
  <si>
    <t>霍尔果斯东润网络科技有限公司-北京达佳互联信息技术有限公司</t>
  </si>
  <si>
    <t>飞讯</t>
  </si>
  <si>
    <t>天津飞讯和沃网络技术有限公司</t>
  </si>
  <si>
    <t>北京础瑜广告有限公司</t>
  </si>
  <si>
    <t>北京智美创思广告有限公司-百度</t>
  </si>
  <si>
    <t>伊里斯</t>
  </si>
  <si>
    <t>同城速约</t>
  </si>
  <si>
    <t>北京亨利嘉业科技有限公司-应用宝</t>
  </si>
  <si>
    <t>本期总消耗有误，已更新</t>
  </si>
  <si>
    <t>北京万普世纪科技有限公司</t>
  </si>
  <si>
    <t>北京讯飞科技有限公司</t>
  </si>
  <si>
    <t>部分拆分到邻家；一万下错媒体，需要改单</t>
  </si>
  <si>
    <t>北京邻家科技有限公司</t>
  </si>
  <si>
    <t>2%</t>
  </si>
  <si>
    <t>国信证券股份有限公司</t>
  </si>
  <si>
    <t>广州上致瑞向广告有限公司-国信证券股份有限公司</t>
  </si>
  <si>
    <t>杭州晨聚网络科技有限公司</t>
  </si>
  <si>
    <t>江苏苏宁易购电子商务有限公司</t>
  </si>
  <si>
    <t>广州上致瑞向广告有限公司-江苏苏宁易购电子商务有限公司</t>
  </si>
  <si>
    <t>属于16年余额17年消耗，无下单部分</t>
  </si>
  <si>
    <t>涉及退款</t>
  </si>
  <si>
    <t>上海英培商务咨询有限公司</t>
  </si>
  <si>
    <t>一万下错媒体，需要改单</t>
  </si>
  <si>
    <t>上海卓赞信息科技有限公司</t>
  </si>
  <si>
    <t>充值记录有误，已经订正</t>
  </si>
  <si>
    <t>深圳前海微众银行股份有限公司</t>
  </si>
  <si>
    <t>广州上致瑞向广告有限公司-深圳前海微众银行股份有限公司</t>
  </si>
  <si>
    <t>小贷产品，17年媒体返点6%</t>
  </si>
  <si>
    <t>天津艺旗互联科技有限公司</t>
  </si>
  <si>
    <t>北京智美创思广告有限公司-智美应用宝</t>
  </si>
  <si>
    <t>0%</t>
  </si>
  <si>
    <t>补充期初余额、期初未充值款项</t>
  </si>
  <si>
    <t>补充期初余额、期初未充值款项、订正充值金额</t>
  </si>
  <si>
    <t>金源</t>
  </si>
  <si>
    <t>北京联翩科技有限公司</t>
  </si>
  <si>
    <t>16年客户，期初余额</t>
  </si>
  <si>
    <t>上海诺亚易捷金融科技有限公司</t>
  </si>
  <si>
    <t>补充期初余额</t>
  </si>
  <si>
    <t>上海金银猫金融服务有限公司 </t>
  </si>
  <si>
    <t xml:space="preserve">前锦网络信息技术（上海）有限公司 </t>
  </si>
  <si>
    <t>投放媒体：天天快报</t>
  </si>
  <si>
    <t>锤子</t>
  </si>
  <si>
    <t>北京锤子数码科技有限公司</t>
  </si>
  <si>
    <t>100%</t>
  </si>
  <si>
    <t>95%</t>
  </si>
  <si>
    <t>霍尔果斯德勤信息技术有限公司</t>
  </si>
  <si>
    <t>98折</t>
  </si>
  <si>
    <t>95折</t>
  </si>
  <si>
    <t>智远中天广告（北京）有限公司</t>
  </si>
  <si>
    <t>跑超了</t>
  </si>
  <si>
    <t>霍尔果斯智媒广告有限公司-锤子</t>
  </si>
  <si>
    <t>正确媒体应为智媒-锤子</t>
  </si>
  <si>
    <t>北京金源互动广告有限公司</t>
  </si>
  <si>
    <t>北京互动科技有限公司-品众-360</t>
  </si>
  <si>
    <t>北京网利科技有限公司</t>
  </si>
  <si>
    <t>云锐</t>
  </si>
  <si>
    <t>北京云锐国际文化传媒有限公司-西瓜视频</t>
  </si>
  <si>
    <t>0.08</t>
  </si>
  <si>
    <t>安智</t>
  </si>
  <si>
    <t>霍尔果斯豆盟网络技术有限公司</t>
  </si>
  <si>
    <t>霍尔果斯豆盟网络技术有限公司-安智</t>
  </si>
  <si>
    <t>0</t>
  </si>
  <si>
    <t>北京中文在线文化传媒有限公司/霍尔果斯鸿鹭华阅文化传播有限公司</t>
  </si>
  <si>
    <t>乐视</t>
  </si>
  <si>
    <t>乐视互娱科技有限公司</t>
  </si>
  <si>
    <t>50%</t>
  </si>
  <si>
    <t>广州骏伯网络科技有限公司</t>
  </si>
  <si>
    <t>杭州狂想网络科技有限公司</t>
  </si>
  <si>
    <t>霍尔果斯智赢互动科技有限公司</t>
  </si>
  <si>
    <t>上海亚限网络科技有限公司</t>
  </si>
  <si>
    <t>60%</t>
  </si>
  <si>
    <t>北京凤凰理理它信息技术有限公司</t>
  </si>
  <si>
    <t>上海易帛网络科技有限公司-北京凤凰理理它信息技术有限公司</t>
  </si>
  <si>
    <t>咪咕视讯科技有限公司-北京凤凰理理它信息技术有限公司</t>
  </si>
  <si>
    <t>山南云拓文化传媒有限公司</t>
  </si>
  <si>
    <t>恒信贵金属有限公司</t>
  </si>
  <si>
    <t>广州上致瑞向广告有限公司-恒信贵金属有限公司</t>
  </si>
  <si>
    <t>咪咕视讯科技有限公司-恒信贵金属有限公司</t>
  </si>
  <si>
    <t>联想</t>
  </si>
  <si>
    <t>北京乐思创信科技有限公司</t>
  </si>
  <si>
    <t>狐狸金服（北京）信息科技有限公司</t>
  </si>
  <si>
    <t>北京纷享互动广告有限公司-狐狸金服（北京）信息科技有限公司</t>
  </si>
  <si>
    <t>北京起云华通科技有限公司</t>
  </si>
  <si>
    <t>北京神奇工场科技有限公司</t>
  </si>
  <si>
    <t>北京纷享互动广告有限公司-北京京东世纪贸易有限公司</t>
  </si>
  <si>
    <t>北京纷享互动广告有限公司-北京京东世纪贸易有限公司（段）</t>
  </si>
  <si>
    <t>北京起云华通科技有限公司-联想</t>
  </si>
  <si>
    <t>湖南惠农科技有限公司</t>
  </si>
  <si>
    <t>北京纷享互动广告有限公司-湖南惠农科技有限公司</t>
  </si>
  <si>
    <t>浙江天猫技术有限公司</t>
  </si>
  <si>
    <t>78.4%</t>
  </si>
  <si>
    <t>武汉迪风科技有限公司</t>
  </si>
  <si>
    <t>武汉极简科技有限公司</t>
  </si>
  <si>
    <t>重庆京东海嘉电子商务有限公司</t>
  </si>
  <si>
    <t>北京纷享互动广告有限公司-重庆京东海嘉电子商务有限公司</t>
  </si>
  <si>
    <t>安徽胜辉投资管理有限公司</t>
  </si>
  <si>
    <t>oppo</t>
  </si>
  <si>
    <t>霍尔果斯智媒广告有限公司-OPPO</t>
  </si>
  <si>
    <t>胜辉贷</t>
  </si>
  <si>
    <t>AVIS租车XXL</t>
  </si>
  <si>
    <t>北京搭伙科技有限责任公司</t>
  </si>
  <si>
    <t>搭伙保险</t>
  </si>
  <si>
    <t>北京冠城瑞富信息技术有限公司</t>
  </si>
  <si>
    <t>海投汇</t>
  </si>
  <si>
    <t>niceXXL</t>
  </si>
  <si>
    <t>HBW</t>
  </si>
  <si>
    <t>北京决策信诚科技有限公司</t>
  </si>
  <si>
    <t>我爱卡信用卡</t>
  </si>
  <si>
    <t>LCWLC</t>
  </si>
  <si>
    <t>北京无穷信息技术有限公司</t>
  </si>
  <si>
    <t>诸葛理财</t>
  </si>
  <si>
    <t>Qianzhanzy</t>
  </si>
  <si>
    <t>广发信用卡XXL</t>
  </si>
  <si>
    <t>欢乐竞拍1</t>
  </si>
  <si>
    <t>4%</t>
  </si>
  <si>
    <t>沈长颖</t>
  </si>
  <si>
    <t>广州米珂儿服装有限公司</t>
  </si>
  <si>
    <t>广州米珂儿XXL</t>
  </si>
  <si>
    <t>广州乾莱广告有限公司</t>
  </si>
  <si>
    <t>领头羊XXL</t>
  </si>
  <si>
    <t>广州市丰申网络科技有限公司</t>
  </si>
  <si>
    <t>JXJR</t>
  </si>
  <si>
    <t>13%</t>
  </si>
  <si>
    <t>简易操盘</t>
  </si>
  <si>
    <t>王志昌</t>
  </si>
  <si>
    <t>杭州古米网络科技有限公司</t>
  </si>
  <si>
    <t>优借1</t>
  </si>
  <si>
    <t>欢乐合家理财</t>
  </si>
  <si>
    <t>杭州晟宇网络科技有限公司</t>
  </si>
  <si>
    <t>立借管家</t>
  </si>
  <si>
    <t>集金期货通</t>
  </si>
  <si>
    <t>和信贷1</t>
  </si>
  <si>
    <t>商店100返5,其中2即充即返，3季度返货</t>
  </si>
  <si>
    <t>竑翀网络科技（上海）有限公司</t>
  </si>
  <si>
    <t>红小宝理财</t>
  </si>
  <si>
    <t>贝壳信用</t>
  </si>
  <si>
    <t>享换机</t>
  </si>
  <si>
    <t>100返2即充即返，100返2季度返</t>
  </si>
  <si>
    <t>曲水掌悦无限信息技术有限公司</t>
  </si>
  <si>
    <t>sy3网易严选</t>
  </si>
  <si>
    <t>商店100返4；信息流100返8</t>
  </si>
  <si>
    <t>厦门新银网络借贷信息中介服务有限公司</t>
  </si>
  <si>
    <t>口袋操盘XXL</t>
  </si>
  <si>
    <t>美好孕育XXL</t>
  </si>
  <si>
    <t>上海佰晟通信息科技有限公司</t>
  </si>
  <si>
    <t>mo9信用钱包</t>
  </si>
  <si>
    <t>立即贷</t>
  </si>
  <si>
    <t>闪电降</t>
  </si>
  <si>
    <t>商店100返5，其中即冲即返2，季度返货3</t>
  </si>
  <si>
    <t>牛呗现金贷款</t>
  </si>
  <si>
    <t>360借条XXL</t>
  </si>
  <si>
    <t>360借条</t>
  </si>
  <si>
    <t>金贝猫</t>
  </si>
  <si>
    <t>深圳市金钰互联科技有限公司</t>
  </si>
  <si>
    <t>金钰互联XXL</t>
  </si>
  <si>
    <t>深圳市南山区依薇姗服装商行</t>
  </si>
  <si>
    <t>深圳依薇姗XXL</t>
  </si>
  <si>
    <t>（旧）深圳市微网力合信息技术有限公司</t>
  </si>
  <si>
    <t>投之家</t>
  </si>
  <si>
    <t>天津微阅互动科技有限公司</t>
  </si>
  <si>
    <t>鑫隆创投</t>
  </si>
  <si>
    <t>事业部无吐点，故客户优惠政策为0</t>
  </si>
  <si>
    <t>伊犁天卓网络科技有限公司</t>
  </si>
  <si>
    <t>新一贷XXL</t>
  </si>
  <si>
    <t>易纳购科技（北京）有限公司</t>
  </si>
  <si>
    <t>豌豆公主1</t>
  </si>
  <si>
    <t>浙江楚橡信息科技股份有限公司</t>
  </si>
  <si>
    <t>E都市钱包</t>
  </si>
  <si>
    <t>智新金融信息服务（攸县）有限公司</t>
  </si>
  <si>
    <t>分期族</t>
  </si>
  <si>
    <t>100返4%</t>
  </si>
  <si>
    <t>霍尔果斯智媒广告有限公司-品众OPPO旅教工</t>
  </si>
  <si>
    <t>airbnb</t>
  </si>
  <si>
    <t>AVIS租车</t>
  </si>
  <si>
    <t>啵啵电话</t>
  </si>
  <si>
    <t>深圳市云时空科技有限公司</t>
  </si>
  <si>
    <t>深圳市云时空科技有限公司-OPPO网服</t>
  </si>
  <si>
    <t>千帆直播、趴趴</t>
  </si>
  <si>
    <t>牛玉婷</t>
  </si>
  <si>
    <t>书虫小说</t>
  </si>
  <si>
    <t>杭州沧浪健康管理有限公司</t>
  </si>
  <si>
    <t>丁香医生</t>
  </si>
  <si>
    <t>杭州校开花科技有限公司</t>
  </si>
  <si>
    <t>校开花</t>
  </si>
  <si>
    <t>孕育管家</t>
  </si>
  <si>
    <t>cpc和cpd一个账号；按无媒体返点政策填写</t>
  </si>
  <si>
    <t>快声</t>
  </si>
  <si>
    <t>简称</t>
  </si>
  <si>
    <t>整理后媒体名称</t>
  </si>
  <si>
    <t>起止时间</t>
  </si>
  <si>
    <t>求和项:媒体现金消耗</t>
  </si>
  <si>
    <t>媒体返现</t>
  </si>
  <si>
    <t>媒体返货</t>
  </si>
  <si>
    <t>求和项:应返金额</t>
  </si>
  <si>
    <t>求和项:已返金额</t>
  </si>
  <si>
    <t>求和项:未返金额</t>
  </si>
  <si>
    <t>OPPO电商金融</t>
  </si>
  <si>
    <t>2017.1.1-2017.12.31</t>
  </si>
  <si>
    <t>OPPO旅教工</t>
  </si>
  <si>
    <t>OPPO网服</t>
  </si>
  <si>
    <t>vivo-金融电商</t>
  </si>
  <si>
    <t>2017.9.1-2017.12.31</t>
  </si>
  <si>
    <t>2017.1.1-2017.8.31</t>
  </si>
  <si>
    <t>vivo-旅教工</t>
  </si>
  <si>
    <t>2017.10.1-2017.12.31</t>
  </si>
  <si>
    <t>vivo-网服</t>
  </si>
  <si>
    <t>安智-飞讯和沃</t>
  </si>
  <si>
    <t>安智-快手</t>
  </si>
  <si>
    <t>础瑜-百度</t>
  </si>
  <si>
    <t>游漾互娱科技（北京）有限公司</t>
  </si>
  <si>
    <t>品众-360</t>
  </si>
  <si>
    <t>2017.9.5-2017.12.31</t>
  </si>
  <si>
    <t>山南云拓</t>
  </si>
  <si>
    <t>小米-电商</t>
  </si>
  <si>
    <t>小米-金融</t>
  </si>
  <si>
    <t>小米-金融电商</t>
  </si>
  <si>
    <t>小米-网服</t>
  </si>
  <si>
    <t>小米网服-思行合一</t>
  </si>
  <si>
    <t>伊里斯-调起</t>
  </si>
  <si>
    <t>智媒-百度</t>
  </si>
  <si>
    <t>智媒锤子</t>
  </si>
  <si>
    <t>智媒-华为</t>
  </si>
  <si>
    <t>智媒-魅族</t>
  </si>
  <si>
    <t>智美-百度</t>
  </si>
  <si>
    <t>媒体名称</t>
  </si>
  <si>
    <t>媒体返点计算基数</t>
  </si>
  <si>
    <t>返点政策</t>
  </si>
  <si>
    <t>应返金额</t>
  </si>
  <si>
    <t>已返金额</t>
  </si>
  <si>
    <t>未返金额</t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</si>
  <si>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</si>
  <si>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</si>
  <si>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b/>
        <sz val="9"/>
        <color rgb="FFFF0000"/>
        <rFont val="Arial"/>
        <family val="2"/>
      </rPr>
      <t>17</t>
    </r>
    <r>
      <rPr>
        <b/>
        <sz val="9"/>
        <color rgb="FFFF0000"/>
        <rFont val="微软雅黑"/>
        <family val="2"/>
        <charset val="134"/>
      </rPr>
      <t>年无返点，已更新媒体现金消耗</t>
    </r>
  </si>
  <si>
    <t>品专</t>
  </si>
  <si>
    <r>
      <rPr>
        <sz val="9"/>
        <color theme="1"/>
        <rFont val="微软雅黑"/>
        <family val="2"/>
        <charset val="134"/>
      </rPr>
      <t>北京汇创思拓数字科技有限公司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</si>
  <si>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</si>
  <si>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</si>
  <si>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</si>
  <si>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</si>
  <si>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网服</t>
    </r>
  </si>
  <si>
    <t>年中结算半年返点金额</t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</si>
  <si>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</si>
  <si>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t>2016.1.1-2016.12.31</t>
  </si>
  <si>
    <t>-</t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</si>
  <si>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金融</t>
    </r>
  </si>
  <si>
    <r>
      <rPr>
        <sz val="9"/>
        <color theme="1"/>
        <rFont val="微软雅黑"/>
        <family val="2"/>
        <charset val="134"/>
      </rPr>
      <t>北京品众互动网络营销技术有限公司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</si>
  <si>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  <r>
      <rPr>
        <sz val="9"/>
        <color theme="1"/>
        <rFont val="Arial"/>
        <family val="2"/>
      </rPr>
      <t>+Q4</t>
    </r>
    <r>
      <rPr>
        <sz val="9"/>
        <color theme="1"/>
        <rFont val="微软雅黑"/>
        <family val="2"/>
        <charset val="134"/>
      </rPr>
      <t>即充即返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</si>
  <si>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</si>
  <si>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</si>
  <si>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小米金融（</t>
    </r>
    <r>
      <rPr>
        <sz val="9"/>
        <color theme="1"/>
        <rFont val="Arial"/>
        <family val="2"/>
      </rPr>
      <t>KIWI</t>
    </r>
    <r>
      <rPr>
        <sz val="9"/>
        <color theme="1"/>
        <rFont val="微软雅黑"/>
        <family val="2"/>
        <charset val="134"/>
      </rPr>
      <t>）</t>
    </r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</si>
  <si>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金融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</si>
  <si>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电商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</si>
  <si>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</si>
  <si>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小米电商</t>
    </r>
  </si>
  <si>
    <r>
      <rPr>
        <sz val="9"/>
        <color theme="1"/>
        <rFont val="微软雅黑"/>
        <family val="2"/>
        <charset val="134"/>
      </rPr>
      <t>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</si>
  <si>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t>2017.5.15-2017.9.4</t>
  </si>
  <si>
    <r>
      <rPr>
        <sz val="9"/>
        <color theme="1"/>
        <rFont val="微软雅黑"/>
        <family val="2"/>
        <charset val="134"/>
      </rPr>
      <t>【新】北京鹏泰互动广告有限公司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</si>
  <si>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r>
      <rPr>
        <sz val="9"/>
        <color theme="1"/>
        <rFont val="微软雅黑"/>
        <family val="2"/>
        <charset val="134"/>
      </rPr>
      <t>媒体账户消耗</t>
    </r>
    <r>
      <rPr>
        <sz val="9"/>
        <color theme="1"/>
        <rFont val="Arial"/>
        <family val="2"/>
      </rPr>
      <t>21848958.98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</si>
  <si>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微软雅黑"/>
        <family val="2"/>
        <charset val="134"/>
      </rPr>
      <t>客户</t>
    </r>
    <r>
      <rPr>
        <sz val="9"/>
        <color theme="1"/>
        <rFont val="Arial"/>
        <family val="2"/>
      </rPr>
      <t>OA</t>
    </r>
    <r>
      <rPr>
        <sz val="9"/>
        <color theme="1"/>
        <rFont val="微软雅黑"/>
        <family val="2"/>
        <charset val="134"/>
      </rPr>
      <t>下单金额</t>
    </r>
    <r>
      <rPr>
        <sz val="9"/>
        <color theme="1"/>
        <rFont val="Arial"/>
        <family val="2"/>
      </rPr>
      <t>3044000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</si>
  <si>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网服</t>
    </r>
  </si>
  <si>
    <r>
      <rPr>
        <sz val="9"/>
        <color theme="1"/>
        <rFont val="Arial"/>
        <family val="2"/>
      </rPr>
      <t>16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12</t>
    </r>
    <r>
      <rPr>
        <sz val="9"/>
        <color theme="1"/>
        <rFont val="微软雅黑"/>
        <family val="2"/>
        <charset val="134"/>
      </rPr>
      <t>月</t>
    </r>
    <r>
      <rPr>
        <sz val="9"/>
        <color theme="1"/>
        <rFont val="Arial"/>
        <family val="2"/>
      </rPr>
      <t>+17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1-11</t>
    </r>
    <r>
      <rPr>
        <sz val="9"/>
        <color theme="1"/>
        <rFont val="微软雅黑"/>
        <family val="2"/>
        <charset val="134"/>
      </rPr>
      <t>月返货</t>
    </r>
  </si>
  <si>
    <t>16年Q4返货5790132.907+未返金额=复核补差金额</t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</si>
  <si>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</si>
  <si>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旅教工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</si>
  <si>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</si>
  <si>
    <t>2017.9.1-2017.9.30</t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</si>
  <si>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  <r>
      <rPr>
        <sz val="9"/>
        <color theme="1"/>
        <rFont val="Arial"/>
        <family val="2"/>
      </rPr>
      <t>--Q4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</si>
  <si>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旅教工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</si>
  <si>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</si>
  <si>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</si>
  <si>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</si>
  <si>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金融电商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</si>
  <si>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小米网服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思行合一</t>
    </r>
  </si>
  <si>
    <r>
      <rPr>
        <sz val="9"/>
        <color theme="1"/>
        <rFont val="微软雅黑"/>
        <family val="2"/>
        <charset val="134"/>
      </rPr>
      <t>智美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</si>
  <si>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</si>
  <si>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础瑜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</si>
  <si>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伊里斯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调起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</si>
  <si>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飞讯和沃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</si>
  <si>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应用宝</t>
    </r>
    <r>
      <rPr>
        <sz val="9"/>
        <color theme="1"/>
        <rFont val="Arial"/>
        <family val="2"/>
      </rPr>
      <t>2018</t>
    </r>
  </si>
  <si>
    <r>
      <rPr>
        <sz val="9"/>
        <color theme="1"/>
        <rFont val="微软雅黑"/>
        <family val="2"/>
        <charset val="134"/>
      </rPr>
      <t>小贷产品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前海微众，</t>
    </r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年媒体返点</t>
    </r>
    <r>
      <rPr>
        <sz val="9"/>
        <color theme="1"/>
        <rFont val="Arial"/>
        <family val="2"/>
      </rPr>
      <t>6%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</si>
  <si>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智美应用宝</t>
    </r>
  </si>
  <si>
    <r>
      <rPr>
        <sz val="9"/>
        <color theme="1"/>
        <rFont val="微软雅黑"/>
        <family val="2"/>
        <charset val="134"/>
      </rPr>
      <t>品众</t>
    </r>
    <r>
      <rPr>
        <sz val="9"/>
        <color theme="1"/>
        <rFont val="Arial"/>
        <family val="2"/>
      </rPr>
      <t>-360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</si>
  <si>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</si>
  <si>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t>返货抵扣付款，故均摊至媒体现金消耗中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</si>
  <si>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电商金融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</si>
  <si>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-OPPO</t>
    </r>
  </si>
  <si>
    <t>无返点政策，智媒承担客户吐点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</si>
  <si>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</si>
  <si>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品众</t>
    </r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</si>
  <si>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</si>
  <si>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金源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深圳市云时空科技有限公司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</si>
  <si>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实际媒体应为金源互动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云时空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网服，金源承担客户吐点，故媒体现金扣除客户优惠政策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</si>
  <si>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电商金融期初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</si>
  <si>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网服期初</t>
    </r>
  </si>
  <si>
    <t>新增一行，白名单客户：盛成+沪江cpd返点2个点</t>
  </si>
  <si>
    <t>16年12月+17年Q1返货</t>
  </si>
  <si>
    <t>媒体返点计算基数已修改</t>
  </si>
  <si>
    <t>17年Q1返货</t>
  </si>
  <si>
    <t>返点已做修改，白名单客户：盛成cpc返点4%</t>
  </si>
  <si>
    <t>魅族后台已被注销，无法提供原数据</t>
  </si>
  <si>
    <t>项目</t>
  </si>
  <si>
    <t>名称</t>
  </si>
  <si>
    <t>金额</t>
  </si>
  <si>
    <t>代理商后台</t>
  </si>
  <si>
    <t>抛出金源签约客户及品专金额</t>
  </si>
  <si>
    <t>在2基础上刨出返点</t>
  </si>
  <si>
    <t>品专实际消费</t>
  </si>
  <si>
    <t>oa名称</t>
  </si>
  <si>
    <t>客户金额</t>
  </si>
  <si>
    <t>媒体金额</t>
  </si>
  <si>
    <t>投放开始日期</t>
  </si>
  <si>
    <t>投放截止日期</t>
  </si>
  <si>
    <t>下单主体</t>
  </si>
  <si>
    <t>天津慧佳元田广告传媒有限公司</t>
  </si>
  <si>
    <t>智媒</t>
  </si>
  <si>
    <t>凡普互金有限公司</t>
  </si>
  <si>
    <t>行标签</t>
  </si>
  <si>
    <t>分发d</t>
  </si>
  <si>
    <t>分发t</t>
  </si>
  <si>
    <t>搜索</t>
  </si>
  <si>
    <t>原生商业推广-竞价</t>
  </si>
  <si>
    <t>(空白)</t>
  </si>
  <si>
    <t>百手客户政策</t>
  </si>
  <si>
    <t>媒体</t>
  </si>
  <si>
    <t>审计金额</t>
  </si>
  <si>
    <t>搜索总</t>
  </si>
  <si>
    <t>原生总</t>
  </si>
  <si>
    <t>96折</t>
  </si>
  <si>
    <t xml:space="preserve">
华为2017年11月以前投放均在客户账户中，11月1日起成立了独立代理后台，客户账户消耗完毕后方可转入代理后台，故默认1-10月消耗以充值金额为准，请知悉
安彼迎网络（北京）有限公司：1-10月充值40万，11-12月充值95万，共计135万，消耗共计1238861.44元（客户后台消耗：40万，代理后台消耗838861.44元）
安吉汽车租赁有限公司 ：1-10月充值2万，11-12月充值26000元，共计46000万，消耗共计45960.35元（客户后台消耗：2万，代理后台消耗25960.5元） 
成都乐动信息技术有限公司：   1-10月充值50万，11-12月充值40801.8元，共计540801.8元，消耗共计619837.69元（客户后台消耗：50万，代理后台消耗40801.8元，期初余额79035.89元）  
前锦网络信息技术（上海）有限公司：    1-10月充值135万，11-12月充值290000元，共计164万，消耗共计1584166元（客户后台消耗：135万，代理后台消耗234166元）  
珠海市轻点文化传播有限公司：11-12月充值70000元，消耗共计34477元
</t>
  </si>
  <si>
    <t>工单号</t>
  </si>
  <si>
    <t>订单状态</t>
  </si>
  <si>
    <t>客户全称</t>
  </si>
  <si>
    <t>投放产品</t>
  </si>
  <si>
    <t>所属行业</t>
  </si>
  <si>
    <t>发起人</t>
  </si>
  <si>
    <t>所属部门</t>
  </si>
  <si>
    <t>所属销售</t>
  </si>
  <si>
    <t>投放金额</t>
  </si>
  <si>
    <t>执行期间(起)</t>
  </si>
  <si>
    <t>执行期间(止)</t>
  </si>
  <si>
    <t>客户回款日期</t>
  </si>
  <si>
    <t>付款状态</t>
  </si>
  <si>
    <t>付款形式</t>
  </si>
  <si>
    <t>客户后返金额</t>
  </si>
  <si>
    <t>返还周期</t>
  </si>
  <si>
    <t>回款状态</t>
  </si>
  <si>
    <t>未回款金额</t>
  </si>
  <si>
    <t>媒体折扣</t>
  </si>
  <si>
    <t>媒体付款方式</t>
  </si>
  <si>
    <t>媒体付款时间</t>
  </si>
  <si>
    <t>RE前利润</t>
  </si>
  <si>
    <t>RE前利润率</t>
  </si>
  <si>
    <t>DC_20170830A0520001H</t>
  </si>
  <si>
    <t>完成</t>
  </si>
  <si>
    <t>自营餐厅</t>
  </si>
  <si>
    <t>全行业</t>
  </si>
  <si>
    <t>戴平（销售）</t>
  </si>
  <si>
    <t>2017-01-11</t>
  </si>
  <si>
    <t>消耗完毕</t>
  </si>
  <si>
    <t>2017-02-03</t>
  </si>
  <si>
    <t>待付款</t>
  </si>
  <si>
    <t>不需要垫付</t>
  </si>
  <si>
    <t>已完成</t>
  </si>
  <si>
    <t>无折扣</t>
  </si>
  <si>
    <t>账期付款</t>
  </si>
  <si>
    <t>2017-01-05</t>
  </si>
  <si>
    <t>DC_20170830A0520001G</t>
  </si>
  <si>
    <t>2017-01-03</t>
  </si>
  <si>
    <t>DC_20170830A0520001F</t>
  </si>
  <si>
    <t>DC_20170830A0520001E</t>
  </si>
  <si>
    <t>2017-01-02</t>
  </si>
  <si>
    <t>DC_20170830A0520001D</t>
  </si>
  <si>
    <t>DC_20170830A0520001C</t>
  </si>
  <si>
    <t>DC_20170830A0520001B</t>
  </si>
  <si>
    <t>2017-01-06</t>
  </si>
  <si>
    <t>DC_20170830A0520001A</t>
  </si>
  <si>
    <t>DC_20170830A05200019</t>
  </si>
  <si>
    <t>DC_20170830A05200018</t>
  </si>
  <si>
    <t>DC_20170830A05200017</t>
  </si>
  <si>
    <t>2017-01-04</t>
  </si>
  <si>
    <t>DC_20170830A05200016</t>
  </si>
  <si>
    <t>DC_20170830A05200015</t>
  </si>
  <si>
    <t>DC_20170830A05200014</t>
  </si>
  <si>
    <t>DC_20170830A05200013</t>
  </si>
  <si>
    <t>DC_20170830A05200012</t>
  </si>
  <si>
    <t>DC_20170830A05200011</t>
  </si>
  <si>
    <t>DC_20170830A05200010</t>
  </si>
  <si>
    <t>DC_20170830A0520000Z</t>
  </si>
  <si>
    <t>DC_20170830A0520000Y</t>
  </si>
  <si>
    <t>2017-02-05</t>
  </si>
  <si>
    <t>DC_20170830A0520000X</t>
  </si>
  <si>
    <t>DC_20170830A0520000V</t>
  </si>
  <si>
    <t>DC_20170830A0520000U</t>
  </si>
  <si>
    <t>DC_20170830A0520000T</t>
  </si>
  <si>
    <t>DC_20170830A0520000S</t>
  </si>
  <si>
    <t>2017-01-24</t>
  </si>
  <si>
    <t>DC_20170830A0520000R</t>
  </si>
  <si>
    <t>DC_20170830A0520000Q</t>
  </si>
  <si>
    <t>DC_20170830A0520000P</t>
  </si>
  <si>
    <t>DC_20170830A0520000N</t>
  </si>
  <si>
    <t>DC_20170830A0520000M</t>
  </si>
  <si>
    <t>2017-01-13</t>
  </si>
  <si>
    <t>DC_20170830A0520000L</t>
  </si>
  <si>
    <t>DC_20170830A0520000K</t>
  </si>
  <si>
    <t>DC_20170830A0520000J</t>
  </si>
  <si>
    <t>2017-01-01</t>
  </si>
  <si>
    <t>DC_20170830A0520000H</t>
  </si>
  <si>
    <t>DC_20170830A0520000G</t>
  </si>
  <si>
    <t>2017-01-25</t>
  </si>
  <si>
    <t>DC_20170830A0520000F</t>
  </si>
  <si>
    <t>DC_20170830A0520000E</t>
  </si>
  <si>
    <t>DC_20170830A0520000D</t>
  </si>
  <si>
    <t>DC_20170830A0520000C</t>
  </si>
  <si>
    <t>DC_20170830A0520000B</t>
  </si>
  <si>
    <t>DC_20170830A0520000A</t>
  </si>
  <si>
    <t>DC_20170830A05200009</t>
  </si>
  <si>
    <t>DC_20170830A05200008</t>
  </si>
  <si>
    <t>DC_20170830A05200007</t>
  </si>
  <si>
    <t>DC_20170830A05200006</t>
  </si>
  <si>
    <t>DC_20170830A05200005</t>
  </si>
  <si>
    <t>DC_20170830A05200004</t>
  </si>
  <si>
    <t>DC_20170830A05200003</t>
  </si>
  <si>
    <t>DC_20170830A05200002</t>
  </si>
  <si>
    <t>2017-02-15</t>
  </si>
  <si>
    <t>DC_20170830A05000005</t>
  </si>
  <si>
    <t>2017-10-24</t>
  </si>
  <si>
    <t>2017-10-23</t>
  </si>
  <si>
    <t>DC_20170830A09000003</t>
  </si>
  <si>
    <t>2017-06-12</t>
  </si>
  <si>
    <t>2017-06-30</t>
  </si>
  <si>
    <t>2017-06-07</t>
  </si>
  <si>
    <t>2017-06-02</t>
  </si>
  <si>
    <t>DC_20170830A09000002</t>
  </si>
  <si>
    <t>DC_20170830A09000001</t>
  </si>
  <si>
    <t>DC_20170830A05200001</t>
  </si>
  <si>
    <t>DC_20170830A05000004</t>
  </si>
  <si>
    <t>2017-07-25</t>
  </si>
  <si>
    <t>2017-07-30</t>
  </si>
  <si>
    <t>2017-07-20</t>
  </si>
  <si>
    <t>2017-07-21</t>
  </si>
  <si>
    <t>DC_20170830A05000003</t>
  </si>
  <si>
    <t>2017-05-21</t>
  </si>
  <si>
    <t>2017-05-31</t>
  </si>
  <si>
    <t>2017-05-11</t>
  </si>
  <si>
    <t>DC_20170830A05000002</t>
  </si>
  <si>
    <t>2017-03-21</t>
  </si>
  <si>
    <t>2017-03-31</t>
  </si>
  <si>
    <t>2017-03-28</t>
  </si>
  <si>
    <t>DC_20170830A05000001</t>
  </si>
  <si>
    <t>2016-12-29</t>
  </si>
  <si>
    <t>2017-01-17</t>
  </si>
  <si>
    <t>DC_20170830A05100002</t>
  </si>
  <si>
    <t>2017-05-17</t>
  </si>
  <si>
    <t>2017-09-30</t>
  </si>
  <si>
    <t>DC_20170830A05100001</t>
  </si>
  <si>
    <t>2017-01-16</t>
  </si>
  <si>
    <t>2017-01-26</t>
  </si>
  <si>
    <t>Q1消耗总金额</t>
  </si>
  <si>
    <t>cpc</t>
  </si>
  <si>
    <t>返点比例</t>
  </si>
  <si>
    <t>返点金额</t>
  </si>
  <si>
    <t>北京萌小猪网络科技有限公司</t>
  </si>
  <si>
    <t>北京天巡思凯科技有限公司</t>
  </si>
  <si>
    <t>北京屹品文惠科技有限公司（心上）</t>
  </si>
  <si>
    <t>广东侨外出国人员服务中心有限公司</t>
  </si>
  <si>
    <t>上海汉涛信息咨询有限公司</t>
  </si>
  <si>
    <t>希思黎（上海）化妆品商贸有限公司</t>
  </si>
  <si>
    <t>总计</t>
  </si>
  <si>
    <t>网服2017年返货</t>
  </si>
  <si>
    <t>效果广告全年返货复核补差明细表</t>
  </si>
  <si>
    <t>日期：2018年01月08日</t>
  </si>
  <si>
    <t>北京多彩互动广告有限公司</t>
  </si>
  <si>
    <t>业务类别</t>
  </si>
  <si>
    <t>KPI</t>
  </si>
  <si>
    <t>实际消耗金额</t>
  </si>
  <si>
    <t>返货消耗金额</t>
  </si>
  <si>
    <t>所属行业实际消耗金额</t>
  </si>
  <si>
    <t>新产品返货金额</t>
  </si>
  <si>
    <t>老产品返货金额</t>
  </si>
  <si>
    <t>已返货金额</t>
  </si>
  <si>
    <t>实际完成率</t>
  </si>
  <si>
    <t>实际返货比例</t>
  </si>
  <si>
    <t>实际返货金额</t>
  </si>
  <si>
    <t>其他</t>
  </si>
  <si>
    <t>复核补差结果</t>
  </si>
  <si>
    <t>浏览器信息流</t>
  </si>
  <si>
    <t>商店CPD</t>
  </si>
  <si>
    <t>商店CPT</t>
  </si>
  <si>
    <t>合计</t>
  </si>
  <si>
    <t>2016年金源返货均摊</t>
  </si>
  <si>
    <t>旅教工16年返货均摊</t>
  </si>
  <si>
    <t>CPD返货金额</t>
  </si>
  <si>
    <t>账户名</t>
  </si>
  <si>
    <t>应用</t>
  </si>
  <si>
    <t>CPD参与返货金额</t>
  </si>
  <si>
    <t>JYHD_300242</t>
  </si>
  <si>
    <t>金源大账户</t>
  </si>
  <si>
    <t>JYHD_300243</t>
  </si>
  <si>
    <t>JYHD_300258</t>
  </si>
  <si>
    <t>凤凰新闻</t>
  </si>
  <si>
    <t>JYHD_300249</t>
  </si>
  <si>
    <t>JYHD_300260</t>
  </si>
  <si>
    <t>友缘系(5)</t>
  </si>
  <si>
    <t>JYHD_300255</t>
  </si>
  <si>
    <t>亨利嘉业</t>
  </si>
  <si>
    <t>JYHD_300268</t>
  </si>
  <si>
    <t>优联达</t>
  </si>
  <si>
    <t>mokiwi_107</t>
  </si>
  <si>
    <t>人人贷</t>
  </si>
  <si>
    <t>JDVIVOCPD</t>
  </si>
  <si>
    <t>京东商城</t>
  </si>
  <si>
    <t>Jingdongjinrong</t>
  </si>
  <si>
    <t>京东金融</t>
  </si>
  <si>
    <t>adconcepts_37</t>
  </si>
  <si>
    <t>沪江系</t>
  </si>
  <si>
    <t>CPT返货金额</t>
  </si>
  <si>
    <t>抵扣CPT未支付款项</t>
  </si>
  <si>
    <t>信息流返货金额</t>
  </si>
  <si>
    <t>返至账户 JYHD_300242</t>
  </si>
  <si>
    <t>2017年旅教工消耗</t>
  </si>
  <si>
    <t>2017年电商金融消耗</t>
  </si>
  <si>
    <t>快手-安智市场-飞讯和沃</t>
  </si>
  <si>
    <t>2017-03-01</t>
  </si>
  <si>
    <t>2017-01-23</t>
  </si>
  <si>
    <t>美团团购</t>
  </si>
  <si>
    <t>2017-12-01</t>
  </si>
  <si>
    <t>2017-12-31</t>
  </si>
  <si>
    <t>2017-11-01</t>
  </si>
  <si>
    <t>2017-11-30</t>
  </si>
  <si>
    <t>2017-10-01</t>
  </si>
  <si>
    <t>2017-10-31</t>
  </si>
  <si>
    <t>2017-07-01</t>
  </si>
  <si>
    <t>2017-07-31</t>
  </si>
  <si>
    <t>2017-06-01</t>
  </si>
  <si>
    <t>2017-05-01</t>
  </si>
  <si>
    <t>2017-04-01</t>
  </si>
  <si>
    <t>2017-04-30</t>
  </si>
  <si>
    <t>2017-03-20</t>
  </si>
  <si>
    <t>2017-02-21</t>
  </si>
  <si>
    <t>2017-02-28</t>
  </si>
  <si>
    <t>2017-09-01</t>
  </si>
  <si>
    <t>2017-08-01</t>
  </si>
  <si>
    <t>2017-08-31</t>
  </si>
  <si>
    <t>搜狐新闻</t>
  </si>
  <si>
    <t>2017-07-28</t>
  </si>
  <si>
    <t>紫博蓝</t>
  </si>
  <si>
    <t>腾讯</t>
  </si>
  <si>
    <t>总消耗</t>
  </si>
  <si>
    <t>现金消耗</t>
  </si>
  <si>
    <t>电商客户</t>
  </si>
  <si>
    <t>金融</t>
  </si>
  <si>
    <t>金融客户</t>
  </si>
  <si>
    <t>网服二代</t>
  </si>
  <si>
    <t>网服客户</t>
  </si>
  <si>
    <t>南京天文爱好者科技有限公司</t>
    <phoneticPr fontId="29" type="noConversion"/>
  </si>
  <si>
    <t>霍尔果斯摩柏信息科技有限公司-三星</t>
    <phoneticPr fontId="29" type="noConversion"/>
  </si>
  <si>
    <t>金源六部</t>
    <phoneticPr fontId="29" type="noConversion"/>
  </si>
  <si>
    <t>曲文龙</t>
    <phoneticPr fontId="29" type="noConversion"/>
  </si>
  <si>
    <t>高佳童</t>
  </si>
  <si>
    <t>返货</t>
    <phoneticPr fontId="29" type="noConversion"/>
  </si>
  <si>
    <t>金源广告</t>
    <phoneticPr fontId="29" type="noConversion"/>
  </si>
  <si>
    <t>金源广告-广东康爱多连锁药店有限公司</t>
    <phoneticPr fontId="29" type="noConversion"/>
  </si>
  <si>
    <t>深圳市微网力合信息技术有限公司</t>
    <phoneticPr fontId="29" type="noConversion"/>
  </si>
  <si>
    <t>小微时贷、贸金所、新易贷微贷款、借乐花</t>
    <phoneticPr fontId="29" type="noConversion"/>
  </si>
  <si>
    <t>借乐花</t>
    <phoneticPr fontId="29" type="noConversion"/>
  </si>
  <si>
    <t>返货</t>
    <phoneticPr fontId="29" type="noConversion"/>
  </si>
  <si>
    <t>北京华品博睿网络技术有限公司</t>
    <phoneticPr fontId="29" type="noConversion"/>
  </si>
  <si>
    <t>北京新氧科技有限公司</t>
  </si>
  <si>
    <t>无</t>
    <phoneticPr fontId="29" type="noConversion"/>
  </si>
  <si>
    <t>杭州火球科技有限公司</t>
  </si>
  <si>
    <t>玫瑰视界（北京）网络科技有限公司</t>
  </si>
  <si>
    <t>浙江齐聚科技有限公司-可乐直播</t>
  </si>
  <si>
    <t>金源广告</t>
    <phoneticPr fontId="29" type="noConversion"/>
  </si>
  <si>
    <r>
      <rPr>
        <sz val="9"/>
        <rFont val="微软雅黑"/>
        <family val="2"/>
        <charset val="134"/>
      </rPr>
      <t>广州上致瑞向广告有限公司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北京悟空出行科技有限公司</t>
    </r>
  </si>
  <si>
    <r>
      <rPr>
        <sz val="9"/>
        <rFont val="微软雅黑"/>
        <family val="2"/>
        <charset val="134"/>
      </rPr>
      <t>深圳英派科特广告传媒有限公司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旅教工</t>
    </r>
  </si>
  <si>
    <t>EDC004-悟空出行-分发</t>
  </si>
  <si>
    <t>CPD</t>
    <phoneticPr fontId="29" type="noConversion"/>
  </si>
  <si>
    <t>返货</t>
    <phoneticPr fontId="29" type="noConversion"/>
  </si>
  <si>
    <t>无</t>
    <phoneticPr fontId="29" type="noConversion"/>
  </si>
  <si>
    <t>财务核对后改正</t>
    <phoneticPr fontId="29" type="noConversion"/>
  </si>
  <si>
    <t>虚拟金73.6</t>
  </si>
  <si>
    <t>筑欣网络技术（北京）有限公司</t>
    <phoneticPr fontId="29" type="noConversion"/>
  </si>
  <si>
    <t>霍尔果斯多彩</t>
  </si>
  <si>
    <t>后台bug跑超</t>
  </si>
  <si>
    <t>无</t>
    <phoneticPr fontId="29" type="noConversion"/>
  </si>
  <si>
    <t>带余额转入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</si>
</sst>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_);[Red]\(#,##0.00\)"/>
    <numFmt numFmtId="177" formatCode="0.0%"/>
    <numFmt numFmtId="178" formatCode="#,##0.00_ "/>
    <numFmt numFmtId="179" formatCode="_ * #,##0_ ;_ * \-#,##0_ ;_ * &quot;-&quot;??_ ;_ @_ "/>
    <numFmt numFmtId="180" formatCode="#,##0.00_ ;[Red]\-#,##0.00\ "/>
  </numFmts>
  <fonts count="30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color theme="1"/>
      <name val="Microsoft YaHei UI"/>
      <family val="2"/>
      <charset val="134"/>
    </font>
    <font>
      <sz val="8"/>
      <color rgb="FF00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color theme="1"/>
      <name val="宋体"/>
      <family val="3"/>
      <charset val="134"/>
      <scheme val="minor"/>
    </font>
    <font>
      <b/>
      <sz val="8"/>
      <color indexed="9"/>
      <name val="Arial"/>
      <family val="2"/>
    </font>
    <font>
      <sz val="8"/>
      <name val="Arial"/>
      <family val="2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sz val="8"/>
      <color rgb="FFFF0000"/>
      <name val="宋体"/>
      <family val="3"/>
      <charset val="134"/>
      <scheme val="minor"/>
    </font>
    <font>
      <b/>
      <sz val="9"/>
      <color rgb="FFFF0000"/>
      <name val="Arial"/>
      <family val="2"/>
    </font>
    <font>
      <sz val="8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8"/>
      <name val="微软雅黑"/>
      <family val="2"/>
      <charset val="134"/>
    </font>
    <font>
      <sz val="11"/>
      <color indexed="8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89013336588644"/>
        <bgColor theme="4" tint="0.7998901333658864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8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</cellStyleXfs>
  <cellXfs count="25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/>
    <xf numFmtId="4" fontId="4" fillId="0" borderId="1" xfId="0" applyNumberFormat="1" applyFont="1" applyBorder="1" applyAlignment="1">
      <alignment horizontal="right" vertical="center"/>
    </xf>
    <xf numFmtId="4" fontId="1" fillId="0" borderId="0" xfId="0" applyNumberFormat="1" applyFont="1" applyAlignment="1"/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/>
    <xf numFmtId="179" fontId="1" fillId="0" borderId="5" xfId="1" applyNumberFormat="1" applyFont="1" applyBorder="1" applyAlignment="1">
      <alignment vertical="center"/>
    </xf>
    <xf numFmtId="43" fontId="1" fillId="0" borderId="5" xfId="1" applyFont="1" applyBorder="1" applyAlignment="1"/>
    <xf numFmtId="43" fontId="5" fillId="0" borderId="5" xfId="1" applyFont="1" applyBorder="1" applyAlignment="1"/>
    <xf numFmtId="0" fontId="7" fillId="3" borderId="5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wrapText="1"/>
    </xf>
    <xf numFmtId="0" fontId="7" fillId="0" borderId="5" xfId="0" applyFont="1" applyFill="1" applyBorder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/>
    </xf>
    <xf numFmtId="43" fontId="8" fillId="0" borderId="0" xfId="1" applyFont="1" applyFill="1" applyBorder="1" applyAlignment="1">
      <alignment horizontal="right" wrapText="1"/>
    </xf>
    <xf numFmtId="9" fontId="8" fillId="0" borderId="0" xfId="0" applyNumberFormat="1" applyFont="1" applyFill="1" applyBorder="1" applyAlignment="1">
      <alignment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176" fontId="10" fillId="0" borderId="5" xfId="0" applyNumberFormat="1" applyFont="1" applyBorder="1" applyAlignment="1">
      <alignment horizontal="center" vertical="center"/>
    </xf>
    <xf numFmtId="10" fontId="1" fillId="0" borderId="5" xfId="2" applyNumberFormat="1" applyFont="1" applyBorder="1" applyAlignment="1">
      <alignment horizontal="center"/>
    </xf>
    <xf numFmtId="10" fontId="1" fillId="0" borderId="5" xfId="2" applyNumberFormat="1" applyFont="1" applyBorder="1" applyAlignment="1">
      <alignment horizontal="center" vertical="center"/>
    </xf>
    <xf numFmtId="43" fontId="5" fillId="0" borderId="5" xfId="1" applyFont="1" applyFill="1" applyBorder="1" applyAlignment="1"/>
    <xf numFmtId="0" fontId="6" fillId="4" borderId="0" xfId="0" applyFont="1" applyFill="1" applyAlignment="1">
      <alignment horizontal="center" vertical="center"/>
    </xf>
    <xf numFmtId="43" fontId="1" fillId="0" borderId="0" xfId="1" applyFont="1" applyAlignment="1"/>
    <xf numFmtId="43" fontId="1" fillId="0" borderId="0" xfId="1" applyFont="1">
      <alignment vertical="center"/>
    </xf>
    <xf numFmtId="9" fontId="1" fillId="0" borderId="0" xfId="0" applyNumberFormat="1" applyFont="1" applyAlignment="1"/>
    <xf numFmtId="0" fontId="1" fillId="4" borderId="0" xfId="0" applyFont="1" applyFill="1" applyAlignment="1"/>
    <xf numFmtId="43" fontId="1" fillId="4" borderId="0" xfId="1" applyFont="1" applyFill="1" applyAlignment="1"/>
    <xf numFmtId="9" fontId="1" fillId="4" borderId="0" xfId="0" applyNumberFormat="1" applyFont="1" applyFill="1" applyAlignment="1"/>
    <xf numFmtId="0" fontId="5" fillId="5" borderId="0" xfId="0" applyFont="1" applyFill="1" applyAlignment="1"/>
    <xf numFmtId="43" fontId="5" fillId="5" borderId="0" xfId="1" applyFont="1" applyFill="1" applyAlignment="1"/>
    <xf numFmtId="0" fontId="11" fillId="0" borderId="0" xfId="0" applyFo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43" fontId="1" fillId="0" borderId="5" xfId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3" fontId="5" fillId="0" borderId="5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3" fontId="1" fillId="0" borderId="0" xfId="1" applyFont="1" applyBorder="1" applyAlignment="1">
      <alignment horizontal="left" vertical="center"/>
    </xf>
    <xf numFmtId="43" fontId="1" fillId="0" borderId="0" xfId="1" applyFont="1" applyBorder="1" applyAlignment="1">
      <alignment vertical="center"/>
    </xf>
    <xf numFmtId="43" fontId="5" fillId="0" borderId="5" xfId="1" applyFont="1" applyFill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43" fontId="6" fillId="6" borderId="5" xfId="1" applyFont="1" applyFill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6" fillId="0" borderId="0" xfId="0" applyFont="1" applyFill="1" applyAlignment="1"/>
    <xf numFmtId="0" fontId="18" fillId="0" borderId="0" xfId="0" applyFont="1" applyFill="1">
      <alignment vertical="center"/>
    </xf>
    <xf numFmtId="0" fontId="19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right" vertical="center"/>
    </xf>
    <xf numFmtId="0" fontId="6" fillId="0" borderId="5" xfId="0" applyFont="1" applyFill="1" applyBorder="1" applyAlignment="1">
      <alignment horizontal="center" vertical="center"/>
    </xf>
    <xf numFmtId="43" fontId="6" fillId="0" borderId="5" xfId="1" applyFont="1" applyFill="1" applyBorder="1" applyAlignment="1">
      <alignment horizontal="center" vertical="center"/>
    </xf>
    <xf numFmtId="10" fontId="6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center" vertical="center"/>
    </xf>
    <xf numFmtId="10" fontId="17" fillId="0" borderId="5" xfId="2" applyNumberFormat="1" applyFont="1" applyFill="1" applyBorder="1" applyAlignment="1">
      <alignment horizontal="center" vertical="center"/>
    </xf>
    <xf numFmtId="43" fontId="18" fillId="0" borderId="5" xfId="1" applyFont="1" applyFill="1" applyBorder="1" applyAlignment="1">
      <alignment horizontal="center" vertical="center"/>
    </xf>
    <xf numFmtId="10" fontId="18" fillId="0" borderId="5" xfId="2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center" vertical="center"/>
    </xf>
    <xf numFmtId="10" fontId="16" fillId="0" borderId="5" xfId="2" applyNumberFormat="1" applyFont="1" applyFill="1" applyBorder="1" applyAlignment="1">
      <alignment horizontal="center" vertical="center"/>
    </xf>
    <xf numFmtId="43" fontId="1" fillId="0" borderId="5" xfId="1" applyFont="1" applyFill="1" applyBorder="1" applyAlignment="1">
      <alignment horizontal="center" vertical="center"/>
    </xf>
    <xf numFmtId="10" fontId="16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 vertical="center"/>
    </xf>
    <xf numFmtId="10" fontId="17" fillId="0" borderId="5" xfId="0" applyNumberFormat="1" applyFont="1" applyFill="1" applyBorder="1" applyAlignment="1">
      <alignment horizontal="center" vertical="center"/>
    </xf>
    <xf numFmtId="43" fontId="16" fillId="0" borderId="5" xfId="1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 vertical="center"/>
    </xf>
    <xf numFmtId="0" fontId="16" fillId="0" borderId="5" xfId="7" applyFont="1" applyFill="1" applyBorder="1" applyAlignment="1">
      <alignment horizontal="center" vertical="center"/>
    </xf>
    <xf numFmtId="43" fontId="1" fillId="0" borderId="5" xfId="9" applyFont="1" applyFill="1" applyBorder="1" applyAlignment="1">
      <alignment horizontal="center" vertical="center"/>
    </xf>
    <xf numFmtId="43" fontId="16" fillId="0" borderId="5" xfId="9" applyFont="1" applyFill="1" applyBorder="1" applyAlignment="1">
      <alignment horizontal="center" vertical="center"/>
    </xf>
    <xf numFmtId="10" fontId="18" fillId="0" borderId="5" xfId="3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/>
    </xf>
    <xf numFmtId="10" fontId="16" fillId="0" borderId="5" xfId="3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right" vertical="center"/>
    </xf>
    <xf numFmtId="43" fontId="6" fillId="0" borderId="5" xfId="1" applyFont="1" applyFill="1" applyBorder="1" applyAlignment="1">
      <alignment horizontal="right" vertical="center"/>
    </xf>
    <xf numFmtId="0" fontId="20" fillId="0" borderId="5" xfId="0" applyFont="1" applyFill="1" applyBorder="1" applyAlignment="1">
      <alignment horizontal="center"/>
    </xf>
    <xf numFmtId="43" fontId="18" fillId="0" borderId="5" xfId="1" applyFont="1" applyFill="1" applyBorder="1" applyAlignment="1">
      <alignment horizontal="right" vertical="center"/>
    </xf>
    <xf numFmtId="0" fontId="18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 vertical="center"/>
    </xf>
    <xf numFmtId="4" fontId="16" fillId="0" borderId="5" xfId="0" applyNumberFormat="1" applyFont="1" applyFill="1" applyBorder="1" applyAlignment="1">
      <alignment horizontal="center" vertical="center"/>
    </xf>
    <xf numFmtId="0" fontId="16" fillId="0" borderId="0" xfId="0" applyNumberFormat="1" applyFont="1" applyFill="1">
      <alignment vertical="center"/>
    </xf>
    <xf numFmtId="43" fontId="16" fillId="0" borderId="5" xfId="7" applyNumberFormat="1" applyFont="1" applyFill="1" applyBorder="1" applyAlignment="1">
      <alignment horizontal="right" vertical="center"/>
    </xf>
    <xf numFmtId="0" fontId="16" fillId="0" borderId="5" xfId="0" applyFont="1" applyFill="1" applyBorder="1" applyAlignment="1">
      <alignment horizontal="center"/>
    </xf>
    <xf numFmtId="0" fontId="16" fillId="0" borderId="5" xfId="0" applyFont="1" applyFill="1" applyBorder="1" applyAlignment="1"/>
    <xf numFmtId="0" fontId="4" fillId="0" borderId="5" xfId="0" applyFont="1" applyFill="1" applyBorder="1" applyAlignment="1">
      <alignment horizontal="center"/>
    </xf>
    <xf numFmtId="10" fontId="18" fillId="0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43" fontId="21" fillId="4" borderId="5" xfId="1" applyFont="1" applyFill="1" applyBorder="1" applyAlignment="1">
      <alignment horizontal="center" vertical="center"/>
    </xf>
    <xf numFmtId="10" fontId="21" fillId="4" borderId="5" xfId="0" applyNumberFormat="1" applyFont="1" applyFill="1" applyBorder="1" applyAlignment="1">
      <alignment horizontal="center" vertical="center"/>
    </xf>
    <xf numFmtId="43" fontId="10" fillId="4" borderId="5" xfId="1" applyFont="1" applyFill="1" applyBorder="1" applyAlignment="1">
      <alignment horizontal="center" vertical="center"/>
    </xf>
    <xf numFmtId="10" fontId="10" fillId="4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43" fontId="22" fillId="4" borderId="5" xfId="1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180" fontId="0" fillId="0" borderId="0" xfId="0" applyNumberFormat="1">
      <alignment vertical="center"/>
    </xf>
    <xf numFmtId="180" fontId="0" fillId="7" borderId="0" xfId="0" applyNumberFormat="1" applyFill="1">
      <alignment vertical="center"/>
    </xf>
    <xf numFmtId="0" fontId="23" fillId="0" borderId="0" xfId="0" applyFont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21" fillId="8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9" fontId="21" fillId="0" borderId="0" xfId="2" applyFont="1" applyBorder="1" applyAlignment="1">
      <alignment horizontal="center" vertical="center"/>
    </xf>
    <xf numFmtId="43" fontId="21" fillId="0" borderId="0" xfId="1" applyFont="1" applyBorder="1" applyAlignment="1">
      <alignment horizontal="center" vertical="center"/>
    </xf>
    <xf numFmtId="0" fontId="23" fillId="4" borderId="0" xfId="6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 vertical="center"/>
    </xf>
    <xf numFmtId="43" fontId="23" fillId="10" borderId="0" xfId="1" applyFont="1" applyFill="1" applyBorder="1" applyAlignment="1">
      <alignment horizontal="center" vertical="center"/>
    </xf>
    <xf numFmtId="9" fontId="23" fillId="4" borderId="0" xfId="2" applyFont="1" applyFill="1" applyBorder="1" applyAlignment="1">
      <alignment horizontal="center" vertical="center"/>
    </xf>
    <xf numFmtId="9" fontId="23" fillId="11" borderId="0" xfId="2" applyFont="1" applyFill="1" applyBorder="1" applyAlignment="1">
      <alignment horizontal="center" vertical="center"/>
    </xf>
    <xf numFmtId="9" fontId="21" fillId="0" borderId="0" xfId="2" applyFont="1" applyFill="1" applyBorder="1" applyAlignment="1">
      <alignment horizontal="center" vertical="center"/>
    </xf>
    <xf numFmtId="9" fontId="21" fillId="0" borderId="0" xfId="2" applyNumberFormat="1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center"/>
    </xf>
    <xf numFmtId="10" fontId="21" fillId="0" borderId="0" xfId="2" applyNumberFormat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 wrapText="1"/>
    </xf>
    <xf numFmtId="43" fontId="21" fillId="0" borderId="0" xfId="0" applyNumberFormat="1" applyFont="1" applyFill="1" applyAlignment="1">
      <alignment horizontal="center"/>
    </xf>
    <xf numFmtId="43" fontId="21" fillId="5" borderId="0" xfId="1" applyFont="1" applyFill="1" applyBorder="1" applyAlignment="1">
      <alignment horizontal="center" vertical="center"/>
    </xf>
    <xf numFmtId="43" fontId="23" fillId="12" borderId="0" xfId="1" applyFont="1" applyFill="1" applyBorder="1" applyAlignment="1">
      <alignment horizontal="center" vertical="center"/>
    </xf>
    <xf numFmtId="43" fontId="23" fillId="11" borderId="0" xfId="1" applyFont="1" applyFill="1" applyBorder="1" applyAlignment="1">
      <alignment horizontal="center" vertical="center" wrapText="1"/>
    </xf>
    <xf numFmtId="9" fontId="23" fillId="10" borderId="0" xfId="2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top"/>
    </xf>
    <xf numFmtId="43" fontId="21" fillId="0" borderId="0" xfId="1" applyFont="1" applyFill="1" applyAlignment="1">
      <alignment horizontal="center"/>
    </xf>
    <xf numFmtId="43" fontId="22" fillId="13" borderId="0" xfId="1" applyFont="1" applyFill="1" applyBorder="1" applyAlignment="1">
      <alignment horizontal="center" vertical="center"/>
    </xf>
    <xf numFmtId="10" fontId="22" fillId="13" borderId="0" xfId="2" applyNumberFormat="1" applyFont="1" applyFill="1" applyBorder="1" applyAlignment="1">
      <alignment horizontal="center" vertical="center"/>
    </xf>
    <xf numFmtId="43" fontId="23" fillId="14" borderId="0" xfId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9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78" fontId="21" fillId="0" borderId="0" xfId="1" applyNumberFormat="1" applyFont="1" applyFill="1" applyBorder="1" applyAlignment="1">
      <alignment horizontal="center" vertical="center"/>
    </xf>
    <xf numFmtId="0" fontId="21" fillId="0" borderId="0" xfId="2" applyNumberFormat="1" applyFont="1" applyFill="1" applyBorder="1" applyAlignment="1">
      <alignment horizontal="center" vertical="center"/>
    </xf>
    <xf numFmtId="9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 wrapText="1"/>
    </xf>
    <xf numFmtId="9" fontId="21" fillId="0" borderId="0" xfId="2" applyNumberFormat="1" applyFont="1" applyFill="1" applyAlignment="1">
      <alignment horizontal="center" vertical="center"/>
    </xf>
    <xf numFmtId="9" fontId="21" fillId="0" borderId="0" xfId="2" applyFont="1" applyFill="1" applyAlignment="1">
      <alignment horizontal="center" vertical="center"/>
    </xf>
    <xf numFmtId="3" fontId="21" fillId="0" borderId="0" xfId="0" applyNumberFormat="1" applyFont="1" applyFill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center" vertical="center"/>
    </xf>
    <xf numFmtId="43" fontId="21" fillId="4" borderId="0" xfId="1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43" fontId="21" fillId="15" borderId="0" xfId="1" applyFont="1" applyFill="1" applyBorder="1" applyAlignment="1">
      <alignment horizontal="center" vertical="center"/>
    </xf>
    <xf numFmtId="9" fontId="21" fillId="8" borderId="0" xfId="2" applyFont="1" applyFill="1" applyBorder="1" applyAlignment="1">
      <alignment horizontal="center" vertical="center"/>
    </xf>
    <xf numFmtId="9" fontId="21" fillId="8" borderId="0" xfId="2" applyNumberFormat="1" applyFont="1" applyFill="1" applyBorder="1" applyAlignment="1">
      <alignment horizontal="center" vertical="center"/>
    </xf>
    <xf numFmtId="0" fontId="21" fillId="0" borderId="0" xfId="7" applyFont="1" applyFill="1" applyBorder="1" applyAlignment="1">
      <alignment horizontal="center" vertical="center"/>
    </xf>
    <xf numFmtId="0" fontId="10" fillId="0" borderId="0" xfId="8" applyFont="1" applyFill="1" applyBorder="1" applyAlignment="1">
      <alignment horizontal="center" vertical="center"/>
    </xf>
    <xf numFmtId="0" fontId="21" fillId="4" borderId="0" xfId="8" applyFont="1" applyFill="1" applyAlignment="1">
      <alignment horizontal="center" vertical="center"/>
    </xf>
    <xf numFmtId="0" fontId="21" fillId="0" borderId="0" xfId="8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22" fillId="9" borderId="0" xfId="0" applyFont="1" applyFill="1" applyBorder="1" applyAlignment="1">
      <alignment horizontal="center" vertical="center"/>
    </xf>
    <xf numFmtId="43" fontId="21" fillId="0" borderId="0" xfId="9" applyFont="1" applyFill="1" applyBorder="1" applyAlignment="1">
      <alignment horizontal="center" vertical="center"/>
    </xf>
    <xf numFmtId="9" fontId="21" fillId="0" borderId="0" xfId="3" applyFont="1" applyFill="1" applyBorder="1" applyAlignment="1">
      <alignment horizontal="center" vertical="center"/>
    </xf>
    <xf numFmtId="0" fontId="21" fillId="0" borderId="0" xfId="7" applyNumberFormat="1" applyFont="1" applyFill="1" applyBorder="1" applyAlignment="1">
      <alignment horizontal="center" vertical="center"/>
    </xf>
    <xf numFmtId="0" fontId="10" fillId="0" borderId="0" xfId="8" applyNumberFormat="1" applyFont="1" applyFill="1" applyBorder="1" applyAlignment="1">
      <alignment horizontal="center" vertical="center"/>
    </xf>
    <xf numFmtId="9" fontId="10" fillId="0" borderId="0" xfId="2" applyNumberFormat="1" applyFont="1" applyFill="1" applyBorder="1" applyAlignment="1">
      <alignment horizontal="center" vertical="center"/>
    </xf>
    <xf numFmtId="9" fontId="10" fillId="0" borderId="0" xfId="2" applyFont="1" applyFill="1" applyBorder="1" applyAlignment="1">
      <alignment horizontal="center" vertical="center"/>
    </xf>
    <xf numFmtId="0" fontId="10" fillId="0" borderId="0" xfId="0" applyNumberFormat="1" applyFont="1" applyFill="1" applyAlignment="1">
      <alignment horizontal="center"/>
    </xf>
    <xf numFmtId="9" fontId="10" fillId="0" borderId="0" xfId="2" applyFont="1" applyFill="1" applyAlignment="1">
      <alignment horizontal="center"/>
    </xf>
    <xf numFmtId="0" fontId="22" fillId="9" borderId="0" xfId="0" applyNumberFormat="1" applyFont="1" applyFill="1" applyBorder="1" applyAlignment="1">
      <alignment horizontal="center" vertical="center"/>
    </xf>
    <xf numFmtId="9" fontId="22" fillId="9" borderId="0" xfId="2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left" vertical="center"/>
    </xf>
    <xf numFmtId="43" fontId="10" fillId="0" borderId="0" xfId="0" applyNumberFormat="1" applyFont="1" applyFill="1" applyAlignment="1">
      <alignment horizontal="center"/>
    </xf>
    <xf numFmtId="43" fontId="10" fillId="0" borderId="0" xfId="1" applyFont="1" applyFill="1" applyBorder="1" applyAlignment="1">
      <alignment horizontal="center" vertical="center"/>
    </xf>
    <xf numFmtId="40" fontId="10" fillId="0" borderId="0" xfId="0" applyNumberFormat="1" applyFont="1" applyFill="1" applyAlignment="1">
      <alignment horizontal="center"/>
    </xf>
    <xf numFmtId="43" fontId="22" fillId="9" borderId="0" xfId="1" applyFont="1" applyFill="1" applyBorder="1" applyAlignment="1">
      <alignment horizontal="center" vertical="center"/>
    </xf>
    <xf numFmtId="10" fontId="10" fillId="0" borderId="0" xfId="2" applyNumberFormat="1" applyFont="1" applyFill="1" applyBorder="1" applyAlignment="1">
      <alignment horizontal="center" vertical="center"/>
    </xf>
    <xf numFmtId="43" fontId="21" fillId="0" borderId="0" xfId="10" applyFont="1" applyFill="1" applyBorder="1" applyAlignment="1">
      <alignment horizontal="center" vertical="center"/>
    </xf>
    <xf numFmtId="180" fontId="10" fillId="0" borderId="0" xfId="0" applyNumberFormat="1" applyFont="1" applyFill="1" applyAlignment="1">
      <alignment horizontal="center"/>
    </xf>
    <xf numFmtId="9" fontId="10" fillId="0" borderId="0" xfId="0" applyNumberFormat="1" applyFont="1" applyFill="1" applyAlignment="1">
      <alignment horizontal="center"/>
    </xf>
    <xf numFmtId="9" fontId="23" fillId="0" borderId="0" xfId="7" applyNumberFormat="1" applyFont="1" applyFill="1" applyBorder="1" applyAlignment="1">
      <alignment horizontal="center" vertical="center"/>
    </xf>
    <xf numFmtId="0" fontId="23" fillId="0" borderId="0" xfId="7" applyFont="1" applyFill="1" applyBorder="1" applyAlignment="1">
      <alignment horizontal="center" vertical="center"/>
    </xf>
    <xf numFmtId="178" fontId="10" fillId="0" borderId="0" xfId="10" applyNumberFormat="1" applyFont="1" applyFill="1" applyBorder="1" applyAlignment="1">
      <alignment horizontal="center" vertical="center"/>
    </xf>
    <xf numFmtId="0" fontId="10" fillId="0" borderId="0" xfId="8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3" fontId="10" fillId="0" borderId="0" xfId="1" applyFont="1" applyFill="1" applyBorder="1" applyAlignment="1">
      <alignment horizontal="left" vertical="center"/>
    </xf>
    <xf numFmtId="43" fontId="21" fillId="0" borderId="0" xfId="1" applyFont="1" applyFill="1" applyBorder="1" applyAlignment="1">
      <alignment horizontal="left" vertical="center"/>
    </xf>
    <xf numFmtId="43" fontId="10" fillId="0" borderId="0" xfId="0" applyNumberFormat="1" applyFont="1" applyFill="1" applyAlignment="1"/>
    <xf numFmtId="43" fontId="21" fillId="0" borderId="0" xfId="1" applyFont="1" applyFill="1" applyBorder="1" applyAlignment="1">
      <alignment vertical="center"/>
    </xf>
    <xf numFmtId="43" fontId="4" fillId="0" borderId="0" xfId="1" applyFont="1" applyFill="1" applyBorder="1" applyAlignment="1">
      <alignment horizontal="center" vertical="top"/>
    </xf>
    <xf numFmtId="43" fontId="1" fillId="0" borderId="0" xfId="1" applyFont="1" applyFill="1" applyAlignment="1">
      <alignment horizontal="center"/>
    </xf>
    <xf numFmtId="43" fontId="10" fillId="0" borderId="0" xfId="1" applyFont="1" applyFill="1" applyBorder="1" applyAlignment="1">
      <alignment vertical="center"/>
    </xf>
    <xf numFmtId="0" fontId="0" fillId="0" borderId="0" xfId="0" applyFill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2" applyNumberFormat="1" applyFont="1" applyFill="1" applyBorder="1" applyAlignment="1" applyProtection="1">
      <alignment horizontal="center" vertical="center"/>
    </xf>
    <xf numFmtId="177" fontId="10" fillId="0" borderId="0" xfId="2" applyNumberFormat="1" applyFont="1" applyFill="1" applyBorder="1" applyAlignment="1">
      <alignment horizontal="center" vertical="center"/>
    </xf>
    <xf numFmtId="0" fontId="24" fillId="0" borderId="0" xfId="8" applyNumberFormat="1" applyFont="1" applyFill="1" applyAlignment="1">
      <alignment vertical="center"/>
    </xf>
    <xf numFmtId="43" fontId="10" fillId="5" borderId="0" xfId="1" applyFont="1" applyFill="1" applyBorder="1" applyAlignment="1">
      <alignment horizontal="left" vertical="center"/>
    </xf>
    <xf numFmtId="10" fontId="10" fillId="5" borderId="0" xfId="2" applyNumberFormat="1" applyFont="1" applyFill="1" applyBorder="1" applyAlignment="1">
      <alignment horizontal="center" vertical="center"/>
    </xf>
    <xf numFmtId="43" fontId="10" fillId="5" borderId="0" xfId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43" fontId="10" fillId="4" borderId="0" xfId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43" fontId="21" fillId="0" borderId="0" xfId="1" applyFont="1" applyFill="1" applyAlignment="1">
      <alignment horizontal="center" vertical="center"/>
    </xf>
    <xf numFmtId="0" fontId="4" fillId="0" borderId="5" xfId="0" applyFont="1" applyFill="1" applyBorder="1" applyAlignment="1"/>
    <xf numFmtId="0" fontId="4" fillId="0" borderId="5" xfId="0" applyFont="1" applyFill="1" applyBorder="1" applyAlignment="1">
      <alignment horizontal="left"/>
    </xf>
    <xf numFmtId="43" fontId="5" fillId="0" borderId="0" xfId="1" applyFont="1" applyFill="1" applyBorder="1" applyAlignment="1">
      <alignment horizontal="center" vertical="top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6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43" fontId="7" fillId="3" borderId="5" xfId="1" applyFont="1" applyFill="1" applyBorder="1" applyAlignment="1">
      <alignment horizontal="center" vertical="center"/>
    </xf>
    <xf numFmtId="43" fontId="1" fillId="0" borderId="8" xfId="1" applyFont="1" applyBorder="1" applyAlignment="1">
      <alignment horizontal="center" vertical="center"/>
    </xf>
    <xf numFmtId="43" fontId="1" fillId="0" borderId="9" xfId="1" applyFont="1" applyBorder="1" applyAlignment="1">
      <alignment horizontal="center" vertical="center"/>
    </xf>
    <xf numFmtId="43" fontId="1" fillId="0" borderId="10" xfId="1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179" fontId="1" fillId="0" borderId="8" xfId="1" applyNumberFormat="1" applyFont="1" applyBorder="1" applyAlignment="1">
      <alignment horizontal="center" vertical="center"/>
    </xf>
    <xf numFmtId="179" fontId="1" fillId="0" borderId="10" xfId="1" applyNumberFormat="1" applyFont="1" applyBorder="1" applyAlignment="1">
      <alignment horizontal="center" vertical="center"/>
    </xf>
    <xf numFmtId="10" fontId="1" fillId="0" borderId="8" xfId="2" applyNumberFormat="1" applyFont="1" applyBorder="1" applyAlignment="1">
      <alignment horizontal="center" vertical="center"/>
    </xf>
    <xf numFmtId="10" fontId="1" fillId="0" borderId="10" xfId="2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3">
    <cellStyle name="百分比" xfId="2" builtinId="5"/>
    <cellStyle name="百分比 2" xfId="3"/>
    <cellStyle name="百分比 2 2" xfId="4"/>
    <cellStyle name="百分比 2 3" xfId="5"/>
    <cellStyle name="常规" xfId="0" builtinId="0"/>
    <cellStyle name="常规 2" xfId="7"/>
    <cellStyle name="常规 3" xfId="8"/>
    <cellStyle name="好" xfId="6" builtinId="26"/>
    <cellStyle name="千位分隔" xfId="1" builtinId="3"/>
    <cellStyle name="千位分隔 2" xfId="9"/>
    <cellStyle name="千位分隔 2 2" xfId="10"/>
    <cellStyle name="千位分隔 2 3" xfId="11"/>
    <cellStyle name="千位分隔 3" xfId="12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jpe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593725</xdr:colOff>
      <xdr:row>13</xdr:row>
      <xdr:rowOff>69850</xdr:rowOff>
    </xdr:from>
    <xdr:to>
      <xdr:col>13</xdr:col>
      <xdr:colOff>348170</xdr:colOff>
      <xdr:row>35</xdr:row>
      <xdr:rowOff>123381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725" y="2422525"/>
          <a:ext cx="8397240" cy="403479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35</xdr:row>
      <xdr:rowOff>127000</xdr:rowOff>
    </xdr:from>
    <xdr:to>
      <xdr:col>13</xdr:col>
      <xdr:colOff>465636</xdr:colOff>
      <xdr:row>56</xdr:row>
      <xdr:rowOff>161502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6461125"/>
          <a:ext cx="8517890" cy="3834765"/>
        </a:xfrm>
        <a:prstGeom prst="rect">
          <a:avLst/>
        </a:prstGeom>
      </xdr:spPr>
    </xdr:pic>
    <xdr:clientData/>
  </xdr:twoCellAnchor>
  <xdr:twoCellAnchor editAs="oneCell">
    <xdr:from>
      <xdr:col>0</xdr:col>
      <xdr:colOff>546100</xdr:colOff>
      <xdr:row>57</xdr:row>
      <xdr:rowOff>44450</xdr:rowOff>
    </xdr:from>
    <xdr:to>
      <xdr:col>13</xdr:col>
      <xdr:colOff>297376</xdr:colOff>
      <xdr:row>79</xdr:row>
      <xdr:rowOff>110679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100" y="10360025"/>
          <a:ext cx="8394065" cy="404749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79</xdr:row>
      <xdr:rowOff>133350</xdr:rowOff>
    </xdr:from>
    <xdr:to>
      <xdr:col>14</xdr:col>
      <xdr:colOff>189911</xdr:colOff>
      <xdr:row>104</xdr:row>
      <xdr:rowOff>88407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" y="14430375"/>
          <a:ext cx="9497060" cy="4479290"/>
        </a:xfrm>
        <a:prstGeom prst="rect">
          <a:avLst/>
        </a:prstGeom>
      </xdr:spPr>
    </xdr:pic>
    <xdr:clientData/>
  </xdr:twoCellAnchor>
  <xdr:twoCellAnchor editAs="oneCell">
    <xdr:from>
      <xdr:col>0</xdr:col>
      <xdr:colOff>149225</xdr:colOff>
      <xdr:row>104</xdr:row>
      <xdr:rowOff>117475</xdr:rowOff>
    </xdr:from>
    <xdr:to>
      <xdr:col>14</xdr:col>
      <xdr:colOff>643263</xdr:colOff>
      <xdr:row>129</xdr:row>
      <xdr:rowOff>53484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225" y="18938875"/>
          <a:ext cx="9801860" cy="4460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666750</xdr:colOff>
      <xdr:row>11</xdr:row>
      <xdr:rowOff>44066</xdr:rowOff>
    </xdr:from>
    <xdr:to>
      <xdr:col>13</xdr:col>
      <xdr:colOff>579055</xdr:colOff>
      <xdr:row>32</xdr:row>
      <xdr:rowOff>11902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8380" y="2034540"/>
          <a:ext cx="9323705" cy="35680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8</xdr:col>
      <xdr:colOff>12700</xdr:colOff>
      <xdr:row>61</xdr:row>
      <xdr:rowOff>95094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34100"/>
          <a:ext cx="8317230" cy="47999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50800</xdr:rowOff>
    </xdr:from>
    <xdr:to>
      <xdr:col>7</xdr:col>
      <xdr:colOff>38100</xdr:colOff>
      <xdr:row>96</xdr:row>
      <xdr:rowOff>122889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814175"/>
          <a:ext cx="7324725" cy="5682314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34</xdr:row>
      <xdr:rowOff>177335</xdr:rowOff>
    </xdr:from>
    <xdr:to>
      <xdr:col>21</xdr:col>
      <xdr:colOff>20174</xdr:colOff>
      <xdr:row>56</xdr:row>
      <xdr:rowOff>75342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80730" y="6130290"/>
          <a:ext cx="9251315" cy="3879215"/>
        </a:xfrm>
        <a:prstGeom prst="rect">
          <a:avLst/>
        </a:prstGeom>
      </xdr:spPr>
    </xdr:pic>
    <xdr:clientData/>
  </xdr:twoCellAnchor>
  <xdr:twoCellAnchor editAs="oneCell">
    <xdr:from>
      <xdr:col>7</xdr:col>
      <xdr:colOff>53975</xdr:colOff>
      <xdr:row>65</xdr:row>
      <xdr:rowOff>129358</xdr:rowOff>
    </xdr:from>
    <xdr:to>
      <xdr:col>18</xdr:col>
      <xdr:colOff>150715</xdr:colOff>
      <xdr:row>86</xdr:row>
      <xdr:rowOff>142118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40600" y="11892733"/>
          <a:ext cx="8459690" cy="38132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97</xdr:row>
      <xdr:rowOff>54848</xdr:rowOff>
    </xdr:from>
    <xdr:to>
      <xdr:col>10</xdr:col>
      <xdr:colOff>417169</xdr:colOff>
      <xdr:row>115</xdr:row>
      <xdr:rowOff>2575</xdr:rowOff>
    </xdr:to>
    <xdr:pic>
      <xdr:nvPicPr>
        <xdr:cNvPr id="7" name="图片 6">
          <a:extLst>
            <a:ext uri="{FF2B5EF4-FFF2-40B4-BE49-F238E27FC236}">
              <a16:creationId xmlns="" xmlns:a16="http://schemas.microsoft.com/office/drawing/2014/main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" y="17409160"/>
          <a:ext cx="10267315" cy="320548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34</xdr:row>
      <xdr:rowOff>171450</xdr:rowOff>
    </xdr:from>
    <xdr:to>
      <xdr:col>34</xdr:col>
      <xdr:colOff>101600</xdr:colOff>
      <xdr:row>65</xdr:row>
      <xdr:rowOff>132753</xdr:rowOff>
    </xdr:to>
    <xdr:pic>
      <xdr:nvPicPr>
        <xdr:cNvPr id="8" name="图片 7" descr="C:\Users\Helen Tian\AppData\Roaming\Foxmail7\Temp-18812-20181226104412\Attach\Catch(08-31-18-5(12-27-22-53-08).jpg">
          <a:extLst>
            <a:ext uri="{FF2B5EF4-FFF2-40B4-BE49-F238E27FC236}">
              <a16:creationId xmlns=""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64760" y="6124575"/>
          <a:ext cx="8592185" cy="557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10</xdr:col>
      <xdr:colOff>512759</xdr:colOff>
      <xdr:row>7</xdr:row>
      <xdr:rowOff>6250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300"/>
          <a:ext cx="12752070" cy="9042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2318</xdr:rowOff>
    </xdr:from>
    <xdr:to>
      <xdr:col>11</xdr:col>
      <xdr:colOff>531457</xdr:colOff>
      <xdr:row>39</xdr:row>
      <xdr:rowOff>82475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7015" y="6697980"/>
          <a:ext cx="12125960" cy="441960"/>
        </a:xfrm>
        <a:prstGeom prst="rect">
          <a:avLst/>
        </a:prstGeom>
      </xdr:spPr>
    </xdr:pic>
    <xdr:clientData/>
  </xdr:twoCellAnchor>
  <xdr:twoCellAnchor editAs="oneCell">
    <xdr:from>
      <xdr:col>0</xdr:col>
      <xdr:colOff>1365250</xdr:colOff>
      <xdr:row>41</xdr:row>
      <xdr:rowOff>19229</xdr:rowOff>
    </xdr:from>
    <xdr:to>
      <xdr:col>13</xdr:col>
      <xdr:colOff>350481</xdr:colOff>
      <xdr:row>44</xdr:row>
      <xdr:rowOff>25319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5250" y="7439025"/>
          <a:ext cx="13426440" cy="548640"/>
        </a:xfrm>
        <a:prstGeom prst="rect">
          <a:avLst/>
        </a:prstGeom>
      </xdr:spPr>
    </xdr:pic>
    <xdr:clientData/>
  </xdr:twoCellAnchor>
  <xdr:twoCellAnchor editAs="oneCell">
    <xdr:from>
      <xdr:col>0</xdr:col>
      <xdr:colOff>1377949</xdr:colOff>
      <xdr:row>46</xdr:row>
      <xdr:rowOff>8466</xdr:rowOff>
    </xdr:from>
    <xdr:to>
      <xdr:col>9</xdr:col>
      <xdr:colOff>628658</xdr:colOff>
      <xdr:row>49</xdr:row>
      <xdr:rowOff>152400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" y="8333105"/>
          <a:ext cx="10659745" cy="687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363"/>
  <sheetViews>
    <sheetView tabSelected="1" topLeftCell="F1" workbookViewId="0">
      <pane ySplit="1" topLeftCell="A2" activePane="bottomLeft" state="frozen"/>
      <selection pane="bottomLeft" activeCell="K17" sqref="K17"/>
    </sheetView>
  </sheetViews>
  <sheetFormatPr defaultColWidth="9" defaultRowHeight="13.5" x14ac:dyDescent="0.15"/>
  <cols>
    <col min="1" max="1" width="6.5" style="126" customWidth="1"/>
    <col min="2" max="2" width="8.25" style="126" customWidth="1"/>
    <col min="3" max="3" width="6.125" style="126" hidden="1" customWidth="1"/>
    <col min="4" max="4" width="7" style="126" hidden="1" customWidth="1"/>
    <col min="5" max="5" width="7.25" style="126" hidden="1" customWidth="1"/>
    <col min="6" max="6" width="20.75" style="126" customWidth="1"/>
    <col min="7" max="7" width="25" style="126" customWidth="1"/>
    <col min="8" max="8" width="23.75" style="126" hidden="1" customWidth="1"/>
    <col min="9" max="9" width="8.375" style="126" hidden="1" customWidth="1"/>
    <col min="10" max="10" width="18.5" style="126" hidden="1" customWidth="1"/>
    <col min="11" max="11" width="24.5" style="126" customWidth="1"/>
    <col min="12" max="12" width="26.5" style="126" customWidth="1"/>
    <col min="13" max="13" width="8" style="126" customWidth="1"/>
    <col min="14" max="14" width="6.625" style="127" customWidth="1"/>
    <col min="15" max="15" width="5.5" style="127" customWidth="1"/>
    <col min="16" max="16" width="16.625" style="127" customWidth="1"/>
    <col min="17" max="17" width="9.25" style="128" customWidth="1"/>
    <col min="18" max="18" width="11.625" style="128" hidden="1" customWidth="1"/>
    <col min="19" max="19" width="10.25" style="128" hidden="1" customWidth="1"/>
    <col min="20" max="20" width="11.5" style="128" hidden="1" customWidth="1"/>
    <col min="21" max="21" width="15.625" style="128" hidden="1" customWidth="1"/>
    <col min="22" max="22" width="14.875" style="128" customWidth="1"/>
    <col min="23" max="25" width="14.375" style="128" hidden="1" customWidth="1"/>
    <col min="26" max="26" width="12.5" style="128" customWidth="1"/>
    <col min="27" max="27" width="16.375" style="128" customWidth="1"/>
    <col min="28" max="29" width="12.875" style="128" customWidth="1"/>
    <col min="30" max="30" width="13.25" style="128" customWidth="1"/>
    <col min="31" max="31" width="14.5" style="127" customWidth="1"/>
    <col min="32" max="32" width="13.25" style="128" customWidth="1"/>
    <col min="33" max="33" width="11.5" style="128" customWidth="1"/>
    <col min="34" max="34" width="9.625" style="128" bestFit="1" customWidth="1"/>
    <col min="35" max="35" width="10.5" style="128" customWidth="1"/>
    <col min="36" max="36" width="8.875" style="127" customWidth="1"/>
    <col min="37" max="37" width="17.875" style="126" customWidth="1"/>
    <col min="38" max="38" width="37.875" style="126" customWidth="1"/>
    <col min="39" max="39" width="9" style="126"/>
    <col min="40" max="40" width="10.375" style="126"/>
    <col min="41" max="16384" width="9" style="126"/>
  </cols>
  <sheetData>
    <row r="1" spans="1:39" s="118" customFormat="1" ht="26.25" customHeight="1" x14ac:dyDescent="0.3">
      <c r="A1" s="129" t="s">
        <v>0</v>
      </c>
      <c r="B1" s="129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6</v>
      </c>
      <c r="H1" s="129" t="s">
        <v>7</v>
      </c>
      <c r="I1" s="129" t="s">
        <v>8</v>
      </c>
      <c r="J1" s="129" t="s">
        <v>9</v>
      </c>
      <c r="K1" s="129" t="s">
        <v>10</v>
      </c>
      <c r="L1" s="132" t="s">
        <v>11</v>
      </c>
      <c r="M1" s="129" t="s">
        <v>12</v>
      </c>
      <c r="N1" s="133" t="s">
        <v>13</v>
      </c>
      <c r="O1" s="133" t="s">
        <v>14</v>
      </c>
      <c r="P1" s="134" t="s">
        <v>15</v>
      </c>
      <c r="Q1" s="132" t="s">
        <v>16</v>
      </c>
      <c r="R1" s="132" t="s">
        <v>17</v>
      </c>
      <c r="S1" s="139" t="s">
        <v>18</v>
      </c>
      <c r="T1" s="139" t="s">
        <v>19</v>
      </c>
      <c r="U1" s="140" t="s">
        <v>20</v>
      </c>
      <c r="V1" s="132" t="s">
        <v>21</v>
      </c>
      <c r="W1" s="140" t="s">
        <v>22</v>
      </c>
      <c r="X1" s="140" t="s">
        <v>23</v>
      </c>
      <c r="Y1" s="140" t="s">
        <v>24</v>
      </c>
      <c r="Z1" s="132" t="s">
        <v>25</v>
      </c>
      <c r="AA1" s="143" t="s">
        <v>26</v>
      </c>
      <c r="AB1" s="144" t="s">
        <v>27</v>
      </c>
      <c r="AC1" s="144" t="s">
        <v>28</v>
      </c>
      <c r="AD1" s="132" t="s">
        <v>29</v>
      </c>
      <c r="AE1" s="145" t="s">
        <v>30</v>
      </c>
      <c r="AF1" s="132" t="s">
        <v>31</v>
      </c>
      <c r="AG1" s="139" t="s">
        <v>32</v>
      </c>
      <c r="AH1" s="150" t="s">
        <v>33</v>
      </c>
      <c r="AI1" s="139" t="s">
        <v>34</v>
      </c>
      <c r="AJ1" s="133" t="s">
        <v>35</v>
      </c>
      <c r="AK1" s="151" t="s">
        <v>35</v>
      </c>
      <c r="AL1" s="151" t="s">
        <v>36</v>
      </c>
      <c r="AM1" s="118" t="s">
        <v>37</v>
      </c>
    </row>
    <row r="2" spans="1:39" s="119" customFormat="1" ht="15" customHeight="1" x14ac:dyDescent="0.3">
      <c r="A2" s="119">
        <v>2017</v>
      </c>
      <c r="B2" s="119" t="s">
        <v>38</v>
      </c>
      <c r="C2" s="119" t="s">
        <v>39</v>
      </c>
      <c r="D2" s="119" t="s">
        <v>40</v>
      </c>
      <c r="E2" s="119" t="s">
        <v>41</v>
      </c>
      <c r="F2" s="119" t="s">
        <v>42</v>
      </c>
      <c r="G2" s="119" t="s">
        <v>42</v>
      </c>
      <c r="H2" s="119" t="s">
        <v>42</v>
      </c>
      <c r="I2" s="119" t="s">
        <v>43</v>
      </c>
      <c r="J2" s="119" t="s">
        <v>44</v>
      </c>
      <c r="K2" s="119" t="s">
        <v>45</v>
      </c>
      <c r="L2" s="119" t="s">
        <v>42</v>
      </c>
      <c r="M2" s="119" t="s">
        <v>46</v>
      </c>
      <c r="N2" s="135">
        <v>0</v>
      </c>
      <c r="O2" s="135" t="s">
        <v>47</v>
      </c>
      <c r="P2" s="135"/>
      <c r="Q2" s="137">
        <v>0</v>
      </c>
      <c r="R2" s="137">
        <v>0</v>
      </c>
      <c r="S2" s="137">
        <v>100000</v>
      </c>
      <c r="T2" s="137">
        <f t="shared" ref="T2:T65" si="0">S2*N2</f>
        <v>0</v>
      </c>
      <c r="U2" s="137">
        <f>R2+S2+T2</f>
        <v>100000</v>
      </c>
      <c r="V2" s="137">
        <v>100000</v>
      </c>
      <c r="W2" s="137">
        <f>U2-V2</f>
        <v>0</v>
      </c>
      <c r="X2" s="137">
        <f t="shared" ref="X2:X65" si="1">W2/(1+N2)</f>
        <v>0</v>
      </c>
      <c r="Y2" s="137">
        <f>W2-X2</f>
        <v>0</v>
      </c>
      <c r="Z2" s="137">
        <v>99497.25</v>
      </c>
      <c r="AA2" s="137">
        <f t="shared" ref="AA2:AA65" si="2">Q2+V2-Z2</f>
        <v>502.75</v>
      </c>
      <c r="AB2" s="146">
        <f t="shared" ref="AB2:AB32" si="3">IF(O2="返货",Z2/(1+N2),IF(O2="返现",Z2,IF(O2="折扣",Z2*N2,IF(O2="无",Z2))))</f>
        <v>99497.25</v>
      </c>
      <c r="AC2" s="147">
        <f t="shared" ref="AC2:AC65" si="4">IF(O2="返现",Z2*N2,Z2-AB2)</f>
        <v>0</v>
      </c>
      <c r="AD2" s="148">
        <v>99497.25</v>
      </c>
      <c r="AE2" s="149">
        <v>0</v>
      </c>
      <c r="AF2" s="137">
        <f>AD2*AE2</f>
        <v>0</v>
      </c>
      <c r="AG2" s="137"/>
      <c r="AH2" s="137"/>
      <c r="AI2" s="137"/>
      <c r="AJ2" s="135" t="s">
        <v>47</v>
      </c>
      <c r="AK2" s="152">
        <v>0</v>
      </c>
    </row>
    <row r="3" spans="1:39" s="119" customFormat="1" ht="15" customHeight="1" x14ac:dyDescent="0.3">
      <c r="A3" s="119">
        <v>2017</v>
      </c>
      <c r="B3" s="119" t="s">
        <v>38</v>
      </c>
      <c r="C3" s="119" t="s">
        <v>39</v>
      </c>
      <c r="D3" s="119" t="s">
        <v>40</v>
      </c>
      <c r="E3" s="119" t="s">
        <v>48</v>
      </c>
      <c r="F3" s="119" t="s">
        <v>49</v>
      </c>
      <c r="G3" s="119" t="s">
        <v>49</v>
      </c>
      <c r="H3" s="119" t="s">
        <v>49</v>
      </c>
      <c r="I3" s="119" t="s">
        <v>43</v>
      </c>
      <c r="J3" s="119" t="s">
        <v>44</v>
      </c>
      <c r="K3" s="119" t="s">
        <v>45</v>
      </c>
      <c r="L3" s="119" t="s">
        <v>50</v>
      </c>
      <c r="M3" s="119" t="s">
        <v>46</v>
      </c>
      <c r="N3" s="135">
        <v>0.11</v>
      </c>
      <c r="O3" s="135" t="s">
        <v>51</v>
      </c>
      <c r="P3" s="135"/>
      <c r="Q3" s="137">
        <v>0</v>
      </c>
      <c r="R3" s="137">
        <v>0</v>
      </c>
      <c r="S3" s="137">
        <v>900915.44</v>
      </c>
      <c r="T3" s="137">
        <f t="shared" si="0"/>
        <v>99100.698399999994</v>
      </c>
      <c r="U3" s="137">
        <f t="shared" ref="U3:U66" si="5">R3+S3+T3</f>
        <v>1000016.1383999999</v>
      </c>
      <c r="V3" s="137">
        <v>960000</v>
      </c>
      <c r="W3" s="137">
        <f t="shared" ref="W3:W66" si="6">U3-V3</f>
        <v>40016.138399999938</v>
      </c>
      <c r="X3" s="137">
        <f t="shared" si="1"/>
        <v>36050.575135135077</v>
      </c>
      <c r="Y3" s="137">
        <f t="shared" ref="Y3:Y66" si="7">W3-X3</f>
        <v>3965.5632648648607</v>
      </c>
      <c r="Z3" s="137">
        <v>960008.67044000002</v>
      </c>
      <c r="AA3" s="137">
        <f t="shared" si="2"/>
        <v>-8.6704400000162423</v>
      </c>
      <c r="AB3" s="146">
        <f t="shared" si="3"/>
        <v>864872.676072072</v>
      </c>
      <c r="AC3" s="147">
        <f t="shared" si="4"/>
        <v>95135.994367928011</v>
      </c>
      <c r="AD3" s="148">
        <v>864872.676072072</v>
      </c>
      <c r="AE3" s="149">
        <v>0</v>
      </c>
      <c r="AF3" s="137">
        <f t="shared" ref="AF3:AF46" si="8">AD3*AE3</f>
        <v>0</v>
      </c>
      <c r="AG3" s="137"/>
      <c r="AH3" s="137"/>
      <c r="AI3" s="137"/>
      <c r="AJ3" s="136">
        <v>0.11</v>
      </c>
      <c r="AK3" s="152">
        <v>0.11</v>
      </c>
    </row>
    <row r="4" spans="1:39" s="119" customFormat="1" ht="15" customHeight="1" x14ac:dyDescent="0.3">
      <c r="A4" s="119">
        <v>2017</v>
      </c>
      <c r="B4" s="119" t="s">
        <v>38</v>
      </c>
      <c r="C4" s="119" t="s">
        <v>39</v>
      </c>
      <c r="D4" s="119" t="s">
        <v>40</v>
      </c>
      <c r="E4" s="119" t="s">
        <v>41</v>
      </c>
      <c r="F4" s="119" t="s">
        <v>52</v>
      </c>
      <c r="G4" s="119" t="s">
        <v>52</v>
      </c>
      <c r="H4" s="119" t="s">
        <v>52</v>
      </c>
      <c r="I4" s="119" t="s">
        <v>43</v>
      </c>
      <c r="J4" s="119" t="s">
        <v>44</v>
      </c>
      <c r="K4" s="119" t="s">
        <v>45</v>
      </c>
      <c r="L4" s="119" t="s">
        <v>52</v>
      </c>
      <c r="M4" s="119" t="s">
        <v>46</v>
      </c>
      <c r="N4" s="135">
        <v>0.08</v>
      </c>
      <c r="O4" s="135" t="s">
        <v>51</v>
      </c>
      <c r="P4" s="135"/>
      <c r="Q4" s="137">
        <v>0</v>
      </c>
      <c r="R4" s="137">
        <v>0</v>
      </c>
      <c r="S4" s="137">
        <v>10000</v>
      </c>
      <c r="T4" s="137">
        <f t="shared" si="0"/>
        <v>800</v>
      </c>
      <c r="U4" s="137">
        <f t="shared" si="5"/>
        <v>10800</v>
      </c>
      <c r="V4" s="137">
        <v>10800</v>
      </c>
      <c r="W4" s="137">
        <f t="shared" si="6"/>
        <v>0</v>
      </c>
      <c r="X4" s="137">
        <f t="shared" si="1"/>
        <v>0</v>
      </c>
      <c r="Y4" s="137">
        <f t="shared" si="7"/>
        <v>0</v>
      </c>
      <c r="Z4" s="137">
        <v>10467.17633</v>
      </c>
      <c r="AA4" s="137">
        <f t="shared" si="2"/>
        <v>332.82366999999977</v>
      </c>
      <c r="AB4" s="146">
        <f t="shared" si="3"/>
        <v>9691.8299351851856</v>
      </c>
      <c r="AC4" s="147">
        <f t="shared" si="4"/>
        <v>775.34639481481463</v>
      </c>
      <c r="AD4" s="148">
        <v>9691.8299351851892</v>
      </c>
      <c r="AE4" s="149">
        <v>0</v>
      </c>
      <c r="AF4" s="137">
        <f t="shared" si="8"/>
        <v>0</v>
      </c>
      <c r="AG4" s="137"/>
      <c r="AH4" s="137"/>
      <c r="AI4" s="137"/>
      <c r="AJ4" s="135" t="s">
        <v>53</v>
      </c>
      <c r="AK4" s="153" t="s">
        <v>53</v>
      </c>
    </row>
    <row r="5" spans="1:39" s="119" customFormat="1" ht="15" customHeight="1" x14ac:dyDescent="0.3">
      <c r="A5" s="119">
        <v>2017</v>
      </c>
      <c r="B5" s="119" t="s">
        <v>38</v>
      </c>
      <c r="C5" s="119" t="s">
        <v>54</v>
      </c>
      <c r="D5" s="119" t="s">
        <v>55</v>
      </c>
      <c r="E5" s="119" t="s">
        <v>56</v>
      </c>
      <c r="F5" s="119" t="s">
        <v>57</v>
      </c>
      <c r="G5" s="119" t="s">
        <v>57</v>
      </c>
      <c r="H5" s="119" t="s">
        <v>57</v>
      </c>
      <c r="I5" s="119" t="s">
        <v>43</v>
      </c>
      <c r="J5" s="119" t="s">
        <v>44</v>
      </c>
      <c r="K5" s="119" t="s">
        <v>45</v>
      </c>
      <c r="L5" s="119" t="s">
        <v>57</v>
      </c>
      <c r="M5" s="119" t="s">
        <v>46</v>
      </c>
      <c r="N5" s="135">
        <v>0.08</v>
      </c>
      <c r="O5" s="135" t="s">
        <v>51</v>
      </c>
      <c r="P5" s="135"/>
      <c r="Q5" s="137">
        <v>0</v>
      </c>
      <c r="R5" s="137">
        <v>0</v>
      </c>
      <c r="S5" s="137">
        <v>40000</v>
      </c>
      <c r="T5" s="137">
        <f t="shared" si="0"/>
        <v>3200</v>
      </c>
      <c r="U5" s="137">
        <f t="shared" si="5"/>
        <v>43200</v>
      </c>
      <c r="V5" s="137">
        <v>43200</v>
      </c>
      <c r="W5" s="137">
        <f t="shared" si="6"/>
        <v>0</v>
      </c>
      <c r="X5" s="137">
        <f t="shared" si="1"/>
        <v>0</v>
      </c>
      <c r="Y5" s="137">
        <f t="shared" si="7"/>
        <v>0</v>
      </c>
      <c r="Z5" s="137">
        <v>9221.7800000000007</v>
      </c>
      <c r="AA5" s="137">
        <f t="shared" si="2"/>
        <v>33978.22</v>
      </c>
      <c r="AB5" s="146">
        <f t="shared" si="3"/>
        <v>8538.6851851851861</v>
      </c>
      <c r="AC5" s="147">
        <f t="shared" si="4"/>
        <v>683.09481481481453</v>
      </c>
      <c r="AD5" s="148">
        <v>8538.6851851851898</v>
      </c>
      <c r="AE5" s="149">
        <v>0</v>
      </c>
      <c r="AF5" s="137">
        <f t="shared" si="8"/>
        <v>0</v>
      </c>
      <c r="AG5" s="137"/>
      <c r="AH5" s="137"/>
      <c r="AI5" s="137"/>
      <c r="AJ5" s="135" t="s">
        <v>53</v>
      </c>
      <c r="AK5" s="153" t="s">
        <v>53</v>
      </c>
      <c r="AL5" s="119" t="s">
        <v>58</v>
      </c>
    </row>
    <row r="6" spans="1:39" s="119" customFormat="1" ht="15" customHeight="1" x14ac:dyDescent="0.3">
      <c r="A6" s="119">
        <v>2017</v>
      </c>
      <c r="B6" s="119" t="s">
        <v>38</v>
      </c>
      <c r="C6" s="119" t="s">
        <v>59</v>
      </c>
      <c r="D6" s="119" t="s">
        <v>60</v>
      </c>
      <c r="E6" s="119" t="s">
        <v>61</v>
      </c>
      <c r="F6" s="119" t="s">
        <v>62</v>
      </c>
      <c r="G6" s="119" t="s">
        <v>62</v>
      </c>
      <c r="H6" s="119" t="s">
        <v>62</v>
      </c>
      <c r="I6" s="119" t="s">
        <v>43</v>
      </c>
      <c r="J6" s="119" t="s">
        <v>44</v>
      </c>
      <c r="K6" s="119" t="s">
        <v>45</v>
      </c>
      <c r="L6" s="119" t="s">
        <v>62</v>
      </c>
      <c r="M6" s="119" t="s">
        <v>46</v>
      </c>
      <c r="N6" s="135">
        <v>0.05</v>
      </c>
      <c r="O6" s="135" t="s">
        <v>51</v>
      </c>
      <c r="P6" s="135"/>
      <c r="Q6" s="137">
        <v>721.6</v>
      </c>
      <c r="R6" s="137">
        <v>0</v>
      </c>
      <c r="S6" s="137">
        <v>100000</v>
      </c>
      <c r="T6" s="137">
        <f t="shared" si="0"/>
        <v>5000</v>
      </c>
      <c r="U6" s="137">
        <f t="shared" si="5"/>
        <v>105000</v>
      </c>
      <c r="V6" s="137">
        <v>105000</v>
      </c>
      <c r="W6" s="137">
        <f t="shared" si="6"/>
        <v>0</v>
      </c>
      <c r="X6" s="137">
        <f t="shared" si="1"/>
        <v>0</v>
      </c>
      <c r="Y6" s="137">
        <f t="shared" si="7"/>
        <v>0</v>
      </c>
      <c r="Z6" s="137">
        <v>100190.55</v>
      </c>
      <c r="AA6" s="137">
        <f t="shared" si="2"/>
        <v>5531.0500000000029</v>
      </c>
      <c r="AB6" s="146">
        <f>IF(O6="返货",Z6/(1+N6),IF(O6="返现",Z6,IF(O6="折扣",Z6*N6,IF(O6="无",Z6))))-721.6/1.05</f>
        <v>94732.333333333328</v>
      </c>
      <c r="AC6" s="147">
        <f t="shared" si="4"/>
        <v>5458.2166666666744</v>
      </c>
      <c r="AD6" s="148">
        <v>95419.571428571406</v>
      </c>
      <c r="AE6" s="149">
        <v>0</v>
      </c>
      <c r="AF6" s="137">
        <f t="shared" si="8"/>
        <v>0</v>
      </c>
      <c r="AG6" s="137"/>
      <c r="AH6" s="137"/>
      <c r="AI6" s="137"/>
      <c r="AJ6" s="135" t="s">
        <v>63</v>
      </c>
      <c r="AK6" s="153" t="s">
        <v>63</v>
      </c>
    </row>
    <row r="7" spans="1:39" s="119" customFormat="1" ht="15" customHeight="1" x14ac:dyDescent="0.3">
      <c r="A7" s="119">
        <v>2017</v>
      </c>
      <c r="B7" s="119" t="s">
        <v>38</v>
      </c>
      <c r="C7" s="119" t="s">
        <v>54</v>
      </c>
      <c r="D7" s="119" t="s">
        <v>55</v>
      </c>
      <c r="E7" s="119" t="s">
        <v>64</v>
      </c>
      <c r="F7" s="119" t="s">
        <v>65</v>
      </c>
      <c r="G7" s="119" t="s">
        <v>66</v>
      </c>
      <c r="H7" s="119" t="s">
        <v>66</v>
      </c>
      <c r="I7" s="119" t="s">
        <v>43</v>
      </c>
      <c r="J7" s="119" t="s">
        <v>44</v>
      </c>
      <c r="K7" s="119" t="s">
        <v>45</v>
      </c>
      <c r="L7" s="119" t="s">
        <v>65</v>
      </c>
      <c r="M7" s="119" t="s">
        <v>46</v>
      </c>
      <c r="N7" s="135">
        <v>0.08</v>
      </c>
      <c r="O7" s="135" t="s">
        <v>51</v>
      </c>
      <c r="P7" s="135"/>
      <c r="Q7" s="137">
        <v>0</v>
      </c>
      <c r="R7" s="137">
        <v>0</v>
      </c>
      <c r="S7" s="137">
        <v>150000</v>
      </c>
      <c r="T7" s="137">
        <f t="shared" si="0"/>
        <v>12000</v>
      </c>
      <c r="U7" s="137">
        <f t="shared" si="5"/>
        <v>162000</v>
      </c>
      <c r="V7" s="137">
        <v>145582.79999999999</v>
      </c>
      <c r="W7" s="137">
        <f t="shared" si="6"/>
        <v>16417.200000000012</v>
      </c>
      <c r="X7" s="137">
        <f t="shared" si="1"/>
        <v>15201.11111111112</v>
      </c>
      <c r="Y7" s="137">
        <f t="shared" si="7"/>
        <v>1216.0888888888912</v>
      </c>
      <c r="Z7" s="137">
        <v>109849.76529</v>
      </c>
      <c r="AA7" s="137">
        <f t="shared" si="2"/>
        <v>35733.034709999993</v>
      </c>
      <c r="AB7" s="146">
        <v>150000</v>
      </c>
      <c r="AC7" s="147">
        <f t="shared" si="4"/>
        <v>-40150.234710000004</v>
      </c>
      <c r="AD7" s="148">
        <v>101712.745638889</v>
      </c>
      <c r="AE7" s="149">
        <v>0</v>
      </c>
      <c r="AF7" s="137">
        <f t="shared" si="8"/>
        <v>0</v>
      </c>
      <c r="AG7" s="137"/>
      <c r="AH7" s="137"/>
      <c r="AI7" s="137"/>
      <c r="AJ7" s="135" t="s">
        <v>53</v>
      </c>
      <c r="AK7" s="153" t="s">
        <v>53</v>
      </c>
    </row>
    <row r="8" spans="1:39" s="119" customFormat="1" ht="15" customHeight="1" x14ac:dyDescent="0.3">
      <c r="A8" s="119">
        <v>2017</v>
      </c>
      <c r="B8" s="119" t="s">
        <v>38</v>
      </c>
      <c r="C8" s="119" t="s">
        <v>59</v>
      </c>
      <c r="D8" s="119" t="s">
        <v>60</v>
      </c>
      <c r="E8" s="119" t="s">
        <v>67</v>
      </c>
      <c r="F8" s="119" t="s">
        <v>68</v>
      </c>
      <c r="G8" s="119" t="s">
        <v>68</v>
      </c>
      <c r="H8" s="119" t="s">
        <v>68</v>
      </c>
      <c r="I8" s="119" t="s">
        <v>43</v>
      </c>
      <c r="J8" s="119" t="s">
        <v>44</v>
      </c>
      <c r="K8" s="119" t="s">
        <v>45</v>
      </c>
      <c r="L8" s="119" t="s">
        <v>68</v>
      </c>
      <c r="M8" s="119" t="s">
        <v>46</v>
      </c>
      <c r="N8" s="135">
        <v>0.1</v>
      </c>
      <c r="O8" s="135" t="s">
        <v>51</v>
      </c>
      <c r="P8" s="135"/>
      <c r="Q8" s="137">
        <v>0</v>
      </c>
      <c r="R8" s="137">
        <v>0</v>
      </c>
      <c r="S8" s="137">
        <v>170000</v>
      </c>
      <c r="T8" s="137">
        <f t="shared" si="0"/>
        <v>17000</v>
      </c>
      <c r="U8" s="137">
        <f t="shared" si="5"/>
        <v>187000</v>
      </c>
      <c r="V8" s="137">
        <v>176000</v>
      </c>
      <c r="W8" s="137">
        <f t="shared" si="6"/>
        <v>11000</v>
      </c>
      <c r="X8" s="137">
        <f t="shared" si="1"/>
        <v>10000</v>
      </c>
      <c r="Y8" s="137">
        <f t="shared" si="7"/>
        <v>1000</v>
      </c>
      <c r="Z8" s="137">
        <v>138152.41451</v>
      </c>
      <c r="AA8" s="137">
        <f t="shared" si="2"/>
        <v>37847.585489999998</v>
      </c>
      <c r="AB8" s="146">
        <f t="shared" si="3"/>
        <v>125593.1041</v>
      </c>
      <c r="AC8" s="147">
        <f t="shared" si="4"/>
        <v>12559.310410000006</v>
      </c>
      <c r="AD8" s="148">
        <v>125593.1041</v>
      </c>
      <c r="AE8" s="149">
        <v>0</v>
      </c>
      <c r="AF8" s="137">
        <f t="shared" si="8"/>
        <v>0</v>
      </c>
      <c r="AG8" s="137"/>
      <c r="AH8" s="137"/>
      <c r="AI8" s="137"/>
      <c r="AJ8" s="135" t="s">
        <v>69</v>
      </c>
      <c r="AK8" s="153" t="s">
        <v>69</v>
      </c>
    </row>
    <row r="9" spans="1:39" s="119" customFormat="1" ht="15" customHeight="1" x14ac:dyDescent="0.3">
      <c r="A9" s="119">
        <v>2017</v>
      </c>
      <c r="B9" s="119" t="s">
        <v>38</v>
      </c>
      <c r="C9" s="119" t="s">
        <v>39</v>
      </c>
      <c r="D9" s="119" t="s">
        <v>40</v>
      </c>
      <c r="E9" s="119" t="s">
        <v>48</v>
      </c>
      <c r="F9" s="119" t="s">
        <v>70</v>
      </c>
      <c r="G9" s="119" t="s">
        <v>70</v>
      </c>
      <c r="H9" s="119" t="s">
        <v>70</v>
      </c>
      <c r="I9" s="119" t="s">
        <v>43</v>
      </c>
      <c r="J9" s="119" t="s">
        <v>44</v>
      </c>
      <c r="K9" s="119" t="s">
        <v>45</v>
      </c>
      <c r="L9" s="119" t="s">
        <v>70</v>
      </c>
      <c r="M9" s="119" t="s">
        <v>46</v>
      </c>
      <c r="N9" s="135">
        <v>0.11</v>
      </c>
      <c r="O9" s="135" t="s">
        <v>51</v>
      </c>
      <c r="P9" s="135"/>
      <c r="Q9" s="137">
        <v>0</v>
      </c>
      <c r="R9" s="137">
        <v>0</v>
      </c>
      <c r="S9" s="137">
        <v>50000</v>
      </c>
      <c r="T9" s="137">
        <f t="shared" si="0"/>
        <v>5500</v>
      </c>
      <c r="U9" s="137">
        <f t="shared" si="5"/>
        <v>55500</v>
      </c>
      <c r="V9" s="137">
        <v>55500</v>
      </c>
      <c r="W9" s="137">
        <f t="shared" si="6"/>
        <v>0</v>
      </c>
      <c r="X9" s="137">
        <f t="shared" si="1"/>
        <v>0</v>
      </c>
      <c r="Y9" s="137">
        <f t="shared" si="7"/>
        <v>0</v>
      </c>
      <c r="Z9" s="137">
        <v>48110.9</v>
      </c>
      <c r="AA9" s="137">
        <f t="shared" si="2"/>
        <v>7389.0999999999985</v>
      </c>
      <c r="AB9" s="146">
        <f t="shared" si="3"/>
        <v>43343.153153153151</v>
      </c>
      <c r="AC9" s="147">
        <f t="shared" si="4"/>
        <v>4767.7468468468505</v>
      </c>
      <c r="AD9" s="148">
        <v>43343.153153153202</v>
      </c>
      <c r="AE9" s="149">
        <v>0</v>
      </c>
      <c r="AF9" s="137">
        <f t="shared" si="8"/>
        <v>0</v>
      </c>
      <c r="AG9" s="137"/>
      <c r="AH9" s="137"/>
      <c r="AI9" s="137"/>
      <c r="AJ9" s="136">
        <v>0.11</v>
      </c>
      <c r="AK9" s="152">
        <v>0.11</v>
      </c>
    </row>
    <row r="10" spans="1:39" s="119" customFormat="1" ht="15" customHeight="1" x14ac:dyDescent="0.3">
      <c r="A10" s="119">
        <v>2017</v>
      </c>
      <c r="B10" s="119" t="s">
        <v>38</v>
      </c>
      <c r="C10" s="119" t="s">
        <v>39</v>
      </c>
      <c r="D10" s="119" t="s">
        <v>40</v>
      </c>
      <c r="E10" s="119" t="s">
        <v>71</v>
      </c>
      <c r="F10" s="119" t="s">
        <v>72</v>
      </c>
      <c r="G10" s="119" t="s">
        <v>72</v>
      </c>
      <c r="H10" s="119" t="s">
        <v>72</v>
      </c>
      <c r="I10" s="119" t="s">
        <v>43</v>
      </c>
      <c r="J10" s="119" t="s">
        <v>44</v>
      </c>
      <c r="K10" s="119" t="s">
        <v>45</v>
      </c>
      <c r="L10" s="119" t="s">
        <v>73</v>
      </c>
      <c r="M10" s="119" t="s">
        <v>46</v>
      </c>
      <c r="N10" s="135">
        <v>0.08</v>
      </c>
      <c r="O10" s="135" t="s">
        <v>51</v>
      </c>
      <c r="P10" s="135"/>
      <c r="Q10" s="137">
        <v>0</v>
      </c>
      <c r="R10" s="137">
        <v>0</v>
      </c>
      <c r="S10" s="137">
        <v>10000</v>
      </c>
      <c r="T10" s="137">
        <f t="shared" si="0"/>
        <v>800</v>
      </c>
      <c r="U10" s="137">
        <f t="shared" si="5"/>
        <v>10800</v>
      </c>
      <c r="V10" s="137">
        <v>10800</v>
      </c>
      <c r="W10" s="137">
        <f t="shared" si="6"/>
        <v>0</v>
      </c>
      <c r="X10" s="137">
        <f t="shared" si="1"/>
        <v>0</v>
      </c>
      <c r="Y10" s="137">
        <f t="shared" si="7"/>
        <v>0</v>
      </c>
      <c r="Z10" s="137">
        <v>245</v>
      </c>
      <c r="AA10" s="137">
        <f t="shared" si="2"/>
        <v>10555</v>
      </c>
      <c r="AB10" s="146">
        <f t="shared" si="3"/>
        <v>226.85185185185185</v>
      </c>
      <c r="AC10" s="147">
        <f t="shared" si="4"/>
        <v>18.148148148148152</v>
      </c>
      <c r="AD10" s="148">
        <v>226.85185185185199</v>
      </c>
      <c r="AE10" s="149">
        <v>0</v>
      </c>
      <c r="AF10" s="137">
        <f t="shared" si="8"/>
        <v>0</v>
      </c>
      <c r="AG10" s="137"/>
      <c r="AH10" s="137"/>
      <c r="AI10" s="137"/>
      <c r="AJ10" s="135" t="s">
        <v>53</v>
      </c>
      <c r="AK10" s="153" t="s">
        <v>53</v>
      </c>
    </row>
    <row r="11" spans="1:39" s="119" customFormat="1" ht="15" customHeight="1" x14ac:dyDescent="0.3">
      <c r="A11" s="119">
        <v>2017</v>
      </c>
      <c r="B11" s="119" t="s">
        <v>38</v>
      </c>
      <c r="C11" s="119" t="s">
        <v>59</v>
      </c>
      <c r="D11" s="119" t="s">
        <v>60</v>
      </c>
      <c r="E11" s="119" t="s">
        <v>61</v>
      </c>
      <c r="F11" s="119" t="s">
        <v>74</v>
      </c>
      <c r="G11" s="119" t="s">
        <v>74</v>
      </c>
      <c r="H11" s="119" t="s">
        <v>74</v>
      </c>
      <c r="I11" s="119" t="s">
        <v>43</v>
      </c>
      <c r="J11" s="119" t="s">
        <v>44</v>
      </c>
      <c r="K11" s="119" t="s">
        <v>45</v>
      </c>
      <c r="L11" s="119" t="s">
        <v>74</v>
      </c>
      <c r="M11" s="119" t="s">
        <v>46</v>
      </c>
      <c r="N11" s="135">
        <v>0.1</v>
      </c>
      <c r="O11" s="135" t="s">
        <v>51</v>
      </c>
      <c r="P11" s="135"/>
      <c r="Q11" s="137">
        <v>0</v>
      </c>
      <c r="R11" s="137">
        <v>0</v>
      </c>
      <c r="S11" s="137">
        <v>10000</v>
      </c>
      <c r="T11" s="137">
        <f t="shared" si="0"/>
        <v>1000</v>
      </c>
      <c r="U11" s="137">
        <f t="shared" si="5"/>
        <v>11000</v>
      </c>
      <c r="V11" s="137">
        <v>10500</v>
      </c>
      <c r="W11" s="137">
        <f t="shared" si="6"/>
        <v>500</v>
      </c>
      <c r="X11" s="137">
        <f t="shared" si="1"/>
        <v>454.5454545454545</v>
      </c>
      <c r="Y11" s="137">
        <f t="shared" si="7"/>
        <v>45.454545454545496</v>
      </c>
      <c r="Z11" s="137">
        <v>10500</v>
      </c>
      <c r="AA11" s="137">
        <f t="shared" si="2"/>
        <v>0</v>
      </c>
      <c r="AB11" s="146">
        <f t="shared" si="3"/>
        <v>9545.4545454545441</v>
      </c>
      <c r="AC11" s="147">
        <f t="shared" si="4"/>
        <v>954.54545454545587</v>
      </c>
      <c r="AD11" s="148">
        <v>9545.4545454545405</v>
      </c>
      <c r="AE11" s="149">
        <v>0</v>
      </c>
      <c r="AF11" s="137">
        <f t="shared" si="8"/>
        <v>0</v>
      </c>
      <c r="AG11" s="137"/>
      <c r="AH11" s="137"/>
      <c r="AI11" s="137"/>
      <c r="AJ11" s="135" t="s">
        <v>69</v>
      </c>
      <c r="AK11" s="153" t="s">
        <v>69</v>
      </c>
    </row>
    <row r="12" spans="1:39" s="119" customFormat="1" ht="15" customHeight="1" x14ac:dyDescent="0.3">
      <c r="A12" s="119">
        <v>2017</v>
      </c>
      <c r="B12" s="119" t="s">
        <v>38</v>
      </c>
      <c r="C12" s="119" t="s">
        <v>75</v>
      </c>
      <c r="D12" s="119" t="s">
        <v>76</v>
      </c>
      <c r="E12" s="119" t="s">
        <v>77</v>
      </c>
      <c r="F12" s="119" t="s">
        <v>78</v>
      </c>
      <c r="G12" s="119" t="s">
        <v>78</v>
      </c>
      <c r="H12" s="119" t="s">
        <v>78</v>
      </c>
      <c r="I12" s="119" t="s">
        <v>43</v>
      </c>
      <c r="J12" s="119" t="s">
        <v>44</v>
      </c>
      <c r="K12" s="119" t="s">
        <v>45</v>
      </c>
      <c r="L12" s="119" t="s">
        <v>79</v>
      </c>
      <c r="M12" s="119" t="s">
        <v>46</v>
      </c>
      <c r="N12" s="135">
        <v>0.08</v>
      </c>
      <c r="O12" s="135" t="s">
        <v>51</v>
      </c>
      <c r="P12" s="135"/>
      <c r="Q12" s="137">
        <v>0</v>
      </c>
      <c r="R12" s="137">
        <v>0</v>
      </c>
      <c r="S12" s="137">
        <v>216924.4</v>
      </c>
      <c r="T12" s="137">
        <f t="shared" si="0"/>
        <v>17353.952000000001</v>
      </c>
      <c r="U12" s="137">
        <f t="shared" si="5"/>
        <v>234278.35199999998</v>
      </c>
      <c r="V12" s="137">
        <v>234278</v>
      </c>
      <c r="W12" s="137">
        <f t="shared" si="6"/>
        <v>0.35199999998440035</v>
      </c>
      <c r="X12" s="137">
        <f t="shared" si="1"/>
        <v>0.32592592591148178</v>
      </c>
      <c r="Y12" s="137">
        <f t="shared" si="7"/>
        <v>2.6074074072918563E-2</v>
      </c>
      <c r="Z12" s="137">
        <v>234278</v>
      </c>
      <c r="AA12" s="137">
        <f t="shared" si="2"/>
        <v>0</v>
      </c>
      <c r="AB12" s="146">
        <f t="shared" si="3"/>
        <v>216924.07407407407</v>
      </c>
      <c r="AC12" s="147">
        <f t="shared" si="4"/>
        <v>17353.925925925927</v>
      </c>
      <c r="AD12" s="148">
        <v>216924.07407407399</v>
      </c>
      <c r="AE12" s="149">
        <v>0</v>
      </c>
      <c r="AF12" s="137">
        <f t="shared" si="8"/>
        <v>0</v>
      </c>
      <c r="AG12" s="137"/>
      <c r="AH12" s="137"/>
      <c r="AI12" s="137"/>
      <c r="AJ12" s="136">
        <v>0.08</v>
      </c>
      <c r="AK12" s="152">
        <v>0.08</v>
      </c>
      <c r="AL12" s="119" t="s">
        <v>80</v>
      </c>
    </row>
    <row r="13" spans="1:39" s="119" customFormat="1" ht="15" customHeight="1" x14ac:dyDescent="0.3">
      <c r="A13" s="119">
        <v>2017</v>
      </c>
      <c r="B13" s="119" t="s">
        <v>38</v>
      </c>
      <c r="C13" s="119" t="s">
        <v>39</v>
      </c>
      <c r="D13" s="119" t="s">
        <v>81</v>
      </c>
      <c r="E13" s="119" t="s">
        <v>82</v>
      </c>
      <c r="F13" s="119" t="s">
        <v>83</v>
      </c>
      <c r="G13" s="119" t="s">
        <v>83</v>
      </c>
      <c r="H13" s="119" t="s">
        <v>83</v>
      </c>
      <c r="I13" s="119" t="s">
        <v>43</v>
      </c>
      <c r="J13" s="119" t="s">
        <v>44</v>
      </c>
      <c r="K13" s="119" t="s">
        <v>45</v>
      </c>
      <c r="L13" s="119" t="s">
        <v>84</v>
      </c>
      <c r="M13" s="119" t="s">
        <v>46</v>
      </c>
      <c r="N13" s="135">
        <v>0.13</v>
      </c>
      <c r="O13" s="135" t="s">
        <v>51</v>
      </c>
      <c r="P13" s="135"/>
      <c r="Q13" s="137">
        <v>0</v>
      </c>
      <c r="R13" s="137">
        <v>0</v>
      </c>
      <c r="S13" s="137">
        <v>100000</v>
      </c>
      <c r="T13" s="137">
        <f t="shared" si="0"/>
        <v>13000</v>
      </c>
      <c r="U13" s="137">
        <f t="shared" si="5"/>
        <v>113000</v>
      </c>
      <c r="V13" s="137">
        <v>100000</v>
      </c>
      <c r="W13" s="137">
        <f t="shared" si="6"/>
        <v>13000</v>
      </c>
      <c r="X13" s="137">
        <f t="shared" si="1"/>
        <v>11504.424778761064</v>
      </c>
      <c r="Y13" s="137">
        <f t="shared" si="7"/>
        <v>1495.5752212389361</v>
      </c>
      <c r="Z13" s="137">
        <v>53644.716710000001</v>
      </c>
      <c r="AA13" s="137">
        <f t="shared" si="2"/>
        <v>46355.283289999999</v>
      </c>
      <c r="AB13" s="146">
        <f t="shared" si="3"/>
        <v>47473.200628318591</v>
      </c>
      <c r="AC13" s="147">
        <f t="shared" si="4"/>
        <v>6171.5160816814096</v>
      </c>
      <c r="AD13" s="148">
        <v>47473.200628318598</v>
      </c>
      <c r="AE13" s="149">
        <v>0</v>
      </c>
      <c r="AF13" s="137">
        <f t="shared" si="8"/>
        <v>0</v>
      </c>
      <c r="AG13" s="137"/>
      <c r="AH13" s="137"/>
      <c r="AI13" s="137"/>
      <c r="AJ13" s="135" t="s">
        <v>85</v>
      </c>
      <c r="AK13" s="153" t="s">
        <v>85</v>
      </c>
    </row>
    <row r="14" spans="1:39" s="119" customFormat="1" ht="15" customHeight="1" x14ac:dyDescent="0.3">
      <c r="A14" s="119">
        <v>2017</v>
      </c>
      <c r="B14" s="119" t="s">
        <v>38</v>
      </c>
      <c r="C14" s="119" t="s">
        <v>39</v>
      </c>
      <c r="D14" s="119" t="s">
        <v>81</v>
      </c>
      <c r="E14" s="119" t="s">
        <v>82</v>
      </c>
      <c r="F14" s="119" t="s">
        <v>86</v>
      </c>
      <c r="G14" s="119" t="s">
        <v>86</v>
      </c>
      <c r="H14" s="119" t="s">
        <v>86</v>
      </c>
      <c r="I14" s="119" t="s">
        <v>43</v>
      </c>
      <c r="J14" s="119" t="s">
        <v>44</v>
      </c>
      <c r="K14" s="119" t="s">
        <v>45</v>
      </c>
      <c r="L14" s="119" t="s">
        <v>86</v>
      </c>
      <c r="M14" s="119" t="s">
        <v>46</v>
      </c>
      <c r="N14" s="135">
        <v>0.11</v>
      </c>
      <c r="O14" s="135" t="s">
        <v>51</v>
      </c>
      <c r="P14" s="135"/>
      <c r="Q14" s="137">
        <v>0</v>
      </c>
      <c r="R14" s="137">
        <v>0</v>
      </c>
      <c r="S14" s="137">
        <v>50000</v>
      </c>
      <c r="T14" s="137">
        <f t="shared" si="0"/>
        <v>5500</v>
      </c>
      <c r="U14" s="137">
        <f t="shared" si="5"/>
        <v>55500</v>
      </c>
      <c r="V14" s="137">
        <v>55500</v>
      </c>
      <c r="W14" s="137">
        <f t="shared" si="6"/>
        <v>0</v>
      </c>
      <c r="X14" s="137">
        <f t="shared" si="1"/>
        <v>0</v>
      </c>
      <c r="Y14" s="137">
        <f t="shared" si="7"/>
        <v>0</v>
      </c>
      <c r="Z14" s="137">
        <v>35357.4</v>
      </c>
      <c r="AA14" s="137">
        <f t="shared" si="2"/>
        <v>20142.599999999999</v>
      </c>
      <c r="AB14" s="146">
        <f t="shared" si="3"/>
        <v>31853.513513513513</v>
      </c>
      <c r="AC14" s="147">
        <f t="shared" si="4"/>
        <v>3503.8864864864881</v>
      </c>
      <c r="AD14" s="148">
        <v>12100.180180180199</v>
      </c>
      <c r="AE14" s="149">
        <v>0</v>
      </c>
      <c r="AF14" s="137">
        <f t="shared" si="8"/>
        <v>0</v>
      </c>
      <c r="AG14" s="137"/>
      <c r="AH14" s="137"/>
      <c r="AI14" s="137"/>
      <c r="AJ14" s="136">
        <v>0.11</v>
      </c>
      <c r="AK14" s="152">
        <v>0.11</v>
      </c>
      <c r="AL14" s="119" t="s">
        <v>58</v>
      </c>
    </row>
    <row r="15" spans="1:39" s="119" customFormat="1" ht="15" customHeight="1" x14ac:dyDescent="0.3">
      <c r="A15" s="119">
        <v>2017</v>
      </c>
      <c r="B15" s="119" t="s">
        <v>38</v>
      </c>
      <c r="C15" s="119" t="s">
        <v>39</v>
      </c>
      <c r="D15" s="119" t="s">
        <v>40</v>
      </c>
      <c r="E15" s="119" t="s">
        <v>48</v>
      </c>
      <c r="F15" s="119" t="s">
        <v>87</v>
      </c>
      <c r="G15" s="119" t="s">
        <v>87</v>
      </c>
      <c r="H15" s="119" t="s">
        <v>87</v>
      </c>
      <c r="I15" s="119" t="s">
        <v>43</v>
      </c>
      <c r="J15" s="119" t="s">
        <v>44</v>
      </c>
      <c r="K15" s="119" t="s">
        <v>45</v>
      </c>
      <c r="L15" s="119" t="s">
        <v>87</v>
      </c>
      <c r="M15" s="119" t="s">
        <v>46</v>
      </c>
      <c r="N15" s="135">
        <v>0.08</v>
      </c>
      <c r="O15" s="135" t="s">
        <v>51</v>
      </c>
      <c r="P15" s="135"/>
      <c r="Q15" s="137">
        <v>0</v>
      </c>
      <c r="R15" s="137">
        <v>0</v>
      </c>
      <c r="S15" s="137">
        <v>370000</v>
      </c>
      <c r="T15" s="137">
        <f t="shared" si="0"/>
        <v>29600</v>
      </c>
      <c r="U15" s="137">
        <f t="shared" si="5"/>
        <v>399600</v>
      </c>
      <c r="V15" s="137">
        <v>394800</v>
      </c>
      <c r="W15" s="137">
        <f t="shared" si="6"/>
        <v>4800</v>
      </c>
      <c r="X15" s="137">
        <f t="shared" si="1"/>
        <v>4444.4444444444443</v>
      </c>
      <c r="Y15" s="137">
        <f t="shared" si="7"/>
        <v>355.55555555555566</v>
      </c>
      <c r="Z15" s="137">
        <v>379365.79</v>
      </c>
      <c r="AA15" s="137">
        <f t="shared" si="2"/>
        <v>15434.210000000021</v>
      </c>
      <c r="AB15" s="146">
        <f t="shared" si="3"/>
        <v>351264.62037037034</v>
      </c>
      <c r="AC15" s="147">
        <f t="shared" si="4"/>
        <v>28101.169629629643</v>
      </c>
      <c r="AD15" s="148">
        <v>351264.62037036999</v>
      </c>
      <c r="AE15" s="149">
        <v>0</v>
      </c>
      <c r="AF15" s="137">
        <f t="shared" si="8"/>
        <v>0</v>
      </c>
      <c r="AG15" s="137"/>
      <c r="AH15" s="137"/>
      <c r="AI15" s="137"/>
      <c r="AJ15" s="135" t="s">
        <v>53</v>
      </c>
      <c r="AK15" s="153" t="s">
        <v>53</v>
      </c>
    </row>
    <row r="16" spans="1:39" s="119" customFormat="1" ht="15" customHeight="1" x14ac:dyDescent="0.3">
      <c r="A16" s="119">
        <v>2017</v>
      </c>
      <c r="B16" s="119" t="s">
        <v>38</v>
      </c>
      <c r="C16" s="119" t="s">
        <v>88</v>
      </c>
      <c r="D16" s="119" t="s">
        <v>89</v>
      </c>
      <c r="E16" s="119" t="s">
        <v>90</v>
      </c>
      <c r="F16" s="119" t="s">
        <v>91</v>
      </c>
      <c r="G16" s="119" t="s">
        <v>91</v>
      </c>
      <c r="H16" s="119" t="s">
        <v>91</v>
      </c>
      <c r="I16" s="119" t="s">
        <v>43</v>
      </c>
      <c r="J16" s="119" t="s">
        <v>44</v>
      </c>
      <c r="K16" s="119" t="s">
        <v>45</v>
      </c>
      <c r="L16" s="119" t="s">
        <v>91</v>
      </c>
      <c r="M16" s="119" t="s">
        <v>46</v>
      </c>
      <c r="N16" s="135">
        <v>0</v>
      </c>
      <c r="O16" s="135" t="s">
        <v>47</v>
      </c>
      <c r="P16" s="135"/>
      <c r="Q16" s="137">
        <v>0</v>
      </c>
      <c r="R16" s="137">
        <v>0</v>
      </c>
      <c r="S16" s="137">
        <v>20000</v>
      </c>
      <c r="T16" s="137">
        <f t="shared" si="0"/>
        <v>0</v>
      </c>
      <c r="U16" s="137">
        <f t="shared" si="5"/>
        <v>20000</v>
      </c>
      <c r="V16" s="137">
        <v>20000</v>
      </c>
      <c r="W16" s="137">
        <f t="shared" si="6"/>
        <v>0</v>
      </c>
      <c r="X16" s="137">
        <f t="shared" si="1"/>
        <v>0</v>
      </c>
      <c r="Y16" s="137">
        <f t="shared" si="7"/>
        <v>0</v>
      </c>
      <c r="Z16" s="137">
        <v>7708.5</v>
      </c>
      <c r="AA16" s="137">
        <f t="shared" si="2"/>
        <v>12291.5</v>
      </c>
      <c r="AB16" s="146">
        <f t="shared" si="3"/>
        <v>7708.5</v>
      </c>
      <c r="AC16" s="147">
        <f t="shared" si="4"/>
        <v>0</v>
      </c>
      <c r="AD16" s="148">
        <v>7708.5</v>
      </c>
      <c r="AE16" s="149">
        <v>0</v>
      </c>
      <c r="AF16" s="137">
        <f t="shared" si="8"/>
        <v>0</v>
      </c>
      <c r="AG16" s="137"/>
      <c r="AH16" s="137"/>
      <c r="AI16" s="137"/>
      <c r="AJ16" s="135" t="s">
        <v>47</v>
      </c>
      <c r="AK16" s="153" t="s">
        <v>47</v>
      </c>
    </row>
    <row r="17" spans="1:38" s="119" customFormat="1" ht="15" customHeight="1" x14ac:dyDescent="0.3">
      <c r="A17" s="119">
        <v>2017</v>
      </c>
      <c r="B17" s="119" t="s">
        <v>38</v>
      </c>
      <c r="C17" s="119" t="s">
        <v>39</v>
      </c>
      <c r="D17" s="119" t="s">
        <v>40</v>
      </c>
      <c r="E17" s="119" t="s">
        <v>71</v>
      </c>
      <c r="F17" s="119" t="s">
        <v>92</v>
      </c>
      <c r="G17" s="119" t="s">
        <v>92</v>
      </c>
      <c r="H17" s="119" t="s">
        <v>92</v>
      </c>
      <c r="I17" s="119" t="s">
        <v>43</v>
      </c>
      <c r="J17" s="119" t="s">
        <v>44</v>
      </c>
      <c r="K17" s="119" t="s">
        <v>45</v>
      </c>
      <c r="L17" s="119" t="s">
        <v>93</v>
      </c>
      <c r="M17" s="119" t="s">
        <v>46</v>
      </c>
      <c r="N17" s="135">
        <v>0.11</v>
      </c>
      <c r="O17" s="135" t="s">
        <v>51</v>
      </c>
      <c r="P17" s="135"/>
      <c r="Q17" s="137">
        <v>0</v>
      </c>
      <c r="R17" s="137">
        <v>0</v>
      </c>
      <c r="S17" s="137">
        <v>9009</v>
      </c>
      <c r="T17" s="137">
        <f t="shared" si="0"/>
        <v>990.99</v>
      </c>
      <c r="U17" s="137">
        <f t="shared" si="5"/>
        <v>9999.99</v>
      </c>
      <c r="V17" s="137">
        <v>10000</v>
      </c>
      <c r="W17" s="137">
        <f t="shared" si="6"/>
        <v>-1.0000000000218279E-2</v>
      </c>
      <c r="X17" s="137">
        <f t="shared" si="1"/>
        <v>-9.0090090092056554E-3</v>
      </c>
      <c r="Y17" s="137">
        <f t="shared" si="7"/>
        <v>-9.9099099101262328E-4</v>
      </c>
      <c r="Z17" s="137">
        <v>1921.5009700000001</v>
      </c>
      <c r="AA17" s="137">
        <f t="shared" si="2"/>
        <v>8078.4990299999999</v>
      </c>
      <c r="AB17" s="146">
        <f t="shared" si="3"/>
        <v>1731.0819549549549</v>
      </c>
      <c r="AC17" s="147">
        <f t="shared" si="4"/>
        <v>190.41901504504517</v>
      </c>
      <c r="AD17" s="148">
        <v>1731.0819549549501</v>
      </c>
      <c r="AE17" s="149">
        <v>0</v>
      </c>
      <c r="AF17" s="137">
        <f t="shared" si="8"/>
        <v>0</v>
      </c>
      <c r="AG17" s="137"/>
      <c r="AH17" s="137"/>
      <c r="AI17" s="137"/>
      <c r="AJ17" s="135" t="s">
        <v>94</v>
      </c>
      <c r="AK17" s="153" t="s">
        <v>94</v>
      </c>
    </row>
    <row r="18" spans="1:38" s="119" customFormat="1" ht="15" customHeight="1" x14ac:dyDescent="0.3">
      <c r="A18" s="119">
        <v>2017</v>
      </c>
      <c r="B18" s="119" t="s">
        <v>38</v>
      </c>
      <c r="C18" s="119" t="s">
        <v>88</v>
      </c>
      <c r="D18" s="119" t="s">
        <v>95</v>
      </c>
      <c r="E18" s="119" t="s">
        <v>96</v>
      </c>
      <c r="F18" s="119" t="s">
        <v>97</v>
      </c>
      <c r="G18" s="119" t="s">
        <v>97</v>
      </c>
      <c r="H18" s="119" t="s">
        <v>97</v>
      </c>
      <c r="I18" s="119" t="s">
        <v>43</v>
      </c>
      <c r="J18" s="119" t="s">
        <v>44</v>
      </c>
      <c r="K18" s="119" t="s">
        <v>45</v>
      </c>
      <c r="L18" s="119" t="s">
        <v>97</v>
      </c>
      <c r="M18" s="119" t="s">
        <v>46</v>
      </c>
      <c r="N18" s="135">
        <v>0.08</v>
      </c>
      <c r="O18" s="135" t="s">
        <v>51</v>
      </c>
      <c r="P18" s="135"/>
      <c r="Q18" s="137">
        <v>0</v>
      </c>
      <c r="R18" s="137">
        <v>0</v>
      </c>
      <c r="S18" s="137">
        <v>30000</v>
      </c>
      <c r="T18" s="137">
        <f t="shared" si="0"/>
        <v>2400</v>
      </c>
      <c r="U18" s="137">
        <f t="shared" si="5"/>
        <v>32400</v>
      </c>
      <c r="V18" s="137">
        <v>31600</v>
      </c>
      <c r="W18" s="137">
        <f t="shared" si="6"/>
        <v>800</v>
      </c>
      <c r="X18" s="137">
        <f t="shared" si="1"/>
        <v>740.74074074074065</v>
      </c>
      <c r="Y18" s="137">
        <f t="shared" si="7"/>
        <v>59.259259259259352</v>
      </c>
      <c r="Z18" s="137">
        <v>19806.419999999998</v>
      </c>
      <c r="AA18" s="137">
        <f t="shared" si="2"/>
        <v>11793.580000000002</v>
      </c>
      <c r="AB18" s="146">
        <f t="shared" si="3"/>
        <v>18339.277777777774</v>
      </c>
      <c r="AC18" s="147">
        <f t="shared" si="4"/>
        <v>1467.1422222222245</v>
      </c>
      <c r="AD18" s="148">
        <v>18339.277777777799</v>
      </c>
      <c r="AE18" s="149">
        <v>0</v>
      </c>
      <c r="AF18" s="137">
        <f t="shared" si="8"/>
        <v>0</v>
      </c>
      <c r="AG18" s="137"/>
      <c r="AH18" s="137"/>
      <c r="AI18" s="137"/>
      <c r="AJ18" s="135" t="s">
        <v>53</v>
      </c>
      <c r="AK18" s="153" t="s">
        <v>53</v>
      </c>
    </row>
    <row r="19" spans="1:38" s="119" customFormat="1" ht="15" customHeight="1" x14ac:dyDescent="0.3">
      <c r="A19" s="119">
        <v>2017</v>
      </c>
      <c r="B19" s="119" t="s">
        <v>38</v>
      </c>
      <c r="C19" s="119" t="s">
        <v>88</v>
      </c>
      <c r="D19" s="119" t="s">
        <v>95</v>
      </c>
      <c r="E19" s="119" t="s">
        <v>98</v>
      </c>
      <c r="F19" s="119" t="s">
        <v>99</v>
      </c>
      <c r="G19" s="119" t="s">
        <v>99</v>
      </c>
      <c r="H19" s="119" t="s">
        <v>99</v>
      </c>
      <c r="I19" s="119" t="s">
        <v>43</v>
      </c>
      <c r="J19" s="119" t="s">
        <v>44</v>
      </c>
      <c r="K19" s="119" t="s">
        <v>45</v>
      </c>
      <c r="L19" s="119" t="s">
        <v>100</v>
      </c>
      <c r="M19" s="119" t="s">
        <v>46</v>
      </c>
      <c r="N19" s="135">
        <v>0.08</v>
      </c>
      <c r="O19" s="135" t="s">
        <v>51</v>
      </c>
      <c r="P19" s="135"/>
      <c r="Q19" s="137">
        <v>0</v>
      </c>
      <c r="R19" s="137">
        <v>0</v>
      </c>
      <c r="S19" s="137">
        <v>100000</v>
      </c>
      <c r="T19" s="137">
        <f t="shared" si="0"/>
        <v>8000</v>
      </c>
      <c r="U19" s="137">
        <f t="shared" si="5"/>
        <v>108000</v>
      </c>
      <c r="V19" s="137">
        <v>108000</v>
      </c>
      <c r="W19" s="137">
        <f t="shared" si="6"/>
        <v>0</v>
      </c>
      <c r="X19" s="137">
        <f t="shared" si="1"/>
        <v>0</v>
      </c>
      <c r="Y19" s="137">
        <f t="shared" si="7"/>
        <v>0</v>
      </c>
      <c r="Z19" s="137">
        <v>56012.58</v>
      </c>
      <c r="AA19" s="137">
        <f t="shared" si="2"/>
        <v>51987.42</v>
      </c>
      <c r="AB19" s="146">
        <f t="shared" si="3"/>
        <v>51863.5</v>
      </c>
      <c r="AC19" s="147">
        <f t="shared" si="4"/>
        <v>4149.0800000000017</v>
      </c>
      <c r="AD19" s="148">
        <v>51863.5</v>
      </c>
      <c r="AE19" s="149">
        <v>0</v>
      </c>
      <c r="AF19" s="137">
        <f t="shared" si="8"/>
        <v>0</v>
      </c>
      <c r="AG19" s="137"/>
      <c r="AH19" s="137"/>
      <c r="AI19" s="137"/>
      <c r="AJ19" s="135" t="s">
        <v>101</v>
      </c>
      <c r="AK19" s="153" t="s">
        <v>101</v>
      </c>
    </row>
    <row r="20" spans="1:38" s="119" customFormat="1" ht="15" customHeight="1" x14ac:dyDescent="0.3">
      <c r="A20" s="119">
        <v>2017</v>
      </c>
      <c r="B20" s="119" t="s">
        <v>38</v>
      </c>
      <c r="C20" s="119" t="s">
        <v>54</v>
      </c>
      <c r="D20" s="119" t="s">
        <v>102</v>
      </c>
      <c r="E20" s="119" t="s">
        <v>103</v>
      </c>
      <c r="F20" s="119" t="s">
        <v>104</v>
      </c>
      <c r="G20" s="119" t="s">
        <v>104</v>
      </c>
      <c r="H20" s="119" t="s">
        <v>104</v>
      </c>
      <c r="I20" s="119" t="s">
        <v>43</v>
      </c>
      <c r="J20" s="119" t="s">
        <v>44</v>
      </c>
      <c r="K20" s="119" t="s">
        <v>45</v>
      </c>
      <c r="L20" s="119" t="s">
        <v>105</v>
      </c>
      <c r="M20" s="119" t="s">
        <v>46</v>
      </c>
      <c r="N20" s="135">
        <v>0.05</v>
      </c>
      <c r="O20" s="135" t="s">
        <v>51</v>
      </c>
      <c r="P20" s="135"/>
      <c r="Q20" s="137">
        <v>0</v>
      </c>
      <c r="R20" s="137">
        <v>0</v>
      </c>
      <c r="S20" s="137">
        <v>10000</v>
      </c>
      <c r="T20" s="137">
        <f t="shared" si="0"/>
        <v>500</v>
      </c>
      <c r="U20" s="137">
        <f t="shared" si="5"/>
        <v>10500</v>
      </c>
      <c r="V20" s="137">
        <v>10000</v>
      </c>
      <c r="W20" s="137">
        <f t="shared" si="6"/>
        <v>500</v>
      </c>
      <c r="X20" s="137">
        <f t="shared" si="1"/>
        <v>476.19047619047615</v>
      </c>
      <c r="Y20" s="137">
        <f t="shared" si="7"/>
        <v>23.809523809523853</v>
      </c>
      <c r="Z20" s="137">
        <v>4672.1000000000004</v>
      </c>
      <c r="AA20" s="137">
        <f t="shared" si="2"/>
        <v>5327.9</v>
      </c>
      <c r="AB20" s="146">
        <f t="shared" si="3"/>
        <v>4449.6190476190477</v>
      </c>
      <c r="AC20" s="147">
        <f t="shared" si="4"/>
        <v>222.48095238095266</v>
      </c>
      <c r="AD20" s="148">
        <v>4449.6190476190504</v>
      </c>
      <c r="AE20" s="149">
        <v>0</v>
      </c>
      <c r="AF20" s="137">
        <f t="shared" si="8"/>
        <v>0</v>
      </c>
      <c r="AG20" s="137"/>
      <c r="AH20" s="137"/>
      <c r="AI20" s="137"/>
      <c r="AJ20" s="135" t="s">
        <v>63</v>
      </c>
      <c r="AK20" s="153" t="s">
        <v>63</v>
      </c>
    </row>
    <row r="21" spans="1:38" s="119" customFormat="1" ht="15" customHeight="1" x14ac:dyDescent="0.3">
      <c r="A21" s="119">
        <v>2017</v>
      </c>
      <c r="B21" s="119" t="s">
        <v>38</v>
      </c>
      <c r="C21" s="119" t="s">
        <v>59</v>
      </c>
      <c r="D21" s="119" t="s">
        <v>106</v>
      </c>
      <c r="E21" s="119" t="s">
        <v>107</v>
      </c>
      <c r="F21" s="119" t="s">
        <v>108</v>
      </c>
      <c r="G21" s="119" t="s">
        <v>108</v>
      </c>
      <c r="H21" s="119" t="s">
        <v>108</v>
      </c>
      <c r="I21" s="119" t="s">
        <v>43</v>
      </c>
      <c r="J21" s="119" t="s">
        <v>44</v>
      </c>
      <c r="K21" s="119" t="s">
        <v>45</v>
      </c>
      <c r="L21" s="119" t="s">
        <v>109</v>
      </c>
      <c r="M21" s="119" t="s">
        <v>46</v>
      </c>
      <c r="N21" s="135">
        <v>0.05</v>
      </c>
      <c r="O21" s="135" t="s">
        <v>51</v>
      </c>
      <c r="P21" s="135"/>
      <c r="Q21" s="137">
        <v>0</v>
      </c>
      <c r="R21" s="137">
        <v>0</v>
      </c>
      <c r="S21" s="137">
        <v>35000</v>
      </c>
      <c r="T21" s="137">
        <f t="shared" si="0"/>
        <v>1750</v>
      </c>
      <c r="U21" s="137">
        <f t="shared" si="5"/>
        <v>36750</v>
      </c>
      <c r="V21" s="137">
        <v>36750</v>
      </c>
      <c r="W21" s="137">
        <f t="shared" si="6"/>
        <v>0</v>
      </c>
      <c r="X21" s="137">
        <f t="shared" si="1"/>
        <v>0</v>
      </c>
      <c r="Y21" s="137">
        <f t="shared" si="7"/>
        <v>0</v>
      </c>
      <c r="Z21" s="137">
        <v>35750.22</v>
      </c>
      <c r="AA21" s="137">
        <f t="shared" si="2"/>
        <v>999.77999999999884</v>
      </c>
      <c r="AB21" s="146">
        <f t="shared" si="3"/>
        <v>34047.828571428574</v>
      </c>
      <c r="AC21" s="147">
        <f t="shared" si="4"/>
        <v>1702.3914285714272</v>
      </c>
      <c r="AD21" s="148">
        <v>34047.828571428603</v>
      </c>
      <c r="AE21" s="149">
        <v>0</v>
      </c>
      <c r="AF21" s="137">
        <f t="shared" si="8"/>
        <v>0</v>
      </c>
      <c r="AG21" s="137"/>
      <c r="AH21" s="137"/>
      <c r="AI21" s="137"/>
      <c r="AJ21" s="135" t="s">
        <v>63</v>
      </c>
      <c r="AK21" s="153" t="s">
        <v>63</v>
      </c>
      <c r="AL21" s="119" t="s">
        <v>58</v>
      </c>
    </row>
    <row r="22" spans="1:38" s="119" customFormat="1" ht="15" customHeight="1" x14ac:dyDescent="0.3">
      <c r="A22" s="119">
        <v>2017</v>
      </c>
      <c r="B22" s="119" t="s">
        <v>38</v>
      </c>
      <c r="C22" s="119" t="s">
        <v>110</v>
      </c>
      <c r="D22" s="119" t="s">
        <v>111</v>
      </c>
      <c r="E22" s="119" t="s">
        <v>112</v>
      </c>
      <c r="F22" s="119" t="s">
        <v>113</v>
      </c>
      <c r="G22" s="119" t="s">
        <v>113</v>
      </c>
      <c r="H22" s="119" t="s">
        <v>113</v>
      </c>
      <c r="I22" s="119" t="s">
        <v>43</v>
      </c>
      <c r="J22" s="119" t="s">
        <v>44</v>
      </c>
      <c r="K22" s="119" t="s">
        <v>45</v>
      </c>
      <c r="L22" s="119" t="s">
        <v>114</v>
      </c>
      <c r="M22" s="119" t="s">
        <v>46</v>
      </c>
      <c r="N22" s="135">
        <v>0.05</v>
      </c>
      <c r="O22" s="135" t="s">
        <v>51</v>
      </c>
      <c r="P22" s="135"/>
      <c r="Q22" s="137">
        <v>0</v>
      </c>
      <c r="R22" s="137">
        <v>0</v>
      </c>
      <c r="S22" s="137">
        <v>70000</v>
      </c>
      <c r="T22" s="137">
        <f t="shared" si="0"/>
        <v>3500</v>
      </c>
      <c r="U22" s="137">
        <f t="shared" si="5"/>
        <v>73500</v>
      </c>
      <c r="V22" s="137">
        <v>63000</v>
      </c>
      <c r="W22" s="137">
        <f t="shared" si="6"/>
        <v>10500</v>
      </c>
      <c r="X22" s="137">
        <f t="shared" si="1"/>
        <v>10000</v>
      </c>
      <c r="Y22" s="137">
        <f t="shared" si="7"/>
        <v>500</v>
      </c>
      <c r="Z22" s="137">
        <v>62989.79</v>
      </c>
      <c r="AA22" s="137">
        <f t="shared" si="2"/>
        <v>10.209999999999127</v>
      </c>
      <c r="AB22" s="146">
        <f t="shared" si="3"/>
        <v>59990.276190476186</v>
      </c>
      <c r="AC22" s="147">
        <f t="shared" si="4"/>
        <v>2999.5138095238144</v>
      </c>
      <c r="AD22" s="148">
        <v>59990.276190476201</v>
      </c>
      <c r="AE22" s="149">
        <v>0</v>
      </c>
      <c r="AF22" s="137">
        <f t="shared" si="8"/>
        <v>0</v>
      </c>
      <c r="AG22" s="137"/>
      <c r="AH22" s="137"/>
      <c r="AI22" s="137"/>
      <c r="AJ22" s="136">
        <v>0.05</v>
      </c>
      <c r="AK22" s="152">
        <v>0.05</v>
      </c>
    </row>
    <row r="23" spans="1:38" s="119" customFormat="1" ht="15" customHeight="1" x14ac:dyDescent="0.3">
      <c r="A23" s="119">
        <v>2017</v>
      </c>
      <c r="B23" s="119" t="s">
        <v>38</v>
      </c>
      <c r="C23" s="119" t="s">
        <v>54</v>
      </c>
      <c r="D23" s="119" t="s">
        <v>102</v>
      </c>
      <c r="E23" s="119" t="s">
        <v>115</v>
      </c>
      <c r="F23" s="119" t="s">
        <v>116</v>
      </c>
      <c r="G23" s="119" t="s">
        <v>116</v>
      </c>
      <c r="H23" s="119" t="s">
        <v>116</v>
      </c>
      <c r="I23" s="119" t="s">
        <v>43</v>
      </c>
      <c r="J23" s="119" t="s">
        <v>44</v>
      </c>
      <c r="K23" s="119" t="s">
        <v>45</v>
      </c>
      <c r="L23" s="119" t="s">
        <v>116</v>
      </c>
      <c r="M23" s="119" t="s">
        <v>46</v>
      </c>
      <c r="N23" s="135">
        <v>0.12</v>
      </c>
      <c r="O23" s="135" t="s">
        <v>51</v>
      </c>
      <c r="P23" s="135"/>
      <c r="Q23" s="137">
        <v>0</v>
      </c>
      <c r="R23" s="137">
        <v>0</v>
      </c>
      <c r="S23" s="137">
        <v>36785.72</v>
      </c>
      <c r="T23" s="137">
        <f t="shared" si="0"/>
        <v>4414.2864</v>
      </c>
      <c r="U23" s="137">
        <f t="shared" si="5"/>
        <v>41200.006399999998</v>
      </c>
      <c r="V23" s="137">
        <v>41200</v>
      </c>
      <c r="W23" s="137">
        <f t="shared" si="6"/>
        <v>6.3999999983934686E-3</v>
      </c>
      <c r="X23" s="137">
        <f t="shared" si="1"/>
        <v>5.7142857128513105E-3</v>
      </c>
      <c r="Y23" s="137">
        <f t="shared" si="7"/>
        <v>6.8571428554215809E-4</v>
      </c>
      <c r="Z23" s="137">
        <v>27741.4</v>
      </c>
      <c r="AA23" s="137">
        <f t="shared" si="2"/>
        <v>13458.599999999999</v>
      </c>
      <c r="AB23" s="146">
        <f t="shared" si="3"/>
        <v>24769.107142857141</v>
      </c>
      <c r="AC23" s="147">
        <f t="shared" si="4"/>
        <v>2972.2928571428602</v>
      </c>
      <c r="AD23" s="148">
        <v>24769.107142857101</v>
      </c>
      <c r="AE23" s="149">
        <v>0</v>
      </c>
      <c r="AF23" s="137">
        <f t="shared" si="8"/>
        <v>0</v>
      </c>
      <c r="AG23" s="137"/>
      <c r="AH23" s="137"/>
      <c r="AI23" s="137"/>
      <c r="AJ23" s="135" t="s">
        <v>117</v>
      </c>
      <c r="AK23" s="153" t="s">
        <v>117</v>
      </c>
    </row>
    <row r="24" spans="1:38" s="119" customFormat="1" ht="15" customHeight="1" x14ac:dyDescent="0.3">
      <c r="A24" s="119">
        <v>2017</v>
      </c>
      <c r="B24" s="119" t="s">
        <v>38</v>
      </c>
      <c r="C24" s="119" t="s">
        <v>75</v>
      </c>
      <c r="D24" s="119" t="s">
        <v>76</v>
      </c>
      <c r="E24" s="119" t="s">
        <v>118</v>
      </c>
      <c r="F24" s="119" t="s">
        <v>119</v>
      </c>
      <c r="G24" s="119" t="s">
        <v>119</v>
      </c>
      <c r="H24" s="119" t="s">
        <v>119</v>
      </c>
      <c r="I24" s="119" t="s">
        <v>43</v>
      </c>
      <c r="J24" s="119" t="s">
        <v>44</v>
      </c>
      <c r="K24" s="119" t="s">
        <v>45</v>
      </c>
      <c r="L24" s="119" t="s">
        <v>119</v>
      </c>
      <c r="M24" s="119" t="s">
        <v>46</v>
      </c>
      <c r="N24" s="135">
        <v>0.1</v>
      </c>
      <c r="O24" s="135" t="s">
        <v>51</v>
      </c>
      <c r="P24" s="135"/>
      <c r="Q24" s="137">
        <v>0</v>
      </c>
      <c r="R24" s="137">
        <v>0</v>
      </c>
      <c r="S24" s="137">
        <v>223731.37</v>
      </c>
      <c r="T24" s="137">
        <f t="shared" si="0"/>
        <v>22373.137000000002</v>
      </c>
      <c r="U24" s="137">
        <f t="shared" si="5"/>
        <v>246104.50699999998</v>
      </c>
      <c r="V24" s="137">
        <v>246105</v>
      </c>
      <c r="W24" s="137">
        <f t="shared" si="6"/>
        <v>-0.49300000001676381</v>
      </c>
      <c r="X24" s="137">
        <f t="shared" si="1"/>
        <v>-0.44818181819705799</v>
      </c>
      <c r="Y24" s="137">
        <f t="shared" si="7"/>
        <v>-4.4818181819705816E-2</v>
      </c>
      <c r="Z24" s="137">
        <v>213310.07999999999</v>
      </c>
      <c r="AA24" s="137">
        <f t="shared" si="2"/>
        <v>32794.920000000013</v>
      </c>
      <c r="AB24" s="146">
        <f t="shared" si="3"/>
        <v>193918.25454545452</v>
      </c>
      <c r="AC24" s="147">
        <f t="shared" si="4"/>
        <v>19391.825454545469</v>
      </c>
      <c r="AD24" s="148">
        <v>193918.25454545501</v>
      </c>
      <c r="AE24" s="149">
        <v>0</v>
      </c>
      <c r="AF24" s="137">
        <f t="shared" si="8"/>
        <v>0</v>
      </c>
      <c r="AG24" s="137"/>
      <c r="AH24" s="137"/>
      <c r="AI24" s="137"/>
      <c r="AJ24" s="135" t="s">
        <v>69</v>
      </c>
      <c r="AK24" s="153" t="s">
        <v>120</v>
      </c>
      <c r="AL24" s="119" t="s">
        <v>121</v>
      </c>
    </row>
    <row r="25" spans="1:38" s="119" customFormat="1" ht="15" customHeight="1" x14ac:dyDescent="0.3">
      <c r="A25" s="119">
        <v>2017</v>
      </c>
      <c r="B25" s="119" t="s">
        <v>38</v>
      </c>
      <c r="C25" s="119" t="s">
        <v>39</v>
      </c>
      <c r="D25" s="119" t="s">
        <v>40</v>
      </c>
      <c r="E25" s="119" t="s">
        <v>41</v>
      </c>
      <c r="F25" s="119" t="s">
        <v>122</v>
      </c>
      <c r="G25" s="119" t="s">
        <v>122</v>
      </c>
      <c r="H25" s="119" t="s">
        <v>122</v>
      </c>
      <c r="I25" s="119" t="s">
        <v>43</v>
      </c>
      <c r="J25" s="119" t="s">
        <v>44</v>
      </c>
      <c r="K25" s="119" t="s">
        <v>45</v>
      </c>
      <c r="L25" s="119" t="s">
        <v>123</v>
      </c>
      <c r="M25" s="119" t="s">
        <v>46</v>
      </c>
      <c r="N25" s="135">
        <v>0.08</v>
      </c>
      <c r="O25" s="135" t="s">
        <v>51</v>
      </c>
      <c r="P25" s="135"/>
      <c r="Q25" s="137">
        <v>0</v>
      </c>
      <c r="R25" s="137">
        <v>0</v>
      </c>
      <c r="S25" s="137">
        <v>37037.040000000001</v>
      </c>
      <c r="T25" s="137">
        <f t="shared" si="0"/>
        <v>2962.9632000000001</v>
      </c>
      <c r="U25" s="137">
        <f t="shared" si="5"/>
        <v>40000.003199999999</v>
      </c>
      <c r="V25" s="137">
        <v>40000</v>
      </c>
      <c r="W25" s="137">
        <f t="shared" si="6"/>
        <v>3.1999999991967343E-3</v>
      </c>
      <c r="X25" s="137">
        <f t="shared" si="1"/>
        <v>2.9629629622191984E-3</v>
      </c>
      <c r="Y25" s="137">
        <f t="shared" si="7"/>
        <v>2.3703703697753589E-4</v>
      </c>
      <c r="Z25" s="137">
        <v>39355.699999999997</v>
      </c>
      <c r="AA25" s="137">
        <f t="shared" si="2"/>
        <v>644.30000000000291</v>
      </c>
      <c r="AB25" s="146">
        <f t="shared" si="3"/>
        <v>36440.462962962956</v>
      </c>
      <c r="AC25" s="147">
        <f t="shared" si="4"/>
        <v>2915.2370370370409</v>
      </c>
      <c r="AD25" s="148">
        <v>36440.462962963</v>
      </c>
      <c r="AE25" s="149">
        <v>0</v>
      </c>
      <c r="AF25" s="137">
        <f t="shared" si="8"/>
        <v>0</v>
      </c>
      <c r="AG25" s="137"/>
      <c r="AH25" s="137"/>
      <c r="AI25" s="137"/>
      <c r="AJ25" s="136">
        <v>0.08</v>
      </c>
      <c r="AK25" s="152">
        <v>0.08</v>
      </c>
    </row>
    <row r="26" spans="1:38" s="119" customFormat="1" ht="15" customHeight="1" x14ac:dyDescent="0.3">
      <c r="A26" s="119">
        <v>2017</v>
      </c>
      <c r="B26" s="119" t="s">
        <v>38</v>
      </c>
      <c r="C26" s="119" t="s">
        <v>88</v>
      </c>
      <c r="D26" s="119" t="s">
        <v>89</v>
      </c>
      <c r="E26" s="119" t="s">
        <v>124</v>
      </c>
      <c r="F26" s="119" t="s">
        <v>125</v>
      </c>
      <c r="G26" s="119" t="s">
        <v>125</v>
      </c>
      <c r="H26" s="119" t="s">
        <v>125</v>
      </c>
      <c r="I26" s="119" t="s">
        <v>43</v>
      </c>
      <c r="J26" s="119" t="s">
        <v>44</v>
      </c>
      <c r="K26" s="119" t="s">
        <v>45</v>
      </c>
      <c r="L26" s="119" t="s">
        <v>125</v>
      </c>
      <c r="M26" s="119" t="s">
        <v>46</v>
      </c>
      <c r="N26" s="136">
        <v>0.08</v>
      </c>
      <c r="O26" s="135" t="s">
        <v>51</v>
      </c>
      <c r="P26" s="135"/>
      <c r="Q26" s="137">
        <v>0</v>
      </c>
      <c r="R26" s="137">
        <v>0</v>
      </c>
      <c r="S26" s="137">
        <v>20000</v>
      </c>
      <c r="T26" s="137">
        <f t="shared" si="0"/>
        <v>1600</v>
      </c>
      <c r="U26" s="137">
        <f t="shared" si="5"/>
        <v>21600</v>
      </c>
      <c r="V26" s="137">
        <v>21000</v>
      </c>
      <c r="W26" s="137">
        <f t="shared" si="6"/>
        <v>600</v>
      </c>
      <c r="X26" s="137">
        <f t="shared" si="1"/>
        <v>555.55555555555554</v>
      </c>
      <c r="Y26" s="137">
        <f t="shared" si="7"/>
        <v>44.444444444444457</v>
      </c>
      <c r="Z26" s="137">
        <v>6495.8</v>
      </c>
      <c r="AA26" s="137">
        <f t="shared" si="2"/>
        <v>14504.2</v>
      </c>
      <c r="AB26" s="146">
        <f t="shared" si="3"/>
        <v>6014.6296296296296</v>
      </c>
      <c r="AC26" s="147">
        <f t="shared" si="4"/>
        <v>481.17037037037062</v>
      </c>
      <c r="AD26" s="148">
        <v>6014.6296296296296</v>
      </c>
      <c r="AE26" s="149">
        <v>0</v>
      </c>
      <c r="AF26" s="137">
        <f t="shared" si="8"/>
        <v>0</v>
      </c>
      <c r="AG26" s="137"/>
      <c r="AH26" s="137"/>
      <c r="AI26" s="137"/>
      <c r="AJ26" s="136">
        <v>0.08</v>
      </c>
      <c r="AK26" s="153" t="s">
        <v>126</v>
      </c>
    </row>
    <row r="27" spans="1:38" s="119" customFormat="1" ht="15" customHeight="1" x14ac:dyDescent="0.3">
      <c r="A27" s="119">
        <v>2017</v>
      </c>
      <c r="B27" s="119" t="s">
        <v>38</v>
      </c>
      <c r="C27" s="119" t="s">
        <v>39</v>
      </c>
      <c r="D27" s="119" t="s">
        <v>40</v>
      </c>
      <c r="E27" s="119" t="s">
        <v>48</v>
      </c>
      <c r="F27" s="119" t="s">
        <v>127</v>
      </c>
      <c r="G27" s="119" t="s">
        <v>127</v>
      </c>
      <c r="H27" s="119" t="s">
        <v>127</v>
      </c>
      <c r="I27" s="119" t="s">
        <v>43</v>
      </c>
      <c r="J27" s="119" t="s">
        <v>44</v>
      </c>
      <c r="K27" s="119" t="s">
        <v>45</v>
      </c>
      <c r="L27" s="119" t="s">
        <v>127</v>
      </c>
      <c r="M27" s="119" t="s">
        <v>46</v>
      </c>
      <c r="N27" s="135">
        <v>7.0000000000000007E-2</v>
      </c>
      <c r="O27" s="135" t="s">
        <v>51</v>
      </c>
      <c r="P27" s="135"/>
      <c r="Q27" s="137">
        <v>0</v>
      </c>
      <c r="R27" s="137">
        <v>0</v>
      </c>
      <c r="S27" s="137">
        <v>1465000</v>
      </c>
      <c r="T27" s="137">
        <f t="shared" si="0"/>
        <v>102550.00000000001</v>
      </c>
      <c r="U27" s="137">
        <f t="shared" si="5"/>
        <v>1567550</v>
      </c>
      <c r="V27" s="137">
        <v>1544300</v>
      </c>
      <c r="W27" s="137">
        <f t="shared" si="6"/>
        <v>23250</v>
      </c>
      <c r="X27" s="137">
        <f t="shared" si="1"/>
        <v>21728.971962616823</v>
      </c>
      <c r="Y27" s="137">
        <f t="shared" si="7"/>
        <v>1521.0280373831774</v>
      </c>
      <c r="Z27" s="137">
        <v>1475506.0948000001</v>
      </c>
      <c r="AA27" s="137">
        <f t="shared" si="2"/>
        <v>68793.905199999921</v>
      </c>
      <c r="AB27" s="146">
        <f t="shared" si="3"/>
        <v>1378977.6586915888</v>
      </c>
      <c r="AC27" s="147">
        <f t="shared" si="4"/>
        <v>96528.43610841129</v>
      </c>
      <c r="AD27" s="148">
        <v>1378977.65869159</v>
      </c>
      <c r="AE27" s="149">
        <v>0</v>
      </c>
      <c r="AF27" s="137">
        <f t="shared" si="8"/>
        <v>0</v>
      </c>
      <c r="AG27" s="137"/>
      <c r="AH27" s="137"/>
      <c r="AI27" s="137"/>
      <c r="AJ27" s="136">
        <v>7.0000000000000007E-2</v>
      </c>
      <c r="AK27" s="152">
        <v>7.0000000000000007E-2</v>
      </c>
    </row>
    <row r="28" spans="1:38" s="119" customFormat="1" ht="15" customHeight="1" x14ac:dyDescent="0.3">
      <c r="A28" s="119">
        <v>2017</v>
      </c>
      <c r="B28" s="119" t="s">
        <v>38</v>
      </c>
      <c r="C28" s="119" t="s">
        <v>88</v>
      </c>
      <c r="D28" s="119" t="s">
        <v>128</v>
      </c>
      <c r="E28" s="119" t="s">
        <v>96</v>
      </c>
      <c r="F28" s="119" t="s">
        <v>129</v>
      </c>
      <c r="G28" s="119" t="s">
        <v>129</v>
      </c>
      <c r="H28" s="119" t="s">
        <v>129</v>
      </c>
      <c r="I28" s="119" t="s">
        <v>43</v>
      </c>
      <c r="J28" s="119" t="s">
        <v>44</v>
      </c>
      <c r="K28" s="119" t="s">
        <v>45</v>
      </c>
      <c r="L28" s="119" t="s">
        <v>130</v>
      </c>
      <c r="M28" s="119" t="s">
        <v>46</v>
      </c>
      <c r="N28" s="135">
        <v>0.1</v>
      </c>
      <c r="O28" s="135" t="s">
        <v>51</v>
      </c>
      <c r="P28" s="135"/>
      <c r="Q28" s="137">
        <v>0</v>
      </c>
      <c r="R28" s="137">
        <v>0</v>
      </c>
      <c r="S28" s="137">
        <v>20000</v>
      </c>
      <c r="T28" s="137">
        <f t="shared" si="0"/>
        <v>2000</v>
      </c>
      <c r="U28" s="137">
        <f t="shared" si="5"/>
        <v>22000</v>
      </c>
      <c r="V28" s="137">
        <v>20000</v>
      </c>
      <c r="W28" s="137">
        <f t="shared" si="6"/>
        <v>2000</v>
      </c>
      <c r="X28" s="137">
        <f t="shared" si="1"/>
        <v>1818.181818181818</v>
      </c>
      <c r="Y28" s="137">
        <f t="shared" si="7"/>
        <v>181.81818181818198</v>
      </c>
      <c r="Z28" s="137">
        <v>19985.3</v>
      </c>
      <c r="AA28" s="137">
        <f t="shared" si="2"/>
        <v>14.700000000000728</v>
      </c>
      <c r="AB28" s="146">
        <f t="shared" si="3"/>
        <v>18168.454545454544</v>
      </c>
      <c r="AC28" s="147">
        <f t="shared" si="4"/>
        <v>1816.8454545454551</v>
      </c>
      <c r="AD28" s="148">
        <v>18168.4545454545</v>
      </c>
      <c r="AE28" s="149">
        <v>0</v>
      </c>
      <c r="AF28" s="137">
        <f t="shared" si="8"/>
        <v>0</v>
      </c>
      <c r="AG28" s="137"/>
      <c r="AH28" s="137"/>
      <c r="AI28" s="137"/>
      <c r="AJ28" s="135" t="s">
        <v>69</v>
      </c>
      <c r="AK28" s="153" t="s">
        <v>69</v>
      </c>
    </row>
    <row r="29" spans="1:38" s="119" customFormat="1" ht="15" customHeight="1" x14ac:dyDescent="0.3">
      <c r="A29" s="119">
        <v>2017</v>
      </c>
      <c r="B29" s="119" t="s">
        <v>38</v>
      </c>
      <c r="C29" s="119" t="s">
        <v>59</v>
      </c>
      <c r="D29" s="119" t="s">
        <v>106</v>
      </c>
      <c r="E29" s="119" t="s">
        <v>131</v>
      </c>
      <c r="F29" s="119" t="s">
        <v>132</v>
      </c>
      <c r="G29" s="119" t="s">
        <v>132</v>
      </c>
      <c r="H29" s="119" t="s">
        <v>132</v>
      </c>
      <c r="I29" s="119" t="s">
        <v>43</v>
      </c>
      <c r="J29" s="119" t="s">
        <v>44</v>
      </c>
      <c r="K29" s="119" t="s">
        <v>45</v>
      </c>
      <c r="L29" s="119" t="s">
        <v>133</v>
      </c>
      <c r="M29" s="119" t="s">
        <v>46</v>
      </c>
      <c r="N29" s="135">
        <v>0.12</v>
      </c>
      <c r="O29" s="135" t="s">
        <v>51</v>
      </c>
      <c r="P29" s="135"/>
      <c r="Q29" s="137">
        <v>0</v>
      </c>
      <c r="R29" s="137">
        <v>0</v>
      </c>
      <c r="S29" s="137">
        <v>200000</v>
      </c>
      <c r="T29" s="137">
        <f t="shared" si="0"/>
        <v>24000</v>
      </c>
      <c r="U29" s="137">
        <f t="shared" si="5"/>
        <v>224000</v>
      </c>
      <c r="V29" s="137">
        <v>54040.817600000002</v>
      </c>
      <c r="W29" s="137">
        <f t="shared" si="6"/>
        <v>169959.18239999999</v>
      </c>
      <c r="X29" s="137">
        <f t="shared" si="1"/>
        <v>151749.26999999999</v>
      </c>
      <c r="Y29" s="137">
        <f t="shared" si="7"/>
        <v>18209.912400000001</v>
      </c>
      <c r="Z29" s="137">
        <v>54040.817600000002</v>
      </c>
      <c r="AA29" s="137">
        <f t="shared" si="2"/>
        <v>0</v>
      </c>
      <c r="AB29" s="146">
        <f t="shared" si="3"/>
        <v>48250.729999999996</v>
      </c>
      <c r="AC29" s="147">
        <f t="shared" si="4"/>
        <v>5790.0876000000062</v>
      </c>
      <c r="AD29" s="148">
        <v>48250.73</v>
      </c>
      <c r="AE29" s="149">
        <v>0</v>
      </c>
      <c r="AF29" s="137">
        <f t="shared" si="8"/>
        <v>0</v>
      </c>
      <c r="AG29" s="137"/>
      <c r="AH29" s="137"/>
      <c r="AI29" s="137"/>
      <c r="AJ29" s="135" t="s">
        <v>117</v>
      </c>
      <c r="AK29" s="153" t="s">
        <v>117</v>
      </c>
      <c r="AL29" s="119" t="s">
        <v>58</v>
      </c>
    </row>
    <row r="30" spans="1:38" s="119" customFormat="1" ht="15" customHeight="1" x14ac:dyDescent="0.3">
      <c r="A30" s="119">
        <v>2017</v>
      </c>
      <c r="B30" s="119" t="s">
        <v>38</v>
      </c>
      <c r="C30" s="119" t="s">
        <v>59</v>
      </c>
      <c r="D30" s="119" t="s">
        <v>106</v>
      </c>
      <c r="E30" s="119" t="s">
        <v>131</v>
      </c>
      <c r="F30" s="119" t="s">
        <v>134</v>
      </c>
      <c r="G30" s="119" t="s">
        <v>134</v>
      </c>
      <c r="H30" s="119" t="s">
        <v>134</v>
      </c>
      <c r="I30" s="119" t="s">
        <v>43</v>
      </c>
      <c r="J30" s="119" t="s">
        <v>44</v>
      </c>
      <c r="K30" s="119" t="s">
        <v>45</v>
      </c>
      <c r="L30" s="119" t="s">
        <v>134</v>
      </c>
      <c r="M30" s="119" t="s">
        <v>46</v>
      </c>
      <c r="N30" s="135">
        <v>0.12</v>
      </c>
      <c r="O30" s="135" t="s">
        <v>51</v>
      </c>
      <c r="P30" s="135"/>
      <c r="Q30" s="137">
        <v>0</v>
      </c>
      <c r="R30" s="137">
        <v>0</v>
      </c>
      <c r="S30" s="137">
        <v>120000</v>
      </c>
      <c r="T30" s="137">
        <f t="shared" si="0"/>
        <v>14400</v>
      </c>
      <c r="U30" s="137">
        <f t="shared" si="5"/>
        <v>134400</v>
      </c>
      <c r="V30" s="137">
        <v>46544.713600000003</v>
      </c>
      <c r="W30" s="137">
        <f t="shared" si="6"/>
        <v>87855.286399999997</v>
      </c>
      <c r="X30" s="137">
        <f t="shared" si="1"/>
        <v>78442.219999999987</v>
      </c>
      <c r="Y30" s="137">
        <f t="shared" si="7"/>
        <v>9413.0664000000106</v>
      </c>
      <c r="Z30" s="137">
        <v>46544.713600000003</v>
      </c>
      <c r="AA30" s="137">
        <f t="shared" si="2"/>
        <v>0</v>
      </c>
      <c r="AB30" s="146">
        <f t="shared" si="3"/>
        <v>41557.78</v>
      </c>
      <c r="AC30" s="147">
        <f t="shared" si="4"/>
        <v>4986.9336000000039</v>
      </c>
      <c r="AD30" s="148">
        <v>41557.78</v>
      </c>
      <c r="AE30" s="149">
        <v>0</v>
      </c>
      <c r="AF30" s="137">
        <f t="shared" si="8"/>
        <v>0</v>
      </c>
      <c r="AG30" s="137"/>
      <c r="AH30" s="137"/>
      <c r="AI30" s="137"/>
      <c r="AJ30" s="135" t="s">
        <v>117</v>
      </c>
      <c r="AK30" s="153" t="s">
        <v>117</v>
      </c>
      <c r="AL30" s="119" t="s">
        <v>58</v>
      </c>
    </row>
    <row r="31" spans="1:38" s="119" customFormat="1" ht="15" customHeight="1" x14ac:dyDescent="0.3">
      <c r="A31" s="119">
        <v>2017</v>
      </c>
      <c r="B31" s="119" t="s">
        <v>38</v>
      </c>
      <c r="C31" s="119" t="s">
        <v>54</v>
      </c>
      <c r="D31" s="119" t="s">
        <v>55</v>
      </c>
      <c r="E31" s="119" t="s">
        <v>64</v>
      </c>
      <c r="F31" s="119" t="s">
        <v>135</v>
      </c>
      <c r="G31" s="119" t="s">
        <v>135</v>
      </c>
      <c r="H31" s="119" t="s">
        <v>135</v>
      </c>
      <c r="I31" s="119" t="s">
        <v>43</v>
      </c>
      <c r="J31" s="119" t="s">
        <v>44</v>
      </c>
      <c r="K31" s="119" t="s">
        <v>45</v>
      </c>
      <c r="L31" s="119" t="s">
        <v>135</v>
      </c>
      <c r="M31" s="119" t="s">
        <v>46</v>
      </c>
      <c r="N31" s="135">
        <v>0</v>
      </c>
      <c r="O31" s="135" t="s">
        <v>51</v>
      </c>
      <c r="P31" s="135"/>
      <c r="Q31" s="137">
        <v>0</v>
      </c>
      <c r="R31" s="137">
        <v>0</v>
      </c>
      <c r="S31" s="137">
        <v>23249.29</v>
      </c>
      <c r="T31" s="137">
        <f t="shared" si="0"/>
        <v>0</v>
      </c>
      <c r="U31" s="137">
        <f t="shared" si="5"/>
        <v>23249.29</v>
      </c>
      <c r="V31" s="137">
        <v>23249.29</v>
      </c>
      <c r="W31" s="137">
        <f t="shared" si="6"/>
        <v>0</v>
      </c>
      <c r="X31" s="137">
        <f t="shared" si="1"/>
        <v>0</v>
      </c>
      <c r="Y31" s="137">
        <f t="shared" si="7"/>
        <v>0</v>
      </c>
      <c r="Z31" s="137">
        <v>21943.53</v>
      </c>
      <c r="AA31" s="137">
        <f t="shared" si="2"/>
        <v>1305.760000000002</v>
      </c>
      <c r="AB31" s="146">
        <f t="shared" si="3"/>
        <v>21943.53</v>
      </c>
      <c r="AC31" s="147">
        <f t="shared" si="4"/>
        <v>0</v>
      </c>
      <c r="AD31" s="148">
        <v>20898.599999999999</v>
      </c>
      <c r="AE31" s="149">
        <v>0</v>
      </c>
      <c r="AF31" s="137">
        <f t="shared" si="8"/>
        <v>0</v>
      </c>
      <c r="AG31" s="137"/>
      <c r="AH31" s="137"/>
      <c r="AI31" s="137"/>
      <c r="AJ31" s="135" t="s">
        <v>63</v>
      </c>
      <c r="AK31" s="153" t="s">
        <v>63</v>
      </c>
    </row>
    <row r="32" spans="1:38" s="119" customFormat="1" ht="15" customHeight="1" x14ac:dyDescent="0.3">
      <c r="A32" s="119">
        <v>2017</v>
      </c>
      <c r="B32" s="119" t="s">
        <v>38</v>
      </c>
      <c r="C32" s="119" t="s">
        <v>39</v>
      </c>
      <c r="D32" s="119" t="s">
        <v>40</v>
      </c>
      <c r="E32" s="119" t="s">
        <v>82</v>
      </c>
      <c r="F32" s="119" t="s">
        <v>136</v>
      </c>
      <c r="G32" s="119" t="s">
        <v>136</v>
      </c>
      <c r="H32" s="119" t="s">
        <v>136</v>
      </c>
      <c r="I32" s="119" t="s">
        <v>43</v>
      </c>
      <c r="J32" s="119" t="s">
        <v>44</v>
      </c>
      <c r="K32" s="119" t="s">
        <v>45</v>
      </c>
      <c r="L32" s="119" t="s">
        <v>136</v>
      </c>
      <c r="M32" s="119" t="s">
        <v>46</v>
      </c>
      <c r="N32" s="135">
        <v>0.12</v>
      </c>
      <c r="O32" s="135" t="s">
        <v>51</v>
      </c>
      <c r="P32" s="135"/>
      <c r="Q32" s="137">
        <v>0</v>
      </c>
      <c r="R32" s="137">
        <v>0</v>
      </c>
      <c r="S32" s="137">
        <v>101392.52</v>
      </c>
      <c r="T32" s="137">
        <f t="shared" si="0"/>
        <v>12167.1024</v>
      </c>
      <c r="U32" s="137">
        <f t="shared" si="5"/>
        <v>113559.62240000001</v>
      </c>
      <c r="V32" s="137">
        <v>113392.52</v>
      </c>
      <c r="W32" s="137">
        <f t="shared" si="6"/>
        <v>167.1024000000034</v>
      </c>
      <c r="X32" s="137">
        <f t="shared" si="1"/>
        <v>149.19857142857444</v>
      </c>
      <c r="Y32" s="137">
        <f t="shared" si="7"/>
        <v>17.90382857142896</v>
      </c>
      <c r="Z32" s="137">
        <v>113387.81</v>
      </c>
      <c r="AA32" s="137">
        <f t="shared" si="2"/>
        <v>4.7100000000064028</v>
      </c>
      <c r="AB32" s="146">
        <f t="shared" si="3"/>
        <v>101239.11607142857</v>
      </c>
      <c r="AC32" s="147">
        <f t="shared" si="4"/>
        <v>12148.693928571432</v>
      </c>
      <c r="AD32" s="148">
        <v>101239.116071429</v>
      </c>
      <c r="AE32" s="149">
        <v>0</v>
      </c>
      <c r="AF32" s="137">
        <f t="shared" si="8"/>
        <v>0</v>
      </c>
      <c r="AG32" s="137"/>
      <c r="AH32" s="137"/>
      <c r="AI32" s="137"/>
      <c r="AJ32" s="136">
        <v>0.12</v>
      </c>
      <c r="AK32" s="152">
        <v>0.12</v>
      </c>
    </row>
    <row r="33" spans="1:39" s="119" customFormat="1" ht="15" customHeight="1" x14ac:dyDescent="0.3">
      <c r="A33" s="119">
        <v>2017</v>
      </c>
      <c r="B33" s="119" t="s">
        <v>38</v>
      </c>
      <c r="C33" s="119" t="s">
        <v>137</v>
      </c>
      <c r="D33" s="119" t="s">
        <v>138</v>
      </c>
      <c r="E33" s="119" t="s">
        <v>139</v>
      </c>
      <c r="F33" s="119" t="s">
        <v>140</v>
      </c>
      <c r="G33" s="119" t="s">
        <v>141</v>
      </c>
      <c r="H33" s="119" t="s">
        <v>141</v>
      </c>
      <c r="I33" s="119" t="s">
        <v>43</v>
      </c>
      <c r="J33" s="119" t="s">
        <v>44</v>
      </c>
      <c r="K33" s="119" t="s">
        <v>45</v>
      </c>
      <c r="L33" s="119" t="s">
        <v>140</v>
      </c>
      <c r="M33" s="119" t="s">
        <v>46</v>
      </c>
      <c r="N33" s="135">
        <v>0.05</v>
      </c>
      <c r="O33" s="135" t="s">
        <v>51</v>
      </c>
      <c r="P33" s="135"/>
      <c r="Q33" s="137">
        <v>31918</v>
      </c>
      <c r="R33" s="137">
        <v>0</v>
      </c>
      <c r="S33" s="137">
        <v>1500000</v>
      </c>
      <c r="T33" s="137">
        <f t="shared" si="0"/>
        <v>75000</v>
      </c>
      <c r="U33" s="137">
        <f t="shared" si="5"/>
        <v>1575000</v>
      </c>
      <c r="V33" s="137">
        <v>1520000</v>
      </c>
      <c r="W33" s="137">
        <f t="shared" si="6"/>
        <v>55000</v>
      </c>
      <c r="X33" s="137">
        <f t="shared" si="1"/>
        <v>52380.952380952382</v>
      </c>
      <c r="Y33" s="137">
        <f t="shared" si="7"/>
        <v>2619.0476190476184</v>
      </c>
      <c r="Z33" s="137">
        <v>1131649.32</v>
      </c>
      <c r="AA33" s="137">
        <f t="shared" si="2"/>
        <v>420268.67999999993</v>
      </c>
      <c r="AB33" s="146">
        <f>IF(O33="返货",(Z33-Q33)/(1+N33),IF(O33="返现",(Z33-Q33),IF(O33="折扣",(Z33-Q33)*N33,IF(O33="无",(Z33-Q33)))))</f>
        <v>1047363.1619047619</v>
      </c>
      <c r="AC33" s="147">
        <f t="shared" si="4"/>
        <v>84286.158095238148</v>
      </c>
      <c r="AD33" s="148">
        <v>1047363.1619047601</v>
      </c>
      <c r="AE33" s="149">
        <v>0</v>
      </c>
      <c r="AF33" s="137">
        <f t="shared" si="8"/>
        <v>0</v>
      </c>
      <c r="AG33" s="137"/>
      <c r="AH33" s="137"/>
      <c r="AI33" s="137"/>
      <c r="AJ33" s="135" t="s">
        <v>63</v>
      </c>
      <c r="AK33" s="153" t="s">
        <v>63</v>
      </c>
      <c r="AL33" s="119" t="s">
        <v>58</v>
      </c>
    </row>
    <row r="34" spans="1:39" s="119" customFormat="1" ht="15" customHeight="1" x14ac:dyDescent="0.3">
      <c r="A34" s="130">
        <v>2017</v>
      </c>
      <c r="B34" s="130" t="s">
        <v>38</v>
      </c>
      <c r="C34" s="130" t="s">
        <v>137</v>
      </c>
      <c r="D34" s="130" t="s">
        <v>138</v>
      </c>
      <c r="E34" s="130" t="s">
        <v>139</v>
      </c>
      <c r="F34" s="130" t="s">
        <v>140</v>
      </c>
      <c r="G34" s="130" t="s">
        <v>141</v>
      </c>
      <c r="H34" s="130" t="s">
        <v>141</v>
      </c>
      <c r="I34" s="119" t="s">
        <v>43</v>
      </c>
      <c r="J34" s="119" t="s">
        <v>44</v>
      </c>
      <c r="K34" s="130" t="s">
        <v>45</v>
      </c>
      <c r="L34" s="130" t="s">
        <v>142</v>
      </c>
      <c r="M34" s="130" t="s">
        <v>46</v>
      </c>
      <c r="N34" s="135">
        <v>0.05</v>
      </c>
      <c r="O34" s="135" t="s">
        <v>51</v>
      </c>
      <c r="P34" s="135"/>
      <c r="Q34" s="141">
        <v>0</v>
      </c>
      <c r="R34" s="141">
        <v>0</v>
      </c>
      <c r="S34" s="141">
        <v>50000</v>
      </c>
      <c r="T34" s="137">
        <f t="shared" si="0"/>
        <v>2500</v>
      </c>
      <c r="U34" s="137">
        <f t="shared" si="5"/>
        <v>52500</v>
      </c>
      <c r="V34" s="141">
        <v>52500</v>
      </c>
      <c r="W34" s="137">
        <f t="shared" si="6"/>
        <v>0</v>
      </c>
      <c r="X34" s="137">
        <f t="shared" si="1"/>
        <v>0</v>
      </c>
      <c r="Y34" s="137">
        <f t="shared" si="7"/>
        <v>0</v>
      </c>
      <c r="Z34" s="141">
        <v>0</v>
      </c>
      <c r="AA34" s="137">
        <f t="shared" si="2"/>
        <v>52500</v>
      </c>
      <c r="AB34" s="146">
        <f t="shared" ref="AB34:AB40" si="9">IF(O34="返货",Z34/(1+N34),IF(O34="返现",Z34,IF(O34="折扣",Z34*N34,IF(O34="无",Z34))))</f>
        <v>0</v>
      </c>
      <c r="AC34" s="147">
        <f t="shared" si="4"/>
        <v>0</v>
      </c>
      <c r="AD34" s="148">
        <v>0</v>
      </c>
      <c r="AE34" s="149">
        <v>0</v>
      </c>
      <c r="AF34" s="137">
        <f t="shared" si="8"/>
        <v>0</v>
      </c>
      <c r="AG34" s="141"/>
      <c r="AH34" s="130"/>
      <c r="AI34" s="130"/>
      <c r="AJ34" s="135" t="s">
        <v>63</v>
      </c>
      <c r="AK34" s="130" t="s">
        <v>63</v>
      </c>
      <c r="AL34" s="130"/>
    </row>
    <row r="35" spans="1:39" s="119" customFormat="1" ht="15" customHeight="1" x14ac:dyDescent="0.3">
      <c r="A35" s="119">
        <v>2017</v>
      </c>
      <c r="B35" s="119" t="s">
        <v>38</v>
      </c>
      <c r="C35" s="119" t="s">
        <v>88</v>
      </c>
      <c r="D35" s="119" t="s">
        <v>95</v>
      </c>
      <c r="E35" s="119" t="s">
        <v>96</v>
      </c>
      <c r="F35" s="119" t="s">
        <v>143</v>
      </c>
      <c r="G35" s="119" t="s">
        <v>143</v>
      </c>
      <c r="H35" s="119" t="s">
        <v>143</v>
      </c>
      <c r="I35" s="119" t="s">
        <v>43</v>
      </c>
      <c r="J35" s="119" t="s">
        <v>44</v>
      </c>
      <c r="K35" s="119" t="s">
        <v>45</v>
      </c>
      <c r="L35" s="119" t="s">
        <v>143</v>
      </c>
      <c r="M35" s="119" t="s">
        <v>46</v>
      </c>
      <c r="N35" s="135">
        <v>0.05</v>
      </c>
      <c r="O35" s="135" t="s">
        <v>51</v>
      </c>
      <c r="P35" s="135"/>
      <c r="Q35" s="137">
        <v>0</v>
      </c>
      <c r="R35" s="137">
        <v>0</v>
      </c>
      <c r="S35" s="137">
        <v>80000</v>
      </c>
      <c r="T35" s="137">
        <f t="shared" si="0"/>
        <v>4000</v>
      </c>
      <c r="U35" s="137">
        <f t="shared" si="5"/>
        <v>84000</v>
      </c>
      <c r="V35" s="137">
        <v>84000</v>
      </c>
      <c r="W35" s="137">
        <f t="shared" si="6"/>
        <v>0</v>
      </c>
      <c r="X35" s="137">
        <f t="shared" si="1"/>
        <v>0</v>
      </c>
      <c r="Y35" s="137">
        <f t="shared" si="7"/>
        <v>0</v>
      </c>
      <c r="Z35" s="137">
        <v>68783.100000000006</v>
      </c>
      <c r="AA35" s="137">
        <f t="shared" si="2"/>
        <v>15216.899999999994</v>
      </c>
      <c r="AB35" s="146">
        <f t="shared" si="9"/>
        <v>65507.71428571429</v>
      </c>
      <c r="AC35" s="147">
        <f t="shared" si="4"/>
        <v>3275.3857142857159</v>
      </c>
      <c r="AD35" s="148">
        <v>65507.714285714297</v>
      </c>
      <c r="AE35" s="149">
        <v>0</v>
      </c>
      <c r="AF35" s="137">
        <f t="shared" si="8"/>
        <v>0</v>
      </c>
      <c r="AG35" s="137"/>
      <c r="AH35" s="137"/>
      <c r="AI35" s="137"/>
      <c r="AJ35" s="135" t="s">
        <v>144</v>
      </c>
      <c r="AK35" s="153" t="s">
        <v>144</v>
      </c>
    </row>
    <row r="36" spans="1:39" s="119" customFormat="1" ht="15" customHeight="1" x14ac:dyDescent="0.3">
      <c r="A36" s="119">
        <v>2017</v>
      </c>
      <c r="B36" s="119" t="s">
        <v>38</v>
      </c>
      <c r="C36" s="119" t="s">
        <v>59</v>
      </c>
      <c r="D36" s="119" t="s">
        <v>106</v>
      </c>
      <c r="E36" s="119" t="s">
        <v>61</v>
      </c>
      <c r="F36" s="119" t="s">
        <v>145</v>
      </c>
      <c r="G36" s="119" t="s">
        <v>146</v>
      </c>
      <c r="H36" s="119" t="s">
        <v>146</v>
      </c>
      <c r="I36" s="119" t="s">
        <v>43</v>
      </c>
      <c r="J36" s="119" t="s">
        <v>44</v>
      </c>
      <c r="K36" s="119" t="s">
        <v>45</v>
      </c>
      <c r="L36" s="119" t="s">
        <v>145</v>
      </c>
      <c r="M36" s="119" t="s">
        <v>46</v>
      </c>
      <c r="N36" s="135">
        <v>0.1</v>
      </c>
      <c r="O36" s="135" t="s">
        <v>51</v>
      </c>
      <c r="P36" s="135"/>
      <c r="Q36" s="137">
        <v>0</v>
      </c>
      <c r="R36" s="137">
        <v>0</v>
      </c>
      <c r="S36" s="137">
        <v>44545.46</v>
      </c>
      <c r="T36" s="137">
        <f t="shared" si="0"/>
        <v>4454.5460000000003</v>
      </c>
      <c r="U36" s="137">
        <f t="shared" si="5"/>
        <v>49000.006000000001</v>
      </c>
      <c r="V36" s="137">
        <v>48181.82</v>
      </c>
      <c r="W36" s="137">
        <f t="shared" si="6"/>
        <v>818.18600000000151</v>
      </c>
      <c r="X36" s="137">
        <f t="shared" si="1"/>
        <v>743.80545454545586</v>
      </c>
      <c r="Y36" s="137">
        <f t="shared" si="7"/>
        <v>74.380545454545654</v>
      </c>
      <c r="Z36" s="137">
        <v>39126.471120000002</v>
      </c>
      <c r="AA36" s="137">
        <f t="shared" si="2"/>
        <v>9055.3488799999977</v>
      </c>
      <c r="AB36" s="146">
        <f t="shared" si="9"/>
        <v>35569.519200000002</v>
      </c>
      <c r="AC36" s="147">
        <f t="shared" si="4"/>
        <v>3556.9519199999995</v>
      </c>
      <c r="AD36" s="148">
        <v>35569.519200000002</v>
      </c>
      <c r="AE36" s="149">
        <v>0</v>
      </c>
      <c r="AF36" s="137">
        <f t="shared" si="8"/>
        <v>0</v>
      </c>
      <c r="AG36" s="137"/>
      <c r="AH36" s="137"/>
      <c r="AI36" s="137"/>
      <c r="AJ36" s="135" t="s">
        <v>69</v>
      </c>
      <c r="AK36" s="153" t="s">
        <v>69</v>
      </c>
    </row>
    <row r="37" spans="1:39" s="119" customFormat="1" ht="15" customHeight="1" x14ac:dyDescent="0.3">
      <c r="A37" s="119">
        <v>2017</v>
      </c>
      <c r="B37" s="119" t="s">
        <v>38</v>
      </c>
      <c r="C37" s="119" t="s">
        <v>110</v>
      </c>
      <c r="D37" s="119" t="s">
        <v>111</v>
      </c>
      <c r="E37" s="119" t="s">
        <v>112</v>
      </c>
      <c r="F37" s="119" t="s">
        <v>147</v>
      </c>
      <c r="G37" s="119" t="s">
        <v>147</v>
      </c>
      <c r="H37" s="119" t="s">
        <v>147</v>
      </c>
      <c r="I37" s="119" t="s">
        <v>43</v>
      </c>
      <c r="J37" s="119" t="s">
        <v>44</v>
      </c>
      <c r="K37" s="119" t="s">
        <v>45</v>
      </c>
      <c r="L37" s="119" t="s">
        <v>148</v>
      </c>
      <c r="M37" s="119" t="s">
        <v>46</v>
      </c>
      <c r="N37" s="135">
        <v>0.05</v>
      </c>
      <c r="O37" s="135" t="s">
        <v>51</v>
      </c>
      <c r="P37" s="135"/>
      <c r="Q37" s="137">
        <v>0</v>
      </c>
      <c r="R37" s="137">
        <v>0</v>
      </c>
      <c r="S37" s="137">
        <v>10000</v>
      </c>
      <c r="T37" s="137">
        <f t="shared" si="0"/>
        <v>500</v>
      </c>
      <c r="U37" s="137">
        <f t="shared" si="5"/>
        <v>10500</v>
      </c>
      <c r="V37" s="137">
        <v>10500</v>
      </c>
      <c r="W37" s="137">
        <f t="shared" si="6"/>
        <v>0</v>
      </c>
      <c r="X37" s="137">
        <f t="shared" si="1"/>
        <v>0</v>
      </c>
      <c r="Y37" s="137">
        <f t="shared" si="7"/>
        <v>0</v>
      </c>
      <c r="Z37" s="137">
        <v>10500</v>
      </c>
      <c r="AA37" s="137">
        <f t="shared" si="2"/>
        <v>0</v>
      </c>
      <c r="AB37" s="146">
        <f t="shared" si="9"/>
        <v>10000</v>
      </c>
      <c r="AC37" s="147">
        <f t="shared" si="4"/>
        <v>500</v>
      </c>
      <c r="AD37" s="148">
        <v>10000</v>
      </c>
      <c r="AE37" s="149">
        <v>0</v>
      </c>
      <c r="AF37" s="137">
        <f t="shared" si="8"/>
        <v>0</v>
      </c>
      <c r="AG37" s="137"/>
      <c r="AH37" s="137"/>
      <c r="AI37" s="137"/>
      <c r="AJ37" s="135" t="s">
        <v>63</v>
      </c>
      <c r="AK37" s="153" t="s">
        <v>63</v>
      </c>
      <c r="AL37" s="119" t="s">
        <v>149</v>
      </c>
    </row>
    <row r="38" spans="1:39" s="119" customFormat="1" ht="15" customHeight="1" x14ac:dyDescent="0.3">
      <c r="A38" s="119">
        <v>2017</v>
      </c>
      <c r="B38" s="119" t="s">
        <v>38</v>
      </c>
      <c r="C38" s="119" t="s">
        <v>75</v>
      </c>
      <c r="D38" s="119" t="s">
        <v>76</v>
      </c>
      <c r="E38" s="119" t="s">
        <v>150</v>
      </c>
      <c r="F38" s="119" t="s">
        <v>151</v>
      </c>
      <c r="G38" s="119" t="s">
        <v>151</v>
      </c>
      <c r="H38" s="119" t="s">
        <v>151</v>
      </c>
      <c r="I38" s="119" t="s">
        <v>43</v>
      </c>
      <c r="J38" s="119" t="s">
        <v>44</v>
      </c>
      <c r="K38" s="119" t="s">
        <v>45</v>
      </c>
      <c r="L38" s="119" t="s">
        <v>1640</v>
      </c>
      <c r="M38" s="119" t="s">
        <v>46</v>
      </c>
      <c r="N38" s="135">
        <v>0.11</v>
      </c>
      <c r="O38" s="135" t="s">
        <v>51</v>
      </c>
      <c r="P38" s="135"/>
      <c r="Q38" s="137">
        <v>0</v>
      </c>
      <c r="R38" s="137">
        <v>0</v>
      </c>
      <c r="S38" s="137">
        <v>9009</v>
      </c>
      <c r="T38" s="137">
        <f t="shared" si="0"/>
        <v>990.99</v>
      </c>
      <c r="U38" s="137">
        <f t="shared" si="5"/>
        <v>9999.99</v>
      </c>
      <c r="V38" s="137">
        <v>10000</v>
      </c>
      <c r="W38" s="137">
        <f t="shared" si="6"/>
        <v>-1.0000000000218279E-2</v>
      </c>
      <c r="X38" s="137">
        <f t="shared" si="1"/>
        <v>-9.0090090092056554E-3</v>
      </c>
      <c r="Y38" s="137">
        <f t="shared" si="7"/>
        <v>-9.9099099101262328E-4</v>
      </c>
      <c r="Z38" s="137">
        <v>7317.5</v>
      </c>
      <c r="AA38" s="137">
        <f t="shared" si="2"/>
        <v>2682.5</v>
      </c>
      <c r="AB38" s="146">
        <f t="shared" si="9"/>
        <v>6592.3423423423419</v>
      </c>
      <c r="AC38" s="147">
        <f t="shared" si="4"/>
        <v>725.15765765765809</v>
      </c>
      <c r="AD38" s="148">
        <v>6592.3423423423401</v>
      </c>
      <c r="AE38" s="149">
        <v>0</v>
      </c>
      <c r="AF38" s="137">
        <f t="shared" si="8"/>
        <v>0</v>
      </c>
      <c r="AG38" s="137"/>
      <c r="AH38" s="137"/>
      <c r="AI38" s="137"/>
      <c r="AJ38" s="136">
        <v>0.11</v>
      </c>
      <c r="AK38" s="152">
        <v>0.11</v>
      </c>
    </row>
    <row r="39" spans="1:39" s="119" customFormat="1" ht="15" customHeight="1" x14ac:dyDescent="0.3">
      <c r="A39" s="119">
        <v>2017</v>
      </c>
      <c r="B39" s="119" t="s">
        <v>38</v>
      </c>
      <c r="C39" s="119" t="s">
        <v>39</v>
      </c>
      <c r="D39" s="119" t="s">
        <v>40</v>
      </c>
      <c r="E39" s="119" t="s">
        <v>71</v>
      </c>
      <c r="F39" s="119" t="s">
        <v>152</v>
      </c>
      <c r="G39" s="119" t="s">
        <v>152</v>
      </c>
      <c r="H39" s="119" t="s">
        <v>152</v>
      </c>
      <c r="I39" s="119" t="s">
        <v>43</v>
      </c>
      <c r="J39" s="119" t="s">
        <v>44</v>
      </c>
      <c r="K39" s="119" t="s">
        <v>45</v>
      </c>
      <c r="L39" s="119" t="s">
        <v>153</v>
      </c>
      <c r="M39" s="119" t="s">
        <v>46</v>
      </c>
      <c r="N39" s="135">
        <v>0.11</v>
      </c>
      <c r="O39" s="135" t="s">
        <v>51</v>
      </c>
      <c r="P39" s="135"/>
      <c r="Q39" s="137">
        <v>0</v>
      </c>
      <c r="R39" s="137">
        <v>0</v>
      </c>
      <c r="S39" s="137">
        <v>45045</v>
      </c>
      <c r="T39" s="137">
        <f t="shared" si="0"/>
        <v>4954.95</v>
      </c>
      <c r="U39" s="137">
        <f t="shared" si="5"/>
        <v>49999.95</v>
      </c>
      <c r="V39" s="137">
        <v>50000</v>
      </c>
      <c r="W39" s="137">
        <f t="shared" si="6"/>
        <v>-5.0000000002910383E-2</v>
      </c>
      <c r="X39" s="137">
        <f t="shared" si="1"/>
        <v>-4.5045045047667008E-2</v>
      </c>
      <c r="Y39" s="137">
        <f t="shared" si="7"/>
        <v>-4.954954955243375E-3</v>
      </c>
      <c r="Z39" s="137">
        <v>50004.77</v>
      </c>
      <c r="AA39" s="137">
        <f t="shared" si="2"/>
        <v>-4.7699999999967986</v>
      </c>
      <c r="AB39" s="146">
        <f t="shared" si="9"/>
        <v>45049.342342342337</v>
      </c>
      <c r="AC39" s="147">
        <f t="shared" si="4"/>
        <v>4955.4276576576594</v>
      </c>
      <c r="AD39" s="148">
        <v>45049.342342342301</v>
      </c>
      <c r="AE39" s="149">
        <v>0</v>
      </c>
      <c r="AF39" s="137">
        <f t="shared" si="8"/>
        <v>0</v>
      </c>
      <c r="AG39" s="137"/>
      <c r="AH39" s="137"/>
      <c r="AI39" s="137"/>
      <c r="AJ39" s="135" t="s">
        <v>94</v>
      </c>
      <c r="AK39" s="153" t="s">
        <v>94</v>
      </c>
    </row>
    <row r="40" spans="1:39" s="119" customFormat="1" ht="15" customHeight="1" x14ac:dyDescent="0.3">
      <c r="A40" s="119">
        <v>2017</v>
      </c>
      <c r="B40" s="119" t="s">
        <v>38</v>
      </c>
      <c r="C40" s="119" t="s">
        <v>59</v>
      </c>
      <c r="D40" s="119" t="s">
        <v>154</v>
      </c>
      <c r="E40" s="119" t="s">
        <v>107</v>
      </c>
      <c r="F40" s="119" t="s">
        <v>155</v>
      </c>
      <c r="G40" s="119" t="s">
        <v>155</v>
      </c>
      <c r="H40" s="119" t="s">
        <v>155</v>
      </c>
      <c r="I40" s="119" t="s">
        <v>43</v>
      </c>
      <c r="J40" s="119" t="s">
        <v>44</v>
      </c>
      <c r="K40" s="119" t="s">
        <v>45</v>
      </c>
      <c r="L40" s="119" t="s">
        <v>155</v>
      </c>
      <c r="M40" s="119" t="s">
        <v>46</v>
      </c>
      <c r="N40" s="135">
        <v>0.05</v>
      </c>
      <c r="O40" s="135" t="s">
        <v>51</v>
      </c>
      <c r="P40" s="135"/>
      <c r="Q40" s="137">
        <v>0</v>
      </c>
      <c r="R40" s="137">
        <v>0</v>
      </c>
      <c r="S40" s="137">
        <v>42100</v>
      </c>
      <c r="T40" s="137">
        <f t="shared" si="0"/>
        <v>2105</v>
      </c>
      <c r="U40" s="137">
        <f t="shared" si="5"/>
        <v>44205</v>
      </c>
      <c r="V40" s="137">
        <v>44205</v>
      </c>
      <c r="W40" s="137">
        <f t="shared" si="6"/>
        <v>0</v>
      </c>
      <c r="X40" s="137">
        <f t="shared" si="1"/>
        <v>0</v>
      </c>
      <c r="Y40" s="137">
        <f t="shared" si="7"/>
        <v>0</v>
      </c>
      <c r="Z40" s="137">
        <v>35670.15</v>
      </c>
      <c r="AA40" s="137">
        <f t="shared" si="2"/>
        <v>8534.8499999999985</v>
      </c>
      <c r="AB40" s="146">
        <f t="shared" si="9"/>
        <v>33971.571428571428</v>
      </c>
      <c r="AC40" s="147">
        <f t="shared" si="4"/>
        <v>1698.5785714285739</v>
      </c>
      <c r="AD40" s="148">
        <v>33971.571428571398</v>
      </c>
      <c r="AE40" s="149">
        <v>0</v>
      </c>
      <c r="AF40" s="137">
        <f t="shared" si="8"/>
        <v>0</v>
      </c>
      <c r="AG40" s="137"/>
      <c r="AH40" s="137"/>
      <c r="AI40" s="137"/>
      <c r="AJ40" s="135" t="s">
        <v>63</v>
      </c>
      <c r="AK40" s="153" t="s">
        <v>63</v>
      </c>
    </row>
    <row r="41" spans="1:39" s="119" customFormat="1" ht="15" customHeight="1" x14ac:dyDescent="0.3">
      <c r="A41" s="119">
        <v>2017</v>
      </c>
      <c r="B41" s="119" t="s">
        <v>38</v>
      </c>
      <c r="C41" s="119" t="s">
        <v>88</v>
      </c>
      <c r="D41" s="119" t="s">
        <v>128</v>
      </c>
      <c r="E41" s="119" t="s">
        <v>156</v>
      </c>
      <c r="F41" s="119" t="s">
        <v>157</v>
      </c>
      <c r="G41" s="119" t="s">
        <v>157</v>
      </c>
      <c r="H41" s="119" t="s">
        <v>157</v>
      </c>
      <c r="I41" s="119" t="s">
        <v>158</v>
      </c>
      <c r="J41" s="119" t="s">
        <v>159</v>
      </c>
      <c r="K41" s="119" t="s">
        <v>159</v>
      </c>
      <c r="L41" s="119" t="s">
        <v>157</v>
      </c>
      <c r="M41" s="119" t="s">
        <v>160</v>
      </c>
      <c r="N41" s="135">
        <v>0</v>
      </c>
      <c r="O41" s="135" t="s">
        <v>47</v>
      </c>
      <c r="P41" s="135" t="s">
        <v>161</v>
      </c>
      <c r="Q41" s="137"/>
      <c r="R41" s="137"/>
      <c r="S41" s="137">
        <v>1000000</v>
      </c>
      <c r="T41" s="137">
        <f t="shared" si="0"/>
        <v>0</v>
      </c>
      <c r="U41" s="137">
        <f t="shared" si="5"/>
        <v>1000000</v>
      </c>
      <c r="V41" s="137">
        <v>1000000</v>
      </c>
      <c r="W41" s="137">
        <f t="shared" si="6"/>
        <v>0</v>
      </c>
      <c r="X41" s="137">
        <f t="shared" si="1"/>
        <v>0</v>
      </c>
      <c r="Y41" s="137">
        <f t="shared" si="7"/>
        <v>0</v>
      </c>
      <c r="Z41" s="137">
        <v>1000000</v>
      </c>
      <c r="AA41" s="137">
        <f t="shared" si="2"/>
        <v>0</v>
      </c>
      <c r="AB41" s="146">
        <f>Z41*(1+2%)</f>
        <v>1020000</v>
      </c>
      <c r="AC41" s="147">
        <f t="shared" si="4"/>
        <v>-20000</v>
      </c>
      <c r="AD41" s="137">
        <v>900000</v>
      </c>
      <c r="AE41" s="135">
        <v>0</v>
      </c>
      <c r="AF41" s="137">
        <f t="shared" si="8"/>
        <v>0</v>
      </c>
      <c r="AG41" s="137"/>
      <c r="AH41" s="137"/>
      <c r="AI41" s="137"/>
      <c r="AJ41" s="136">
        <v>0</v>
      </c>
    </row>
    <row r="42" spans="1:39" s="119" customFormat="1" ht="15" customHeight="1" x14ac:dyDescent="0.3">
      <c r="A42" s="119">
        <v>2017</v>
      </c>
      <c r="B42" s="119" t="s">
        <v>38</v>
      </c>
      <c r="C42" s="119" t="s">
        <v>88</v>
      </c>
      <c r="D42" s="119" t="s">
        <v>128</v>
      </c>
      <c r="E42" s="119" t="s">
        <v>156</v>
      </c>
      <c r="F42" s="119" t="s">
        <v>162</v>
      </c>
      <c r="G42" s="119" t="s">
        <v>162</v>
      </c>
      <c r="H42" s="119" t="s">
        <v>162</v>
      </c>
      <c r="I42" s="119" t="s">
        <v>158</v>
      </c>
      <c r="J42" s="119" t="s">
        <v>159</v>
      </c>
      <c r="K42" s="119" t="s">
        <v>159</v>
      </c>
      <c r="L42" s="119" t="s">
        <v>162</v>
      </c>
      <c r="M42" s="119" t="s">
        <v>160</v>
      </c>
      <c r="N42" s="135">
        <v>0</v>
      </c>
      <c r="O42" s="135" t="s">
        <v>47</v>
      </c>
      <c r="P42" s="135" t="s">
        <v>161</v>
      </c>
      <c r="Q42" s="137"/>
      <c r="R42" s="137"/>
      <c r="S42" s="137">
        <v>1802500</v>
      </c>
      <c r="T42" s="137">
        <f t="shared" si="0"/>
        <v>0</v>
      </c>
      <c r="U42" s="137">
        <f t="shared" si="5"/>
        <v>1802500</v>
      </c>
      <c r="V42" s="137">
        <v>1802500</v>
      </c>
      <c r="W42" s="137">
        <f t="shared" si="6"/>
        <v>0</v>
      </c>
      <c r="X42" s="137">
        <f t="shared" si="1"/>
        <v>0</v>
      </c>
      <c r="Y42" s="137">
        <f t="shared" si="7"/>
        <v>0</v>
      </c>
      <c r="Z42" s="137">
        <v>1802500</v>
      </c>
      <c r="AA42" s="137">
        <f t="shared" si="2"/>
        <v>0</v>
      </c>
      <c r="AB42" s="146">
        <f>Z42*(1+2%)</f>
        <v>1838550</v>
      </c>
      <c r="AC42" s="147">
        <f t="shared" si="4"/>
        <v>-36050</v>
      </c>
      <c r="AD42" s="137">
        <v>1505000</v>
      </c>
      <c r="AE42" s="135">
        <v>0</v>
      </c>
      <c r="AF42" s="137">
        <f t="shared" si="8"/>
        <v>0</v>
      </c>
      <c r="AG42" s="137"/>
      <c r="AH42" s="137"/>
      <c r="AI42" s="137"/>
      <c r="AJ42" s="136">
        <v>0</v>
      </c>
    </row>
    <row r="43" spans="1:39" s="119" customFormat="1" ht="15" customHeight="1" x14ac:dyDescent="0.3">
      <c r="A43" s="119">
        <v>2017</v>
      </c>
      <c r="B43" s="119" t="s">
        <v>38</v>
      </c>
      <c r="C43" s="119" t="s">
        <v>88</v>
      </c>
      <c r="D43" s="119" t="s">
        <v>128</v>
      </c>
      <c r="E43" s="119" t="s">
        <v>156</v>
      </c>
      <c r="F43" s="119" t="s">
        <v>163</v>
      </c>
      <c r="G43" s="119" t="s">
        <v>163</v>
      </c>
      <c r="H43" s="119" t="s">
        <v>163</v>
      </c>
      <c r="I43" s="119" t="s">
        <v>158</v>
      </c>
      <c r="J43" s="119" t="s">
        <v>159</v>
      </c>
      <c r="K43" s="119" t="s">
        <v>159</v>
      </c>
      <c r="L43" s="119" t="s">
        <v>163</v>
      </c>
      <c r="M43" s="119" t="s">
        <v>160</v>
      </c>
      <c r="N43" s="135">
        <v>0</v>
      </c>
      <c r="O43" s="135" t="s">
        <v>47</v>
      </c>
      <c r="P43" s="135" t="s">
        <v>161</v>
      </c>
      <c r="Q43" s="137"/>
      <c r="R43" s="137"/>
      <c r="S43" s="137">
        <v>1260000</v>
      </c>
      <c r="T43" s="137">
        <f t="shared" si="0"/>
        <v>0</v>
      </c>
      <c r="U43" s="137">
        <f t="shared" si="5"/>
        <v>1260000</v>
      </c>
      <c r="V43" s="137">
        <v>1260000</v>
      </c>
      <c r="W43" s="137">
        <f t="shared" si="6"/>
        <v>0</v>
      </c>
      <c r="X43" s="137">
        <f t="shared" si="1"/>
        <v>0</v>
      </c>
      <c r="Y43" s="137">
        <f t="shared" si="7"/>
        <v>0</v>
      </c>
      <c r="Z43" s="137">
        <v>1260000</v>
      </c>
      <c r="AA43" s="137">
        <f t="shared" si="2"/>
        <v>0</v>
      </c>
      <c r="AB43" s="146">
        <f>Z43*(1+2%)</f>
        <v>1285200</v>
      </c>
      <c r="AC43" s="147">
        <f t="shared" si="4"/>
        <v>-25200</v>
      </c>
      <c r="AD43" s="137">
        <v>1160000</v>
      </c>
      <c r="AE43" s="135">
        <v>0</v>
      </c>
      <c r="AF43" s="137">
        <f t="shared" si="8"/>
        <v>0</v>
      </c>
      <c r="AG43" s="137"/>
      <c r="AH43" s="137"/>
      <c r="AI43" s="137"/>
      <c r="AJ43" s="136">
        <v>0</v>
      </c>
    </row>
    <row r="44" spans="1:39" s="119" customFormat="1" ht="15" customHeight="1" x14ac:dyDescent="0.3">
      <c r="A44" s="119">
        <v>2017</v>
      </c>
      <c r="B44" s="119" t="s">
        <v>38</v>
      </c>
      <c r="C44" s="119" t="s">
        <v>88</v>
      </c>
      <c r="D44" s="119" t="s">
        <v>128</v>
      </c>
      <c r="E44" s="119" t="s">
        <v>156</v>
      </c>
      <c r="F44" s="119" t="s">
        <v>164</v>
      </c>
      <c r="G44" s="119" t="s">
        <v>164</v>
      </c>
      <c r="H44" s="119" t="s">
        <v>164</v>
      </c>
      <c r="I44" s="119" t="s">
        <v>158</v>
      </c>
      <c r="J44" s="119" t="s">
        <v>159</v>
      </c>
      <c r="K44" s="119" t="s">
        <v>159</v>
      </c>
      <c r="L44" s="119" t="s">
        <v>164</v>
      </c>
      <c r="M44" s="119" t="s">
        <v>160</v>
      </c>
      <c r="N44" s="135">
        <v>0</v>
      </c>
      <c r="O44" s="135" t="s">
        <v>47</v>
      </c>
      <c r="P44" s="135" t="s">
        <v>161</v>
      </c>
      <c r="Q44" s="137"/>
      <c r="R44" s="137"/>
      <c r="S44" s="137">
        <v>1480000</v>
      </c>
      <c r="T44" s="137">
        <f t="shared" si="0"/>
        <v>0</v>
      </c>
      <c r="U44" s="137">
        <f t="shared" si="5"/>
        <v>1480000</v>
      </c>
      <c r="V44" s="137">
        <v>1480000</v>
      </c>
      <c r="W44" s="137">
        <f t="shared" si="6"/>
        <v>0</v>
      </c>
      <c r="X44" s="137">
        <f t="shared" si="1"/>
        <v>0</v>
      </c>
      <c r="Y44" s="137">
        <f t="shared" si="7"/>
        <v>0</v>
      </c>
      <c r="Z44" s="137">
        <v>1480000</v>
      </c>
      <c r="AA44" s="137">
        <f t="shared" si="2"/>
        <v>0</v>
      </c>
      <c r="AB44" s="146">
        <f>Z44</f>
        <v>1480000</v>
      </c>
      <c r="AC44" s="147">
        <f t="shared" si="4"/>
        <v>0</v>
      </c>
      <c r="AD44" s="137">
        <v>1332000</v>
      </c>
      <c r="AE44" s="135">
        <v>0</v>
      </c>
      <c r="AF44" s="137">
        <f t="shared" si="8"/>
        <v>0</v>
      </c>
      <c r="AG44" s="137"/>
      <c r="AH44" s="137"/>
      <c r="AI44" s="137"/>
      <c r="AJ44" s="136">
        <v>0</v>
      </c>
    </row>
    <row r="45" spans="1:39" s="119" customFormat="1" ht="15" customHeight="1" x14ac:dyDescent="0.3">
      <c r="A45" s="119">
        <v>2017</v>
      </c>
      <c r="B45" s="119" t="s">
        <v>38</v>
      </c>
      <c r="C45" s="119" t="s">
        <v>39</v>
      </c>
      <c r="D45" s="119" t="s">
        <v>40</v>
      </c>
      <c r="E45" s="119" t="s">
        <v>41</v>
      </c>
      <c r="F45" s="119" t="s">
        <v>42</v>
      </c>
      <c r="G45" s="119" t="s">
        <v>42</v>
      </c>
      <c r="H45" s="119" t="s">
        <v>42</v>
      </c>
      <c r="I45" s="119" t="s">
        <v>165</v>
      </c>
      <c r="J45" s="119" t="s">
        <v>44</v>
      </c>
      <c r="K45" s="119" t="s">
        <v>166</v>
      </c>
      <c r="L45" s="119" t="s">
        <v>42</v>
      </c>
      <c r="M45" s="137" t="s">
        <v>46</v>
      </c>
      <c r="N45" s="135">
        <v>0</v>
      </c>
      <c r="O45" s="135" t="s">
        <v>47</v>
      </c>
      <c r="P45" s="135"/>
      <c r="Q45" s="137">
        <v>0</v>
      </c>
      <c r="R45" s="137">
        <v>0</v>
      </c>
      <c r="S45" s="137">
        <v>40000</v>
      </c>
      <c r="T45" s="137">
        <f t="shared" si="0"/>
        <v>0</v>
      </c>
      <c r="U45" s="137">
        <f t="shared" si="5"/>
        <v>40000</v>
      </c>
      <c r="V45" s="137">
        <v>40000</v>
      </c>
      <c r="W45" s="137">
        <f t="shared" si="6"/>
        <v>0</v>
      </c>
      <c r="X45" s="137">
        <f t="shared" si="1"/>
        <v>0</v>
      </c>
      <c r="Y45" s="137">
        <f t="shared" si="7"/>
        <v>0</v>
      </c>
      <c r="Z45" s="137">
        <v>40000</v>
      </c>
      <c r="AA45" s="137">
        <f t="shared" si="2"/>
        <v>0</v>
      </c>
      <c r="AB45" s="146">
        <f>IF(O45="返货",Z45/(1+N45),IF(O45="返现",Z45,IF(O45="折扣",Z45*N45,IF(O45="无",Z45))))</f>
        <v>40000</v>
      </c>
      <c r="AC45" s="147">
        <f t="shared" si="4"/>
        <v>0</v>
      </c>
      <c r="AD45" s="137">
        <v>40000</v>
      </c>
      <c r="AE45" s="135">
        <v>0</v>
      </c>
      <c r="AF45" s="137">
        <f t="shared" si="8"/>
        <v>0</v>
      </c>
      <c r="AG45" s="137">
        <v>0</v>
      </c>
      <c r="AH45" s="137"/>
      <c r="AI45" s="137"/>
      <c r="AJ45" s="135" t="s">
        <v>47</v>
      </c>
      <c r="AK45" s="152">
        <v>0</v>
      </c>
    </row>
    <row r="46" spans="1:39" s="119" customFormat="1" ht="15" customHeight="1" x14ac:dyDescent="0.3">
      <c r="A46" s="119">
        <v>2017</v>
      </c>
      <c r="B46" s="119" t="s">
        <v>38</v>
      </c>
      <c r="C46" s="119" t="s">
        <v>75</v>
      </c>
      <c r="D46" s="119" t="s">
        <v>76</v>
      </c>
      <c r="E46" s="119" t="s">
        <v>167</v>
      </c>
      <c r="F46" s="119" t="s">
        <v>168</v>
      </c>
      <c r="G46" s="119" t="s">
        <v>168</v>
      </c>
      <c r="H46" s="119" t="s">
        <v>168</v>
      </c>
      <c r="I46" s="119" t="s">
        <v>165</v>
      </c>
      <c r="J46" s="119" t="s">
        <v>44</v>
      </c>
      <c r="K46" s="119" t="s">
        <v>166</v>
      </c>
      <c r="L46" s="119" t="s">
        <v>168</v>
      </c>
      <c r="M46" s="137" t="s">
        <v>46</v>
      </c>
      <c r="N46" s="135">
        <v>0</v>
      </c>
      <c r="O46" s="135" t="s">
        <v>47</v>
      </c>
      <c r="P46" s="135"/>
      <c r="Q46" s="137">
        <v>0</v>
      </c>
      <c r="R46" s="137">
        <v>0</v>
      </c>
      <c r="S46" s="137">
        <v>210000</v>
      </c>
      <c r="T46" s="137">
        <f t="shared" si="0"/>
        <v>0</v>
      </c>
      <c r="U46" s="137">
        <f t="shared" si="5"/>
        <v>210000</v>
      </c>
      <c r="V46" s="137">
        <v>210000</v>
      </c>
      <c r="W46" s="137">
        <f t="shared" si="6"/>
        <v>0</v>
      </c>
      <c r="X46" s="137">
        <f t="shared" si="1"/>
        <v>0</v>
      </c>
      <c r="Y46" s="137">
        <f t="shared" si="7"/>
        <v>0</v>
      </c>
      <c r="Z46" s="137">
        <v>23817.018691588801</v>
      </c>
      <c r="AA46" s="137">
        <f t="shared" si="2"/>
        <v>186182.9813084112</v>
      </c>
      <c r="AB46" s="146">
        <f>IF(O46="返货",Z46/(1+N46),IF(O46="返现",Z46,IF(O46="折扣",Z46*N46,IF(O46="无",Z46))))</f>
        <v>23817.018691588801</v>
      </c>
      <c r="AC46" s="147">
        <f t="shared" si="4"/>
        <v>0</v>
      </c>
      <c r="AD46" s="137">
        <v>23817.018691588801</v>
      </c>
      <c r="AE46" s="135">
        <v>0</v>
      </c>
      <c r="AF46" s="137">
        <f t="shared" si="8"/>
        <v>0</v>
      </c>
      <c r="AG46" s="137">
        <v>0</v>
      </c>
      <c r="AH46" s="137"/>
      <c r="AI46" s="137"/>
      <c r="AJ46" s="135" t="s">
        <v>47</v>
      </c>
      <c r="AK46" s="153" t="s">
        <v>47</v>
      </c>
    </row>
    <row r="47" spans="1:39" s="119" customFormat="1" ht="15" customHeight="1" x14ac:dyDescent="0.3">
      <c r="A47" s="119">
        <v>2017</v>
      </c>
      <c r="B47" s="119" t="s">
        <v>38</v>
      </c>
      <c r="C47" s="119" t="s">
        <v>88</v>
      </c>
      <c r="D47" s="119" t="s">
        <v>128</v>
      </c>
      <c r="E47" s="119" t="s">
        <v>124</v>
      </c>
      <c r="F47" s="119" t="s">
        <v>169</v>
      </c>
      <c r="G47" s="119" t="s">
        <v>169</v>
      </c>
      <c r="H47" s="119" t="s">
        <v>169</v>
      </c>
      <c r="I47" s="119" t="s">
        <v>170</v>
      </c>
      <c r="J47" s="119" t="s">
        <v>171</v>
      </c>
      <c r="K47" s="119" t="s">
        <v>172</v>
      </c>
      <c r="L47" s="119" t="s">
        <v>169</v>
      </c>
      <c r="M47" s="119" t="s">
        <v>46</v>
      </c>
      <c r="N47" s="136">
        <v>0.02</v>
      </c>
      <c r="O47" s="135" t="s">
        <v>51</v>
      </c>
      <c r="P47" s="135"/>
      <c r="Q47" s="142">
        <v>2445799.7000000002</v>
      </c>
      <c r="R47" s="137">
        <v>0</v>
      </c>
      <c r="S47" s="137">
        <v>24000000</v>
      </c>
      <c r="T47" s="137">
        <f t="shared" si="0"/>
        <v>480000</v>
      </c>
      <c r="U47" s="137">
        <f t="shared" si="5"/>
        <v>24480000</v>
      </c>
      <c r="V47" s="137">
        <v>24247722.370000001</v>
      </c>
      <c r="W47" s="137">
        <f t="shared" si="6"/>
        <v>232277.62999999896</v>
      </c>
      <c r="X47" s="137">
        <f t="shared" si="1"/>
        <v>227723.16666666564</v>
      </c>
      <c r="Y47" s="137">
        <f t="shared" si="7"/>
        <v>4554.4633333333186</v>
      </c>
      <c r="Z47" s="137">
        <v>26164503.600000001</v>
      </c>
      <c r="AA47" s="137">
        <f t="shared" si="2"/>
        <v>529018.46999999881</v>
      </c>
      <c r="AB47" s="146">
        <f>IF(O47="返货",(Z47-Q47)/(1+N47),IF(O47="返现",(Z47-Q47),IF(O47="折扣",(Z47-Q47)*N47,IF(O47="无",(Z47-Q47)))))</f>
        <v>23253631.274509806</v>
      </c>
      <c r="AC47" s="147">
        <f t="shared" si="4"/>
        <v>2910872.3254901953</v>
      </c>
      <c r="AD47" s="137">
        <f>(Z47-Q47)*0.89807640489087</f>
        <v>21301208.32718306</v>
      </c>
      <c r="AE47" s="138">
        <v>0.11269173273981201</v>
      </c>
      <c r="AF47" s="137">
        <f t="shared" ref="AF47:AF110" si="10">AD47*AE47</f>
        <v>2400470.0758419712</v>
      </c>
      <c r="AG47" s="137">
        <v>1657032.52700195</v>
      </c>
      <c r="AH47" s="154"/>
      <c r="AI47" s="154"/>
      <c r="AJ47" s="135" t="s">
        <v>173</v>
      </c>
      <c r="AK47" s="119" t="s">
        <v>173</v>
      </c>
      <c r="AM47" s="119" t="s">
        <v>174</v>
      </c>
    </row>
    <row r="48" spans="1:39" s="119" customFormat="1" ht="15" customHeight="1" x14ac:dyDescent="0.3">
      <c r="A48" s="119">
        <v>2017</v>
      </c>
      <c r="B48" s="119" t="s">
        <v>38</v>
      </c>
      <c r="C48" s="119" t="s">
        <v>75</v>
      </c>
      <c r="D48" s="119" t="s">
        <v>76</v>
      </c>
      <c r="E48" s="119" t="s">
        <v>175</v>
      </c>
      <c r="F48" s="119" t="s">
        <v>176</v>
      </c>
      <c r="G48" s="119" t="s">
        <v>176</v>
      </c>
      <c r="H48" s="119" t="s">
        <v>176</v>
      </c>
      <c r="I48" s="119" t="s">
        <v>165</v>
      </c>
      <c r="J48" s="119" t="s">
        <v>44</v>
      </c>
      <c r="K48" s="119" t="s">
        <v>166</v>
      </c>
      <c r="L48" s="119" t="s">
        <v>177</v>
      </c>
      <c r="M48" s="137" t="s">
        <v>178</v>
      </c>
      <c r="N48" s="135">
        <v>0</v>
      </c>
      <c r="O48" s="135" t="s">
        <v>47</v>
      </c>
      <c r="P48" s="135" t="s">
        <v>179</v>
      </c>
      <c r="Q48" s="137">
        <v>0</v>
      </c>
      <c r="R48" s="137">
        <v>0</v>
      </c>
      <c r="S48" s="137">
        <v>21386</v>
      </c>
      <c r="T48" s="137">
        <f t="shared" si="0"/>
        <v>0</v>
      </c>
      <c r="U48" s="137">
        <f t="shared" si="5"/>
        <v>21386</v>
      </c>
      <c r="V48" s="137">
        <v>21386</v>
      </c>
      <c r="W48" s="137">
        <f t="shared" si="6"/>
        <v>0</v>
      </c>
      <c r="X48" s="137">
        <f t="shared" si="1"/>
        <v>0</v>
      </c>
      <c r="Y48" s="137">
        <f t="shared" si="7"/>
        <v>0</v>
      </c>
      <c r="Z48" s="137">
        <v>21386</v>
      </c>
      <c r="AA48" s="137">
        <f t="shared" si="2"/>
        <v>0</v>
      </c>
      <c r="AB48" s="146">
        <f t="shared" ref="AB48:AB65" si="11">IF(O48="返货",Z48/(1+N48),IF(O48="返现",Z48,IF(O48="折扣",Z48*N48,IF(O48="无",Z48))))</f>
        <v>21386</v>
      </c>
      <c r="AC48" s="147">
        <f t="shared" si="4"/>
        <v>0</v>
      </c>
      <c r="AD48" s="137">
        <v>17816</v>
      </c>
      <c r="AE48" s="135">
        <v>0</v>
      </c>
      <c r="AF48" s="137">
        <f t="shared" si="10"/>
        <v>0</v>
      </c>
      <c r="AG48" s="137">
        <v>0</v>
      </c>
      <c r="AH48" s="137"/>
      <c r="AI48" s="137"/>
      <c r="AJ48" s="135" t="s">
        <v>180</v>
      </c>
      <c r="AK48" s="153" t="s">
        <v>180</v>
      </c>
    </row>
    <row r="49" spans="1:39" s="119" customFormat="1" ht="15" customHeight="1" x14ac:dyDescent="0.3">
      <c r="A49" s="119">
        <v>2017</v>
      </c>
      <c r="B49" s="119" t="s">
        <v>38</v>
      </c>
      <c r="C49" s="119" t="s">
        <v>59</v>
      </c>
      <c r="D49" s="119" t="s">
        <v>181</v>
      </c>
      <c r="E49" s="119" t="s">
        <v>61</v>
      </c>
      <c r="F49" s="119" t="s">
        <v>182</v>
      </c>
      <c r="G49" s="119" t="s">
        <v>182</v>
      </c>
      <c r="H49" s="119" t="s">
        <v>182</v>
      </c>
      <c r="I49" s="119" t="s">
        <v>165</v>
      </c>
      <c r="J49" s="119" t="s">
        <v>44</v>
      </c>
      <c r="K49" s="119" t="s">
        <v>166</v>
      </c>
      <c r="L49" s="119" t="s">
        <v>182</v>
      </c>
      <c r="M49" s="137" t="s">
        <v>183</v>
      </c>
      <c r="N49" s="135">
        <v>0</v>
      </c>
      <c r="O49" s="135" t="s">
        <v>47</v>
      </c>
      <c r="P49" s="135"/>
      <c r="Q49" s="137">
        <v>0</v>
      </c>
      <c r="R49" s="137">
        <v>0</v>
      </c>
      <c r="S49" s="137">
        <v>30000</v>
      </c>
      <c r="T49" s="137">
        <f t="shared" si="0"/>
        <v>0</v>
      </c>
      <c r="U49" s="137">
        <f t="shared" si="5"/>
        <v>30000</v>
      </c>
      <c r="V49" s="137">
        <v>26351.35</v>
      </c>
      <c r="W49" s="137">
        <f t="shared" si="6"/>
        <v>3648.6500000000015</v>
      </c>
      <c r="X49" s="137">
        <f t="shared" si="1"/>
        <v>3648.6500000000015</v>
      </c>
      <c r="Y49" s="137">
        <f t="shared" si="7"/>
        <v>0</v>
      </c>
      <c r="Z49" s="137">
        <v>26351.35</v>
      </c>
      <c r="AA49" s="137">
        <f t="shared" si="2"/>
        <v>0</v>
      </c>
      <c r="AB49" s="146">
        <f t="shared" si="11"/>
        <v>26351.35</v>
      </c>
      <c r="AC49" s="147">
        <f t="shared" si="4"/>
        <v>0</v>
      </c>
      <c r="AD49" s="137">
        <v>26351.35</v>
      </c>
      <c r="AE49" s="135">
        <v>0</v>
      </c>
      <c r="AF49" s="137">
        <f t="shared" si="10"/>
        <v>0</v>
      </c>
      <c r="AG49" s="137">
        <v>-6081.0807692307699</v>
      </c>
      <c r="AH49" s="137"/>
      <c r="AI49" s="137"/>
      <c r="AJ49" s="135" t="s">
        <v>184</v>
      </c>
      <c r="AK49" s="153" t="s">
        <v>184</v>
      </c>
    </row>
    <row r="50" spans="1:39" s="119" customFormat="1" ht="15" customHeight="1" x14ac:dyDescent="0.3">
      <c r="A50" s="119">
        <v>2017</v>
      </c>
      <c r="B50" s="119" t="s">
        <v>38</v>
      </c>
      <c r="C50" s="119" t="s">
        <v>59</v>
      </c>
      <c r="D50" s="119" t="s">
        <v>181</v>
      </c>
      <c r="E50" s="119" t="s">
        <v>61</v>
      </c>
      <c r="F50" s="119" t="s">
        <v>182</v>
      </c>
      <c r="G50" s="119" t="s">
        <v>182</v>
      </c>
      <c r="H50" s="119" t="s">
        <v>182</v>
      </c>
      <c r="I50" s="119" t="s">
        <v>165</v>
      </c>
      <c r="J50" s="119" t="s">
        <v>44</v>
      </c>
      <c r="K50" s="119" t="s">
        <v>166</v>
      </c>
      <c r="L50" s="119" t="s">
        <v>182</v>
      </c>
      <c r="M50" s="137" t="s">
        <v>185</v>
      </c>
      <c r="N50" s="135">
        <v>0</v>
      </c>
      <c r="O50" s="135" t="s">
        <v>47</v>
      </c>
      <c r="P50" s="135"/>
      <c r="Q50" s="137">
        <v>0</v>
      </c>
      <c r="R50" s="137">
        <v>0</v>
      </c>
      <c r="S50" s="137">
        <v>50000</v>
      </c>
      <c r="T50" s="137">
        <f t="shared" si="0"/>
        <v>0</v>
      </c>
      <c r="U50" s="137">
        <f t="shared" si="5"/>
        <v>50000</v>
      </c>
      <c r="V50" s="137">
        <v>50000</v>
      </c>
      <c r="W50" s="137">
        <f t="shared" si="6"/>
        <v>0</v>
      </c>
      <c r="X50" s="137">
        <f t="shared" si="1"/>
        <v>0</v>
      </c>
      <c r="Y50" s="137">
        <f t="shared" si="7"/>
        <v>0</v>
      </c>
      <c r="Z50" s="137">
        <v>4873.8003663003701</v>
      </c>
      <c r="AA50" s="137">
        <f t="shared" si="2"/>
        <v>45126.199633699631</v>
      </c>
      <c r="AB50" s="146">
        <f t="shared" si="11"/>
        <v>4873.8003663003701</v>
      </c>
      <c r="AC50" s="147">
        <f t="shared" si="4"/>
        <v>0</v>
      </c>
      <c r="AD50" s="137">
        <v>4873.8003663003701</v>
      </c>
      <c r="AE50" s="135">
        <v>0</v>
      </c>
      <c r="AF50" s="137">
        <f t="shared" si="10"/>
        <v>0</v>
      </c>
      <c r="AG50" s="137">
        <v>-187.45386024232201</v>
      </c>
      <c r="AH50" s="137"/>
      <c r="AI50" s="137"/>
      <c r="AJ50" s="135" t="s">
        <v>186</v>
      </c>
      <c r="AK50" s="153" t="s">
        <v>186</v>
      </c>
    </row>
    <row r="51" spans="1:39" s="119" customFormat="1" ht="15" customHeight="1" x14ac:dyDescent="0.3">
      <c r="A51" s="119">
        <v>2017</v>
      </c>
      <c r="B51" s="119" t="s">
        <v>38</v>
      </c>
      <c r="C51" s="119" t="s">
        <v>54</v>
      </c>
      <c r="D51" s="119" t="s">
        <v>102</v>
      </c>
      <c r="E51" s="119" t="s">
        <v>187</v>
      </c>
      <c r="F51" s="119" t="s">
        <v>188</v>
      </c>
      <c r="G51" s="119" t="s">
        <v>188</v>
      </c>
      <c r="H51" s="119" t="s">
        <v>188</v>
      </c>
      <c r="I51" s="119" t="s">
        <v>165</v>
      </c>
      <c r="J51" s="119" t="s">
        <v>44</v>
      </c>
      <c r="K51" s="119" t="s">
        <v>166</v>
      </c>
      <c r="L51" s="119" t="s">
        <v>188</v>
      </c>
      <c r="M51" s="137" t="s">
        <v>46</v>
      </c>
      <c r="N51" s="135">
        <v>0</v>
      </c>
      <c r="O51" s="135" t="s">
        <v>47</v>
      </c>
      <c r="P51" s="135"/>
      <c r="Q51" s="137">
        <v>0</v>
      </c>
      <c r="R51" s="137">
        <v>0</v>
      </c>
      <c r="S51" s="137">
        <v>27000</v>
      </c>
      <c r="T51" s="137">
        <f t="shared" si="0"/>
        <v>0</v>
      </c>
      <c r="U51" s="137">
        <f t="shared" si="5"/>
        <v>27000</v>
      </c>
      <c r="V51" s="137">
        <v>27000</v>
      </c>
      <c r="W51" s="137">
        <f t="shared" si="6"/>
        <v>0</v>
      </c>
      <c r="X51" s="137">
        <f t="shared" si="1"/>
        <v>0</v>
      </c>
      <c r="Y51" s="137">
        <f t="shared" si="7"/>
        <v>0</v>
      </c>
      <c r="Z51" s="137">
        <v>24309.475728155299</v>
      </c>
      <c r="AA51" s="137">
        <f t="shared" si="2"/>
        <v>2690.5242718447007</v>
      </c>
      <c r="AB51" s="146">
        <f t="shared" si="11"/>
        <v>24309.475728155299</v>
      </c>
      <c r="AC51" s="147">
        <f t="shared" si="4"/>
        <v>0</v>
      </c>
      <c r="AD51" s="137">
        <v>24309.475728155299</v>
      </c>
      <c r="AE51" s="135">
        <v>0</v>
      </c>
      <c r="AF51" s="137">
        <f t="shared" si="10"/>
        <v>0</v>
      </c>
      <c r="AG51" s="137">
        <v>-708.04298237345597</v>
      </c>
      <c r="AH51" s="137"/>
      <c r="AI51" s="137"/>
      <c r="AJ51" s="135" t="s">
        <v>189</v>
      </c>
      <c r="AK51" s="153" t="s">
        <v>189</v>
      </c>
    </row>
    <row r="52" spans="1:39" s="119" customFormat="1" ht="15" customHeight="1" x14ac:dyDescent="0.3">
      <c r="A52" s="119">
        <v>2017</v>
      </c>
      <c r="B52" s="119" t="s">
        <v>38</v>
      </c>
      <c r="C52" s="119" t="s">
        <v>59</v>
      </c>
      <c r="D52" s="119" t="s">
        <v>106</v>
      </c>
      <c r="E52" s="119" t="s">
        <v>190</v>
      </c>
      <c r="F52" s="119" t="s">
        <v>191</v>
      </c>
      <c r="G52" s="119" t="s">
        <v>191</v>
      </c>
      <c r="H52" s="119" t="s">
        <v>191</v>
      </c>
      <c r="I52" s="119" t="s">
        <v>170</v>
      </c>
      <c r="J52" s="119" t="s">
        <v>171</v>
      </c>
      <c r="K52" s="119" t="s">
        <v>172</v>
      </c>
      <c r="L52" s="119" t="s">
        <v>191</v>
      </c>
      <c r="M52" s="119" t="s">
        <v>160</v>
      </c>
      <c r="N52" s="136">
        <v>0.02</v>
      </c>
      <c r="O52" s="135" t="s">
        <v>51</v>
      </c>
      <c r="P52" s="135"/>
      <c r="Q52" s="142">
        <v>524123.82</v>
      </c>
      <c r="R52" s="137">
        <v>0</v>
      </c>
      <c r="S52" s="137">
        <v>3735091.37</v>
      </c>
      <c r="T52" s="137">
        <f t="shared" si="0"/>
        <v>74701.827400000009</v>
      </c>
      <c r="U52" s="137">
        <f t="shared" si="5"/>
        <v>3809793.1973999999</v>
      </c>
      <c r="V52" s="137">
        <v>3286375</v>
      </c>
      <c r="W52" s="137">
        <f t="shared" si="6"/>
        <v>523418.19739999995</v>
      </c>
      <c r="X52" s="137">
        <f t="shared" si="1"/>
        <v>513155.09549019602</v>
      </c>
      <c r="Y52" s="137">
        <f t="shared" si="7"/>
        <v>10263.101909803925</v>
      </c>
      <c r="Z52" s="137">
        <v>3810498.82</v>
      </c>
      <c r="AA52" s="137">
        <f t="shared" si="2"/>
        <v>0</v>
      </c>
      <c r="AB52" s="146">
        <f>IF(O52="返货",(Z52-Q52)/(1+N52),IF(O52="返现",(Z52-Q52),IF(O52="折扣",(Z52-Q52)*N52,IF(O52="无",(Z52-Q52)))))</f>
        <v>3221936.2745098039</v>
      </c>
      <c r="AC52" s="147">
        <f t="shared" si="4"/>
        <v>588562.54549019597</v>
      </c>
      <c r="AD52" s="137">
        <f>(Z52-Q52)*0.826045217867759</f>
        <v>2714694.3528701565</v>
      </c>
      <c r="AE52" s="138">
        <v>0.11269173273981201</v>
      </c>
      <c r="AF52" s="137">
        <f t="shared" si="10"/>
        <v>305923.61048392061</v>
      </c>
      <c r="AG52" s="137">
        <v>229592.30407493599</v>
      </c>
      <c r="AH52" s="154"/>
      <c r="AI52" s="154"/>
      <c r="AJ52" s="135" t="s">
        <v>173</v>
      </c>
      <c r="AK52" s="119" t="s">
        <v>173</v>
      </c>
      <c r="AM52" s="119" t="s">
        <v>174</v>
      </c>
    </row>
    <row r="53" spans="1:39" s="119" customFormat="1" ht="15" customHeight="1" x14ac:dyDescent="0.3">
      <c r="A53" s="119">
        <v>2017</v>
      </c>
      <c r="B53" s="119" t="s">
        <v>38</v>
      </c>
      <c r="C53" s="119" t="s">
        <v>59</v>
      </c>
      <c r="D53" s="119" t="s">
        <v>106</v>
      </c>
      <c r="E53" s="119" t="s">
        <v>192</v>
      </c>
      <c r="F53" s="119" t="s">
        <v>108</v>
      </c>
      <c r="G53" s="119" t="s">
        <v>108</v>
      </c>
      <c r="H53" s="119" t="s">
        <v>108</v>
      </c>
      <c r="I53" s="119" t="s">
        <v>165</v>
      </c>
      <c r="J53" s="119" t="s">
        <v>44</v>
      </c>
      <c r="K53" s="119" t="s">
        <v>166</v>
      </c>
      <c r="L53" s="119" t="s">
        <v>109</v>
      </c>
      <c r="M53" s="137" t="s">
        <v>46</v>
      </c>
      <c r="N53" s="135">
        <v>0</v>
      </c>
      <c r="O53" s="135" t="s">
        <v>47</v>
      </c>
      <c r="P53" s="135"/>
      <c r="Q53" s="137">
        <v>0</v>
      </c>
      <c r="R53" s="137">
        <v>0</v>
      </c>
      <c r="S53" s="137">
        <v>20000</v>
      </c>
      <c r="T53" s="137">
        <f t="shared" si="0"/>
        <v>0</v>
      </c>
      <c r="U53" s="137">
        <f t="shared" si="5"/>
        <v>20000</v>
      </c>
      <c r="V53" s="137">
        <v>20000</v>
      </c>
      <c r="W53" s="137">
        <f t="shared" si="6"/>
        <v>0</v>
      </c>
      <c r="X53" s="137">
        <f t="shared" si="1"/>
        <v>0</v>
      </c>
      <c r="Y53" s="137">
        <f t="shared" si="7"/>
        <v>0</v>
      </c>
      <c r="Z53" s="137">
        <v>19590.919999999998</v>
      </c>
      <c r="AA53" s="137">
        <f t="shared" si="2"/>
        <v>409.08000000000175</v>
      </c>
      <c r="AB53" s="146">
        <f t="shared" si="11"/>
        <v>19590.919999999998</v>
      </c>
      <c r="AC53" s="147">
        <f t="shared" si="4"/>
        <v>0</v>
      </c>
      <c r="AD53" s="137">
        <v>19590.919999999998</v>
      </c>
      <c r="AE53" s="135">
        <v>0</v>
      </c>
      <c r="AF53" s="137">
        <f t="shared" si="10"/>
        <v>0</v>
      </c>
      <c r="AG53" s="137">
        <v>-1108.92</v>
      </c>
      <c r="AH53" s="137"/>
      <c r="AI53" s="137"/>
      <c r="AJ53" s="135" t="s">
        <v>193</v>
      </c>
      <c r="AK53" s="153" t="s">
        <v>193</v>
      </c>
    </row>
    <row r="54" spans="1:39" s="119" customFormat="1" ht="15" customHeight="1" x14ac:dyDescent="0.3">
      <c r="A54" s="119">
        <v>2017</v>
      </c>
      <c r="B54" s="119" t="s">
        <v>38</v>
      </c>
      <c r="C54" s="119" t="s">
        <v>88</v>
      </c>
      <c r="D54" s="119" t="s">
        <v>89</v>
      </c>
      <c r="E54" s="119" t="s">
        <v>194</v>
      </c>
      <c r="F54" s="119" t="s">
        <v>195</v>
      </c>
      <c r="G54" s="119" t="s">
        <v>195</v>
      </c>
      <c r="H54" s="119" t="s">
        <v>195</v>
      </c>
      <c r="I54" s="119" t="s">
        <v>165</v>
      </c>
      <c r="J54" s="119" t="s">
        <v>44</v>
      </c>
      <c r="K54" s="119" t="s">
        <v>166</v>
      </c>
      <c r="L54" s="119" t="s">
        <v>195</v>
      </c>
      <c r="M54" s="137" t="s">
        <v>46</v>
      </c>
      <c r="N54" s="135">
        <v>0</v>
      </c>
      <c r="O54" s="135" t="s">
        <v>47</v>
      </c>
      <c r="P54" s="135"/>
      <c r="Q54" s="137">
        <v>0</v>
      </c>
      <c r="R54" s="137">
        <v>0</v>
      </c>
      <c r="S54" s="137">
        <v>9524</v>
      </c>
      <c r="T54" s="137">
        <f t="shared" si="0"/>
        <v>0</v>
      </c>
      <c r="U54" s="137">
        <f t="shared" si="5"/>
        <v>9524</v>
      </c>
      <c r="V54" s="137">
        <v>9524</v>
      </c>
      <c r="W54" s="137">
        <f t="shared" si="6"/>
        <v>0</v>
      </c>
      <c r="X54" s="137">
        <f t="shared" si="1"/>
        <v>0</v>
      </c>
      <c r="Y54" s="137">
        <f t="shared" si="7"/>
        <v>0</v>
      </c>
      <c r="Z54" s="137">
        <v>0</v>
      </c>
      <c r="AA54" s="137">
        <f t="shared" si="2"/>
        <v>9524</v>
      </c>
      <c r="AB54" s="146">
        <f t="shared" si="11"/>
        <v>0</v>
      </c>
      <c r="AC54" s="147">
        <f t="shared" si="4"/>
        <v>0</v>
      </c>
      <c r="AD54" s="137">
        <v>0</v>
      </c>
      <c r="AE54" s="135">
        <v>0</v>
      </c>
      <c r="AF54" s="137">
        <f t="shared" si="10"/>
        <v>0</v>
      </c>
      <c r="AG54" s="137">
        <v>0</v>
      </c>
      <c r="AH54" s="137"/>
      <c r="AI54" s="137"/>
      <c r="AJ54" s="135" t="s">
        <v>63</v>
      </c>
      <c r="AK54" s="153" t="s">
        <v>63</v>
      </c>
    </row>
    <row r="55" spans="1:39" s="119" customFormat="1" ht="15" customHeight="1" x14ac:dyDescent="0.3">
      <c r="A55" s="119">
        <v>2017</v>
      </c>
      <c r="B55" s="119" t="s">
        <v>38</v>
      </c>
      <c r="C55" s="119" t="s">
        <v>59</v>
      </c>
      <c r="D55" s="119" t="s">
        <v>106</v>
      </c>
      <c r="E55" s="119" t="s">
        <v>190</v>
      </c>
      <c r="F55" s="119" t="s">
        <v>134</v>
      </c>
      <c r="G55" s="119" t="s">
        <v>134</v>
      </c>
      <c r="H55" s="119" t="s">
        <v>134</v>
      </c>
      <c r="I55" s="119" t="s">
        <v>165</v>
      </c>
      <c r="J55" s="119" t="s">
        <v>44</v>
      </c>
      <c r="K55" s="119" t="s">
        <v>166</v>
      </c>
      <c r="L55" s="119" t="s">
        <v>134</v>
      </c>
      <c r="M55" s="137" t="s">
        <v>185</v>
      </c>
      <c r="N55" s="135">
        <v>0</v>
      </c>
      <c r="O55" s="135" t="s">
        <v>47</v>
      </c>
      <c r="P55" s="135"/>
      <c r="Q55" s="137">
        <v>0</v>
      </c>
      <c r="R55" s="137">
        <v>0</v>
      </c>
      <c r="S55" s="137">
        <v>100000</v>
      </c>
      <c r="T55" s="137">
        <f t="shared" si="0"/>
        <v>0</v>
      </c>
      <c r="U55" s="137">
        <f t="shared" si="5"/>
        <v>100000</v>
      </c>
      <c r="V55" s="137">
        <v>100000</v>
      </c>
      <c r="W55" s="137">
        <f t="shared" si="6"/>
        <v>0</v>
      </c>
      <c r="X55" s="137">
        <f t="shared" si="1"/>
        <v>0</v>
      </c>
      <c r="Y55" s="137">
        <f t="shared" si="7"/>
        <v>0</v>
      </c>
      <c r="Z55" s="137">
        <v>100000</v>
      </c>
      <c r="AA55" s="137">
        <f t="shared" si="2"/>
        <v>0</v>
      </c>
      <c r="AB55" s="146">
        <f t="shared" si="11"/>
        <v>100000</v>
      </c>
      <c r="AC55" s="147">
        <f t="shared" si="4"/>
        <v>0</v>
      </c>
      <c r="AD55" s="137">
        <v>100000</v>
      </c>
      <c r="AE55" s="135">
        <v>0</v>
      </c>
      <c r="AF55" s="137">
        <f t="shared" si="10"/>
        <v>0</v>
      </c>
      <c r="AG55" s="137">
        <v>4000</v>
      </c>
      <c r="AH55" s="137"/>
      <c r="AI55" s="137"/>
      <c r="AJ55" s="135">
        <v>0</v>
      </c>
      <c r="AK55" s="153" t="s">
        <v>186</v>
      </c>
    </row>
    <row r="56" spans="1:39" s="119" customFormat="1" ht="15" customHeight="1" x14ac:dyDescent="0.3">
      <c r="A56" s="119">
        <v>2017</v>
      </c>
      <c r="B56" s="119" t="s">
        <v>38</v>
      </c>
      <c r="C56" s="119" t="s">
        <v>59</v>
      </c>
      <c r="D56" s="119" t="s">
        <v>106</v>
      </c>
      <c r="E56" s="119" t="s">
        <v>107</v>
      </c>
      <c r="F56" s="119" t="s">
        <v>196</v>
      </c>
      <c r="G56" s="119" t="s">
        <v>196</v>
      </c>
      <c r="H56" s="119" t="s">
        <v>196</v>
      </c>
      <c r="I56" s="119" t="s">
        <v>165</v>
      </c>
      <c r="J56" s="119" t="s">
        <v>44</v>
      </c>
      <c r="K56" s="119" t="s">
        <v>166</v>
      </c>
      <c r="L56" s="119" t="s">
        <v>197</v>
      </c>
      <c r="M56" s="137" t="s">
        <v>185</v>
      </c>
      <c r="N56" s="135">
        <v>0</v>
      </c>
      <c r="O56" s="135" t="s">
        <v>47</v>
      </c>
      <c r="P56" s="135"/>
      <c r="Q56" s="137">
        <v>0</v>
      </c>
      <c r="R56" s="137">
        <v>0</v>
      </c>
      <c r="S56" s="137">
        <v>660346</v>
      </c>
      <c r="T56" s="137">
        <f t="shared" si="0"/>
        <v>0</v>
      </c>
      <c r="U56" s="137">
        <f t="shared" si="5"/>
        <v>660346</v>
      </c>
      <c r="V56" s="137">
        <v>660346</v>
      </c>
      <c r="W56" s="137">
        <f t="shared" si="6"/>
        <v>0</v>
      </c>
      <c r="X56" s="137">
        <f t="shared" si="1"/>
        <v>0</v>
      </c>
      <c r="Y56" s="137">
        <f t="shared" si="7"/>
        <v>0</v>
      </c>
      <c r="Z56" s="137">
        <v>609384.95999999996</v>
      </c>
      <c r="AA56" s="137">
        <f t="shared" si="2"/>
        <v>50961.040000000037</v>
      </c>
      <c r="AB56" s="146">
        <f t="shared" si="11"/>
        <v>609384.95999999996</v>
      </c>
      <c r="AC56" s="147">
        <f t="shared" si="4"/>
        <v>0</v>
      </c>
      <c r="AD56" s="137">
        <v>609384.95999999996</v>
      </c>
      <c r="AE56" s="135">
        <v>0</v>
      </c>
      <c r="AF56" s="137">
        <f t="shared" si="10"/>
        <v>0</v>
      </c>
      <c r="AG56" s="137">
        <v>25391.040000000001</v>
      </c>
      <c r="AH56" s="137"/>
      <c r="AI56" s="137"/>
      <c r="AJ56" s="135" t="s">
        <v>198</v>
      </c>
      <c r="AK56" s="153" t="s">
        <v>198</v>
      </c>
    </row>
    <row r="57" spans="1:39" s="119" customFormat="1" ht="15" customHeight="1" x14ac:dyDescent="0.3">
      <c r="A57" s="119">
        <v>2017</v>
      </c>
      <c r="B57" s="119" t="s">
        <v>199</v>
      </c>
      <c r="C57" s="119" t="s">
        <v>200</v>
      </c>
      <c r="D57" s="119" t="s">
        <v>201</v>
      </c>
      <c r="F57" s="131" t="s">
        <v>202</v>
      </c>
      <c r="G57" s="131" t="s">
        <v>203</v>
      </c>
      <c r="H57" s="131" t="s">
        <v>203</v>
      </c>
      <c r="I57" s="131" t="s">
        <v>204</v>
      </c>
      <c r="J57" s="119" t="s">
        <v>205</v>
      </c>
      <c r="K57" s="119" t="s">
        <v>206</v>
      </c>
      <c r="L57" s="119" t="s">
        <v>207</v>
      </c>
      <c r="M57" s="119" t="s">
        <v>185</v>
      </c>
      <c r="N57" s="136">
        <v>0.03</v>
      </c>
      <c r="O57" s="138" t="s">
        <v>51</v>
      </c>
      <c r="P57" s="138"/>
      <c r="Q57" s="137">
        <v>0</v>
      </c>
      <c r="R57" s="137">
        <v>0</v>
      </c>
      <c r="S57" s="137"/>
      <c r="T57" s="137">
        <f t="shared" si="0"/>
        <v>0</v>
      </c>
      <c r="U57" s="137">
        <f t="shared" si="5"/>
        <v>0</v>
      </c>
      <c r="V57" s="137">
        <v>0</v>
      </c>
      <c r="W57" s="137">
        <f t="shared" si="6"/>
        <v>0</v>
      </c>
      <c r="X57" s="137">
        <f t="shared" si="1"/>
        <v>0</v>
      </c>
      <c r="Y57" s="137">
        <f t="shared" si="7"/>
        <v>0</v>
      </c>
      <c r="Z57" s="137">
        <v>483057.67</v>
      </c>
      <c r="AA57" s="137">
        <f t="shared" si="2"/>
        <v>-483057.67</v>
      </c>
      <c r="AB57" s="146">
        <f t="shared" si="11"/>
        <v>468988.02912621357</v>
      </c>
      <c r="AC57" s="147">
        <f t="shared" si="4"/>
        <v>14069.640873786411</v>
      </c>
      <c r="AD57" s="137">
        <v>483057.67</v>
      </c>
      <c r="AE57" s="138">
        <v>0.2</v>
      </c>
      <c r="AF57" s="137">
        <f t="shared" si="10"/>
        <v>96611.534</v>
      </c>
      <c r="AG57" s="137">
        <v>96611.534</v>
      </c>
      <c r="AH57" s="154"/>
      <c r="AI57" s="154"/>
      <c r="AJ57" s="136">
        <v>0.03</v>
      </c>
      <c r="AM57" s="131" t="s">
        <v>208</v>
      </c>
    </row>
    <row r="58" spans="1:39" s="119" customFormat="1" ht="15" customHeight="1" x14ac:dyDescent="0.3">
      <c r="A58" s="119">
        <v>2017</v>
      </c>
      <c r="B58" s="119" t="s">
        <v>38</v>
      </c>
      <c r="C58" s="119" t="s">
        <v>88</v>
      </c>
      <c r="D58" s="119" t="s">
        <v>95</v>
      </c>
      <c r="E58" s="119" t="s">
        <v>194</v>
      </c>
      <c r="F58" s="119" t="s">
        <v>209</v>
      </c>
      <c r="G58" s="119" t="s">
        <v>209</v>
      </c>
      <c r="H58" s="119" t="s">
        <v>209</v>
      </c>
      <c r="I58" s="119" t="s">
        <v>165</v>
      </c>
      <c r="J58" s="119" t="s">
        <v>44</v>
      </c>
      <c r="K58" s="119" t="s">
        <v>166</v>
      </c>
      <c r="L58" s="119" t="s">
        <v>209</v>
      </c>
      <c r="M58" s="137" t="s">
        <v>46</v>
      </c>
      <c r="N58" s="135">
        <v>0</v>
      </c>
      <c r="O58" s="135" t="s">
        <v>47</v>
      </c>
      <c r="P58" s="135"/>
      <c r="Q58" s="137">
        <v>0</v>
      </c>
      <c r="R58" s="137">
        <v>0</v>
      </c>
      <c r="S58" s="137">
        <v>210000</v>
      </c>
      <c r="T58" s="137">
        <f t="shared" si="0"/>
        <v>0</v>
      </c>
      <c r="U58" s="137">
        <f t="shared" si="5"/>
        <v>210000</v>
      </c>
      <c r="V58" s="137">
        <v>210000</v>
      </c>
      <c r="W58" s="137">
        <f t="shared" si="6"/>
        <v>0</v>
      </c>
      <c r="X58" s="137">
        <f t="shared" si="1"/>
        <v>0</v>
      </c>
      <c r="Y58" s="137">
        <f t="shared" si="7"/>
        <v>0</v>
      </c>
      <c r="Z58" s="137">
        <v>173214.06862745099</v>
      </c>
      <c r="AA58" s="137">
        <f t="shared" si="2"/>
        <v>36785.931372549006</v>
      </c>
      <c r="AB58" s="146">
        <f t="shared" si="11"/>
        <v>173214.06862745099</v>
      </c>
      <c r="AC58" s="147">
        <f t="shared" si="4"/>
        <v>0</v>
      </c>
      <c r="AD58" s="137">
        <v>173214.06862745099</v>
      </c>
      <c r="AE58" s="135">
        <v>0</v>
      </c>
      <c r="AF58" s="137">
        <f t="shared" si="10"/>
        <v>0</v>
      </c>
      <c r="AG58" s="137">
        <v>-3396.3542868127702</v>
      </c>
      <c r="AH58" s="137"/>
      <c r="AI58" s="137"/>
      <c r="AJ58" s="135" t="s">
        <v>173</v>
      </c>
      <c r="AK58" s="153" t="s">
        <v>173</v>
      </c>
    </row>
    <row r="59" spans="1:39" s="119" customFormat="1" ht="15" customHeight="1" x14ac:dyDescent="0.3">
      <c r="A59" s="119">
        <v>2017</v>
      </c>
      <c r="B59" s="119" t="s">
        <v>38</v>
      </c>
      <c r="C59" s="119" t="s">
        <v>59</v>
      </c>
      <c r="D59" s="119" t="s">
        <v>106</v>
      </c>
      <c r="E59" s="119" t="s">
        <v>61</v>
      </c>
      <c r="F59" s="119" t="s">
        <v>145</v>
      </c>
      <c r="G59" s="119" t="s">
        <v>146</v>
      </c>
      <c r="H59" s="119" t="s">
        <v>146</v>
      </c>
      <c r="I59" s="119" t="s">
        <v>165</v>
      </c>
      <c r="J59" s="119" t="s">
        <v>44</v>
      </c>
      <c r="K59" s="119" t="s">
        <v>166</v>
      </c>
      <c r="L59" s="119" t="s">
        <v>145</v>
      </c>
      <c r="M59" s="137" t="s">
        <v>46</v>
      </c>
      <c r="N59" s="135">
        <v>0</v>
      </c>
      <c r="O59" s="135" t="s">
        <v>47</v>
      </c>
      <c r="P59" s="135"/>
      <c r="Q59" s="137">
        <v>0</v>
      </c>
      <c r="R59" s="137">
        <v>0</v>
      </c>
      <c r="S59" s="137">
        <v>35000</v>
      </c>
      <c r="T59" s="137">
        <f t="shared" si="0"/>
        <v>0</v>
      </c>
      <c r="U59" s="137">
        <f t="shared" si="5"/>
        <v>35000</v>
      </c>
      <c r="V59" s="137">
        <v>35000</v>
      </c>
      <c r="W59" s="137">
        <f t="shared" si="6"/>
        <v>0</v>
      </c>
      <c r="X59" s="137">
        <f t="shared" si="1"/>
        <v>0</v>
      </c>
      <c r="Y59" s="137">
        <f t="shared" si="7"/>
        <v>0</v>
      </c>
      <c r="Z59" s="137">
        <v>14949.7641509434</v>
      </c>
      <c r="AA59" s="137">
        <f t="shared" si="2"/>
        <v>20050.2358490566</v>
      </c>
      <c r="AB59" s="146">
        <f t="shared" si="11"/>
        <v>14949.7641509434</v>
      </c>
      <c r="AC59" s="147">
        <f t="shared" si="4"/>
        <v>0</v>
      </c>
      <c r="AD59" s="137">
        <v>14949.7641509434</v>
      </c>
      <c r="AE59" s="135">
        <v>0</v>
      </c>
      <c r="AF59" s="137">
        <f t="shared" si="10"/>
        <v>0</v>
      </c>
      <c r="AG59" s="137">
        <v>-846.21306514774005</v>
      </c>
      <c r="AH59" s="137"/>
      <c r="AI59" s="137"/>
      <c r="AJ59" s="135" t="s">
        <v>193</v>
      </c>
      <c r="AK59" s="153" t="s">
        <v>193</v>
      </c>
    </row>
    <row r="60" spans="1:39" s="119" customFormat="1" ht="15" customHeight="1" x14ac:dyDescent="0.3">
      <c r="A60" s="119">
        <v>2017</v>
      </c>
      <c r="B60" s="119" t="s">
        <v>38</v>
      </c>
      <c r="C60" s="119" t="s">
        <v>59</v>
      </c>
      <c r="D60" s="119" t="s">
        <v>210</v>
      </c>
      <c r="E60" s="119" t="s">
        <v>131</v>
      </c>
      <c r="F60" s="119" t="s">
        <v>211</v>
      </c>
      <c r="G60" s="119" t="s">
        <v>211</v>
      </c>
      <c r="H60" s="119" t="s">
        <v>211</v>
      </c>
      <c r="I60" s="119" t="s">
        <v>165</v>
      </c>
      <c r="J60" s="119" t="s">
        <v>44</v>
      </c>
      <c r="K60" s="119" t="s">
        <v>166</v>
      </c>
      <c r="L60" s="119" t="s">
        <v>212</v>
      </c>
      <c r="M60" s="137" t="s">
        <v>185</v>
      </c>
      <c r="N60" s="135">
        <v>0</v>
      </c>
      <c r="O60" s="135" t="s">
        <v>47</v>
      </c>
      <c r="P60" s="135"/>
      <c r="Q60" s="137">
        <v>0</v>
      </c>
      <c r="R60" s="137">
        <v>0</v>
      </c>
      <c r="S60" s="137">
        <v>138762</v>
      </c>
      <c r="T60" s="137">
        <f t="shared" si="0"/>
        <v>0</v>
      </c>
      <c r="U60" s="137">
        <f t="shared" si="5"/>
        <v>138762</v>
      </c>
      <c r="V60" s="137">
        <v>138762</v>
      </c>
      <c r="W60" s="137">
        <f t="shared" si="6"/>
        <v>0</v>
      </c>
      <c r="X60" s="137">
        <f t="shared" si="1"/>
        <v>0</v>
      </c>
      <c r="Y60" s="137">
        <f t="shared" si="7"/>
        <v>0</v>
      </c>
      <c r="Z60" s="137">
        <v>106740</v>
      </c>
      <c r="AA60" s="137">
        <f t="shared" si="2"/>
        <v>32022</v>
      </c>
      <c r="AB60" s="146">
        <f t="shared" si="11"/>
        <v>106740</v>
      </c>
      <c r="AC60" s="147">
        <f t="shared" si="4"/>
        <v>0</v>
      </c>
      <c r="AD60" s="137">
        <v>106740</v>
      </c>
      <c r="AE60" s="135">
        <v>0</v>
      </c>
      <c r="AF60" s="137">
        <f t="shared" si="10"/>
        <v>0</v>
      </c>
      <c r="AG60" s="137">
        <v>-24632.307692307699</v>
      </c>
      <c r="AH60" s="137"/>
      <c r="AI60" s="137"/>
      <c r="AJ60" s="135" t="s">
        <v>184</v>
      </c>
      <c r="AK60" s="153" t="s">
        <v>184</v>
      </c>
    </row>
    <row r="61" spans="1:39" s="119" customFormat="1" ht="15" customHeight="1" x14ac:dyDescent="0.3">
      <c r="A61" s="119">
        <v>2017</v>
      </c>
      <c r="B61" s="119" t="s">
        <v>38</v>
      </c>
      <c r="C61" s="119" t="s">
        <v>88</v>
      </c>
      <c r="D61" s="119" t="s">
        <v>95</v>
      </c>
      <c r="E61" s="119" t="s">
        <v>194</v>
      </c>
      <c r="F61" s="119" t="s">
        <v>213</v>
      </c>
      <c r="G61" s="119" t="s">
        <v>213</v>
      </c>
      <c r="H61" s="119" t="s">
        <v>213</v>
      </c>
      <c r="I61" s="119" t="s">
        <v>165</v>
      </c>
      <c r="J61" s="119" t="s">
        <v>44</v>
      </c>
      <c r="K61" s="119" t="s">
        <v>166</v>
      </c>
      <c r="L61" s="119" t="s">
        <v>213</v>
      </c>
      <c r="M61" s="137" t="s">
        <v>185</v>
      </c>
      <c r="N61" s="135">
        <v>0</v>
      </c>
      <c r="O61" s="135" t="s">
        <v>47</v>
      </c>
      <c r="P61" s="135"/>
      <c r="Q61" s="137">
        <v>0</v>
      </c>
      <c r="R61" s="137">
        <v>0</v>
      </c>
      <c r="S61" s="137">
        <v>260000</v>
      </c>
      <c r="T61" s="137">
        <f t="shared" si="0"/>
        <v>0</v>
      </c>
      <c r="U61" s="137">
        <f t="shared" si="5"/>
        <v>260000</v>
      </c>
      <c r="V61" s="137">
        <v>260000</v>
      </c>
      <c r="W61" s="137">
        <f t="shared" si="6"/>
        <v>0</v>
      </c>
      <c r="X61" s="137">
        <f t="shared" si="1"/>
        <v>0</v>
      </c>
      <c r="Y61" s="137">
        <f t="shared" si="7"/>
        <v>0</v>
      </c>
      <c r="Z61" s="137">
        <v>219061.89926951201</v>
      </c>
      <c r="AA61" s="137">
        <f t="shared" si="2"/>
        <v>40938.100730487989</v>
      </c>
      <c r="AB61" s="146">
        <f t="shared" si="11"/>
        <v>219061.89926951201</v>
      </c>
      <c r="AC61" s="147">
        <f t="shared" si="4"/>
        <v>0</v>
      </c>
      <c r="AD61" s="137">
        <v>219061.89926951201</v>
      </c>
      <c r="AE61" s="135">
        <v>0</v>
      </c>
      <c r="AF61" s="137">
        <f t="shared" si="10"/>
        <v>0</v>
      </c>
      <c r="AG61" s="137">
        <v>-4295.3313582257297</v>
      </c>
      <c r="AH61" s="137"/>
      <c r="AI61" s="137"/>
      <c r="AJ61" s="135" t="s">
        <v>173</v>
      </c>
      <c r="AK61" s="153" t="s">
        <v>173</v>
      </c>
    </row>
    <row r="62" spans="1:39" s="119" customFormat="1" ht="15" customHeight="1" x14ac:dyDescent="0.3">
      <c r="A62" s="119">
        <v>2017</v>
      </c>
      <c r="B62" s="119" t="s">
        <v>38</v>
      </c>
      <c r="C62" s="119" t="s">
        <v>59</v>
      </c>
      <c r="D62" s="119" t="s">
        <v>106</v>
      </c>
      <c r="E62" s="119" t="s">
        <v>190</v>
      </c>
      <c r="F62" s="119" t="s">
        <v>214</v>
      </c>
      <c r="G62" s="119" t="s">
        <v>214</v>
      </c>
      <c r="H62" s="119" t="s">
        <v>214</v>
      </c>
      <c r="I62" s="119" t="s">
        <v>165</v>
      </c>
      <c r="J62" s="119" t="s">
        <v>44</v>
      </c>
      <c r="K62" s="119" t="s">
        <v>166</v>
      </c>
      <c r="L62" s="119" t="s">
        <v>215</v>
      </c>
      <c r="M62" s="137" t="s">
        <v>185</v>
      </c>
      <c r="N62" s="135">
        <v>0</v>
      </c>
      <c r="O62" s="135" t="s">
        <v>47</v>
      </c>
      <c r="P62" s="135"/>
      <c r="Q62" s="137">
        <v>0</v>
      </c>
      <c r="R62" s="137">
        <v>0</v>
      </c>
      <c r="S62" s="137">
        <v>2209890</v>
      </c>
      <c r="T62" s="137">
        <f t="shared" si="0"/>
        <v>0</v>
      </c>
      <c r="U62" s="137">
        <f t="shared" si="5"/>
        <v>2209890</v>
      </c>
      <c r="V62" s="137">
        <v>2209890</v>
      </c>
      <c r="W62" s="137">
        <f t="shared" si="6"/>
        <v>0</v>
      </c>
      <c r="X62" s="137">
        <f t="shared" si="1"/>
        <v>0</v>
      </c>
      <c r="Y62" s="137">
        <f t="shared" si="7"/>
        <v>0</v>
      </c>
      <c r="Z62" s="137">
        <v>1973456.2944</v>
      </c>
      <c r="AA62" s="137">
        <f t="shared" si="2"/>
        <v>236433.70559999999</v>
      </c>
      <c r="AB62" s="146">
        <f t="shared" si="11"/>
        <v>1973456.2944</v>
      </c>
      <c r="AC62" s="147">
        <f t="shared" si="4"/>
        <v>0</v>
      </c>
      <c r="AD62" s="137">
        <v>1973456.2944</v>
      </c>
      <c r="AE62" s="135">
        <v>0</v>
      </c>
      <c r="AF62" s="137">
        <f t="shared" si="10"/>
        <v>0</v>
      </c>
      <c r="AG62" s="137">
        <v>0</v>
      </c>
      <c r="AH62" s="137"/>
      <c r="AI62" s="137"/>
      <c r="AJ62" s="136">
        <v>0.95</v>
      </c>
      <c r="AK62" s="152">
        <v>0.95</v>
      </c>
    </row>
    <row r="63" spans="1:39" s="119" customFormat="1" ht="15" customHeight="1" x14ac:dyDescent="0.3">
      <c r="A63" s="119">
        <v>2017</v>
      </c>
      <c r="B63" s="119" t="s">
        <v>38</v>
      </c>
      <c r="C63" s="119" t="s">
        <v>59</v>
      </c>
      <c r="D63" s="119" t="s">
        <v>106</v>
      </c>
      <c r="E63" s="119" t="s">
        <v>190</v>
      </c>
      <c r="F63" s="119" t="s">
        <v>214</v>
      </c>
      <c r="G63" s="119" t="s">
        <v>214</v>
      </c>
      <c r="H63" s="119" t="s">
        <v>214</v>
      </c>
      <c r="I63" s="119" t="s">
        <v>165</v>
      </c>
      <c r="J63" s="119" t="s">
        <v>44</v>
      </c>
      <c r="K63" s="119" t="s">
        <v>166</v>
      </c>
      <c r="L63" s="119" t="s">
        <v>215</v>
      </c>
      <c r="M63" s="137" t="s">
        <v>178</v>
      </c>
      <c r="N63" s="135">
        <v>0</v>
      </c>
      <c r="O63" s="135" t="s">
        <v>47</v>
      </c>
      <c r="P63" s="135" t="s">
        <v>179</v>
      </c>
      <c r="Q63" s="137">
        <v>0</v>
      </c>
      <c r="R63" s="137">
        <v>0</v>
      </c>
      <c r="S63" s="137">
        <v>7299086.2000000002</v>
      </c>
      <c r="T63" s="137">
        <f t="shared" si="0"/>
        <v>0</v>
      </c>
      <c r="U63" s="137">
        <f t="shared" si="5"/>
        <v>7299086.2000000002</v>
      </c>
      <c r="V63" s="137">
        <v>7299086.2000000002</v>
      </c>
      <c r="W63" s="137">
        <f t="shared" si="6"/>
        <v>0</v>
      </c>
      <c r="X63" s="137">
        <f t="shared" si="1"/>
        <v>0</v>
      </c>
      <c r="Y63" s="137">
        <f t="shared" si="7"/>
        <v>0</v>
      </c>
      <c r="Z63" s="137">
        <v>7299086.2000000002</v>
      </c>
      <c r="AA63" s="137">
        <f t="shared" si="2"/>
        <v>0</v>
      </c>
      <c r="AB63" s="146">
        <f t="shared" si="11"/>
        <v>7299086.2000000002</v>
      </c>
      <c r="AC63" s="147">
        <f t="shared" si="4"/>
        <v>0</v>
      </c>
      <c r="AD63" s="137">
        <v>5975865</v>
      </c>
      <c r="AE63" s="135">
        <v>0</v>
      </c>
      <c r="AF63" s="137">
        <f t="shared" si="10"/>
        <v>0</v>
      </c>
      <c r="AG63" s="137">
        <v>0</v>
      </c>
      <c r="AH63" s="137"/>
      <c r="AI63" s="137"/>
      <c r="AJ63" s="136">
        <v>0.95</v>
      </c>
      <c r="AK63" s="152">
        <v>0.95</v>
      </c>
    </row>
    <row r="64" spans="1:39" s="119" customFormat="1" ht="15" customHeight="1" x14ac:dyDescent="0.3">
      <c r="A64" s="119">
        <v>2017</v>
      </c>
      <c r="B64" s="119" t="s">
        <v>38</v>
      </c>
      <c r="C64" s="119" t="s">
        <v>75</v>
      </c>
      <c r="D64" s="119" t="s">
        <v>76</v>
      </c>
      <c r="E64" s="119" t="s">
        <v>167</v>
      </c>
      <c r="F64" s="119" t="s">
        <v>216</v>
      </c>
      <c r="G64" s="119" t="s">
        <v>216</v>
      </c>
      <c r="H64" s="119" t="s">
        <v>216</v>
      </c>
      <c r="I64" s="119" t="s">
        <v>217</v>
      </c>
      <c r="J64" s="119" t="s">
        <v>44</v>
      </c>
      <c r="K64" s="119" t="s">
        <v>218</v>
      </c>
      <c r="L64" s="119" t="s">
        <v>219</v>
      </c>
      <c r="M64" s="137" t="s">
        <v>46</v>
      </c>
      <c r="N64" s="135">
        <v>0</v>
      </c>
      <c r="O64" s="135" t="s">
        <v>47</v>
      </c>
      <c r="P64" s="135"/>
      <c r="Q64" s="137">
        <v>0</v>
      </c>
      <c r="R64" s="137">
        <v>0</v>
      </c>
      <c r="S64" s="137">
        <v>1350000</v>
      </c>
      <c r="T64" s="137">
        <f t="shared" si="0"/>
        <v>0</v>
      </c>
      <c r="U64" s="137">
        <f t="shared" si="5"/>
        <v>1350000</v>
      </c>
      <c r="V64" s="137">
        <v>1350000</v>
      </c>
      <c r="W64" s="137">
        <f t="shared" si="6"/>
        <v>0</v>
      </c>
      <c r="X64" s="137">
        <f t="shared" si="1"/>
        <v>0</v>
      </c>
      <c r="Y64" s="137">
        <f t="shared" si="7"/>
        <v>0</v>
      </c>
      <c r="Z64" s="137">
        <v>1238861.44</v>
      </c>
      <c r="AA64" s="137">
        <f t="shared" si="2"/>
        <v>111138.56000000006</v>
      </c>
      <c r="AB64" s="146">
        <f t="shared" si="11"/>
        <v>1238861.44</v>
      </c>
      <c r="AC64" s="147">
        <f t="shared" si="4"/>
        <v>0</v>
      </c>
      <c r="AD64" s="137">
        <v>1238861.44</v>
      </c>
      <c r="AE64" s="135">
        <v>0</v>
      </c>
      <c r="AF64" s="137">
        <f t="shared" si="10"/>
        <v>0</v>
      </c>
      <c r="AG64" s="137">
        <f>AB64-Z64+AF64</f>
        <v>0</v>
      </c>
      <c r="AH64" s="137"/>
      <c r="AI64" s="137"/>
      <c r="AJ64" s="136">
        <v>1</v>
      </c>
      <c r="AK64" s="153" t="s">
        <v>47</v>
      </c>
      <c r="AL64" s="119" t="s">
        <v>220</v>
      </c>
    </row>
    <row r="65" spans="1:38" s="119" customFormat="1" ht="15" customHeight="1" x14ac:dyDescent="0.3">
      <c r="A65" s="119">
        <v>2017</v>
      </c>
      <c r="B65" s="119" t="s">
        <v>38</v>
      </c>
      <c r="C65" s="119" t="s">
        <v>39</v>
      </c>
      <c r="D65" s="119" t="s">
        <v>40</v>
      </c>
      <c r="E65" s="119" t="s">
        <v>41</v>
      </c>
      <c r="F65" s="119" t="s">
        <v>42</v>
      </c>
      <c r="G65" s="119" t="s">
        <v>42</v>
      </c>
      <c r="H65" s="119" t="s">
        <v>42</v>
      </c>
      <c r="I65" s="119" t="s">
        <v>217</v>
      </c>
      <c r="J65" s="119" t="s">
        <v>44</v>
      </c>
      <c r="K65" s="119" t="s">
        <v>218</v>
      </c>
      <c r="L65" s="119" t="s">
        <v>42</v>
      </c>
      <c r="M65" s="137" t="s">
        <v>46</v>
      </c>
      <c r="N65" s="135">
        <v>0</v>
      </c>
      <c r="O65" s="135" t="s">
        <v>47</v>
      </c>
      <c r="P65" s="135"/>
      <c r="Q65" s="137">
        <v>0</v>
      </c>
      <c r="R65" s="137">
        <v>0</v>
      </c>
      <c r="S65" s="137">
        <v>46000</v>
      </c>
      <c r="T65" s="137">
        <f t="shared" si="0"/>
        <v>0</v>
      </c>
      <c r="U65" s="137">
        <f t="shared" si="5"/>
        <v>46000</v>
      </c>
      <c r="V65" s="137">
        <v>46000</v>
      </c>
      <c r="W65" s="137">
        <f t="shared" si="6"/>
        <v>0</v>
      </c>
      <c r="X65" s="137">
        <f t="shared" si="1"/>
        <v>0</v>
      </c>
      <c r="Y65" s="137">
        <f t="shared" si="7"/>
        <v>0</v>
      </c>
      <c r="Z65" s="137">
        <v>45960.35</v>
      </c>
      <c r="AA65" s="137">
        <f t="shared" si="2"/>
        <v>39.650000000001455</v>
      </c>
      <c r="AB65" s="146">
        <f t="shared" si="11"/>
        <v>45960.35</v>
      </c>
      <c r="AC65" s="147">
        <f t="shared" si="4"/>
        <v>0</v>
      </c>
      <c r="AD65" s="137">
        <v>45960.35</v>
      </c>
      <c r="AE65" s="135">
        <v>0</v>
      </c>
      <c r="AF65" s="137">
        <f t="shared" si="10"/>
        <v>0</v>
      </c>
      <c r="AG65" s="137">
        <f>AB65-Z65+AF65</f>
        <v>0</v>
      </c>
      <c r="AH65" s="137"/>
      <c r="AI65" s="137"/>
      <c r="AJ65" s="135" t="s">
        <v>47</v>
      </c>
      <c r="AK65" s="153" t="s">
        <v>47</v>
      </c>
      <c r="AL65" s="119" t="s">
        <v>221</v>
      </c>
    </row>
    <row r="66" spans="1:38" s="119" customFormat="1" ht="15" customHeight="1" x14ac:dyDescent="0.3">
      <c r="A66" s="119">
        <v>2017</v>
      </c>
      <c r="B66" s="119" t="s">
        <v>38</v>
      </c>
      <c r="C66" s="119" t="s">
        <v>75</v>
      </c>
      <c r="D66" s="119" t="s">
        <v>76</v>
      </c>
      <c r="E66" s="119" t="s">
        <v>77</v>
      </c>
      <c r="F66" s="119" t="s">
        <v>78</v>
      </c>
      <c r="G66" s="119" t="s">
        <v>78</v>
      </c>
      <c r="H66" s="119" t="s">
        <v>78</v>
      </c>
      <c r="I66" s="119" t="s">
        <v>217</v>
      </c>
      <c r="J66" s="119" t="s">
        <v>44</v>
      </c>
      <c r="K66" s="119" t="s">
        <v>218</v>
      </c>
      <c r="L66" s="119" t="s">
        <v>79</v>
      </c>
      <c r="M66" s="137" t="s">
        <v>46</v>
      </c>
      <c r="N66" s="135">
        <v>0</v>
      </c>
      <c r="O66" s="135" t="s">
        <v>47</v>
      </c>
      <c r="P66" s="135"/>
      <c r="Q66" s="137">
        <v>79035.89</v>
      </c>
      <c r="R66" s="137">
        <v>0</v>
      </c>
      <c r="S66" s="137">
        <v>540801.80000000005</v>
      </c>
      <c r="T66" s="137">
        <f t="shared" ref="T66:T129" si="12">S66*N66</f>
        <v>0</v>
      </c>
      <c r="U66" s="137">
        <f t="shared" si="5"/>
        <v>540801.80000000005</v>
      </c>
      <c r="V66" s="137">
        <v>540801.80000000005</v>
      </c>
      <c r="W66" s="137">
        <f t="shared" si="6"/>
        <v>0</v>
      </c>
      <c r="X66" s="137">
        <f t="shared" ref="X66:X129" si="13">W66/(1+N66)</f>
        <v>0</v>
      </c>
      <c r="Y66" s="137">
        <f t="shared" si="7"/>
        <v>0</v>
      </c>
      <c r="Z66" s="137">
        <v>619837.68999999994</v>
      </c>
      <c r="AA66" s="137">
        <f t="shared" ref="AA66:AA129" si="14">Q66+V66-Z66</f>
        <v>0</v>
      </c>
      <c r="AB66" s="146">
        <f>IF(O66="返货",(Z66-Q66)/(1+N66),IF(O66="返现",(Z66-Q66),IF(O66="折扣",(Z66-Q66)*N66,IF(O66="无",(Z66-Q66)))))</f>
        <v>540801.79999999993</v>
      </c>
      <c r="AC66" s="147">
        <f t="shared" ref="AC66:AC129" si="15">IF(O66="返现",Z66*N66,Z66-AB66)</f>
        <v>79035.890000000014</v>
      </c>
      <c r="AD66" s="137">
        <v>540801.80000000005</v>
      </c>
      <c r="AE66" s="135">
        <v>0</v>
      </c>
      <c r="AF66" s="137">
        <f t="shared" si="10"/>
        <v>0</v>
      </c>
      <c r="AG66" s="137">
        <f>AB66-Z66+AF66</f>
        <v>-79035.890000000014</v>
      </c>
      <c r="AH66" s="137"/>
      <c r="AI66" s="137"/>
      <c r="AJ66" s="135" t="s">
        <v>47</v>
      </c>
      <c r="AK66" s="153" t="s">
        <v>47</v>
      </c>
      <c r="AL66" s="119" t="s">
        <v>222</v>
      </c>
    </row>
    <row r="67" spans="1:38" s="119" customFormat="1" ht="15" customHeight="1" x14ac:dyDescent="0.3">
      <c r="A67" s="119">
        <v>2017</v>
      </c>
      <c r="B67" s="119" t="s">
        <v>38</v>
      </c>
      <c r="C67" s="119" t="s">
        <v>39</v>
      </c>
      <c r="D67" s="119" t="s">
        <v>40</v>
      </c>
      <c r="E67" s="119" t="s">
        <v>48</v>
      </c>
      <c r="F67" s="119" t="s">
        <v>127</v>
      </c>
      <c r="G67" s="119" t="s">
        <v>127</v>
      </c>
      <c r="H67" s="119" t="s">
        <v>127</v>
      </c>
      <c r="I67" s="119" t="s">
        <v>217</v>
      </c>
      <c r="J67" s="119" t="s">
        <v>44</v>
      </c>
      <c r="K67" s="119" t="s">
        <v>218</v>
      </c>
      <c r="L67" s="119" t="s">
        <v>127</v>
      </c>
      <c r="M67" s="137" t="s">
        <v>46</v>
      </c>
      <c r="N67" s="135">
        <v>0</v>
      </c>
      <c r="O67" s="135" t="s">
        <v>47</v>
      </c>
      <c r="P67" s="135"/>
      <c r="Q67" s="137">
        <v>0</v>
      </c>
      <c r="R67" s="137">
        <v>0</v>
      </c>
      <c r="S67" s="137">
        <v>1640000</v>
      </c>
      <c r="T67" s="137">
        <f t="shared" si="12"/>
        <v>0</v>
      </c>
      <c r="U67" s="137">
        <f t="shared" ref="U67:U130" si="16">R67+S67+T67</f>
        <v>1640000</v>
      </c>
      <c r="V67" s="137">
        <v>1640000</v>
      </c>
      <c r="W67" s="137">
        <f t="shared" ref="W67:W130" si="17">U67-V67</f>
        <v>0</v>
      </c>
      <c r="X67" s="137">
        <f t="shared" si="13"/>
        <v>0</v>
      </c>
      <c r="Y67" s="137">
        <f t="shared" ref="Y67:Y130" si="18">W67-X67</f>
        <v>0</v>
      </c>
      <c r="Z67" s="137">
        <v>1584166</v>
      </c>
      <c r="AA67" s="137">
        <f t="shared" si="14"/>
        <v>55834</v>
      </c>
      <c r="AB67" s="146">
        <f>IF(O67="返货",Z67/(1+N67),IF(O67="返现",Z67,IF(O67="折扣",Z67*N67,IF(O67="无",Z67))))</f>
        <v>1584166</v>
      </c>
      <c r="AC67" s="147">
        <f t="shared" si="15"/>
        <v>0</v>
      </c>
      <c r="AD67" s="137">
        <v>1584166</v>
      </c>
      <c r="AE67" s="135">
        <v>0</v>
      </c>
      <c r="AF67" s="137">
        <f t="shared" si="10"/>
        <v>0</v>
      </c>
      <c r="AG67" s="137">
        <f>AB67-Z67+AF67</f>
        <v>0</v>
      </c>
      <c r="AH67" s="137"/>
      <c r="AI67" s="137"/>
      <c r="AJ67" s="155">
        <v>0</v>
      </c>
      <c r="AK67" s="153" t="s">
        <v>47</v>
      </c>
      <c r="AL67" s="119" t="s">
        <v>223</v>
      </c>
    </row>
    <row r="68" spans="1:38" s="119" customFormat="1" ht="15" customHeight="1" x14ac:dyDescent="0.3">
      <c r="A68" s="119">
        <v>2017</v>
      </c>
      <c r="B68" s="119" t="s">
        <v>38</v>
      </c>
      <c r="C68" s="119" t="s">
        <v>54</v>
      </c>
      <c r="D68" s="119" t="s">
        <v>55</v>
      </c>
      <c r="E68" s="119" t="s">
        <v>64</v>
      </c>
      <c r="F68" s="119" t="s">
        <v>224</v>
      </c>
      <c r="G68" s="119" t="s">
        <v>224</v>
      </c>
      <c r="H68" s="119" t="s">
        <v>224</v>
      </c>
      <c r="I68" s="119" t="s">
        <v>217</v>
      </c>
      <c r="J68" s="119" t="s">
        <v>44</v>
      </c>
      <c r="K68" s="119" t="s">
        <v>218</v>
      </c>
      <c r="L68" s="119" t="s">
        <v>224</v>
      </c>
      <c r="M68" s="137" t="s">
        <v>46</v>
      </c>
      <c r="N68" s="135">
        <v>0</v>
      </c>
      <c r="O68" s="135" t="s">
        <v>47</v>
      </c>
      <c r="P68" s="135" t="s">
        <v>161</v>
      </c>
      <c r="Q68" s="137">
        <v>0</v>
      </c>
      <c r="R68" s="137">
        <v>0</v>
      </c>
      <c r="S68" s="137">
        <v>72100</v>
      </c>
      <c r="T68" s="137">
        <f t="shared" si="12"/>
        <v>0</v>
      </c>
      <c r="U68" s="137">
        <f t="shared" si="16"/>
        <v>72100</v>
      </c>
      <c r="V68" s="137">
        <v>70000</v>
      </c>
      <c r="W68" s="137">
        <f t="shared" si="17"/>
        <v>2100</v>
      </c>
      <c r="X68" s="137">
        <f t="shared" si="13"/>
        <v>2100</v>
      </c>
      <c r="Y68" s="137">
        <f t="shared" si="18"/>
        <v>0</v>
      </c>
      <c r="Z68" s="137">
        <v>34477</v>
      </c>
      <c r="AA68" s="137">
        <f t="shared" si="14"/>
        <v>35523</v>
      </c>
      <c r="AB68" s="146">
        <f>Z68*(1+3%)</f>
        <v>35511.31</v>
      </c>
      <c r="AC68" s="147">
        <f t="shared" si="15"/>
        <v>-1034.3099999999977</v>
      </c>
      <c r="AD68" s="137">
        <v>34477</v>
      </c>
      <c r="AE68" s="135">
        <v>0</v>
      </c>
      <c r="AF68" s="137">
        <f t="shared" si="10"/>
        <v>0</v>
      </c>
      <c r="AG68" s="137">
        <f>AB68-Z68+AF68</f>
        <v>1034.3099999999977</v>
      </c>
      <c r="AH68" s="137"/>
      <c r="AI68" s="137"/>
      <c r="AJ68" s="135" t="s">
        <v>47</v>
      </c>
      <c r="AK68" s="153" t="s">
        <v>47</v>
      </c>
    </row>
    <row r="69" spans="1:38" s="119" customFormat="1" ht="15" customHeight="1" x14ac:dyDescent="0.3">
      <c r="A69" s="119">
        <v>2017</v>
      </c>
      <c r="B69" s="119" t="s">
        <v>38</v>
      </c>
      <c r="C69" s="119" t="s">
        <v>75</v>
      </c>
      <c r="D69" s="119" t="s">
        <v>76</v>
      </c>
      <c r="E69" s="119" t="s">
        <v>225</v>
      </c>
      <c r="F69" s="119" t="s">
        <v>226</v>
      </c>
      <c r="G69" s="119" t="s">
        <v>226</v>
      </c>
      <c r="H69" s="119" t="s">
        <v>226</v>
      </c>
      <c r="I69" s="119" t="s">
        <v>227</v>
      </c>
      <c r="J69" s="119" t="s">
        <v>228</v>
      </c>
      <c r="K69" s="119" t="s">
        <v>229</v>
      </c>
      <c r="L69" s="119" t="s">
        <v>230</v>
      </c>
      <c r="M69" s="137" t="s">
        <v>185</v>
      </c>
      <c r="N69" s="136">
        <v>0.06</v>
      </c>
      <c r="O69" s="135" t="s">
        <v>51</v>
      </c>
      <c r="P69" s="135"/>
      <c r="Q69" s="137">
        <v>0</v>
      </c>
      <c r="R69" s="137">
        <v>0</v>
      </c>
      <c r="S69" s="137">
        <v>710000</v>
      </c>
      <c r="T69" s="137">
        <f t="shared" si="12"/>
        <v>42600</v>
      </c>
      <c r="U69" s="137">
        <f t="shared" si="16"/>
        <v>752600</v>
      </c>
      <c r="V69" s="137">
        <v>747048</v>
      </c>
      <c r="W69" s="137">
        <f t="shared" si="17"/>
        <v>5552</v>
      </c>
      <c r="X69" s="137">
        <f t="shared" si="13"/>
        <v>5237.7358490566039</v>
      </c>
      <c r="Y69" s="137">
        <f t="shared" si="18"/>
        <v>314.26415094339609</v>
      </c>
      <c r="Z69" s="137">
        <v>700000</v>
      </c>
      <c r="AA69" s="137">
        <f t="shared" si="14"/>
        <v>47048</v>
      </c>
      <c r="AB69" s="146">
        <f t="shared" ref="AB69:AB90" si="19">IF(O69="返货",Z69/(1+N69),IF(O69="返现",Z69,IF(O69="折扣",Z69*N69,IF(O69="无",Z69))))</f>
        <v>660377.35849056602</v>
      </c>
      <c r="AC69" s="147">
        <f t="shared" si="15"/>
        <v>39622.641509433975</v>
      </c>
      <c r="AD69" s="137">
        <v>700000</v>
      </c>
      <c r="AE69" s="135">
        <v>0.09</v>
      </c>
      <c r="AF69" s="137">
        <f t="shared" si="10"/>
        <v>63000</v>
      </c>
      <c r="AG69" s="137">
        <v>63000</v>
      </c>
      <c r="AH69" s="137"/>
      <c r="AI69" s="137"/>
      <c r="AJ69" s="135" t="s">
        <v>193</v>
      </c>
      <c r="AK69" s="153" t="s">
        <v>193</v>
      </c>
    </row>
    <row r="70" spans="1:38" s="119" customFormat="1" ht="15" customHeight="1" x14ac:dyDescent="0.3">
      <c r="A70" s="119">
        <v>2017</v>
      </c>
      <c r="B70" s="119" t="s">
        <v>199</v>
      </c>
      <c r="C70" s="119" t="s">
        <v>59</v>
      </c>
      <c r="D70" s="119" t="s">
        <v>106</v>
      </c>
      <c r="E70" s="119" t="s">
        <v>131</v>
      </c>
      <c r="F70" s="119" t="s">
        <v>231</v>
      </c>
      <c r="G70" s="119" t="s">
        <v>232</v>
      </c>
      <c r="H70" s="119" t="s">
        <v>232</v>
      </c>
      <c r="I70" s="119" t="s">
        <v>227</v>
      </c>
      <c r="J70" s="119" t="s">
        <v>228</v>
      </c>
      <c r="K70" s="119" t="s">
        <v>229</v>
      </c>
      <c r="L70" s="119" t="s">
        <v>231</v>
      </c>
      <c r="M70" s="137" t="s">
        <v>185</v>
      </c>
      <c r="N70" s="136">
        <v>0.25</v>
      </c>
      <c r="O70" s="135" t="s">
        <v>51</v>
      </c>
      <c r="P70" s="135"/>
      <c r="Q70" s="137">
        <v>0</v>
      </c>
      <c r="R70" s="137">
        <v>0</v>
      </c>
      <c r="S70" s="137">
        <v>1400000</v>
      </c>
      <c r="T70" s="137">
        <f t="shared" si="12"/>
        <v>350000</v>
      </c>
      <c r="U70" s="137">
        <f t="shared" si="16"/>
        <v>1750000</v>
      </c>
      <c r="V70" s="137">
        <v>1400000</v>
      </c>
      <c r="W70" s="137">
        <f t="shared" si="17"/>
        <v>350000</v>
      </c>
      <c r="X70" s="137">
        <f t="shared" si="13"/>
        <v>280000</v>
      </c>
      <c r="Y70" s="137">
        <f t="shared" si="18"/>
        <v>70000</v>
      </c>
      <c r="Z70" s="137">
        <v>1344030.24</v>
      </c>
      <c r="AA70" s="137">
        <f t="shared" si="14"/>
        <v>55969.760000000009</v>
      </c>
      <c r="AB70" s="146">
        <f t="shared" si="19"/>
        <v>1075224.192</v>
      </c>
      <c r="AC70" s="147">
        <f t="shared" si="15"/>
        <v>268806.04799999995</v>
      </c>
      <c r="AD70" s="137">
        <v>1344030.24</v>
      </c>
      <c r="AE70" s="135">
        <v>0.09</v>
      </c>
      <c r="AF70" s="137">
        <f t="shared" si="10"/>
        <v>120962.72159999999</v>
      </c>
      <c r="AG70" s="137">
        <v>120962.7216</v>
      </c>
      <c r="AH70" s="137"/>
      <c r="AI70" s="137"/>
      <c r="AJ70" s="135" t="s">
        <v>233</v>
      </c>
      <c r="AK70" s="153" t="s">
        <v>233</v>
      </c>
      <c r="AL70" s="119" t="s">
        <v>234</v>
      </c>
    </row>
    <row r="71" spans="1:38" s="119" customFormat="1" ht="15" customHeight="1" x14ac:dyDescent="0.3">
      <c r="A71" s="119">
        <v>2017</v>
      </c>
      <c r="B71" s="119" t="s">
        <v>199</v>
      </c>
      <c r="C71" s="119" t="s">
        <v>59</v>
      </c>
      <c r="D71" s="119" t="s">
        <v>106</v>
      </c>
      <c r="E71" s="119" t="s">
        <v>131</v>
      </c>
      <c r="F71" s="119" t="s">
        <v>231</v>
      </c>
      <c r="G71" s="119" t="s">
        <v>232</v>
      </c>
      <c r="H71" s="119" t="s">
        <v>232</v>
      </c>
      <c r="I71" s="119" t="s">
        <v>227</v>
      </c>
      <c r="J71" s="119" t="s">
        <v>228</v>
      </c>
      <c r="K71" s="119" t="s">
        <v>229</v>
      </c>
      <c r="L71" s="119" t="s">
        <v>231</v>
      </c>
      <c r="M71" s="137" t="s">
        <v>178</v>
      </c>
      <c r="N71" s="135">
        <v>0</v>
      </c>
      <c r="O71" s="135" t="s">
        <v>47</v>
      </c>
      <c r="P71" s="135" t="s">
        <v>179</v>
      </c>
      <c r="Q71" s="137">
        <v>0</v>
      </c>
      <c r="R71" s="137">
        <v>0</v>
      </c>
      <c r="S71" s="137">
        <v>199800</v>
      </c>
      <c r="T71" s="137">
        <f t="shared" si="12"/>
        <v>0</v>
      </c>
      <c r="U71" s="137">
        <f t="shared" si="16"/>
        <v>199800</v>
      </c>
      <c r="V71" s="137">
        <v>90815</v>
      </c>
      <c r="W71" s="137">
        <f t="shared" si="17"/>
        <v>108985</v>
      </c>
      <c r="X71" s="137">
        <f t="shared" si="13"/>
        <v>108985</v>
      </c>
      <c r="Y71" s="137">
        <f t="shared" si="18"/>
        <v>0</v>
      </c>
      <c r="Z71" s="137">
        <v>199800</v>
      </c>
      <c r="AA71" s="137">
        <f t="shared" si="14"/>
        <v>-108985</v>
      </c>
      <c r="AB71" s="146">
        <f t="shared" si="19"/>
        <v>199800</v>
      </c>
      <c r="AC71" s="147">
        <f t="shared" si="15"/>
        <v>0</v>
      </c>
      <c r="AD71" s="137">
        <v>90815</v>
      </c>
      <c r="AE71" s="135">
        <v>0.09</v>
      </c>
      <c r="AF71" s="137">
        <f t="shared" si="10"/>
        <v>8173.3499999999995</v>
      </c>
      <c r="AG71" s="137">
        <v>8173.35</v>
      </c>
      <c r="AH71" s="137"/>
      <c r="AI71" s="137"/>
      <c r="AJ71" s="136">
        <v>0.5</v>
      </c>
      <c r="AK71" s="152">
        <v>0.5</v>
      </c>
    </row>
    <row r="72" spans="1:38" s="119" customFormat="1" ht="15" customHeight="1" x14ac:dyDescent="0.3">
      <c r="A72" s="119">
        <v>2017</v>
      </c>
      <c r="B72" s="119" t="s">
        <v>38</v>
      </c>
      <c r="C72" s="119" t="s">
        <v>75</v>
      </c>
      <c r="D72" s="119" t="s">
        <v>76</v>
      </c>
      <c r="E72" s="119" t="s">
        <v>225</v>
      </c>
      <c r="F72" s="119" t="s">
        <v>235</v>
      </c>
      <c r="G72" s="119" t="s">
        <v>235</v>
      </c>
      <c r="H72" s="119" t="s">
        <v>235</v>
      </c>
      <c r="I72" s="119" t="s">
        <v>227</v>
      </c>
      <c r="J72" s="119" t="s">
        <v>228</v>
      </c>
      <c r="K72" s="119" t="s">
        <v>229</v>
      </c>
      <c r="L72" s="119" t="s">
        <v>235</v>
      </c>
      <c r="M72" s="137" t="s">
        <v>185</v>
      </c>
      <c r="N72" s="136">
        <v>0.06</v>
      </c>
      <c r="O72" s="135" t="s">
        <v>51</v>
      </c>
      <c r="P72" s="135"/>
      <c r="Q72" s="137">
        <v>0</v>
      </c>
      <c r="R72" s="137">
        <v>0</v>
      </c>
      <c r="S72" s="137">
        <v>40000</v>
      </c>
      <c r="T72" s="137">
        <f t="shared" si="12"/>
        <v>2400</v>
      </c>
      <c r="U72" s="137">
        <f t="shared" si="16"/>
        <v>42400</v>
      </c>
      <c r="V72" s="137">
        <v>42610</v>
      </c>
      <c r="W72" s="137">
        <f t="shared" si="17"/>
        <v>-210</v>
      </c>
      <c r="X72" s="137">
        <f t="shared" si="13"/>
        <v>-198.11320754716979</v>
      </c>
      <c r="Y72" s="137">
        <f t="shared" si="18"/>
        <v>-11.886792452830207</v>
      </c>
      <c r="Z72" s="137">
        <v>42500</v>
      </c>
      <c r="AA72" s="137">
        <f t="shared" si="14"/>
        <v>110</v>
      </c>
      <c r="AB72" s="146">
        <f t="shared" si="19"/>
        <v>40094.339622641506</v>
      </c>
      <c r="AC72" s="147">
        <f t="shared" si="15"/>
        <v>2405.6603773584939</v>
      </c>
      <c r="AD72" s="137">
        <v>42500</v>
      </c>
      <c r="AE72" s="135">
        <v>0.09</v>
      </c>
      <c r="AF72" s="137">
        <f t="shared" si="10"/>
        <v>3825</v>
      </c>
      <c r="AG72" s="137">
        <v>-22142.36</v>
      </c>
      <c r="AH72" s="137"/>
      <c r="AI72" s="137"/>
      <c r="AJ72" s="135" t="s">
        <v>193</v>
      </c>
      <c r="AK72" s="153" t="s">
        <v>193</v>
      </c>
    </row>
    <row r="73" spans="1:38" s="119" customFormat="1" ht="15" customHeight="1" x14ac:dyDescent="0.3">
      <c r="A73" s="119">
        <v>2017</v>
      </c>
      <c r="B73" s="119" t="s">
        <v>38</v>
      </c>
      <c r="C73" s="119" t="s">
        <v>75</v>
      </c>
      <c r="D73" s="119" t="s">
        <v>76</v>
      </c>
      <c r="E73" s="119" t="s">
        <v>225</v>
      </c>
      <c r="F73" s="119" t="s">
        <v>230</v>
      </c>
      <c r="G73" s="119" t="s">
        <v>230</v>
      </c>
      <c r="H73" s="119" t="s">
        <v>230</v>
      </c>
      <c r="I73" s="119" t="s">
        <v>227</v>
      </c>
      <c r="J73" s="119" t="s">
        <v>228</v>
      </c>
      <c r="K73" s="119" t="s">
        <v>229</v>
      </c>
      <c r="L73" s="119" t="s">
        <v>230</v>
      </c>
      <c r="M73" s="137" t="s">
        <v>185</v>
      </c>
      <c r="N73" s="136">
        <v>0.06</v>
      </c>
      <c r="O73" s="135" t="s">
        <v>51</v>
      </c>
      <c r="P73" s="135"/>
      <c r="Q73" s="137">
        <v>0</v>
      </c>
      <c r="R73" s="137">
        <v>0</v>
      </c>
      <c r="S73" s="137">
        <v>1759800</v>
      </c>
      <c r="T73" s="137">
        <f t="shared" si="12"/>
        <v>105588</v>
      </c>
      <c r="U73" s="137">
        <f t="shared" si="16"/>
        <v>1865388</v>
      </c>
      <c r="V73" s="137">
        <v>1846147</v>
      </c>
      <c r="W73" s="137">
        <f t="shared" si="17"/>
        <v>19241</v>
      </c>
      <c r="X73" s="137">
        <f t="shared" si="13"/>
        <v>18151.886792452828</v>
      </c>
      <c r="Y73" s="137">
        <f t="shared" si="18"/>
        <v>1089.1132075471724</v>
      </c>
      <c r="Z73" s="137">
        <v>1546147</v>
      </c>
      <c r="AA73" s="137">
        <f t="shared" si="14"/>
        <v>300000</v>
      </c>
      <c r="AB73" s="146">
        <f t="shared" si="19"/>
        <v>1458629.2452830188</v>
      </c>
      <c r="AC73" s="147">
        <f t="shared" si="15"/>
        <v>87517.754716981202</v>
      </c>
      <c r="AD73" s="137">
        <v>1546147</v>
      </c>
      <c r="AE73" s="135">
        <v>0.09</v>
      </c>
      <c r="AF73" s="137">
        <f t="shared" si="10"/>
        <v>139153.22999999998</v>
      </c>
      <c r="AG73" s="137">
        <v>3455613.4791304399</v>
      </c>
      <c r="AH73" s="137"/>
      <c r="AI73" s="137"/>
      <c r="AJ73" s="135" t="s">
        <v>193</v>
      </c>
      <c r="AK73" s="153" t="s">
        <v>193</v>
      </c>
    </row>
    <row r="74" spans="1:38" s="119" customFormat="1" ht="15" customHeight="1" x14ac:dyDescent="0.3">
      <c r="A74" s="119">
        <v>2017</v>
      </c>
      <c r="B74" s="119" t="s">
        <v>38</v>
      </c>
      <c r="C74" s="119" t="s">
        <v>75</v>
      </c>
      <c r="D74" s="119" t="s">
        <v>76</v>
      </c>
      <c r="E74" s="119" t="s">
        <v>225</v>
      </c>
      <c r="F74" s="119" t="s">
        <v>230</v>
      </c>
      <c r="G74" s="119" t="s">
        <v>230</v>
      </c>
      <c r="H74" s="119" t="s">
        <v>230</v>
      </c>
      <c r="I74" s="119" t="s">
        <v>227</v>
      </c>
      <c r="J74" s="119" t="s">
        <v>228</v>
      </c>
      <c r="K74" s="119" t="s">
        <v>229</v>
      </c>
      <c r="L74" s="119" t="s">
        <v>230</v>
      </c>
      <c r="M74" s="137" t="s">
        <v>178</v>
      </c>
      <c r="N74" s="135">
        <v>0</v>
      </c>
      <c r="O74" s="135" t="s">
        <v>47</v>
      </c>
      <c r="P74" s="135" t="s">
        <v>179</v>
      </c>
      <c r="Q74" s="137">
        <v>0</v>
      </c>
      <c r="R74" s="137">
        <v>0</v>
      </c>
      <c r="S74" s="137">
        <v>486667</v>
      </c>
      <c r="T74" s="137">
        <f t="shared" si="12"/>
        <v>0</v>
      </c>
      <c r="U74" s="137">
        <f t="shared" si="16"/>
        <v>486667</v>
      </c>
      <c r="V74" s="137">
        <v>389333</v>
      </c>
      <c r="W74" s="137">
        <f t="shared" si="17"/>
        <v>97334</v>
      </c>
      <c r="X74" s="137">
        <f t="shared" si="13"/>
        <v>97334</v>
      </c>
      <c r="Y74" s="137">
        <f t="shared" si="18"/>
        <v>0</v>
      </c>
      <c r="Z74" s="137">
        <v>486667</v>
      </c>
      <c r="AA74" s="137">
        <f t="shared" si="14"/>
        <v>-97334</v>
      </c>
      <c r="AB74" s="146">
        <f t="shared" si="19"/>
        <v>486667</v>
      </c>
      <c r="AC74" s="147">
        <f t="shared" si="15"/>
        <v>0</v>
      </c>
      <c r="AD74" s="137">
        <v>389333</v>
      </c>
      <c r="AE74" s="135">
        <v>0.09</v>
      </c>
      <c r="AF74" s="137">
        <f t="shared" si="10"/>
        <v>35039.97</v>
      </c>
      <c r="AG74" s="137">
        <v>35039.97</v>
      </c>
      <c r="AH74" s="137"/>
      <c r="AI74" s="137"/>
      <c r="AJ74" s="136">
        <v>0.5</v>
      </c>
      <c r="AK74" s="152">
        <v>0.5</v>
      </c>
    </row>
    <row r="75" spans="1:38" s="119" customFormat="1" ht="15" customHeight="1" x14ac:dyDescent="0.3">
      <c r="A75" s="119">
        <v>2017</v>
      </c>
      <c r="B75" s="119" t="s">
        <v>38</v>
      </c>
      <c r="C75" s="119" t="s">
        <v>59</v>
      </c>
      <c r="D75" s="119" t="s">
        <v>106</v>
      </c>
      <c r="E75" s="119" t="s">
        <v>131</v>
      </c>
      <c r="F75" s="119" t="s">
        <v>236</v>
      </c>
      <c r="G75" s="119" t="s">
        <v>236</v>
      </c>
      <c r="H75" s="119" t="s">
        <v>236</v>
      </c>
      <c r="I75" s="119" t="s">
        <v>227</v>
      </c>
      <c r="J75" s="119" t="s">
        <v>228</v>
      </c>
      <c r="K75" s="119" t="s">
        <v>229</v>
      </c>
      <c r="L75" s="119" t="s">
        <v>236</v>
      </c>
      <c r="M75" s="137" t="s">
        <v>185</v>
      </c>
      <c r="N75" s="135">
        <v>0.06</v>
      </c>
      <c r="O75" s="135" t="s">
        <v>51</v>
      </c>
      <c r="P75" s="135"/>
      <c r="Q75" s="137">
        <v>0</v>
      </c>
      <c r="R75" s="137">
        <v>0</v>
      </c>
      <c r="S75" s="137">
        <v>10000</v>
      </c>
      <c r="T75" s="137">
        <f t="shared" si="12"/>
        <v>600</v>
      </c>
      <c r="U75" s="137">
        <f t="shared" si="16"/>
        <v>10600</v>
      </c>
      <c r="V75" s="137">
        <v>10600</v>
      </c>
      <c r="W75" s="137">
        <f t="shared" si="17"/>
        <v>0</v>
      </c>
      <c r="X75" s="137">
        <f t="shared" si="13"/>
        <v>0</v>
      </c>
      <c r="Y75" s="137">
        <f t="shared" si="18"/>
        <v>0</v>
      </c>
      <c r="Z75" s="137">
        <v>6317.25</v>
      </c>
      <c r="AA75" s="137">
        <f t="shared" si="14"/>
        <v>4282.75</v>
      </c>
      <c r="AB75" s="146">
        <f t="shared" si="19"/>
        <v>5959.669811320754</v>
      </c>
      <c r="AC75" s="147">
        <f t="shared" si="15"/>
        <v>357.58018867924602</v>
      </c>
      <c r="AD75" s="137">
        <v>6317.25</v>
      </c>
      <c r="AE75" s="135">
        <v>0.09</v>
      </c>
      <c r="AF75" s="137">
        <f t="shared" si="10"/>
        <v>568.55250000000001</v>
      </c>
      <c r="AG75" s="137">
        <v>568.55250000000001</v>
      </c>
      <c r="AH75" s="137"/>
      <c r="AI75" s="137"/>
      <c r="AJ75" s="135" t="s">
        <v>193</v>
      </c>
      <c r="AK75" s="153" t="s">
        <v>193</v>
      </c>
    </row>
    <row r="76" spans="1:38" s="119" customFormat="1" ht="15" customHeight="1" x14ac:dyDescent="0.3">
      <c r="A76" s="119">
        <v>2017</v>
      </c>
      <c r="B76" s="119" t="s">
        <v>38</v>
      </c>
      <c r="C76" s="119" t="s">
        <v>75</v>
      </c>
      <c r="D76" s="119" t="s">
        <v>76</v>
      </c>
      <c r="E76" s="119" t="s">
        <v>225</v>
      </c>
      <c r="F76" s="119" t="s">
        <v>237</v>
      </c>
      <c r="G76" s="119" t="s">
        <v>237</v>
      </c>
      <c r="H76" s="119" t="s">
        <v>237</v>
      </c>
      <c r="I76" s="119" t="s">
        <v>227</v>
      </c>
      <c r="J76" s="119" t="s">
        <v>228</v>
      </c>
      <c r="K76" s="119" t="s">
        <v>229</v>
      </c>
      <c r="L76" s="119" t="s">
        <v>237</v>
      </c>
      <c r="M76" s="137" t="s">
        <v>185</v>
      </c>
      <c r="N76" s="136">
        <v>0.09</v>
      </c>
      <c r="O76" s="135" t="s">
        <v>51</v>
      </c>
      <c r="P76" s="135"/>
      <c r="Q76" s="137">
        <v>0</v>
      </c>
      <c r="R76" s="137">
        <v>0</v>
      </c>
      <c r="S76" s="137">
        <v>29920000</v>
      </c>
      <c r="T76" s="137">
        <f t="shared" si="12"/>
        <v>2692800</v>
      </c>
      <c r="U76" s="137">
        <f t="shared" si="16"/>
        <v>32612800</v>
      </c>
      <c r="V76" s="137">
        <v>31790003</v>
      </c>
      <c r="W76" s="137">
        <f t="shared" si="17"/>
        <v>822797</v>
      </c>
      <c r="X76" s="137">
        <f t="shared" si="13"/>
        <v>754859.63302752282</v>
      </c>
      <c r="Y76" s="137">
        <f t="shared" si="18"/>
        <v>67937.366972477175</v>
      </c>
      <c r="Z76" s="137">
        <v>25820257.670000002</v>
      </c>
      <c r="AA76" s="137">
        <f t="shared" si="14"/>
        <v>5969745.3299999982</v>
      </c>
      <c r="AB76" s="146">
        <f t="shared" si="19"/>
        <v>23688309.788990825</v>
      </c>
      <c r="AC76" s="147">
        <f t="shared" si="15"/>
        <v>2131947.8810091764</v>
      </c>
      <c r="AD76" s="137">
        <v>25820257.670000002</v>
      </c>
      <c r="AE76" s="135">
        <v>0.09</v>
      </c>
      <c r="AF76" s="137">
        <f t="shared" si="10"/>
        <v>2323823.1902999999</v>
      </c>
      <c r="AG76" s="137">
        <v>2323823.1902999999</v>
      </c>
      <c r="AH76" s="137"/>
      <c r="AI76" s="137"/>
      <c r="AJ76" s="135" t="s">
        <v>238</v>
      </c>
      <c r="AK76" s="153" t="s">
        <v>238</v>
      </c>
    </row>
    <row r="77" spans="1:38" s="119" customFormat="1" ht="15" customHeight="1" x14ac:dyDescent="0.3">
      <c r="A77" s="119">
        <v>2017</v>
      </c>
      <c r="B77" s="119" t="s">
        <v>38</v>
      </c>
      <c r="C77" s="119" t="s">
        <v>75</v>
      </c>
      <c r="D77" s="119" t="s">
        <v>76</v>
      </c>
      <c r="E77" s="119" t="s">
        <v>225</v>
      </c>
      <c r="F77" s="119" t="s">
        <v>237</v>
      </c>
      <c r="G77" s="119" t="s">
        <v>237</v>
      </c>
      <c r="H77" s="119" t="s">
        <v>237</v>
      </c>
      <c r="I77" s="119" t="s">
        <v>227</v>
      </c>
      <c r="J77" s="119" t="s">
        <v>228</v>
      </c>
      <c r="K77" s="119" t="s">
        <v>229</v>
      </c>
      <c r="L77" s="119" t="s">
        <v>237</v>
      </c>
      <c r="M77" s="137" t="s">
        <v>178</v>
      </c>
      <c r="N77" s="135">
        <v>0</v>
      </c>
      <c r="O77" s="135" t="s">
        <v>47</v>
      </c>
      <c r="P77" s="135" t="s">
        <v>179</v>
      </c>
      <c r="Q77" s="137">
        <v>0</v>
      </c>
      <c r="R77" s="137">
        <v>0</v>
      </c>
      <c r="S77" s="137">
        <v>2699333</v>
      </c>
      <c r="T77" s="137">
        <f t="shared" si="12"/>
        <v>0</v>
      </c>
      <c r="U77" s="137">
        <f t="shared" si="16"/>
        <v>2699333</v>
      </c>
      <c r="V77" s="137">
        <v>2296000</v>
      </c>
      <c r="W77" s="137">
        <f t="shared" si="17"/>
        <v>403333</v>
      </c>
      <c r="X77" s="137">
        <f t="shared" si="13"/>
        <v>403333</v>
      </c>
      <c r="Y77" s="137">
        <f t="shared" si="18"/>
        <v>0</v>
      </c>
      <c r="Z77" s="137">
        <v>2699333</v>
      </c>
      <c r="AA77" s="137">
        <f t="shared" si="14"/>
        <v>-403333</v>
      </c>
      <c r="AB77" s="146">
        <f t="shared" si="19"/>
        <v>2699333</v>
      </c>
      <c r="AC77" s="147">
        <f t="shared" si="15"/>
        <v>0</v>
      </c>
      <c r="AD77" s="137">
        <v>2296000</v>
      </c>
      <c r="AE77" s="135">
        <v>0.09</v>
      </c>
      <c r="AF77" s="137">
        <f t="shared" si="10"/>
        <v>206640</v>
      </c>
      <c r="AG77" s="137">
        <v>206640</v>
      </c>
      <c r="AH77" s="137"/>
      <c r="AI77" s="137"/>
      <c r="AJ77" s="136">
        <v>0.5</v>
      </c>
      <c r="AK77" s="152">
        <v>0.5</v>
      </c>
    </row>
    <row r="78" spans="1:38" s="119" customFormat="1" ht="15" customHeight="1" x14ac:dyDescent="0.3">
      <c r="A78" s="119">
        <v>2017</v>
      </c>
      <c r="B78" s="119" t="s">
        <v>38</v>
      </c>
      <c r="C78" s="119" t="s">
        <v>59</v>
      </c>
      <c r="D78" s="119" t="s">
        <v>106</v>
      </c>
      <c r="E78" s="119" t="s">
        <v>239</v>
      </c>
      <c r="F78" s="119" t="s">
        <v>240</v>
      </c>
      <c r="G78" s="119" t="s">
        <v>240</v>
      </c>
      <c r="H78" s="119" t="s">
        <v>240</v>
      </c>
      <c r="I78" s="119" t="s">
        <v>227</v>
      </c>
      <c r="J78" s="119" t="s">
        <v>228</v>
      </c>
      <c r="K78" s="119" t="s">
        <v>229</v>
      </c>
      <c r="L78" s="119" t="s">
        <v>240</v>
      </c>
      <c r="M78" s="137" t="s">
        <v>185</v>
      </c>
      <c r="N78" s="136">
        <v>0.08</v>
      </c>
      <c r="O78" s="135" t="s">
        <v>51</v>
      </c>
      <c r="P78" s="135"/>
      <c r="Q78" s="137">
        <v>0</v>
      </c>
      <c r="R78" s="137">
        <v>0</v>
      </c>
      <c r="S78" s="137">
        <v>120000</v>
      </c>
      <c r="T78" s="137">
        <f t="shared" si="12"/>
        <v>9600</v>
      </c>
      <c r="U78" s="137">
        <f t="shared" si="16"/>
        <v>129600</v>
      </c>
      <c r="V78" s="137">
        <v>120000</v>
      </c>
      <c r="W78" s="137">
        <f t="shared" si="17"/>
        <v>9600</v>
      </c>
      <c r="X78" s="137">
        <f t="shared" si="13"/>
        <v>8888.8888888888887</v>
      </c>
      <c r="Y78" s="137">
        <f t="shared" si="18"/>
        <v>711.11111111111131</v>
      </c>
      <c r="Z78" s="137">
        <v>179025.68</v>
      </c>
      <c r="AA78" s="137">
        <f t="shared" si="14"/>
        <v>-59025.679999999993</v>
      </c>
      <c r="AB78" s="146">
        <f t="shared" si="19"/>
        <v>165764.51851851851</v>
      </c>
      <c r="AC78" s="147">
        <f t="shared" si="15"/>
        <v>13261.161481481482</v>
      </c>
      <c r="AD78" s="137">
        <v>179025.68</v>
      </c>
      <c r="AE78" s="135">
        <v>0.13</v>
      </c>
      <c r="AF78" s="137">
        <f t="shared" si="10"/>
        <v>23273.338400000001</v>
      </c>
      <c r="AG78" s="137">
        <v>13749.224907407401</v>
      </c>
      <c r="AH78" s="137"/>
      <c r="AI78" s="137"/>
      <c r="AJ78" s="135" t="s">
        <v>53</v>
      </c>
      <c r="AK78" s="153" t="s">
        <v>53</v>
      </c>
    </row>
    <row r="79" spans="1:38" s="119" customFormat="1" ht="15" customHeight="1" x14ac:dyDescent="0.3">
      <c r="A79" s="119">
        <v>2017</v>
      </c>
      <c r="B79" s="119" t="s">
        <v>38</v>
      </c>
      <c r="C79" s="119" t="s">
        <v>59</v>
      </c>
      <c r="D79" s="119" t="s">
        <v>106</v>
      </c>
      <c r="E79" s="119" t="s">
        <v>190</v>
      </c>
      <c r="F79" s="119" t="s">
        <v>197</v>
      </c>
      <c r="G79" s="119" t="s">
        <v>197</v>
      </c>
      <c r="H79" s="119" t="s">
        <v>197</v>
      </c>
      <c r="I79" s="119" t="s">
        <v>170</v>
      </c>
      <c r="J79" s="119" t="s">
        <v>171</v>
      </c>
      <c r="K79" s="119" t="s">
        <v>172</v>
      </c>
      <c r="L79" s="119" t="s">
        <v>197</v>
      </c>
      <c r="M79" s="119" t="s">
        <v>46</v>
      </c>
      <c r="N79" s="136">
        <v>0.02</v>
      </c>
      <c r="O79" s="135" t="s">
        <v>51</v>
      </c>
      <c r="P79" s="135"/>
      <c r="Q79" s="142">
        <v>533197.9</v>
      </c>
      <c r="R79" s="137">
        <v>0</v>
      </c>
      <c r="S79" s="137">
        <v>10540000</v>
      </c>
      <c r="T79" s="137">
        <f t="shared" si="12"/>
        <v>210800</v>
      </c>
      <c r="U79" s="137">
        <f t="shared" si="16"/>
        <v>10750800</v>
      </c>
      <c r="V79" s="137">
        <v>10546000</v>
      </c>
      <c r="W79" s="137">
        <f t="shared" si="17"/>
        <v>204800</v>
      </c>
      <c r="X79" s="137">
        <f t="shared" si="13"/>
        <v>200784.31372549018</v>
      </c>
      <c r="Y79" s="137">
        <f t="shared" si="18"/>
        <v>4015.6862745098188</v>
      </c>
      <c r="Z79" s="137">
        <v>10915049.6</v>
      </c>
      <c r="AA79" s="137">
        <f t="shared" si="14"/>
        <v>164148.30000000075</v>
      </c>
      <c r="AB79" s="146">
        <f>IF(O79="返货",(Z79-Q79)/(1+N79),IF(O79="返现",(Z79-Q79),IF(O79="折扣",(Z79-Q79)*N79,IF(O79="无",(Z79-Q79)))))</f>
        <v>10178285.980392156</v>
      </c>
      <c r="AC79" s="147">
        <f t="shared" si="15"/>
        <v>736763.61960784346</v>
      </c>
      <c r="AD79" s="137">
        <f>(Z79-Q79)*0.89807640489087</f>
        <v>9323696.0508461669</v>
      </c>
      <c r="AE79" s="138">
        <v>0.11269173273981201</v>
      </c>
      <c r="AF79" s="137">
        <f t="shared" si="10"/>
        <v>1050703.4635091969</v>
      </c>
      <c r="AG79" s="137">
        <v>762545.77969836304</v>
      </c>
      <c r="AH79" s="154"/>
      <c r="AI79" s="154"/>
      <c r="AJ79" s="135" t="s">
        <v>173</v>
      </c>
      <c r="AK79" s="119" t="s">
        <v>173</v>
      </c>
    </row>
    <row r="80" spans="1:38" s="119" customFormat="1" ht="15" customHeight="1" x14ac:dyDescent="0.3">
      <c r="A80" s="119">
        <v>2017</v>
      </c>
      <c r="B80" s="119" t="s">
        <v>38</v>
      </c>
      <c r="C80" s="119" t="s">
        <v>59</v>
      </c>
      <c r="D80" s="119" t="s">
        <v>106</v>
      </c>
      <c r="E80" s="119" t="s">
        <v>239</v>
      </c>
      <c r="F80" s="119" t="s">
        <v>240</v>
      </c>
      <c r="G80" s="119" t="s">
        <v>240</v>
      </c>
      <c r="H80" s="119" t="s">
        <v>240</v>
      </c>
      <c r="I80" s="119" t="s">
        <v>227</v>
      </c>
      <c r="J80" s="119" t="s">
        <v>228</v>
      </c>
      <c r="K80" s="119" t="s">
        <v>229</v>
      </c>
      <c r="L80" s="119" t="s">
        <v>240</v>
      </c>
      <c r="M80" s="137" t="s">
        <v>178</v>
      </c>
      <c r="N80" s="135">
        <v>0</v>
      </c>
      <c r="O80" s="135" t="s">
        <v>47</v>
      </c>
      <c r="P80" s="135" t="s">
        <v>179</v>
      </c>
      <c r="Q80" s="137">
        <v>0</v>
      </c>
      <c r="R80" s="137">
        <v>0</v>
      </c>
      <c r="S80" s="137">
        <v>476233.33</v>
      </c>
      <c r="T80" s="137">
        <f t="shared" si="12"/>
        <v>0</v>
      </c>
      <c r="U80" s="137">
        <f t="shared" si="16"/>
        <v>476233.33</v>
      </c>
      <c r="V80" s="137">
        <v>476233.33</v>
      </c>
      <c r="W80" s="137">
        <f t="shared" si="17"/>
        <v>0</v>
      </c>
      <c r="X80" s="137">
        <f t="shared" si="13"/>
        <v>0</v>
      </c>
      <c r="Y80" s="137">
        <f t="shared" si="18"/>
        <v>0</v>
      </c>
      <c r="Z80" s="137">
        <v>476233.33</v>
      </c>
      <c r="AA80" s="137">
        <f t="shared" si="14"/>
        <v>0</v>
      </c>
      <c r="AB80" s="146">
        <f t="shared" si="19"/>
        <v>476233.33</v>
      </c>
      <c r="AC80" s="147">
        <f t="shared" si="15"/>
        <v>0</v>
      </c>
      <c r="AD80" s="137">
        <v>344471.33</v>
      </c>
      <c r="AE80" s="135">
        <v>0.09</v>
      </c>
      <c r="AF80" s="137">
        <f t="shared" si="10"/>
        <v>31002.419699999999</v>
      </c>
      <c r="AG80" s="137">
        <v>31002.419699999999</v>
      </c>
      <c r="AH80" s="137"/>
      <c r="AI80" s="137"/>
      <c r="AJ80" s="136">
        <v>0.5</v>
      </c>
      <c r="AK80" s="153" t="s">
        <v>241</v>
      </c>
    </row>
    <row r="81" spans="1:39" s="119" customFormat="1" ht="15" customHeight="1" x14ac:dyDescent="0.3">
      <c r="A81" s="119">
        <v>2017</v>
      </c>
      <c r="B81" s="119" t="s">
        <v>38</v>
      </c>
      <c r="C81" s="119" t="s">
        <v>75</v>
      </c>
      <c r="D81" s="119" t="s">
        <v>76</v>
      </c>
      <c r="E81" s="119" t="s">
        <v>225</v>
      </c>
      <c r="F81" s="119" t="s">
        <v>159</v>
      </c>
      <c r="G81" s="119" t="s">
        <v>159</v>
      </c>
      <c r="H81" s="119" t="s">
        <v>159</v>
      </c>
      <c r="I81" s="119" t="s">
        <v>227</v>
      </c>
      <c r="J81" s="119" t="s">
        <v>228</v>
      </c>
      <c r="K81" s="119" t="s">
        <v>229</v>
      </c>
      <c r="L81" s="119" t="s">
        <v>159</v>
      </c>
      <c r="M81" s="137" t="s">
        <v>178</v>
      </c>
      <c r="N81" s="135">
        <v>0</v>
      </c>
      <c r="O81" s="135" t="s">
        <v>47</v>
      </c>
      <c r="P81" s="135" t="s">
        <v>179</v>
      </c>
      <c r="Q81" s="137">
        <v>0</v>
      </c>
      <c r="R81" s="137">
        <v>0</v>
      </c>
      <c r="S81" s="137">
        <v>730000</v>
      </c>
      <c r="T81" s="137">
        <f t="shared" si="12"/>
        <v>0</v>
      </c>
      <c r="U81" s="137">
        <f t="shared" si="16"/>
        <v>730000</v>
      </c>
      <c r="V81" s="137">
        <v>730000</v>
      </c>
      <c r="W81" s="137">
        <f t="shared" si="17"/>
        <v>0</v>
      </c>
      <c r="X81" s="137">
        <f t="shared" si="13"/>
        <v>0</v>
      </c>
      <c r="Y81" s="137">
        <f t="shared" si="18"/>
        <v>0</v>
      </c>
      <c r="Z81" s="137">
        <v>730000</v>
      </c>
      <c r="AA81" s="137">
        <f t="shared" si="14"/>
        <v>0</v>
      </c>
      <c r="AB81" s="146">
        <f t="shared" si="19"/>
        <v>730000</v>
      </c>
      <c r="AC81" s="147">
        <f t="shared" si="15"/>
        <v>0</v>
      </c>
      <c r="AD81" s="137">
        <v>730000</v>
      </c>
      <c r="AE81" s="135">
        <v>0.09</v>
      </c>
      <c r="AF81" s="137">
        <f t="shared" si="10"/>
        <v>65700</v>
      </c>
      <c r="AG81" s="137">
        <v>65700</v>
      </c>
      <c r="AH81" s="137"/>
      <c r="AI81" s="137"/>
      <c r="AJ81" s="136">
        <v>0.5</v>
      </c>
      <c r="AK81" s="152">
        <v>0.5</v>
      </c>
    </row>
    <row r="82" spans="1:39" s="119" customFormat="1" ht="15" customHeight="1" x14ac:dyDescent="0.3">
      <c r="A82" s="119">
        <v>2017</v>
      </c>
      <c r="B82" s="131" t="s">
        <v>38</v>
      </c>
      <c r="C82" s="119" t="s">
        <v>54</v>
      </c>
      <c r="D82" s="131"/>
      <c r="E82" s="131"/>
      <c r="F82" s="131" t="s">
        <v>242</v>
      </c>
      <c r="G82" s="131" t="s">
        <v>242</v>
      </c>
      <c r="H82" s="131" t="s">
        <v>242</v>
      </c>
      <c r="I82" s="131" t="s">
        <v>243</v>
      </c>
      <c r="J82" s="119" t="s">
        <v>244</v>
      </c>
      <c r="K82" s="119" t="s">
        <v>245</v>
      </c>
      <c r="L82" s="119" t="s">
        <v>246</v>
      </c>
      <c r="M82" s="119" t="s">
        <v>46</v>
      </c>
      <c r="N82" s="136">
        <v>0.05</v>
      </c>
      <c r="O82" s="135" t="s">
        <v>51</v>
      </c>
      <c r="P82" s="135"/>
      <c r="Q82" s="137">
        <v>0</v>
      </c>
      <c r="T82" s="137">
        <f t="shared" si="12"/>
        <v>0</v>
      </c>
      <c r="U82" s="137">
        <f t="shared" si="16"/>
        <v>0</v>
      </c>
      <c r="V82" s="137">
        <v>30000</v>
      </c>
      <c r="W82" s="137">
        <f t="shared" si="17"/>
        <v>-30000</v>
      </c>
      <c r="X82" s="137">
        <f t="shared" si="13"/>
        <v>-28571.428571428569</v>
      </c>
      <c r="Y82" s="137">
        <f t="shared" si="18"/>
        <v>-1428.5714285714312</v>
      </c>
      <c r="Z82" s="137">
        <v>350809.3</v>
      </c>
      <c r="AA82" s="137">
        <f t="shared" si="14"/>
        <v>-320809.3</v>
      </c>
      <c r="AB82" s="146">
        <f t="shared" si="19"/>
        <v>334104.09523809521</v>
      </c>
      <c r="AC82" s="147">
        <f t="shared" si="15"/>
        <v>16705.204761904781</v>
      </c>
      <c r="AD82" s="137">
        <v>294072.05284222</v>
      </c>
      <c r="AE82" s="138">
        <v>0.17647058823529399</v>
      </c>
      <c r="AF82" s="137">
        <f t="shared" si="10"/>
        <v>51895.068148627019</v>
      </c>
      <c r="AG82" s="131"/>
      <c r="AH82" s="131"/>
      <c r="AI82" s="131"/>
      <c r="AJ82" s="135" t="s">
        <v>63</v>
      </c>
      <c r="AK82" s="131"/>
      <c r="AL82" s="131"/>
      <c r="AM82" s="131" t="s">
        <v>208</v>
      </c>
    </row>
    <row r="83" spans="1:39" s="119" customFormat="1" ht="15" customHeight="1" x14ac:dyDescent="0.3">
      <c r="A83" s="119">
        <v>2017</v>
      </c>
      <c r="B83" s="119" t="s">
        <v>199</v>
      </c>
      <c r="C83" s="119" t="s">
        <v>110</v>
      </c>
      <c r="D83" s="119" t="s">
        <v>111</v>
      </c>
      <c r="E83" s="119" t="s">
        <v>112</v>
      </c>
      <c r="F83" s="119" t="s">
        <v>113</v>
      </c>
      <c r="G83" s="119" t="s">
        <v>247</v>
      </c>
      <c r="H83" s="119" t="s">
        <v>247</v>
      </c>
      <c r="I83" s="119" t="s">
        <v>227</v>
      </c>
      <c r="J83" s="119" t="s">
        <v>228</v>
      </c>
      <c r="K83" s="119" t="s">
        <v>229</v>
      </c>
      <c r="L83" s="119" t="s">
        <v>248</v>
      </c>
      <c r="M83" s="137" t="s">
        <v>185</v>
      </c>
      <c r="N83" s="135">
        <v>0.05</v>
      </c>
      <c r="O83" s="135" t="s">
        <v>51</v>
      </c>
      <c r="P83" s="135"/>
      <c r="Q83" s="137">
        <v>0</v>
      </c>
      <c r="R83" s="137">
        <v>0</v>
      </c>
      <c r="S83" s="137">
        <v>70000</v>
      </c>
      <c r="T83" s="137">
        <f t="shared" si="12"/>
        <v>3500</v>
      </c>
      <c r="U83" s="137">
        <f t="shared" si="16"/>
        <v>73500</v>
      </c>
      <c r="V83" s="137">
        <v>73500</v>
      </c>
      <c r="W83" s="137">
        <f t="shared" si="17"/>
        <v>0</v>
      </c>
      <c r="X83" s="137">
        <f t="shared" si="13"/>
        <v>0</v>
      </c>
      <c r="Y83" s="137">
        <f t="shared" si="18"/>
        <v>0</v>
      </c>
      <c r="Z83" s="137">
        <v>53743.7</v>
      </c>
      <c r="AA83" s="137">
        <f t="shared" si="14"/>
        <v>19756.300000000003</v>
      </c>
      <c r="AB83" s="146">
        <f t="shared" si="19"/>
        <v>51184.476190476184</v>
      </c>
      <c r="AC83" s="147">
        <f t="shared" si="15"/>
        <v>2559.2238095238135</v>
      </c>
      <c r="AD83" s="137">
        <v>53743.7</v>
      </c>
      <c r="AE83" s="135">
        <v>0.09</v>
      </c>
      <c r="AF83" s="137">
        <f t="shared" si="10"/>
        <v>4836.933</v>
      </c>
      <c r="AG83" s="137">
        <v>4836.933</v>
      </c>
      <c r="AH83" s="137"/>
      <c r="AI83" s="137"/>
      <c r="AJ83" s="135" t="s">
        <v>63</v>
      </c>
      <c r="AK83" s="153" t="s">
        <v>63</v>
      </c>
    </row>
    <row r="84" spans="1:39" s="119" customFormat="1" ht="15" customHeight="1" x14ac:dyDescent="0.3">
      <c r="A84" s="119">
        <v>2017</v>
      </c>
      <c r="B84" s="119" t="s">
        <v>38</v>
      </c>
      <c r="C84" s="119" t="s">
        <v>59</v>
      </c>
      <c r="D84" s="119" t="s">
        <v>106</v>
      </c>
      <c r="E84" s="119" t="s">
        <v>249</v>
      </c>
      <c r="F84" s="119" t="s">
        <v>250</v>
      </c>
      <c r="G84" s="119" t="s">
        <v>250</v>
      </c>
      <c r="H84" s="119" t="s">
        <v>250</v>
      </c>
      <c r="I84" s="119" t="s">
        <v>227</v>
      </c>
      <c r="J84" s="119" t="s">
        <v>228</v>
      </c>
      <c r="K84" s="119" t="s">
        <v>229</v>
      </c>
      <c r="L84" s="119" t="s">
        <v>250</v>
      </c>
      <c r="M84" s="137" t="s">
        <v>185</v>
      </c>
      <c r="N84" s="135">
        <v>6.9999974821420896E-2</v>
      </c>
      <c r="O84" s="135" t="s">
        <v>51</v>
      </c>
      <c r="P84" s="135"/>
      <c r="Q84" s="137">
        <v>0</v>
      </c>
      <c r="R84" s="137">
        <v>0</v>
      </c>
      <c r="S84" s="137">
        <v>19858.150000000001</v>
      </c>
      <c r="T84" s="137">
        <f t="shared" si="12"/>
        <v>1390.0699999999995</v>
      </c>
      <c r="U84" s="137">
        <f t="shared" si="16"/>
        <v>21248.22</v>
      </c>
      <c r="V84" s="137">
        <v>21248.22</v>
      </c>
      <c r="W84" s="137">
        <f t="shared" si="17"/>
        <v>0</v>
      </c>
      <c r="X84" s="137">
        <f t="shared" si="13"/>
        <v>0</v>
      </c>
      <c r="Y84" s="137">
        <f t="shared" si="18"/>
        <v>0</v>
      </c>
      <c r="Z84" s="137">
        <v>21248.22</v>
      </c>
      <c r="AA84" s="137">
        <f t="shared" si="14"/>
        <v>0</v>
      </c>
      <c r="AB84" s="146">
        <f t="shared" si="19"/>
        <v>19858.150000000001</v>
      </c>
      <c r="AC84" s="147">
        <f t="shared" si="15"/>
        <v>1390.0699999999997</v>
      </c>
      <c r="AD84" s="137">
        <v>21248.22</v>
      </c>
      <c r="AE84" s="135">
        <v>0.09</v>
      </c>
      <c r="AF84" s="137">
        <f t="shared" si="10"/>
        <v>1912.3398</v>
      </c>
      <c r="AG84" s="137">
        <v>1912.3398</v>
      </c>
      <c r="AH84" s="137"/>
      <c r="AI84" s="137"/>
      <c r="AJ84" s="136">
        <v>7.0000000000000007E-2</v>
      </c>
      <c r="AK84" s="152">
        <v>7.0000000000000007E-2</v>
      </c>
    </row>
    <row r="85" spans="1:39" s="119" customFormat="1" ht="15" customHeight="1" x14ac:dyDescent="0.3">
      <c r="A85" s="119">
        <v>2017</v>
      </c>
      <c r="B85" s="119" t="s">
        <v>38</v>
      </c>
      <c r="C85" s="119" t="s">
        <v>75</v>
      </c>
      <c r="D85" s="119" t="s">
        <v>76</v>
      </c>
      <c r="E85" s="119" t="s">
        <v>225</v>
      </c>
      <c r="F85" s="119" t="s">
        <v>251</v>
      </c>
      <c r="G85" s="119" t="s">
        <v>251</v>
      </c>
      <c r="H85" s="119" t="s">
        <v>251</v>
      </c>
      <c r="I85" s="119" t="s">
        <v>227</v>
      </c>
      <c r="J85" s="119" t="s">
        <v>228</v>
      </c>
      <c r="K85" s="119" t="s">
        <v>229</v>
      </c>
      <c r="L85" s="119" t="s">
        <v>230</v>
      </c>
      <c r="M85" s="137" t="s">
        <v>185</v>
      </c>
      <c r="N85" s="136">
        <v>0.06</v>
      </c>
      <c r="O85" s="135" t="s">
        <v>51</v>
      </c>
      <c r="P85" s="135"/>
      <c r="Q85" s="137">
        <v>0</v>
      </c>
      <c r="R85" s="137">
        <v>0</v>
      </c>
      <c r="S85" s="137">
        <v>3050000</v>
      </c>
      <c r="T85" s="137">
        <f t="shared" si="12"/>
        <v>183000</v>
      </c>
      <c r="U85" s="137">
        <f t="shared" si="16"/>
        <v>3233000</v>
      </c>
      <c r="V85" s="137">
        <v>3209136</v>
      </c>
      <c r="W85" s="137">
        <f t="shared" si="17"/>
        <v>23864</v>
      </c>
      <c r="X85" s="137">
        <f t="shared" si="13"/>
        <v>22513.207547169812</v>
      </c>
      <c r="Y85" s="137">
        <f t="shared" si="18"/>
        <v>1350.7924528301883</v>
      </c>
      <c r="Z85" s="137">
        <v>2120067.4900000002</v>
      </c>
      <c r="AA85" s="137">
        <f t="shared" si="14"/>
        <v>1089068.5099999998</v>
      </c>
      <c r="AB85" s="146">
        <f t="shared" si="19"/>
        <v>2000063.669811321</v>
      </c>
      <c r="AC85" s="147">
        <f t="shared" si="15"/>
        <v>120003.82018867927</v>
      </c>
      <c r="AD85" s="137">
        <v>2120067.4900000002</v>
      </c>
      <c r="AE85" s="135">
        <v>0.09</v>
      </c>
      <c r="AF85" s="137">
        <f t="shared" si="10"/>
        <v>190806.07410000003</v>
      </c>
      <c r="AG85" s="137">
        <v>1196412.3541000001</v>
      </c>
      <c r="AH85" s="137"/>
      <c r="AI85" s="137"/>
      <c r="AJ85" s="135" t="s">
        <v>193</v>
      </c>
      <c r="AK85" s="153" t="s">
        <v>193</v>
      </c>
    </row>
    <row r="86" spans="1:39" s="119" customFormat="1" ht="15" customHeight="1" x14ac:dyDescent="0.3">
      <c r="A86" s="119">
        <v>2017</v>
      </c>
      <c r="B86" s="119" t="s">
        <v>38</v>
      </c>
      <c r="C86" s="119" t="s">
        <v>75</v>
      </c>
      <c r="D86" s="119" t="s">
        <v>76</v>
      </c>
      <c r="E86" s="119" t="s">
        <v>225</v>
      </c>
      <c r="F86" s="119" t="s">
        <v>251</v>
      </c>
      <c r="G86" s="119" t="s">
        <v>251</v>
      </c>
      <c r="H86" s="119" t="s">
        <v>251</v>
      </c>
      <c r="I86" s="119" t="s">
        <v>227</v>
      </c>
      <c r="J86" s="119" t="s">
        <v>228</v>
      </c>
      <c r="K86" s="119" t="s">
        <v>229</v>
      </c>
      <c r="L86" s="119" t="s">
        <v>230</v>
      </c>
      <c r="M86" s="137" t="s">
        <v>178</v>
      </c>
      <c r="N86" s="135">
        <v>0</v>
      </c>
      <c r="O86" s="135" t="s">
        <v>47</v>
      </c>
      <c r="P86" s="135" t="s">
        <v>179</v>
      </c>
      <c r="Q86" s="137">
        <v>0</v>
      </c>
      <c r="R86" s="137">
        <v>0</v>
      </c>
      <c r="S86" s="137">
        <v>1858734</v>
      </c>
      <c r="T86" s="137">
        <f t="shared" si="12"/>
        <v>0</v>
      </c>
      <c r="U86" s="137">
        <f t="shared" si="16"/>
        <v>1858734</v>
      </c>
      <c r="V86" s="137">
        <v>1634867</v>
      </c>
      <c r="W86" s="137">
        <f t="shared" si="17"/>
        <v>223867</v>
      </c>
      <c r="X86" s="137">
        <f t="shared" si="13"/>
        <v>223867</v>
      </c>
      <c r="Y86" s="137">
        <f t="shared" si="18"/>
        <v>0</v>
      </c>
      <c r="Z86" s="137">
        <v>1858734</v>
      </c>
      <c r="AA86" s="137">
        <f t="shared" si="14"/>
        <v>-223867</v>
      </c>
      <c r="AB86" s="146">
        <f t="shared" si="19"/>
        <v>1858734</v>
      </c>
      <c r="AC86" s="147">
        <f t="shared" si="15"/>
        <v>0</v>
      </c>
      <c r="AD86" s="137">
        <v>1634867</v>
      </c>
      <c r="AE86" s="135">
        <v>0.09</v>
      </c>
      <c r="AF86" s="137">
        <f t="shared" si="10"/>
        <v>147138.03</v>
      </c>
      <c r="AG86" s="137">
        <v>147138.03</v>
      </c>
      <c r="AH86" s="137"/>
      <c r="AI86" s="137"/>
      <c r="AJ86" s="136">
        <v>0.5</v>
      </c>
      <c r="AK86" s="152">
        <v>0.5</v>
      </c>
    </row>
    <row r="87" spans="1:39" s="119" customFormat="1" ht="15" customHeight="1" x14ac:dyDescent="0.3">
      <c r="A87" s="119">
        <v>2017</v>
      </c>
      <c r="B87" s="119" t="s">
        <v>252</v>
      </c>
      <c r="C87" s="119" t="s">
        <v>110</v>
      </c>
      <c r="D87" s="119" t="s">
        <v>111</v>
      </c>
      <c r="E87" s="119" t="s">
        <v>253</v>
      </c>
      <c r="F87" s="119" t="s">
        <v>254</v>
      </c>
      <c r="G87" s="119" t="s">
        <v>255</v>
      </c>
      <c r="H87" s="119" t="s">
        <v>255</v>
      </c>
      <c r="I87" s="119" t="s">
        <v>227</v>
      </c>
      <c r="J87" s="119" t="s">
        <v>228</v>
      </c>
      <c r="K87" s="119" t="s">
        <v>229</v>
      </c>
      <c r="L87" s="119" t="s">
        <v>254</v>
      </c>
      <c r="M87" s="137" t="s">
        <v>178</v>
      </c>
      <c r="N87" s="135">
        <v>0</v>
      </c>
      <c r="O87" s="135" t="s">
        <v>47</v>
      </c>
      <c r="P87" s="135" t="s">
        <v>179</v>
      </c>
      <c r="Q87" s="137">
        <v>0</v>
      </c>
      <c r="R87" s="137">
        <v>0</v>
      </c>
      <c r="S87" s="137">
        <v>149806</v>
      </c>
      <c r="T87" s="137">
        <f t="shared" si="12"/>
        <v>0</v>
      </c>
      <c r="U87" s="137">
        <f t="shared" si="16"/>
        <v>149806</v>
      </c>
      <c r="V87" s="137">
        <v>149806</v>
      </c>
      <c r="W87" s="137">
        <f t="shared" si="17"/>
        <v>0</v>
      </c>
      <c r="X87" s="137">
        <f t="shared" si="13"/>
        <v>0</v>
      </c>
      <c r="Y87" s="137">
        <f t="shared" si="18"/>
        <v>0</v>
      </c>
      <c r="Z87" s="137">
        <v>162000</v>
      </c>
      <c r="AA87" s="137">
        <f t="shared" si="14"/>
        <v>-12194</v>
      </c>
      <c r="AB87" s="146">
        <f t="shared" si="19"/>
        <v>162000</v>
      </c>
      <c r="AC87" s="147">
        <f t="shared" si="15"/>
        <v>0</v>
      </c>
      <c r="AD87" s="137">
        <v>162000</v>
      </c>
      <c r="AE87" s="135">
        <v>0.09</v>
      </c>
      <c r="AF87" s="137">
        <f t="shared" si="10"/>
        <v>14580</v>
      </c>
      <c r="AG87" s="137">
        <v>14580</v>
      </c>
      <c r="AH87" s="137"/>
      <c r="AI87" s="137"/>
      <c r="AJ87" s="136">
        <v>0.6</v>
      </c>
      <c r="AK87" s="152">
        <v>0.6</v>
      </c>
    </row>
    <row r="88" spans="1:39" s="119" customFormat="1" ht="15" customHeight="1" x14ac:dyDescent="0.3">
      <c r="A88" s="119">
        <v>2017</v>
      </c>
      <c r="B88" s="119" t="s">
        <v>38</v>
      </c>
      <c r="C88" s="119" t="s">
        <v>75</v>
      </c>
      <c r="D88" s="119" t="s">
        <v>256</v>
      </c>
      <c r="E88" s="119" t="s">
        <v>257</v>
      </c>
      <c r="F88" s="119" t="s">
        <v>258</v>
      </c>
      <c r="G88" s="119" t="s">
        <v>258</v>
      </c>
      <c r="H88" s="119" t="s">
        <v>258</v>
      </c>
      <c r="I88" s="119" t="s">
        <v>227</v>
      </c>
      <c r="J88" s="119" t="s">
        <v>228</v>
      </c>
      <c r="K88" s="119" t="s">
        <v>229</v>
      </c>
      <c r="L88" s="119" t="s">
        <v>258</v>
      </c>
      <c r="M88" s="137" t="s">
        <v>185</v>
      </c>
      <c r="N88" s="135">
        <v>0</v>
      </c>
      <c r="O88" s="135" t="s">
        <v>47</v>
      </c>
      <c r="P88" s="135"/>
      <c r="Q88" s="137">
        <v>0</v>
      </c>
      <c r="R88" s="137">
        <v>0</v>
      </c>
      <c r="S88" s="137">
        <v>250000</v>
      </c>
      <c r="T88" s="137">
        <f t="shared" si="12"/>
        <v>0</v>
      </c>
      <c r="U88" s="137">
        <f t="shared" si="16"/>
        <v>250000</v>
      </c>
      <c r="V88" s="137">
        <v>250000</v>
      </c>
      <c r="W88" s="137">
        <f t="shared" si="17"/>
        <v>0</v>
      </c>
      <c r="X88" s="137">
        <f t="shared" si="13"/>
        <v>0</v>
      </c>
      <c r="Y88" s="137">
        <f t="shared" si="18"/>
        <v>0</v>
      </c>
      <c r="Z88" s="137">
        <v>181691.76</v>
      </c>
      <c r="AA88" s="137">
        <f t="shared" si="14"/>
        <v>68308.239999999991</v>
      </c>
      <c r="AB88" s="146">
        <f t="shared" si="19"/>
        <v>181691.76</v>
      </c>
      <c r="AC88" s="147">
        <f t="shared" si="15"/>
        <v>0</v>
      </c>
      <c r="AD88" s="137">
        <v>181691.76</v>
      </c>
      <c r="AE88" s="135">
        <v>0.09</v>
      </c>
      <c r="AF88" s="137">
        <f t="shared" si="10"/>
        <v>16352.258400000001</v>
      </c>
      <c r="AG88" s="137">
        <v>16352.258400000001</v>
      </c>
      <c r="AH88" s="137"/>
      <c r="AI88" s="137"/>
      <c r="AJ88" s="136">
        <v>1</v>
      </c>
      <c r="AK88" s="152">
        <v>1</v>
      </c>
    </row>
    <row r="89" spans="1:39" s="119" customFormat="1" ht="15" customHeight="1" x14ac:dyDescent="0.3">
      <c r="A89" s="119">
        <v>2017</v>
      </c>
      <c r="B89" s="119" t="s">
        <v>38</v>
      </c>
      <c r="C89" s="119" t="s">
        <v>59</v>
      </c>
      <c r="D89" s="119" t="s">
        <v>106</v>
      </c>
      <c r="E89" s="119" t="s">
        <v>190</v>
      </c>
      <c r="F89" s="119" t="s">
        <v>214</v>
      </c>
      <c r="G89" s="119" t="s">
        <v>214</v>
      </c>
      <c r="H89" s="119" t="s">
        <v>214</v>
      </c>
      <c r="I89" s="119" t="s">
        <v>227</v>
      </c>
      <c r="J89" s="119" t="s">
        <v>228</v>
      </c>
      <c r="K89" s="119" t="s">
        <v>229</v>
      </c>
      <c r="L89" s="119" t="s">
        <v>215</v>
      </c>
      <c r="M89" s="137" t="s">
        <v>185</v>
      </c>
      <c r="N89" s="136">
        <v>0.94</v>
      </c>
      <c r="O89" s="135" t="s">
        <v>259</v>
      </c>
      <c r="P89" s="135"/>
      <c r="Q89" s="137">
        <v>0</v>
      </c>
      <c r="R89" s="137">
        <v>0</v>
      </c>
      <c r="S89" s="137">
        <v>1438200</v>
      </c>
      <c r="T89" s="137">
        <f t="shared" si="12"/>
        <v>1351908</v>
      </c>
      <c r="U89" s="137">
        <f t="shared" si="16"/>
        <v>2790108</v>
      </c>
      <c r="V89" s="137">
        <v>1530000</v>
      </c>
      <c r="W89" s="137">
        <f t="shared" si="17"/>
        <v>1260108</v>
      </c>
      <c r="X89" s="137">
        <f t="shared" si="13"/>
        <v>649540.20618556708</v>
      </c>
      <c r="Y89" s="137">
        <f t="shared" si="18"/>
        <v>610567.79381443292</v>
      </c>
      <c r="Z89" s="137">
        <v>986733.66923076904</v>
      </c>
      <c r="AA89" s="137">
        <f t="shared" si="14"/>
        <v>543266.33076923096</v>
      </c>
      <c r="AB89" s="146">
        <f t="shared" si="19"/>
        <v>927529.6490769228</v>
      </c>
      <c r="AC89" s="147">
        <f t="shared" si="15"/>
        <v>59204.020153846242</v>
      </c>
      <c r="AD89" s="137">
        <v>986733.66923076904</v>
      </c>
      <c r="AE89" s="135">
        <v>0.09</v>
      </c>
      <c r="AF89" s="137">
        <f t="shared" si="10"/>
        <v>88806.030230769204</v>
      </c>
      <c r="AG89" s="137">
        <v>88806.030230769204</v>
      </c>
      <c r="AH89" s="137"/>
      <c r="AI89" s="137"/>
      <c r="AJ89" s="136">
        <v>0.94</v>
      </c>
      <c r="AK89" s="152">
        <v>0.94</v>
      </c>
    </row>
    <row r="90" spans="1:39" s="119" customFormat="1" ht="15" customHeight="1" x14ac:dyDescent="0.3">
      <c r="A90" s="119">
        <v>2017</v>
      </c>
      <c r="B90" s="119" t="s">
        <v>38</v>
      </c>
      <c r="C90" s="119" t="s">
        <v>75</v>
      </c>
      <c r="D90" s="119" t="s">
        <v>76</v>
      </c>
      <c r="E90" s="119" t="s">
        <v>225</v>
      </c>
      <c r="F90" s="119" t="s">
        <v>260</v>
      </c>
      <c r="G90" s="119" t="s">
        <v>260</v>
      </c>
      <c r="H90" s="119" t="s">
        <v>260</v>
      </c>
      <c r="I90" s="119" t="s">
        <v>227</v>
      </c>
      <c r="J90" s="119" t="s">
        <v>228</v>
      </c>
      <c r="K90" s="119" t="s">
        <v>229</v>
      </c>
      <c r="L90" s="119" t="s">
        <v>261</v>
      </c>
      <c r="M90" s="137" t="s">
        <v>185</v>
      </c>
      <c r="N90" s="136">
        <v>0.09</v>
      </c>
      <c r="O90" s="135" t="s">
        <v>51</v>
      </c>
      <c r="P90" s="135"/>
      <c r="Q90" s="137">
        <v>0</v>
      </c>
      <c r="R90" s="137">
        <v>0</v>
      </c>
      <c r="S90" s="137">
        <v>100000</v>
      </c>
      <c r="T90" s="137">
        <f t="shared" si="12"/>
        <v>9000</v>
      </c>
      <c r="U90" s="137">
        <f t="shared" si="16"/>
        <v>109000</v>
      </c>
      <c r="V90" s="137">
        <v>106250</v>
      </c>
      <c r="W90" s="137">
        <f t="shared" si="17"/>
        <v>2750</v>
      </c>
      <c r="X90" s="137">
        <f t="shared" si="13"/>
        <v>2522.9357798165138</v>
      </c>
      <c r="Y90" s="137">
        <f t="shared" si="18"/>
        <v>227.06422018348621</v>
      </c>
      <c r="Z90" s="137">
        <v>0</v>
      </c>
      <c r="AA90" s="137">
        <f t="shared" si="14"/>
        <v>106250</v>
      </c>
      <c r="AB90" s="146">
        <f t="shared" si="19"/>
        <v>0</v>
      </c>
      <c r="AC90" s="147">
        <f t="shared" si="15"/>
        <v>0</v>
      </c>
      <c r="AD90" s="137">
        <v>0</v>
      </c>
      <c r="AE90" s="135">
        <v>0.09</v>
      </c>
      <c r="AF90" s="137">
        <f t="shared" si="10"/>
        <v>0</v>
      </c>
      <c r="AG90" s="137">
        <v>0</v>
      </c>
      <c r="AH90" s="137"/>
      <c r="AI90" s="137"/>
      <c r="AJ90" s="135" t="s">
        <v>238</v>
      </c>
      <c r="AK90" s="153" t="s">
        <v>238</v>
      </c>
      <c r="AL90" s="119" t="s">
        <v>262</v>
      </c>
    </row>
    <row r="91" spans="1:39" s="119" customFormat="1" ht="15" customHeight="1" x14ac:dyDescent="0.3">
      <c r="A91" s="119">
        <v>2017</v>
      </c>
      <c r="B91" s="119" t="s">
        <v>38</v>
      </c>
      <c r="C91" s="119" t="s">
        <v>75</v>
      </c>
      <c r="D91" s="119" t="s">
        <v>76</v>
      </c>
      <c r="E91" s="119" t="s">
        <v>150</v>
      </c>
      <c r="F91" s="119" t="s">
        <v>263</v>
      </c>
      <c r="G91" s="119" t="s">
        <v>263</v>
      </c>
      <c r="H91" s="119" t="s">
        <v>263</v>
      </c>
      <c r="I91" s="119" t="s">
        <v>170</v>
      </c>
      <c r="J91" s="119" t="s">
        <v>171</v>
      </c>
      <c r="K91" s="119" t="s">
        <v>172</v>
      </c>
      <c r="L91" s="119" t="s">
        <v>263</v>
      </c>
      <c r="M91" s="119" t="s">
        <v>46</v>
      </c>
      <c r="N91" s="135">
        <v>0.06</v>
      </c>
      <c r="O91" s="135" t="s">
        <v>51</v>
      </c>
      <c r="P91" s="135"/>
      <c r="Q91" s="137">
        <v>78306.100000000006</v>
      </c>
      <c r="R91" s="137">
        <v>0</v>
      </c>
      <c r="S91" s="137">
        <v>5269435.3</v>
      </c>
      <c r="T91" s="137">
        <f t="shared" si="12"/>
        <v>316166.11799999996</v>
      </c>
      <c r="U91" s="137">
        <f t="shared" si="16"/>
        <v>5585601.4179999996</v>
      </c>
      <c r="V91" s="137">
        <v>5532991.7699999996</v>
      </c>
      <c r="W91" s="137">
        <f t="shared" si="17"/>
        <v>52609.648000000045</v>
      </c>
      <c r="X91" s="137">
        <f t="shared" si="13"/>
        <v>49631.743396226455</v>
      </c>
      <c r="Y91" s="137">
        <f t="shared" si="18"/>
        <v>2977.9046037735898</v>
      </c>
      <c r="Z91" s="137">
        <v>5896509.2000000002</v>
      </c>
      <c r="AA91" s="137">
        <f t="shared" si="14"/>
        <v>-285211.33000000101</v>
      </c>
      <c r="AB91" s="146">
        <f>IF(O91="返货",(Z91-Q91)/(1+N91),IF(O91="返现",(Z91-Q91),IF(O91="折扣",(Z91-Q91)*N91,IF(O91="无",(Z91-Q91)))))</f>
        <v>5488870.8490566043</v>
      </c>
      <c r="AC91" s="147">
        <f t="shared" si="15"/>
        <v>407638.35094339587</v>
      </c>
      <c r="AD91" s="137">
        <f>(Z91-Q91)*0.89807640489087</f>
        <v>5225190.9229729157</v>
      </c>
      <c r="AE91" s="138">
        <v>0.11269173273981201</v>
      </c>
      <c r="AF91" s="137">
        <f t="shared" si="10"/>
        <v>588835.81900615548</v>
      </c>
      <c r="AG91" s="137">
        <v>193794.31682762501</v>
      </c>
      <c r="AH91" s="154"/>
      <c r="AI91" s="154"/>
      <c r="AJ91" s="135" t="s">
        <v>193</v>
      </c>
      <c r="AK91" s="119" t="s">
        <v>193</v>
      </c>
    </row>
    <row r="92" spans="1:39" s="119" customFormat="1" ht="15" customHeight="1" x14ac:dyDescent="0.3">
      <c r="A92" s="119">
        <v>2017</v>
      </c>
      <c r="B92" s="119" t="s">
        <v>38</v>
      </c>
      <c r="C92" s="119" t="s">
        <v>137</v>
      </c>
      <c r="D92" s="119" t="s">
        <v>138</v>
      </c>
      <c r="E92" s="119" t="s">
        <v>139</v>
      </c>
      <c r="F92" s="119" t="s">
        <v>264</v>
      </c>
      <c r="G92" s="119" t="s">
        <v>265</v>
      </c>
      <c r="H92" s="119" t="s">
        <v>265</v>
      </c>
      <c r="I92" s="131" t="s">
        <v>243</v>
      </c>
      <c r="J92" s="119" t="s">
        <v>244</v>
      </c>
      <c r="K92" s="119" t="s">
        <v>266</v>
      </c>
      <c r="L92" s="119" t="s">
        <v>267</v>
      </c>
      <c r="M92" s="119" t="s">
        <v>46</v>
      </c>
      <c r="N92" s="136">
        <v>0</v>
      </c>
      <c r="O92" s="135" t="s">
        <v>47</v>
      </c>
      <c r="P92" s="135"/>
      <c r="Q92" s="137">
        <v>0</v>
      </c>
      <c r="R92" s="137">
        <v>0</v>
      </c>
      <c r="S92" s="137">
        <v>20000</v>
      </c>
      <c r="T92" s="137">
        <f t="shared" si="12"/>
        <v>0</v>
      </c>
      <c r="U92" s="137">
        <f t="shared" si="16"/>
        <v>20000</v>
      </c>
      <c r="V92" s="137">
        <v>15000</v>
      </c>
      <c r="W92" s="137">
        <f t="shared" si="17"/>
        <v>5000</v>
      </c>
      <c r="X92" s="137">
        <f t="shared" si="13"/>
        <v>5000</v>
      </c>
      <c r="Y92" s="137">
        <f t="shared" si="18"/>
        <v>0</v>
      </c>
      <c r="Z92" s="137">
        <v>20000</v>
      </c>
      <c r="AA92" s="137">
        <f t="shared" si="14"/>
        <v>-5000</v>
      </c>
      <c r="AB92" s="146">
        <f t="shared" ref="AB92:AB99" si="20">IF(O92="返货",Z92/(1+N92),IF(O92="返现",Z92,IF(O92="折扣",Z92*N92,IF(O92="无",Z92))))</f>
        <v>20000</v>
      </c>
      <c r="AC92" s="147">
        <f t="shared" si="15"/>
        <v>0</v>
      </c>
      <c r="AD92" s="137">
        <v>15000</v>
      </c>
      <c r="AE92" s="138">
        <v>0</v>
      </c>
      <c r="AF92" s="137">
        <f t="shared" si="10"/>
        <v>0</v>
      </c>
      <c r="AG92" s="137">
        <f t="shared" ref="AG92:AG123" si="21">AB92-Z92+AF92</f>
        <v>0</v>
      </c>
      <c r="AH92" s="154"/>
      <c r="AI92" s="154"/>
      <c r="AJ92" s="135" t="s">
        <v>268</v>
      </c>
      <c r="AK92" s="119" t="s">
        <v>268</v>
      </c>
      <c r="AL92" s="119" t="s">
        <v>269</v>
      </c>
      <c r="AM92" s="131"/>
    </row>
    <row r="93" spans="1:39" s="119" customFormat="1" ht="15" customHeight="1" x14ac:dyDescent="0.3">
      <c r="A93" s="119">
        <v>2017</v>
      </c>
      <c r="B93" s="119" t="s">
        <v>38</v>
      </c>
      <c r="C93" s="119" t="s">
        <v>137</v>
      </c>
      <c r="D93" s="119" t="s">
        <v>270</v>
      </c>
      <c r="E93" s="119" t="s">
        <v>270</v>
      </c>
      <c r="F93" s="119" t="s">
        <v>271</v>
      </c>
      <c r="G93" s="119" t="s">
        <v>272</v>
      </c>
      <c r="H93" s="119" t="s">
        <v>272</v>
      </c>
      <c r="I93" s="131" t="s">
        <v>243</v>
      </c>
      <c r="J93" s="119" t="s">
        <v>244</v>
      </c>
      <c r="K93" s="119" t="s">
        <v>266</v>
      </c>
      <c r="L93" s="119" t="s">
        <v>273</v>
      </c>
      <c r="M93" s="119" t="s">
        <v>46</v>
      </c>
      <c r="N93" s="135">
        <v>0</v>
      </c>
      <c r="O93" s="135" t="s">
        <v>47</v>
      </c>
      <c r="P93" s="135"/>
      <c r="Q93" s="137">
        <v>0</v>
      </c>
      <c r="R93" s="137">
        <v>0</v>
      </c>
      <c r="S93" s="137">
        <v>38182</v>
      </c>
      <c r="T93" s="137">
        <f t="shared" si="12"/>
        <v>0</v>
      </c>
      <c r="U93" s="137">
        <f t="shared" si="16"/>
        <v>38182</v>
      </c>
      <c r="V93" s="137">
        <v>13395</v>
      </c>
      <c r="W93" s="137">
        <f t="shared" si="17"/>
        <v>24787</v>
      </c>
      <c r="X93" s="137">
        <f t="shared" si="13"/>
        <v>24787</v>
      </c>
      <c r="Y93" s="137">
        <f t="shared" si="18"/>
        <v>0</v>
      </c>
      <c r="Z93" s="137">
        <v>19180</v>
      </c>
      <c r="AA93" s="137">
        <f t="shared" si="14"/>
        <v>-5785</v>
      </c>
      <c r="AB93" s="146">
        <f t="shared" si="20"/>
        <v>19180</v>
      </c>
      <c r="AC93" s="147">
        <f t="shared" si="15"/>
        <v>0</v>
      </c>
      <c r="AD93" s="137">
        <v>13395</v>
      </c>
      <c r="AE93" s="138">
        <v>0</v>
      </c>
      <c r="AF93" s="137">
        <f t="shared" si="10"/>
        <v>0</v>
      </c>
      <c r="AG93" s="137">
        <f t="shared" si="21"/>
        <v>0</v>
      </c>
      <c r="AH93" s="154"/>
      <c r="AI93" s="154"/>
      <c r="AJ93" s="135" t="s">
        <v>47</v>
      </c>
      <c r="AK93" s="119" t="s">
        <v>47</v>
      </c>
      <c r="AL93" s="119" t="s">
        <v>269</v>
      </c>
      <c r="AM93" s="131"/>
    </row>
    <row r="94" spans="1:39" s="119" customFormat="1" ht="15" customHeight="1" x14ac:dyDescent="0.3">
      <c r="A94" s="119">
        <v>2017</v>
      </c>
      <c r="B94" s="119" t="s">
        <v>38</v>
      </c>
      <c r="C94" s="119" t="s">
        <v>88</v>
      </c>
      <c r="D94" s="119" t="s">
        <v>128</v>
      </c>
      <c r="E94" s="119" t="s">
        <v>96</v>
      </c>
      <c r="F94" s="119" t="s">
        <v>274</v>
      </c>
      <c r="G94" s="119" t="s">
        <v>275</v>
      </c>
      <c r="H94" s="119" t="s">
        <v>275</v>
      </c>
      <c r="I94" s="131" t="s">
        <v>243</v>
      </c>
      <c r="J94" s="119" t="s">
        <v>244</v>
      </c>
      <c r="K94" s="119" t="s">
        <v>266</v>
      </c>
      <c r="L94" s="119" t="s">
        <v>276</v>
      </c>
      <c r="M94" s="119" t="s">
        <v>46</v>
      </c>
      <c r="N94" s="136">
        <v>0</v>
      </c>
      <c r="O94" s="135" t="s">
        <v>47</v>
      </c>
      <c r="P94" s="135"/>
      <c r="Q94" s="137">
        <v>0</v>
      </c>
      <c r="R94" s="137">
        <v>0</v>
      </c>
      <c r="S94" s="137">
        <v>52345.24</v>
      </c>
      <c r="T94" s="137">
        <f t="shared" si="12"/>
        <v>0</v>
      </c>
      <c r="U94" s="137">
        <f t="shared" si="16"/>
        <v>52345.24</v>
      </c>
      <c r="V94" s="137">
        <v>0</v>
      </c>
      <c r="W94" s="137">
        <f t="shared" si="17"/>
        <v>52345.24</v>
      </c>
      <c r="X94" s="137">
        <f t="shared" si="13"/>
        <v>52345.24</v>
      </c>
      <c r="Y94" s="137">
        <f t="shared" si="18"/>
        <v>0</v>
      </c>
      <c r="Z94" s="137">
        <v>0</v>
      </c>
      <c r="AA94" s="137">
        <f t="shared" si="14"/>
        <v>0</v>
      </c>
      <c r="AB94" s="146">
        <f t="shared" si="20"/>
        <v>0</v>
      </c>
      <c r="AC94" s="147">
        <f t="shared" si="15"/>
        <v>0</v>
      </c>
      <c r="AD94" s="137">
        <v>0</v>
      </c>
      <c r="AE94" s="138">
        <v>0</v>
      </c>
      <c r="AF94" s="137">
        <f t="shared" si="10"/>
        <v>0</v>
      </c>
      <c r="AG94" s="137">
        <f t="shared" si="21"/>
        <v>0</v>
      </c>
      <c r="AH94" s="154"/>
      <c r="AI94" s="154"/>
      <c r="AJ94" s="155">
        <v>0</v>
      </c>
      <c r="AK94" s="119" t="s">
        <v>120</v>
      </c>
      <c r="AL94" s="119" t="s">
        <v>269</v>
      </c>
      <c r="AM94" s="131"/>
    </row>
    <row r="95" spans="1:39" s="119" customFormat="1" ht="15" customHeight="1" x14ac:dyDescent="0.3">
      <c r="A95" s="119">
        <v>2017</v>
      </c>
      <c r="B95" s="119" t="s">
        <v>38</v>
      </c>
      <c r="C95" s="119" t="s">
        <v>88</v>
      </c>
      <c r="D95" s="119" t="s">
        <v>128</v>
      </c>
      <c r="E95" s="119" t="s">
        <v>277</v>
      </c>
      <c r="F95" s="119" t="s">
        <v>278</v>
      </c>
      <c r="G95" s="119" t="s">
        <v>278</v>
      </c>
      <c r="H95" s="119" t="s">
        <v>278</v>
      </c>
      <c r="I95" s="131" t="s">
        <v>243</v>
      </c>
      <c r="J95" s="119" t="s">
        <v>244</v>
      </c>
      <c r="K95" s="119" t="s">
        <v>266</v>
      </c>
      <c r="L95" s="119" t="s">
        <v>279</v>
      </c>
      <c r="M95" s="119" t="s">
        <v>46</v>
      </c>
      <c r="N95" s="135">
        <v>0</v>
      </c>
      <c r="O95" s="135" t="s">
        <v>47</v>
      </c>
      <c r="P95" s="135"/>
      <c r="Q95" s="137">
        <v>0</v>
      </c>
      <c r="R95" s="137">
        <v>0</v>
      </c>
      <c r="S95" s="137">
        <v>9991</v>
      </c>
      <c r="T95" s="137">
        <f t="shared" si="12"/>
        <v>0</v>
      </c>
      <c r="U95" s="137">
        <f t="shared" si="16"/>
        <v>9991</v>
      </c>
      <c r="V95" s="137">
        <v>6898.5</v>
      </c>
      <c r="W95" s="137">
        <f t="shared" si="17"/>
        <v>3092.5</v>
      </c>
      <c r="X95" s="137">
        <f t="shared" si="13"/>
        <v>3092.5</v>
      </c>
      <c r="Y95" s="137">
        <f t="shared" si="18"/>
        <v>0</v>
      </c>
      <c r="Z95" s="137">
        <v>9991</v>
      </c>
      <c r="AA95" s="137">
        <f t="shared" si="14"/>
        <v>-3092.5</v>
      </c>
      <c r="AB95" s="146">
        <f t="shared" si="20"/>
        <v>9991</v>
      </c>
      <c r="AC95" s="147">
        <f t="shared" si="15"/>
        <v>0</v>
      </c>
      <c r="AD95" s="137">
        <v>6898.5</v>
      </c>
      <c r="AE95" s="138">
        <v>0</v>
      </c>
      <c r="AF95" s="137">
        <f t="shared" si="10"/>
        <v>0</v>
      </c>
      <c r="AG95" s="137">
        <f t="shared" si="21"/>
        <v>0</v>
      </c>
      <c r="AH95" s="154"/>
      <c r="AI95" s="154"/>
      <c r="AJ95" s="135" t="s">
        <v>47</v>
      </c>
      <c r="AK95" s="119" t="s">
        <v>47</v>
      </c>
      <c r="AL95" s="119" t="s">
        <v>269</v>
      </c>
      <c r="AM95" s="131"/>
    </row>
    <row r="96" spans="1:39" s="119" customFormat="1" ht="15" customHeight="1" x14ac:dyDescent="0.3">
      <c r="A96" s="119">
        <v>2017</v>
      </c>
      <c r="B96" s="119" t="s">
        <v>38</v>
      </c>
      <c r="C96" s="119" t="s">
        <v>110</v>
      </c>
      <c r="D96" s="119" t="s">
        <v>280</v>
      </c>
      <c r="E96" s="119" t="s">
        <v>281</v>
      </c>
      <c r="F96" s="119" t="s">
        <v>282</v>
      </c>
      <c r="G96" s="119" t="s">
        <v>282</v>
      </c>
      <c r="H96" s="119" t="s">
        <v>282</v>
      </c>
      <c r="I96" s="131" t="s">
        <v>243</v>
      </c>
      <c r="J96" s="119" t="s">
        <v>244</v>
      </c>
      <c r="K96" s="119" t="s">
        <v>266</v>
      </c>
      <c r="L96" s="119" t="s">
        <v>283</v>
      </c>
      <c r="M96" s="119" t="s">
        <v>46</v>
      </c>
      <c r="N96" s="135">
        <v>0</v>
      </c>
      <c r="O96" s="135" t="s">
        <v>47</v>
      </c>
      <c r="P96" s="135"/>
      <c r="Q96" s="137">
        <v>0</v>
      </c>
      <c r="R96" s="137">
        <v>0</v>
      </c>
      <c r="S96" s="137">
        <v>457576</v>
      </c>
      <c r="T96" s="137">
        <f t="shared" si="12"/>
        <v>0</v>
      </c>
      <c r="U96" s="137">
        <f t="shared" si="16"/>
        <v>457576</v>
      </c>
      <c r="V96" s="137">
        <v>227181</v>
      </c>
      <c r="W96" s="137">
        <f t="shared" si="17"/>
        <v>230395</v>
      </c>
      <c r="X96" s="137">
        <f t="shared" si="13"/>
        <v>230395</v>
      </c>
      <c r="Y96" s="137">
        <f t="shared" si="18"/>
        <v>0</v>
      </c>
      <c r="Z96" s="137">
        <v>336160.5</v>
      </c>
      <c r="AA96" s="137">
        <f t="shared" si="14"/>
        <v>-108979.5</v>
      </c>
      <c r="AB96" s="146">
        <f t="shared" si="20"/>
        <v>336160.5</v>
      </c>
      <c r="AC96" s="147">
        <f t="shared" si="15"/>
        <v>0</v>
      </c>
      <c r="AD96" s="137">
        <v>227181</v>
      </c>
      <c r="AE96" s="138">
        <v>0</v>
      </c>
      <c r="AF96" s="137">
        <f t="shared" si="10"/>
        <v>0</v>
      </c>
      <c r="AG96" s="137">
        <f t="shared" si="21"/>
        <v>0</v>
      </c>
      <c r="AH96" s="154"/>
      <c r="AI96" s="154"/>
      <c r="AJ96" s="135" t="s">
        <v>47</v>
      </c>
      <c r="AK96" s="119" t="s">
        <v>120</v>
      </c>
      <c r="AL96" s="119" t="s">
        <v>269</v>
      </c>
      <c r="AM96" s="131"/>
    </row>
    <row r="97" spans="1:40" s="119" customFormat="1" ht="15" customHeight="1" x14ac:dyDescent="0.3">
      <c r="A97" s="119">
        <v>2017</v>
      </c>
      <c r="B97" s="119" t="s">
        <v>252</v>
      </c>
      <c r="C97" s="119" t="s">
        <v>110</v>
      </c>
      <c r="D97" s="119" t="s">
        <v>111</v>
      </c>
      <c r="E97" s="119" t="s">
        <v>112</v>
      </c>
      <c r="F97" s="119" t="s">
        <v>284</v>
      </c>
      <c r="G97" s="119" t="s">
        <v>285</v>
      </c>
      <c r="H97" s="119" t="s">
        <v>285</v>
      </c>
      <c r="I97" s="131" t="s">
        <v>243</v>
      </c>
      <c r="J97" s="119" t="s">
        <v>244</v>
      </c>
      <c r="K97" s="119" t="s">
        <v>266</v>
      </c>
      <c r="L97" s="119" t="s">
        <v>284</v>
      </c>
      <c r="M97" s="119" t="s">
        <v>46</v>
      </c>
      <c r="N97" s="135">
        <v>0</v>
      </c>
      <c r="O97" s="135" t="s">
        <v>47</v>
      </c>
      <c r="P97" s="135"/>
      <c r="Q97" s="137">
        <v>0</v>
      </c>
      <c r="R97" s="137">
        <v>0</v>
      </c>
      <c r="S97" s="137">
        <v>33284</v>
      </c>
      <c r="T97" s="137">
        <f t="shared" si="12"/>
        <v>0</v>
      </c>
      <c r="U97" s="137">
        <f t="shared" si="16"/>
        <v>33284</v>
      </c>
      <c r="V97" s="137">
        <v>23559</v>
      </c>
      <c r="W97" s="137">
        <f t="shared" si="17"/>
        <v>9725</v>
      </c>
      <c r="X97" s="137">
        <f t="shared" si="13"/>
        <v>9725</v>
      </c>
      <c r="Y97" s="137">
        <f t="shared" si="18"/>
        <v>0</v>
      </c>
      <c r="Z97" s="137">
        <v>33284</v>
      </c>
      <c r="AA97" s="137">
        <f t="shared" si="14"/>
        <v>-9725</v>
      </c>
      <c r="AB97" s="146">
        <f t="shared" si="20"/>
        <v>33284</v>
      </c>
      <c r="AC97" s="147">
        <f t="shared" si="15"/>
        <v>0</v>
      </c>
      <c r="AD97" s="137">
        <v>23559</v>
      </c>
      <c r="AE97" s="138">
        <v>0</v>
      </c>
      <c r="AF97" s="137">
        <f t="shared" si="10"/>
        <v>0</v>
      </c>
      <c r="AG97" s="137">
        <f t="shared" si="21"/>
        <v>0</v>
      </c>
      <c r="AH97" s="154"/>
      <c r="AI97" s="154"/>
      <c r="AJ97" s="135" t="s">
        <v>47</v>
      </c>
      <c r="AK97" s="119" t="s">
        <v>47</v>
      </c>
      <c r="AL97" s="119" t="s">
        <v>269</v>
      </c>
      <c r="AM97" s="131"/>
    </row>
    <row r="98" spans="1:40" s="119" customFormat="1" ht="15" customHeight="1" x14ac:dyDescent="0.3">
      <c r="A98" s="119">
        <v>2017</v>
      </c>
      <c r="B98" s="119" t="s">
        <v>252</v>
      </c>
      <c r="C98" s="119" t="s">
        <v>110</v>
      </c>
      <c r="D98" s="119" t="s">
        <v>111</v>
      </c>
      <c r="E98" s="119" t="s">
        <v>281</v>
      </c>
      <c r="F98" s="119" t="s">
        <v>286</v>
      </c>
      <c r="G98" s="119" t="s">
        <v>287</v>
      </c>
      <c r="H98" s="119" t="s">
        <v>287</v>
      </c>
      <c r="I98" s="131" t="s">
        <v>243</v>
      </c>
      <c r="J98" s="119" t="s">
        <v>244</v>
      </c>
      <c r="K98" s="119" t="s">
        <v>266</v>
      </c>
      <c r="L98" s="119" t="s">
        <v>286</v>
      </c>
      <c r="M98" s="119" t="s">
        <v>46</v>
      </c>
      <c r="N98" s="135">
        <v>0</v>
      </c>
      <c r="O98" s="135" t="s">
        <v>47</v>
      </c>
      <c r="P98" s="135"/>
      <c r="Q98" s="137">
        <v>0</v>
      </c>
      <c r="R98" s="137">
        <v>0</v>
      </c>
      <c r="S98" s="137">
        <v>53242.5</v>
      </c>
      <c r="T98" s="137">
        <f t="shared" si="12"/>
        <v>0</v>
      </c>
      <c r="U98" s="137">
        <f t="shared" si="16"/>
        <v>53242.5</v>
      </c>
      <c r="V98" s="137">
        <v>37507.5</v>
      </c>
      <c r="W98" s="137">
        <f t="shared" si="17"/>
        <v>15735</v>
      </c>
      <c r="X98" s="137">
        <f t="shared" si="13"/>
        <v>15735</v>
      </c>
      <c r="Y98" s="137">
        <f t="shared" si="18"/>
        <v>0</v>
      </c>
      <c r="Z98" s="137">
        <v>53242.5</v>
      </c>
      <c r="AA98" s="137">
        <f t="shared" si="14"/>
        <v>-15735</v>
      </c>
      <c r="AB98" s="146">
        <f t="shared" si="20"/>
        <v>53242.5</v>
      </c>
      <c r="AC98" s="147">
        <f t="shared" si="15"/>
        <v>0</v>
      </c>
      <c r="AD98" s="137">
        <v>37507.5</v>
      </c>
      <c r="AE98" s="138">
        <v>0</v>
      </c>
      <c r="AF98" s="137">
        <f t="shared" si="10"/>
        <v>0</v>
      </c>
      <c r="AG98" s="137">
        <f t="shared" si="21"/>
        <v>0</v>
      </c>
      <c r="AH98" s="154"/>
      <c r="AI98" s="154"/>
      <c r="AJ98" s="135" t="s">
        <v>47</v>
      </c>
      <c r="AK98" s="119" t="s">
        <v>47</v>
      </c>
      <c r="AL98" s="119" t="s">
        <v>269</v>
      </c>
      <c r="AM98" s="131"/>
    </row>
    <row r="99" spans="1:40" s="119" customFormat="1" ht="15" customHeight="1" x14ac:dyDescent="0.3">
      <c r="A99" s="119">
        <v>2017</v>
      </c>
      <c r="B99" s="119" t="s">
        <v>199</v>
      </c>
      <c r="C99" s="119" t="s">
        <v>88</v>
      </c>
      <c r="D99" s="119" t="s">
        <v>89</v>
      </c>
      <c r="E99" s="119" t="s">
        <v>277</v>
      </c>
      <c r="F99" s="119" t="s">
        <v>288</v>
      </c>
      <c r="G99" s="119" t="s">
        <v>289</v>
      </c>
      <c r="H99" s="119" t="s">
        <v>289</v>
      </c>
      <c r="I99" s="131" t="s">
        <v>243</v>
      </c>
      <c r="J99" s="119" t="s">
        <v>244</v>
      </c>
      <c r="K99" s="119" t="s">
        <v>266</v>
      </c>
      <c r="L99" s="119" t="s">
        <v>288</v>
      </c>
      <c r="M99" s="119" t="s">
        <v>46</v>
      </c>
      <c r="N99" s="135">
        <v>0</v>
      </c>
      <c r="O99" s="135" t="s">
        <v>47</v>
      </c>
      <c r="P99" s="135"/>
      <c r="Q99" s="137">
        <v>0</v>
      </c>
      <c r="R99" s="137">
        <v>0</v>
      </c>
      <c r="S99" s="137">
        <v>18675</v>
      </c>
      <c r="T99" s="137">
        <f t="shared" si="12"/>
        <v>0</v>
      </c>
      <c r="U99" s="137">
        <f t="shared" si="16"/>
        <v>18675</v>
      </c>
      <c r="V99" s="137">
        <v>12750</v>
      </c>
      <c r="W99" s="137">
        <f t="shared" si="17"/>
        <v>5925</v>
      </c>
      <c r="X99" s="137">
        <f t="shared" si="13"/>
        <v>5925</v>
      </c>
      <c r="Y99" s="137">
        <f t="shared" si="18"/>
        <v>0</v>
      </c>
      <c r="Z99" s="137">
        <v>18675</v>
      </c>
      <c r="AA99" s="137">
        <f t="shared" si="14"/>
        <v>-5925</v>
      </c>
      <c r="AB99" s="146">
        <f t="shared" si="20"/>
        <v>18675</v>
      </c>
      <c r="AC99" s="147">
        <f t="shared" si="15"/>
        <v>0</v>
      </c>
      <c r="AD99" s="137">
        <v>12750</v>
      </c>
      <c r="AE99" s="138">
        <v>0</v>
      </c>
      <c r="AF99" s="137">
        <f t="shared" si="10"/>
        <v>0</v>
      </c>
      <c r="AG99" s="137">
        <f t="shared" si="21"/>
        <v>0</v>
      </c>
      <c r="AH99" s="154"/>
      <c r="AI99" s="154"/>
      <c r="AJ99" s="135" t="s">
        <v>47</v>
      </c>
      <c r="AK99" s="119" t="s">
        <v>47</v>
      </c>
      <c r="AL99" s="119" t="s">
        <v>269</v>
      </c>
      <c r="AM99" s="131"/>
    </row>
    <row r="100" spans="1:40" s="119" customFormat="1" ht="15" customHeight="1" x14ac:dyDescent="0.3">
      <c r="A100" s="119">
        <v>2017</v>
      </c>
      <c r="B100" s="119" t="s">
        <v>290</v>
      </c>
      <c r="C100" s="119" t="s">
        <v>88</v>
      </c>
      <c r="D100" s="119" t="s">
        <v>89</v>
      </c>
      <c r="E100" s="119" t="s">
        <v>277</v>
      </c>
      <c r="F100" s="119" t="s">
        <v>291</v>
      </c>
      <c r="G100" s="119" t="s">
        <v>291</v>
      </c>
      <c r="H100" s="119" t="s">
        <v>291</v>
      </c>
      <c r="I100" s="131" t="s">
        <v>243</v>
      </c>
      <c r="J100" s="119" t="s">
        <v>244</v>
      </c>
      <c r="K100" s="119" t="s">
        <v>266</v>
      </c>
      <c r="L100" s="119" t="s">
        <v>291</v>
      </c>
      <c r="M100" s="119" t="s">
        <v>46</v>
      </c>
      <c r="N100" s="135">
        <v>0</v>
      </c>
      <c r="O100" s="135" t="s">
        <v>47</v>
      </c>
      <c r="P100" s="135" t="s">
        <v>15</v>
      </c>
      <c r="Q100" s="137">
        <v>0</v>
      </c>
      <c r="R100" s="137">
        <v>0</v>
      </c>
      <c r="S100" s="137">
        <v>0</v>
      </c>
      <c r="T100" s="137">
        <f t="shared" si="12"/>
        <v>0</v>
      </c>
      <c r="U100" s="137">
        <f t="shared" si="16"/>
        <v>0</v>
      </c>
      <c r="V100" s="137">
        <v>14949</v>
      </c>
      <c r="W100" s="137">
        <f t="shared" si="17"/>
        <v>-14949</v>
      </c>
      <c r="X100" s="137">
        <f t="shared" si="13"/>
        <v>-14949</v>
      </c>
      <c r="Y100" s="137">
        <f t="shared" si="18"/>
        <v>0</v>
      </c>
      <c r="Z100" s="137">
        <v>19932</v>
      </c>
      <c r="AA100" s="137">
        <f t="shared" si="14"/>
        <v>-4983</v>
      </c>
      <c r="AB100" s="146">
        <v>0</v>
      </c>
      <c r="AC100" s="147">
        <f t="shared" si="15"/>
        <v>19932</v>
      </c>
      <c r="AD100" s="137">
        <v>14949</v>
      </c>
      <c r="AE100" s="138">
        <v>0</v>
      </c>
      <c r="AF100" s="137">
        <f t="shared" si="10"/>
        <v>0</v>
      </c>
      <c r="AG100" s="137">
        <f t="shared" si="21"/>
        <v>-19932</v>
      </c>
      <c r="AH100" s="154"/>
      <c r="AI100" s="154"/>
      <c r="AJ100" s="136">
        <v>1</v>
      </c>
      <c r="AK100" s="156">
        <v>1</v>
      </c>
      <c r="AL100" s="119" t="s">
        <v>269</v>
      </c>
      <c r="AM100" s="131"/>
      <c r="AN100" s="119" t="s">
        <v>292</v>
      </c>
    </row>
    <row r="101" spans="1:40" s="119" customFormat="1" ht="15" customHeight="1" x14ac:dyDescent="0.3">
      <c r="A101" s="119">
        <v>2017</v>
      </c>
      <c r="B101" s="119" t="s">
        <v>38</v>
      </c>
      <c r="C101" s="119" t="s">
        <v>88</v>
      </c>
      <c r="D101" s="119" t="s">
        <v>293</v>
      </c>
      <c r="E101" s="119" t="s">
        <v>194</v>
      </c>
      <c r="F101" s="119" t="s">
        <v>294</v>
      </c>
      <c r="G101" s="119" t="s">
        <v>294</v>
      </c>
      <c r="H101" s="119" t="s">
        <v>294</v>
      </c>
      <c r="I101" s="131" t="s">
        <v>243</v>
      </c>
      <c r="J101" s="119" t="s">
        <v>244</v>
      </c>
      <c r="K101" s="119" t="s">
        <v>266</v>
      </c>
      <c r="L101" s="119" t="s">
        <v>294</v>
      </c>
      <c r="M101" s="119" t="s">
        <v>46</v>
      </c>
      <c r="N101" s="135">
        <v>0</v>
      </c>
      <c r="O101" s="135" t="s">
        <v>47</v>
      </c>
      <c r="P101" s="135"/>
      <c r="Q101" s="137">
        <v>0</v>
      </c>
      <c r="R101" s="137">
        <v>0</v>
      </c>
      <c r="S101" s="137">
        <v>19946.5</v>
      </c>
      <c r="T101" s="137">
        <f t="shared" si="12"/>
        <v>0</v>
      </c>
      <c r="U101" s="137">
        <f t="shared" si="16"/>
        <v>19946.5</v>
      </c>
      <c r="V101" s="137">
        <v>13888.5</v>
      </c>
      <c r="W101" s="137">
        <f t="shared" si="17"/>
        <v>6058</v>
      </c>
      <c r="X101" s="137">
        <f t="shared" si="13"/>
        <v>6058</v>
      </c>
      <c r="Y101" s="137">
        <f t="shared" si="18"/>
        <v>0</v>
      </c>
      <c r="Z101" s="137">
        <v>19946.5</v>
      </c>
      <c r="AA101" s="137">
        <f t="shared" si="14"/>
        <v>-6058</v>
      </c>
      <c r="AB101" s="146">
        <f t="shared" ref="AB101:AB164" si="22">IF(O101="返货",Z101/(1+N101),IF(O101="返现",Z101,IF(O101="折扣",Z101*N101,IF(O101="无",Z101))))</f>
        <v>19946.5</v>
      </c>
      <c r="AC101" s="147">
        <f t="shared" si="15"/>
        <v>0</v>
      </c>
      <c r="AD101" s="137">
        <v>13888.5</v>
      </c>
      <c r="AE101" s="138">
        <v>0</v>
      </c>
      <c r="AF101" s="137">
        <f t="shared" si="10"/>
        <v>0</v>
      </c>
      <c r="AG101" s="137">
        <f t="shared" si="21"/>
        <v>0</v>
      </c>
      <c r="AH101" s="154"/>
      <c r="AI101" s="154"/>
      <c r="AJ101" s="136">
        <v>0</v>
      </c>
      <c r="AK101" s="119" t="s">
        <v>120</v>
      </c>
      <c r="AL101" s="119" t="s">
        <v>269</v>
      </c>
      <c r="AM101" s="131"/>
    </row>
    <row r="102" spans="1:40" s="119" customFormat="1" ht="15" customHeight="1" x14ac:dyDescent="0.3">
      <c r="A102" s="119">
        <v>2017</v>
      </c>
      <c r="B102" s="119" t="s">
        <v>38</v>
      </c>
      <c r="C102" s="119" t="s">
        <v>75</v>
      </c>
      <c r="D102" s="119" t="s">
        <v>76</v>
      </c>
      <c r="E102" s="119" t="s">
        <v>167</v>
      </c>
      <c r="F102" s="119" t="s">
        <v>168</v>
      </c>
      <c r="G102" s="119" t="s">
        <v>168</v>
      </c>
      <c r="H102" s="119" t="s">
        <v>168</v>
      </c>
      <c r="I102" s="131" t="s">
        <v>243</v>
      </c>
      <c r="J102" s="119" t="s">
        <v>244</v>
      </c>
      <c r="K102" s="119" t="s">
        <v>266</v>
      </c>
      <c r="L102" s="119" t="s">
        <v>168</v>
      </c>
      <c r="M102" s="119" t="s">
        <v>46</v>
      </c>
      <c r="N102" s="136">
        <v>0</v>
      </c>
      <c r="O102" s="135" t="s">
        <v>47</v>
      </c>
      <c r="P102" s="135"/>
      <c r="Q102" s="137">
        <v>0</v>
      </c>
      <c r="R102" s="137">
        <v>0</v>
      </c>
      <c r="S102" s="137">
        <v>40000</v>
      </c>
      <c r="T102" s="137">
        <f t="shared" si="12"/>
        <v>0</v>
      </c>
      <c r="U102" s="137">
        <f t="shared" si="16"/>
        <v>40000</v>
      </c>
      <c r="V102" s="137">
        <v>29923.5</v>
      </c>
      <c r="W102" s="137">
        <f t="shared" si="17"/>
        <v>10076.5</v>
      </c>
      <c r="X102" s="137">
        <f t="shared" si="13"/>
        <v>10076.5</v>
      </c>
      <c r="Y102" s="137">
        <f t="shared" si="18"/>
        <v>0</v>
      </c>
      <c r="Z102" s="137">
        <v>39898</v>
      </c>
      <c r="AA102" s="137">
        <f t="shared" si="14"/>
        <v>-9974.5</v>
      </c>
      <c r="AB102" s="146">
        <f t="shared" si="22"/>
        <v>39898</v>
      </c>
      <c r="AC102" s="147">
        <f t="shared" si="15"/>
        <v>0</v>
      </c>
      <c r="AD102" s="137">
        <v>29923.5</v>
      </c>
      <c r="AE102" s="138">
        <v>0</v>
      </c>
      <c r="AF102" s="137">
        <f t="shared" si="10"/>
        <v>0</v>
      </c>
      <c r="AG102" s="137">
        <f t="shared" si="21"/>
        <v>0</v>
      </c>
      <c r="AH102" s="154"/>
      <c r="AI102" s="154"/>
      <c r="AJ102" s="136">
        <v>1</v>
      </c>
      <c r="AK102" s="156">
        <v>1</v>
      </c>
      <c r="AL102" s="119" t="s">
        <v>269</v>
      </c>
      <c r="AM102" s="131"/>
    </row>
    <row r="103" spans="1:40" s="119" customFormat="1" ht="15" customHeight="1" x14ac:dyDescent="0.3">
      <c r="A103" s="119">
        <v>2017</v>
      </c>
      <c r="B103" s="119" t="s">
        <v>38</v>
      </c>
      <c r="C103" s="119" t="s">
        <v>75</v>
      </c>
      <c r="D103" s="119" t="s">
        <v>76</v>
      </c>
      <c r="E103" s="119" t="s">
        <v>167</v>
      </c>
      <c r="F103" s="119" t="s">
        <v>295</v>
      </c>
      <c r="G103" s="119" t="s">
        <v>295</v>
      </c>
      <c r="H103" s="119" t="s">
        <v>295</v>
      </c>
      <c r="I103" s="131" t="s">
        <v>243</v>
      </c>
      <c r="J103" s="119" t="s">
        <v>244</v>
      </c>
      <c r="K103" s="119" t="s">
        <v>266</v>
      </c>
      <c r="L103" s="119" t="s">
        <v>295</v>
      </c>
      <c r="M103" s="119" t="s">
        <v>46</v>
      </c>
      <c r="N103" s="135">
        <v>0</v>
      </c>
      <c r="O103" s="135" t="s">
        <v>47</v>
      </c>
      <c r="P103" s="135"/>
      <c r="Q103" s="137">
        <v>0</v>
      </c>
      <c r="R103" s="137">
        <v>0</v>
      </c>
      <c r="S103" s="137">
        <v>103099</v>
      </c>
      <c r="T103" s="137">
        <f t="shared" si="12"/>
        <v>0</v>
      </c>
      <c r="U103" s="137">
        <f t="shared" si="16"/>
        <v>103099</v>
      </c>
      <c r="V103" s="137">
        <v>73519.5</v>
      </c>
      <c r="W103" s="137">
        <f t="shared" si="17"/>
        <v>29579.5</v>
      </c>
      <c r="X103" s="137">
        <f t="shared" si="13"/>
        <v>29579.5</v>
      </c>
      <c r="Y103" s="137">
        <f t="shared" si="18"/>
        <v>0</v>
      </c>
      <c r="Z103" s="137">
        <v>103099</v>
      </c>
      <c r="AA103" s="137">
        <f t="shared" si="14"/>
        <v>-29579.5</v>
      </c>
      <c r="AB103" s="146">
        <f t="shared" si="22"/>
        <v>103099</v>
      </c>
      <c r="AC103" s="147">
        <f t="shared" si="15"/>
        <v>0</v>
      </c>
      <c r="AD103" s="137">
        <v>73519.5</v>
      </c>
      <c r="AE103" s="138">
        <v>0</v>
      </c>
      <c r="AF103" s="137">
        <f t="shared" si="10"/>
        <v>0</v>
      </c>
      <c r="AG103" s="137">
        <f t="shared" si="21"/>
        <v>0</v>
      </c>
      <c r="AH103" s="154"/>
      <c r="AI103" s="154"/>
      <c r="AJ103" s="136">
        <v>1</v>
      </c>
      <c r="AK103" s="156">
        <v>1</v>
      </c>
      <c r="AL103" s="119" t="s">
        <v>269</v>
      </c>
      <c r="AM103" s="131"/>
    </row>
    <row r="104" spans="1:40" s="119" customFormat="1" ht="15" customHeight="1" x14ac:dyDescent="0.3">
      <c r="A104" s="119">
        <v>2017</v>
      </c>
      <c r="B104" s="119" t="s">
        <v>38</v>
      </c>
      <c r="C104" s="119" t="s">
        <v>75</v>
      </c>
      <c r="D104" s="119" t="s">
        <v>76</v>
      </c>
      <c r="E104" s="119" t="s">
        <v>296</v>
      </c>
      <c r="F104" s="119" t="s">
        <v>205</v>
      </c>
      <c r="G104" s="119" t="s">
        <v>205</v>
      </c>
      <c r="H104" s="119" t="s">
        <v>205</v>
      </c>
      <c r="I104" s="131" t="s">
        <v>243</v>
      </c>
      <c r="J104" s="119" t="s">
        <v>244</v>
      </c>
      <c r="K104" s="119" t="s">
        <v>266</v>
      </c>
      <c r="L104" s="119" t="s">
        <v>205</v>
      </c>
      <c r="M104" s="119" t="s">
        <v>46</v>
      </c>
      <c r="N104" s="136">
        <v>0.02</v>
      </c>
      <c r="O104" s="135" t="s">
        <v>51</v>
      </c>
      <c r="P104" s="135"/>
      <c r="Q104" s="137">
        <v>0</v>
      </c>
      <c r="R104" s="137">
        <v>0</v>
      </c>
      <c r="S104" s="137">
        <v>6823.5</v>
      </c>
      <c r="T104" s="137">
        <f t="shared" si="12"/>
        <v>136.47</v>
      </c>
      <c r="U104" s="137">
        <f t="shared" si="16"/>
        <v>6959.97</v>
      </c>
      <c r="V104" s="137">
        <v>4102.5</v>
      </c>
      <c r="W104" s="137">
        <f t="shared" si="17"/>
        <v>2857.4700000000003</v>
      </c>
      <c r="X104" s="137">
        <f t="shared" si="13"/>
        <v>2801.4411764705883</v>
      </c>
      <c r="Y104" s="137">
        <f t="shared" si="18"/>
        <v>56.028823529411966</v>
      </c>
      <c r="Z104" s="137">
        <v>6823.5</v>
      </c>
      <c r="AA104" s="137">
        <f t="shared" si="14"/>
        <v>-2721</v>
      </c>
      <c r="AB104" s="146">
        <f t="shared" si="22"/>
        <v>6689.7058823529414</v>
      </c>
      <c r="AC104" s="147">
        <f t="shared" si="15"/>
        <v>133.79411764705856</v>
      </c>
      <c r="AD104" s="137">
        <v>4102.5</v>
      </c>
      <c r="AE104" s="138">
        <v>0</v>
      </c>
      <c r="AF104" s="137">
        <f t="shared" si="10"/>
        <v>0</v>
      </c>
      <c r="AG104" s="137">
        <f t="shared" si="21"/>
        <v>-133.79411764705856</v>
      </c>
      <c r="AH104" s="154"/>
      <c r="AI104" s="154"/>
      <c r="AJ104" s="136">
        <v>0.02</v>
      </c>
      <c r="AK104" s="156">
        <v>0.02</v>
      </c>
      <c r="AL104" s="119" t="s">
        <v>269</v>
      </c>
      <c r="AM104" s="131"/>
    </row>
    <row r="105" spans="1:40" s="119" customFormat="1" ht="15" customHeight="1" x14ac:dyDescent="0.3">
      <c r="A105" s="119">
        <v>2017</v>
      </c>
      <c r="B105" s="119" t="s">
        <v>252</v>
      </c>
      <c r="C105" s="119" t="s">
        <v>75</v>
      </c>
      <c r="D105" s="119" t="s">
        <v>76</v>
      </c>
      <c r="E105" s="119" t="s">
        <v>150</v>
      </c>
      <c r="F105" s="119" t="s">
        <v>297</v>
      </c>
      <c r="G105" s="119" t="s">
        <v>298</v>
      </c>
      <c r="H105" s="119" t="s">
        <v>299</v>
      </c>
      <c r="I105" s="131" t="s">
        <v>243</v>
      </c>
      <c r="J105" s="119" t="s">
        <v>244</v>
      </c>
      <c r="K105" s="119" t="s">
        <v>266</v>
      </c>
      <c r="L105" s="119" t="s">
        <v>300</v>
      </c>
      <c r="M105" s="119" t="s">
        <v>46</v>
      </c>
      <c r="N105" s="135">
        <v>0</v>
      </c>
      <c r="O105" s="135" t="s">
        <v>47</v>
      </c>
      <c r="P105" s="135"/>
      <c r="Q105" s="137">
        <v>0</v>
      </c>
      <c r="R105" s="137">
        <v>0</v>
      </c>
      <c r="S105" s="137">
        <v>942992</v>
      </c>
      <c r="T105" s="137">
        <f t="shared" si="12"/>
        <v>0</v>
      </c>
      <c r="U105" s="137">
        <f t="shared" si="16"/>
        <v>942992</v>
      </c>
      <c r="V105" s="137">
        <v>859330.5</v>
      </c>
      <c r="W105" s="137">
        <f t="shared" si="17"/>
        <v>83661.5</v>
      </c>
      <c r="X105" s="137">
        <f t="shared" si="13"/>
        <v>83661.5</v>
      </c>
      <c r="Y105" s="137">
        <f t="shared" si="18"/>
        <v>0</v>
      </c>
      <c r="Z105" s="137">
        <v>1222377.5</v>
      </c>
      <c r="AA105" s="137">
        <f t="shared" si="14"/>
        <v>-363047</v>
      </c>
      <c r="AB105" s="146">
        <f t="shared" si="22"/>
        <v>1222377.5</v>
      </c>
      <c r="AC105" s="147">
        <f t="shared" si="15"/>
        <v>0</v>
      </c>
      <c r="AD105" s="137">
        <v>859330.5</v>
      </c>
      <c r="AE105" s="138">
        <v>0</v>
      </c>
      <c r="AF105" s="137">
        <f t="shared" si="10"/>
        <v>0</v>
      </c>
      <c r="AG105" s="137">
        <f t="shared" si="21"/>
        <v>0</v>
      </c>
      <c r="AH105" s="154"/>
      <c r="AI105" s="154"/>
      <c r="AJ105" s="135" t="s">
        <v>47</v>
      </c>
      <c r="AK105" s="119" t="s">
        <v>47</v>
      </c>
      <c r="AL105" s="119" t="s">
        <v>269</v>
      </c>
      <c r="AM105" s="131"/>
    </row>
    <row r="106" spans="1:40" s="119" customFormat="1" ht="15" customHeight="1" x14ac:dyDescent="0.3">
      <c r="A106" s="119">
        <v>2017</v>
      </c>
      <c r="B106" s="119" t="s">
        <v>38</v>
      </c>
      <c r="C106" s="119" t="s">
        <v>75</v>
      </c>
      <c r="D106" s="119" t="s">
        <v>76</v>
      </c>
      <c r="E106" s="119" t="s">
        <v>150</v>
      </c>
      <c r="F106" s="119" t="s">
        <v>300</v>
      </c>
      <c r="G106" s="119" t="s">
        <v>301</v>
      </c>
      <c r="H106" s="119" t="s">
        <v>301</v>
      </c>
      <c r="I106" s="131" t="s">
        <v>243</v>
      </c>
      <c r="J106" s="119" t="s">
        <v>244</v>
      </c>
      <c r="K106" s="119" t="s">
        <v>266</v>
      </c>
      <c r="L106" s="119" t="s">
        <v>300</v>
      </c>
      <c r="M106" s="119" t="s">
        <v>46</v>
      </c>
      <c r="N106" s="135">
        <v>0</v>
      </c>
      <c r="O106" s="135" t="s">
        <v>47</v>
      </c>
      <c r="P106" s="135"/>
      <c r="Q106" s="137">
        <v>0</v>
      </c>
      <c r="R106" s="137">
        <v>0</v>
      </c>
      <c r="S106" s="137">
        <v>128043.5</v>
      </c>
      <c r="T106" s="137">
        <f t="shared" si="12"/>
        <v>0</v>
      </c>
      <c r="U106" s="137">
        <f t="shared" si="16"/>
        <v>128043.5</v>
      </c>
      <c r="V106" s="137">
        <v>0</v>
      </c>
      <c r="W106" s="137">
        <f t="shared" si="17"/>
        <v>128043.5</v>
      </c>
      <c r="X106" s="137">
        <f t="shared" si="13"/>
        <v>128043.5</v>
      </c>
      <c r="Y106" s="137">
        <f t="shared" si="18"/>
        <v>0</v>
      </c>
      <c r="Z106" s="137">
        <v>0</v>
      </c>
      <c r="AA106" s="137">
        <f t="shared" si="14"/>
        <v>0</v>
      </c>
      <c r="AB106" s="146">
        <f t="shared" si="22"/>
        <v>0</v>
      </c>
      <c r="AC106" s="147">
        <f t="shared" si="15"/>
        <v>0</v>
      </c>
      <c r="AD106" s="137">
        <v>0</v>
      </c>
      <c r="AE106" s="138">
        <v>0</v>
      </c>
      <c r="AF106" s="137">
        <f t="shared" si="10"/>
        <v>0</v>
      </c>
      <c r="AG106" s="137">
        <f t="shared" si="21"/>
        <v>0</v>
      </c>
      <c r="AH106" s="154"/>
      <c r="AI106" s="154"/>
      <c r="AJ106" s="135" t="s">
        <v>47</v>
      </c>
      <c r="AK106" s="119" t="s">
        <v>47</v>
      </c>
      <c r="AL106" s="119" t="s">
        <v>269</v>
      </c>
      <c r="AM106" s="119" t="s">
        <v>302</v>
      </c>
    </row>
    <row r="107" spans="1:40" s="119" customFormat="1" ht="15" customHeight="1" x14ac:dyDescent="0.3">
      <c r="A107" s="119">
        <v>2017</v>
      </c>
      <c r="B107" s="119" t="s">
        <v>38</v>
      </c>
      <c r="C107" s="119" t="s">
        <v>75</v>
      </c>
      <c r="D107" s="119" t="s">
        <v>76</v>
      </c>
      <c r="E107" s="119" t="s">
        <v>77</v>
      </c>
      <c r="F107" s="119" t="s">
        <v>303</v>
      </c>
      <c r="G107" s="119" t="s">
        <v>303</v>
      </c>
      <c r="H107" s="119" t="s">
        <v>303</v>
      </c>
      <c r="I107" s="131" t="s">
        <v>243</v>
      </c>
      <c r="J107" s="119" t="s">
        <v>244</v>
      </c>
      <c r="K107" s="119" t="s">
        <v>266</v>
      </c>
      <c r="L107" s="119" t="s">
        <v>303</v>
      </c>
      <c r="M107" s="119" t="s">
        <v>46</v>
      </c>
      <c r="N107" s="135">
        <v>0</v>
      </c>
      <c r="O107" s="135" t="s">
        <v>47</v>
      </c>
      <c r="P107" s="135"/>
      <c r="Q107" s="137">
        <v>0</v>
      </c>
      <c r="R107" s="137">
        <v>0</v>
      </c>
      <c r="S107" s="137">
        <v>71715.5</v>
      </c>
      <c r="T107" s="137">
        <f t="shared" si="12"/>
        <v>0</v>
      </c>
      <c r="U107" s="137">
        <f t="shared" si="16"/>
        <v>71715.5</v>
      </c>
      <c r="V107" s="137">
        <v>51933</v>
      </c>
      <c r="W107" s="137">
        <f t="shared" si="17"/>
        <v>19782.5</v>
      </c>
      <c r="X107" s="137">
        <f t="shared" si="13"/>
        <v>19782.5</v>
      </c>
      <c r="Y107" s="137">
        <f t="shared" si="18"/>
        <v>0</v>
      </c>
      <c r="Z107" s="137">
        <v>71681.5</v>
      </c>
      <c r="AA107" s="137">
        <f t="shared" si="14"/>
        <v>-19748.5</v>
      </c>
      <c r="AB107" s="146">
        <f t="shared" si="22"/>
        <v>71681.5</v>
      </c>
      <c r="AC107" s="147">
        <f t="shared" si="15"/>
        <v>0</v>
      </c>
      <c r="AD107" s="137">
        <v>51933</v>
      </c>
      <c r="AE107" s="138">
        <v>0</v>
      </c>
      <c r="AF107" s="137">
        <f t="shared" si="10"/>
        <v>0</v>
      </c>
      <c r="AG107" s="137">
        <f t="shared" si="21"/>
        <v>0</v>
      </c>
      <c r="AH107" s="154"/>
      <c r="AI107" s="154"/>
      <c r="AJ107" s="136">
        <v>1</v>
      </c>
      <c r="AK107" s="156">
        <v>1</v>
      </c>
      <c r="AL107" s="119" t="s">
        <v>269</v>
      </c>
      <c r="AM107" s="131"/>
    </row>
    <row r="108" spans="1:40" s="119" customFormat="1" ht="15" customHeight="1" x14ac:dyDescent="0.3">
      <c r="A108" s="119">
        <v>2017</v>
      </c>
      <c r="B108" s="119" t="s">
        <v>38</v>
      </c>
      <c r="C108" s="119" t="s">
        <v>75</v>
      </c>
      <c r="D108" s="119" t="s">
        <v>76</v>
      </c>
      <c r="E108" s="119" t="s">
        <v>257</v>
      </c>
      <c r="F108" s="119" t="s">
        <v>251</v>
      </c>
      <c r="G108" s="119" t="s">
        <v>251</v>
      </c>
      <c r="H108" s="119" t="s">
        <v>251</v>
      </c>
      <c r="I108" s="131" t="s">
        <v>243</v>
      </c>
      <c r="J108" s="119" t="s">
        <v>244</v>
      </c>
      <c r="K108" s="119" t="s">
        <v>266</v>
      </c>
      <c r="L108" s="119" t="s">
        <v>251</v>
      </c>
      <c r="M108" s="119" t="s">
        <v>46</v>
      </c>
      <c r="N108" s="135">
        <v>0</v>
      </c>
      <c r="O108" s="135" t="s">
        <v>47</v>
      </c>
      <c r="P108" s="135"/>
      <c r="Q108" s="137">
        <v>0</v>
      </c>
      <c r="R108" s="137">
        <v>0</v>
      </c>
      <c r="S108" s="137">
        <v>7258</v>
      </c>
      <c r="T108" s="137">
        <f t="shared" si="12"/>
        <v>0</v>
      </c>
      <c r="U108" s="137">
        <f t="shared" si="16"/>
        <v>7258</v>
      </c>
      <c r="V108" s="137">
        <v>0</v>
      </c>
      <c r="W108" s="137">
        <f t="shared" si="17"/>
        <v>7258</v>
      </c>
      <c r="X108" s="137">
        <f t="shared" si="13"/>
        <v>7258</v>
      </c>
      <c r="Y108" s="137">
        <f t="shared" si="18"/>
        <v>0</v>
      </c>
      <c r="Z108" s="137">
        <v>0</v>
      </c>
      <c r="AA108" s="137">
        <f t="shared" si="14"/>
        <v>0</v>
      </c>
      <c r="AB108" s="146">
        <f t="shared" si="22"/>
        <v>0</v>
      </c>
      <c r="AC108" s="147">
        <f t="shared" si="15"/>
        <v>0</v>
      </c>
      <c r="AD108" s="137">
        <v>0</v>
      </c>
      <c r="AE108" s="138">
        <v>0</v>
      </c>
      <c r="AF108" s="137">
        <f t="shared" si="10"/>
        <v>0</v>
      </c>
      <c r="AG108" s="137">
        <f t="shared" si="21"/>
        <v>0</v>
      </c>
      <c r="AH108" s="154"/>
      <c r="AI108" s="154"/>
      <c r="AJ108" s="135" t="s">
        <v>47</v>
      </c>
      <c r="AK108" s="119" t="s">
        <v>47</v>
      </c>
      <c r="AL108" s="119" t="s">
        <v>269</v>
      </c>
      <c r="AM108" s="131"/>
    </row>
    <row r="109" spans="1:40" s="119" customFormat="1" ht="15" customHeight="1" x14ac:dyDescent="0.3">
      <c r="A109" s="119">
        <v>2017</v>
      </c>
      <c r="B109" s="119" t="s">
        <v>38</v>
      </c>
      <c r="C109" s="119" t="s">
        <v>75</v>
      </c>
      <c r="D109" s="119" t="s">
        <v>76</v>
      </c>
      <c r="E109" s="119" t="s">
        <v>304</v>
      </c>
      <c r="F109" s="119" t="s">
        <v>305</v>
      </c>
      <c r="G109" s="119" t="s">
        <v>305</v>
      </c>
      <c r="H109" s="119" t="s">
        <v>305</v>
      </c>
      <c r="I109" s="131" t="s">
        <v>243</v>
      </c>
      <c r="J109" s="119" t="s">
        <v>244</v>
      </c>
      <c r="K109" s="119" t="s">
        <v>266</v>
      </c>
      <c r="L109" s="119" t="s">
        <v>305</v>
      </c>
      <c r="M109" s="119" t="s">
        <v>46</v>
      </c>
      <c r="N109" s="135">
        <v>0</v>
      </c>
      <c r="O109" s="135" t="s">
        <v>47</v>
      </c>
      <c r="P109" s="135"/>
      <c r="Q109" s="137">
        <v>0</v>
      </c>
      <c r="R109" s="137">
        <v>0</v>
      </c>
      <c r="S109" s="137">
        <v>253142</v>
      </c>
      <c r="T109" s="137">
        <f t="shared" si="12"/>
        <v>0</v>
      </c>
      <c r="U109" s="137">
        <f t="shared" si="16"/>
        <v>253142</v>
      </c>
      <c r="V109" s="137">
        <v>177921</v>
      </c>
      <c r="W109" s="137">
        <f t="shared" si="17"/>
        <v>75221</v>
      </c>
      <c r="X109" s="137">
        <f t="shared" si="13"/>
        <v>75221</v>
      </c>
      <c r="Y109" s="137">
        <f t="shared" si="18"/>
        <v>0</v>
      </c>
      <c r="Z109" s="137">
        <v>253139</v>
      </c>
      <c r="AA109" s="137">
        <f t="shared" si="14"/>
        <v>-75218</v>
      </c>
      <c r="AB109" s="146">
        <f t="shared" si="22"/>
        <v>253139</v>
      </c>
      <c r="AC109" s="147">
        <f t="shared" si="15"/>
        <v>0</v>
      </c>
      <c r="AD109" s="137">
        <v>177921</v>
      </c>
      <c r="AE109" s="138">
        <v>0</v>
      </c>
      <c r="AF109" s="137">
        <f t="shared" si="10"/>
        <v>0</v>
      </c>
      <c r="AG109" s="137">
        <f t="shared" si="21"/>
        <v>0</v>
      </c>
      <c r="AH109" s="154"/>
      <c r="AI109" s="154"/>
      <c r="AJ109" s="136">
        <v>1</v>
      </c>
      <c r="AK109" s="156">
        <v>1</v>
      </c>
      <c r="AL109" s="119" t="s">
        <v>269</v>
      </c>
      <c r="AM109" s="131"/>
    </row>
    <row r="110" spans="1:40" s="119" customFormat="1" ht="15" customHeight="1" x14ac:dyDescent="0.3">
      <c r="A110" s="119">
        <v>2017</v>
      </c>
      <c r="B110" s="119" t="s">
        <v>38</v>
      </c>
      <c r="C110" s="119" t="s">
        <v>75</v>
      </c>
      <c r="D110" s="119" t="s">
        <v>76</v>
      </c>
      <c r="E110" s="119" t="s">
        <v>304</v>
      </c>
      <c r="F110" s="119" t="s">
        <v>306</v>
      </c>
      <c r="G110" s="119" t="s">
        <v>306</v>
      </c>
      <c r="H110" s="119" t="s">
        <v>306</v>
      </c>
      <c r="I110" s="131" t="s">
        <v>243</v>
      </c>
      <c r="J110" s="119" t="s">
        <v>244</v>
      </c>
      <c r="K110" s="119" t="s">
        <v>266</v>
      </c>
      <c r="L110" s="119" t="s">
        <v>307</v>
      </c>
      <c r="M110" s="119" t="s">
        <v>46</v>
      </c>
      <c r="N110" s="135">
        <v>0</v>
      </c>
      <c r="O110" s="135" t="s">
        <v>47</v>
      </c>
      <c r="P110" s="135"/>
      <c r="Q110" s="137">
        <v>0</v>
      </c>
      <c r="R110" s="137">
        <v>0</v>
      </c>
      <c r="S110" s="137">
        <v>84918</v>
      </c>
      <c r="T110" s="137">
        <f t="shared" si="12"/>
        <v>0</v>
      </c>
      <c r="U110" s="137">
        <f t="shared" si="16"/>
        <v>84918</v>
      </c>
      <c r="V110" s="137">
        <v>24</v>
      </c>
      <c r="W110" s="137">
        <f t="shared" si="17"/>
        <v>84894</v>
      </c>
      <c r="X110" s="137">
        <f t="shared" si="13"/>
        <v>84894</v>
      </c>
      <c r="Y110" s="137">
        <f t="shared" si="18"/>
        <v>0</v>
      </c>
      <c r="Z110" s="137">
        <v>32</v>
      </c>
      <c r="AA110" s="137">
        <f t="shared" si="14"/>
        <v>-8</v>
      </c>
      <c r="AB110" s="146">
        <f t="shared" si="22"/>
        <v>32</v>
      </c>
      <c r="AC110" s="147">
        <f t="shared" si="15"/>
        <v>0</v>
      </c>
      <c r="AD110" s="137">
        <v>24</v>
      </c>
      <c r="AE110" s="138">
        <v>0</v>
      </c>
      <c r="AF110" s="137">
        <f t="shared" si="10"/>
        <v>0</v>
      </c>
      <c r="AG110" s="137">
        <f t="shared" si="21"/>
        <v>0</v>
      </c>
      <c r="AH110" s="154"/>
      <c r="AI110" s="154"/>
      <c r="AJ110" s="135" t="s">
        <v>47</v>
      </c>
      <c r="AK110" s="119" t="s">
        <v>47</v>
      </c>
      <c r="AL110" s="119" t="s">
        <v>269</v>
      </c>
      <c r="AM110" s="131"/>
    </row>
    <row r="111" spans="1:40" s="119" customFormat="1" ht="15" customHeight="1" x14ac:dyDescent="0.3">
      <c r="A111" s="119">
        <v>2017</v>
      </c>
      <c r="B111" s="119" t="s">
        <v>38</v>
      </c>
      <c r="C111" s="119" t="s">
        <v>75</v>
      </c>
      <c r="D111" s="119" t="s">
        <v>76</v>
      </c>
      <c r="E111" s="119" t="s">
        <v>304</v>
      </c>
      <c r="F111" s="119" t="s">
        <v>237</v>
      </c>
      <c r="G111" s="119" t="s">
        <v>237</v>
      </c>
      <c r="H111" s="119" t="s">
        <v>237</v>
      </c>
      <c r="I111" s="131" t="s">
        <v>243</v>
      </c>
      <c r="J111" s="119" t="s">
        <v>244</v>
      </c>
      <c r="K111" s="119" t="s">
        <v>266</v>
      </c>
      <c r="L111" s="119" t="s">
        <v>308</v>
      </c>
      <c r="M111" s="119" t="s">
        <v>46</v>
      </c>
      <c r="N111" s="135">
        <v>0</v>
      </c>
      <c r="O111" s="135" t="s">
        <v>47</v>
      </c>
      <c r="P111" s="135"/>
      <c r="Q111" s="137">
        <v>0</v>
      </c>
      <c r="R111" s="137">
        <v>0</v>
      </c>
      <c r="S111" s="137">
        <v>646336</v>
      </c>
      <c r="T111" s="137">
        <f t="shared" si="12"/>
        <v>0</v>
      </c>
      <c r="U111" s="137">
        <f t="shared" si="16"/>
        <v>646336</v>
      </c>
      <c r="V111" s="137">
        <v>199485</v>
      </c>
      <c r="W111" s="137">
        <f t="shared" si="17"/>
        <v>446851</v>
      </c>
      <c r="X111" s="137">
        <f t="shared" si="13"/>
        <v>446851</v>
      </c>
      <c r="Y111" s="137">
        <f t="shared" si="18"/>
        <v>0</v>
      </c>
      <c r="Z111" s="137">
        <v>281575</v>
      </c>
      <c r="AA111" s="137">
        <f t="shared" si="14"/>
        <v>-82090</v>
      </c>
      <c r="AB111" s="146">
        <f t="shared" si="22"/>
        <v>281575</v>
      </c>
      <c r="AC111" s="147">
        <f t="shared" si="15"/>
        <v>0</v>
      </c>
      <c r="AD111" s="137">
        <v>199485</v>
      </c>
      <c r="AE111" s="138">
        <v>0</v>
      </c>
      <c r="AF111" s="137">
        <f t="shared" ref="AF111:AF174" si="23">AD111*AE111</f>
        <v>0</v>
      </c>
      <c r="AG111" s="137">
        <f t="shared" si="21"/>
        <v>0</v>
      </c>
      <c r="AH111" s="154"/>
      <c r="AI111" s="154"/>
      <c r="AJ111" s="136">
        <v>1</v>
      </c>
      <c r="AK111" s="156">
        <v>1</v>
      </c>
      <c r="AL111" s="119" t="s">
        <v>269</v>
      </c>
      <c r="AM111" s="131"/>
    </row>
    <row r="112" spans="1:40" s="119" customFormat="1" ht="15" customHeight="1" x14ac:dyDescent="0.3">
      <c r="A112" s="119">
        <v>2017</v>
      </c>
      <c r="B112" s="119" t="s">
        <v>38</v>
      </c>
      <c r="C112" s="119" t="s">
        <v>75</v>
      </c>
      <c r="D112" s="119" t="s">
        <v>76</v>
      </c>
      <c r="E112" s="119" t="s">
        <v>304</v>
      </c>
      <c r="F112" s="119" t="s">
        <v>159</v>
      </c>
      <c r="G112" s="119" t="s">
        <v>159</v>
      </c>
      <c r="H112" s="119" t="s">
        <v>159</v>
      </c>
      <c r="I112" s="131" t="s">
        <v>243</v>
      </c>
      <c r="J112" s="119" t="s">
        <v>244</v>
      </c>
      <c r="K112" s="119" t="s">
        <v>266</v>
      </c>
      <c r="L112" s="119" t="s">
        <v>159</v>
      </c>
      <c r="M112" s="119" t="s">
        <v>46</v>
      </c>
      <c r="N112" s="135">
        <v>0</v>
      </c>
      <c r="O112" s="135" t="s">
        <v>47</v>
      </c>
      <c r="P112" s="135"/>
      <c r="Q112" s="137">
        <v>0</v>
      </c>
      <c r="R112" s="137">
        <v>0</v>
      </c>
      <c r="S112" s="137">
        <v>215604</v>
      </c>
      <c r="T112" s="137">
        <f t="shared" si="12"/>
        <v>0</v>
      </c>
      <c r="U112" s="137">
        <f t="shared" si="16"/>
        <v>215604</v>
      </c>
      <c r="V112" s="137">
        <v>147552</v>
      </c>
      <c r="W112" s="137">
        <f t="shared" si="17"/>
        <v>68052</v>
      </c>
      <c r="X112" s="137">
        <f t="shared" si="13"/>
        <v>68052</v>
      </c>
      <c r="Y112" s="137">
        <f t="shared" si="18"/>
        <v>0</v>
      </c>
      <c r="Z112" s="137">
        <v>215582</v>
      </c>
      <c r="AA112" s="137">
        <f t="shared" si="14"/>
        <v>-68030</v>
      </c>
      <c r="AB112" s="146">
        <f t="shared" si="22"/>
        <v>215582</v>
      </c>
      <c r="AC112" s="147">
        <f t="shared" si="15"/>
        <v>0</v>
      </c>
      <c r="AD112" s="137">
        <v>147552</v>
      </c>
      <c r="AE112" s="138">
        <v>0</v>
      </c>
      <c r="AF112" s="137">
        <f t="shared" si="23"/>
        <v>0</v>
      </c>
      <c r="AG112" s="137">
        <f t="shared" si="21"/>
        <v>0</v>
      </c>
      <c r="AH112" s="154"/>
      <c r="AI112" s="154"/>
      <c r="AJ112" s="136">
        <v>1</v>
      </c>
      <c r="AK112" s="156">
        <v>1</v>
      </c>
      <c r="AL112" s="119" t="s">
        <v>269</v>
      </c>
      <c r="AM112" s="131"/>
    </row>
    <row r="113" spans="1:39" s="119" customFormat="1" ht="15" customHeight="1" x14ac:dyDescent="0.3">
      <c r="A113" s="119">
        <v>2017</v>
      </c>
      <c r="B113" s="119" t="s">
        <v>252</v>
      </c>
      <c r="C113" s="119" t="s">
        <v>75</v>
      </c>
      <c r="D113" s="119" t="s">
        <v>76</v>
      </c>
      <c r="E113" s="119" t="s">
        <v>304</v>
      </c>
      <c r="F113" s="119" t="s">
        <v>309</v>
      </c>
      <c r="G113" s="119" t="s">
        <v>310</v>
      </c>
      <c r="H113" s="119" t="s">
        <v>311</v>
      </c>
      <c r="I113" s="131" t="s">
        <v>243</v>
      </c>
      <c r="J113" s="119" t="s">
        <v>244</v>
      </c>
      <c r="K113" s="119" t="s">
        <v>266</v>
      </c>
      <c r="L113" s="119" t="s">
        <v>309</v>
      </c>
      <c r="M113" s="119" t="s">
        <v>46</v>
      </c>
      <c r="N113" s="135">
        <v>0</v>
      </c>
      <c r="O113" s="135" t="s">
        <v>47</v>
      </c>
      <c r="P113" s="135"/>
      <c r="Q113" s="137">
        <v>0</v>
      </c>
      <c r="R113" s="137">
        <v>0</v>
      </c>
      <c r="S113" s="137">
        <v>1634</v>
      </c>
      <c r="T113" s="137">
        <f t="shared" si="12"/>
        <v>0</v>
      </c>
      <c r="U113" s="137">
        <f t="shared" si="16"/>
        <v>1634</v>
      </c>
      <c r="V113" s="137">
        <v>1225.5</v>
      </c>
      <c r="W113" s="137">
        <f t="shared" si="17"/>
        <v>408.5</v>
      </c>
      <c r="X113" s="137">
        <f t="shared" si="13"/>
        <v>408.5</v>
      </c>
      <c r="Y113" s="137">
        <f t="shared" si="18"/>
        <v>0</v>
      </c>
      <c r="Z113" s="137">
        <v>1634</v>
      </c>
      <c r="AA113" s="137">
        <f t="shared" si="14"/>
        <v>-408.5</v>
      </c>
      <c r="AB113" s="146">
        <f t="shared" si="22"/>
        <v>1634</v>
      </c>
      <c r="AC113" s="147">
        <f t="shared" si="15"/>
        <v>0</v>
      </c>
      <c r="AD113" s="137">
        <v>1225.5</v>
      </c>
      <c r="AE113" s="138">
        <v>0</v>
      </c>
      <c r="AF113" s="137">
        <f t="shared" si="23"/>
        <v>0</v>
      </c>
      <c r="AG113" s="137">
        <f t="shared" si="21"/>
        <v>0</v>
      </c>
      <c r="AH113" s="154"/>
      <c r="AI113" s="154"/>
      <c r="AJ113" s="135" t="s">
        <v>47</v>
      </c>
      <c r="AK113" s="119" t="s">
        <v>47</v>
      </c>
      <c r="AL113" s="119" t="s">
        <v>269</v>
      </c>
      <c r="AM113" s="131"/>
    </row>
    <row r="114" spans="1:39" s="119" customFormat="1" ht="15" customHeight="1" x14ac:dyDescent="0.3">
      <c r="A114" s="119">
        <v>2017</v>
      </c>
      <c r="B114" s="119" t="s">
        <v>38</v>
      </c>
      <c r="C114" s="119" t="s">
        <v>75</v>
      </c>
      <c r="D114" s="119" t="s">
        <v>76</v>
      </c>
      <c r="E114" s="119" t="s">
        <v>304</v>
      </c>
      <c r="F114" s="119" t="s">
        <v>312</v>
      </c>
      <c r="G114" s="119" t="s">
        <v>312</v>
      </c>
      <c r="H114" s="119" t="s">
        <v>312</v>
      </c>
      <c r="I114" s="131" t="s">
        <v>243</v>
      </c>
      <c r="J114" s="119" t="s">
        <v>244</v>
      </c>
      <c r="K114" s="119" t="s">
        <v>266</v>
      </c>
      <c r="L114" s="119" t="s">
        <v>313</v>
      </c>
      <c r="M114" s="119" t="s">
        <v>46</v>
      </c>
      <c r="N114" s="135">
        <v>0</v>
      </c>
      <c r="O114" s="135" t="s">
        <v>47</v>
      </c>
      <c r="P114" s="135"/>
      <c r="Q114" s="137">
        <v>0</v>
      </c>
      <c r="R114" s="137">
        <v>0</v>
      </c>
      <c r="S114" s="137">
        <v>3190</v>
      </c>
      <c r="T114" s="137">
        <f t="shared" si="12"/>
        <v>0</v>
      </c>
      <c r="U114" s="137">
        <f t="shared" si="16"/>
        <v>3190</v>
      </c>
      <c r="V114" s="137">
        <v>2392.5</v>
      </c>
      <c r="W114" s="137">
        <f t="shared" si="17"/>
        <v>797.5</v>
      </c>
      <c r="X114" s="137">
        <f t="shared" si="13"/>
        <v>797.5</v>
      </c>
      <c r="Y114" s="137">
        <f t="shared" si="18"/>
        <v>0</v>
      </c>
      <c r="Z114" s="137">
        <v>3190</v>
      </c>
      <c r="AA114" s="137">
        <f t="shared" si="14"/>
        <v>-797.5</v>
      </c>
      <c r="AB114" s="146">
        <f t="shared" si="22"/>
        <v>3190</v>
      </c>
      <c r="AC114" s="147">
        <f t="shared" si="15"/>
        <v>0</v>
      </c>
      <c r="AD114" s="137">
        <v>2392.5</v>
      </c>
      <c r="AE114" s="138">
        <v>0</v>
      </c>
      <c r="AF114" s="137">
        <f t="shared" si="23"/>
        <v>0</v>
      </c>
      <c r="AG114" s="137">
        <f t="shared" si="21"/>
        <v>0</v>
      </c>
      <c r="AH114" s="154"/>
      <c r="AI114" s="154"/>
      <c r="AJ114" s="135" t="s">
        <v>47</v>
      </c>
      <c r="AK114" s="119" t="s">
        <v>47</v>
      </c>
      <c r="AL114" s="119" t="s">
        <v>269</v>
      </c>
      <c r="AM114" s="131"/>
    </row>
    <row r="115" spans="1:39" s="119" customFormat="1" ht="15" customHeight="1" x14ac:dyDescent="0.3">
      <c r="A115" s="119">
        <v>2017</v>
      </c>
      <c r="B115" s="119" t="s">
        <v>38</v>
      </c>
      <c r="C115" s="119" t="s">
        <v>75</v>
      </c>
      <c r="D115" s="119" t="s">
        <v>76</v>
      </c>
      <c r="E115" s="119" t="s">
        <v>225</v>
      </c>
      <c r="F115" s="119" t="s">
        <v>230</v>
      </c>
      <c r="G115" s="119" t="s">
        <v>230</v>
      </c>
      <c r="H115" s="119" t="s">
        <v>230</v>
      </c>
      <c r="I115" s="131" t="s">
        <v>243</v>
      </c>
      <c r="J115" s="119" t="s">
        <v>244</v>
      </c>
      <c r="K115" s="119" t="s">
        <v>266</v>
      </c>
      <c r="L115" s="119" t="s">
        <v>314</v>
      </c>
      <c r="M115" s="119" t="s">
        <v>46</v>
      </c>
      <c r="N115" s="135">
        <v>0</v>
      </c>
      <c r="O115" s="135" t="s">
        <v>47</v>
      </c>
      <c r="P115" s="135"/>
      <c r="Q115" s="137">
        <v>0</v>
      </c>
      <c r="R115" s="137">
        <v>0</v>
      </c>
      <c r="S115" s="137">
        <v>383486</v>
      </c>
      <c r="T115" s="137">
        <f t="shared" si="12"/>
        <v>0</v>
      </c>
      <c r="U115" s="137">
        <f t="shared" si="16"/>
        <v>383486</v>
      </c>
      <c r="V115" s="137">
        <v>287415</v>
      </c>
      <c r="W115" s="137">
        <f t="shared" si="17"/>
        <v>96071</v>
      </c>
      <c r="X115" s="137">
        <f t="shared" si="13"/>
        <v>96071</v>
      </c>
      <c r="Y115" s="137">
        <f t="shared" si="18"/>
        <v>0</v>
      </c>
      <c r="Z115" s="137">
        <v>389448</v>
      </c>
      <c r="AA115" s="137">
        <f t="shared" si="14"/>
        <v>-102033</v>
      </c>
      <c r="AB115" s="146">
        <f t="shared" si="22"/>
        <v>389448</v>
      </c>
      <c r="AC115" s="147">
        <f t="shared" si="15"/>
        <v>0</v>
      </c>
      <c r="AD115" s="137">
        <v>287415</v>
      </c>
      <c r="AE115" s="138">
        <v>0</v>
      </c>
      <c r="AF115" s="137">
        <f t="shared" si="23"/>
        <v>0</v>
      </c>
      <c r="AG115" s="137">
        <f t="shared" si="21"/>
        <v>0</v>
      </c>
      <c r="AH115" s="154"/>
      <c r="AI115" s="154"/>
      <c r="AJ115" s="135" t="s">
        <v>47</v>
      </c>
      <c r="AK115" s="119" t="s">
        <v>47</v>
      </c>
      <c r="AL115" s="119" t="s">
        <v>269</v>
      </c>
      <c r="AM115" s="131"/>
    </row>
    <row r="116" spans="1:39" s="119" customFormat="1" ht="15" customHeight="1" x14ac:dyDescent="0.3">
      <c r="A116" s="119">
        <v>2017</v>
      </c>
      <c r="B116" s="119" t="s">
        <v>38</v>
      </c>
      <c r="C116" s="119" t="s">
        <v>75</v>
      </c>
      <c r="D116" s="119" t="s">
        <v>76</v>
      </c>
      <c r="E116" s="119" t="s">
        <v>118</v>
      </c>
      <c r="F116" s="119" t="s">
        <v>264</v>
      </c>
      <c r="G116" s="119" t="s">
        <v>264</v>
      </c>
      <c r="H116" s="119" t="s">
        <v>264</v>
      </c>
      <c r="I116" s="131" t="s">
        <v>243</v>
      </c>
      <c r="J116" s="119" t="s">
        <v>244</v>
      </c>
      <c r="K116" s="119" t="s">
        <v>266</v>
      </c>
      <c r="L116" s="119" t="s">
        <v>264</v>
      </c>
      <c r="M116" s="119" t="s">
        <v>46</v>
      </c>
      <c r="N116" s="135">
        <v>0</v>
      </c>
      <c r="O116" s="135" t="s">
        <v>47</v>
      </c>
      <c r="P116" s="135"/>
      <c r="Q116" s="137">
        <v>0</v>
      </c>
      <c r="R116" s="137">
        <v>0</v>
      </c>
      <c r="S116" s="137">
        <v>20000</v>
      </c>
      <c r="T116" s="137">
        <f t="shared" si="12"/>
        <v>0</v>
      </c>
      <c r="U116" s="137">
        <f t="shared" si="16"/>
        <v>20000</v>
      </c>
      <c r="V116" s="137">
        <v>0</v>
      </c>
      <c r="W116" s="137">
        <f t="shared" si="17"/>
        <v>20000</v>
      </c>
      <c r="X116" s="137">
        <f t="shared" si="13"/>
        <v>20000</v>
      </c>
      <c r="Y116" s="137">
        <f t="shared" si="18"/>
        <v>0</v>
      </c>
      <c r="Z116" s="137">
        <v>0</v>
      </c>
      <c r="AA116" s="137">
        <f t="shared" si="14"/>
        <v>0</v>
      </c>
      <c r="AB116" s="146">
        <f t="shared" si="22"/>
        <v>0</v>
      </c>
      <c r="AC116" s="147">
        <f t="shared" si="15"/>
        <v>0</v>
      </c>
      <c r="AD116" s="137">
        <v>0</v>
      </c>
      <c r="AE116" s="138">
        <v>0</v>
      </c>
      <c r="AF116" s="137">
        <f t="shared" si="23"/>
        <v>0</v>
      </c>
      <c r="AG116" s="137">
        <f t="shared" si="21"/>
        <v>0</v>
      </c>
      <c r="AH116" s="154"/>
      <c r="AI116" s="154"/>
      <c r="AJ116" s="136">
        <v>0</v>
      </c>
      <c r="AK116" s="119" t="s">
        <v>120</v>
      </c>
      <c r="AL116" s="119" t="s">
        <v>269</v>
      </c>
      <c r="AM116" s="131"/>
    </row>
    <row r="117" spans="1:39" s="119" customFormat="1" ht="15" customHeight="1" x14ac:dyDescent="0.3">
      <c r="A117" s="119">
        <v>2017</v>
      </c>
      <c r="B117" s="119" t="s">
        <v>38</v>
      </c>
      <c r="C117" s="119" t="s">
        <v>75</v>
      </c>
      <c r="D117" s="119" t="s">
        <v>256</v>
      </c>
      <c r="E117" s="119" t="s">
        <v>315</v>
      </c>
      <c r="F117" s="119" t="s">
        <v>316</v>
      </c>
      <c r="G117" s="119" t="s">
        <v>316</v>
      </c>
      <c r="H117" s="119" t="s">
        <v>316</v>
      </c>
      <c r="I117" s="131" t="s">
        <v>243</v>
      </c>
      <c r="J117" s="119" t="s">
        <v>244</v>
      </c>
      <c r="K117" s="119" t="s">
        <v>266</v>
      </c>
      <c r="L117" s="119" t="s">
        <v>316</v>
      </c>
      <c r="M117" s="119" t="s">
        <v>46</v>
      </c>
      <c r="N117" s="135">
        <v>0</v>
      </c>
      <c r="O117" s="135" t="s">
        <v>47</v>
      </c>
      <c r="P117" s="135"/>
      <c r="Q117" s="137">
        <v>0</v>
      </c>
      <c r="R117" s="137">
        <v>0</v>
      </c>
      <c r="S117" s="137">
        <v>29959</v>
      </c>
      <c r="T117" s="137">
        <f t="shared" si="12"/>
        <v>0</v>
      </c>
      <c r="U117" s="137">
        <f t="shared" si="16"/>
        <v>29959</v>
      </c>
      <c r="V117" s="137">
        <v>0</v>
      </c>
      <c r="W117" s="137">
        <f t="shared" si="17"/>
        <v>29959</v>
      </c>
      <c r="X117" s="137">
        <f t="shared" si="13"/>
        <v>29959</v>
      </c>
      <c r="Y117" s="137">
        <f t="shared" si="18"/>
        <v>0</v>
      </c>
      <c r="Z117" s="137">
        <v>0</v>
      </c>
      <c r="AA117" s="137">
        <f t="shared" si="14"/>
        <v>0</v>
      </c>
      <c r="AB117" s="146">
        <f t="shared" si="22"/>
        <v>0</v>
      </c>
      <c r="AC117" s="147">
        <f t="shared" si="15"/>
        <v>0</v>
      </c>
      <c r="AD117" s="137">
        <v>0</v>
      </c>
      <c r="AE117" s="138">
        <v>0</v>
      </c>
      <c r="AF117" s="137">
        <f t="shared" si="23"/>
        <v>0</v>
      </c>
      <c r="AG117" s="137">
        <f t="shared" si="21"/>
        <v>0</v>
      </c>
      <c r="AH117" s="154"/>
      <c r="AI117" s="154"/>
      <c r="AJ117" s="135" t="s">
        <v>47</v>
      </c>
      <c r="AK117" s="119" t="s">
        <v>47</v>
      </c>
      <c r="AL117" s="119" t="s">
        <v>269</v>
      </c>
      <c r="AM117" s="119" t="s">
        <v>302</v>
      </c>
    </row>
    <row r="118" spans="1:39" s="119" customFormat="1" ht="15" customHeight="1" x14ac:dyDescent="0.3">
      <c r="A118" s="119">
        <v>2017</v>
      </c>
      <c r="B118" s="119" t="s">
        <v>199</v>
      </c>
      <c r="C118" s="119" t="s">
        <v>75</v>
      </c>
      <c r="D118" s="119" t="s">
        <v>256</v>
      </c>
      <c r="E118" s="119" t="s">
        <v>315</v>
      </c>
      <c r="F118" s="119" t="s">
        <v>316</v>
      </c>
      <c r="G118" s="119" t="s">
        <v>317</v>
      </c>
      <c r="H118" s="119" t="s">
        <v>318</v>
      </c>
      <c r="I118" s="131" t="s">
        <v>243</v>
      </c>
      <c r="J118" s="119" t="s">
        <v>244</v>
      </c>
      <c r="K118" s="119" t="s">
        <v>266</v>
      </c>
      <c r="L118" s="119" t="s">
        <v>316</v>
      </c>
      <c r="M118" s="119" t="s">
        <v>46</v>
      </c>
      <c r="N118" s="135">
        <v>0</v>
      </c>
      <c r="O118" s="135" t="s">
        <v>47</v>
      </c>
      <c r="P118" s="135"/>
      <c r="Q118" s="137">
        <v>0</v>
      </c>
      <c r="R118" s="137">
        <v>0</v>
      </c>
      <c r="S118" s="137">
        <v>86</v>
      </c>
      <c r="T118" s="137">
        <f t="shared" si="12"/>
        <v>0</v>
      </c>
      <c r="U118" s="137">
        <f t="shared" si="16"/>
        <v>86</v>
      </c>
      <c r="V118" s="137">
        <v>19726.5</v>
      </c>
      <c r="W118" s="137">
        <f t="shared" si="17"/>
        <v>-19640.5</v>
      </c>
      <c r="X118" s="137">
        <f t="shared" si="13"/>
        <v>-19640.5</v>
      </c>
      <c r="Y118" s="137">
        <f t="shared" si="18"/>
        <v>0</v>
      </c>
      <c r="Z118" s="137">
        <v>30045</v>
      </c>
      <c r="AA118" s="137">
        <f t="shared" si="14"/>
        <v>-10318.5</v>
      </c>
      <c r="AB118" s="146">
        <f t="shared" si="22"/>
        <v>30045</v>
      </c>
      <c r="AC118" s="147">
        <f t="shared" si="15"/>
        <v>0</v>
      </c>
      <c r="AD118" s="137">
        <v>19726.5</v>
      </c>
      <c r="AE118" s="138">
        <v>0</v>
      </c>
      <c r="AF118" s="137">
        <f t="shared" si="23"/>
        <v>0</v>
      </c>
      <c r="AG118" s="137">
        <f t="shared" si="21"/>
        <v>0</v>
      </c>
      <c r="AH118" s="154"/>
      <c r="AI118" s="154"/>
      <c r="AJ118" s="135" t="s">
        <v>47</v>
      </c>
      <c r="AK118" s="119" t="s">
        <v>47</v>
      </c>
      <c r="AL118" s="119" t="s">
        <v>269</v>
      </c>
      <c r="AM118" s="131"/>
    </row>
    <row r="119" spans="1:39" s="119" customFormat="1" ht="15" customHeight="1" x14ac:dyDescent="0.3">
      <c r="A119" s="119">
        <v>2017</v>
      </c>
      <c r="B119" s="119" t="s">
        <v>38</v>
      </c>
      <c r="C119" s="119" t="s">
        <v>75</v>
      </c>
      <c r="D119" s="119" t="s">
        <v>256</v>
      </c>
      <c r="E119" s="119" t="s">
        <v>175</v>
      </c>
      <c r="F119" s="119" t="s">
        <v>319</v>
      </c>
      <c r="G119" s="119" t="s">
        <v>319</v>
      </c>
      <c r="H119" s="119" t="s">
        <v>319</v>
      </c>
      <c r="I119" s="131" t="s">
        <v>243</v>
      </c>
      <c r="J119" s="119" t="s">
        <v>244</v>
      </c>
      <c r="K119" s="119" t="s">
        <v>266</v>
      </c>
      <c r="L119" s="119" t="s">
        <v>319</v>
      </c>
      <c r="M119" s="119" t="s">
        <v>46</v>
      </c>
      <c r="N119" s="135">
        <v>0</v>
      </c>
      <c r="O119" s="135" t="s">
        <v>47</v>
      </c>
      <c r="P119" s="135"/>
      <c r="Q119" s="137">
        <v>0</v>
      </c>
      <c r="R119" s="137">
        <v>0</v>
      </c>
      <c r="S119" s="137">
        <v>64078.5</v>
      </c>
      <c r="T119" s="137">
        <f t="shared" si="12"/>
        <v>0</v>
      </c>
      <c r="U119" s="137">
        <f t="shared" si="16"/>
        <v>64078.5</v>
      </c>
      <c r="V119" s="137">
        <v>45142.5</v>
      </c>
      <c r="W119" s="137">
        <f t="shared" si="17"/>
        <v>18936</v>
      </c>
      <c r="X119" s="137">
        <f t="shared" si="13"/>
        <v>18936</v>
      </c>
      <c r="Y119" s="137">
        <f t="shared" si="18"/>
        <v>0</v>
      </c>
      <c r="Z119" s="137">
        <v>64040.5</v>
      </c>
      <c r="AA119" s="137">
        <f t="shared" si="14"/>
        <v>-18898</v>
      </c>
      <c r="AB119" s="146">
        <f t="shared" si="22"/>
        <v>64040.5</v>
      </c>
      <c r="AC119" s="147">
        <f t="shared" si="15"/>
        <v>0</v>
      </c>
      <c r="AD119" s="137">
        <v>45142.5</v>
      </c>
      <c r="AE119" s="138">
        <v>0</v>
      </c>
      <c r="AF119" s="137">
        <f t="shared" si="23"/>
        <v>0</v>
      </c>
      <c r="AG119" s="137">
        <f t="shared" si="21"/>
        <v>0</v>
      </c>
      <c r="AH119" s="154"/>
      <c r="AI119" s="154"/>
      <c r="AJ119" s="135" t="s">
        <v>47</v>
      </c>
      <c r="AK119" s="119" t="s">
        <v>47</v>
      </c>
      <c r="AL119" s="119" t="s">
        <v>269</v>
      </c>
      <c r="AM119" s="131"/>
    </row>
    <row r="120" spans="1:39" s="119" customFormat="1" ht="15" customHeight="1" x14ac:dyDescent="0.3">
      <c r="A120" s="119">
        <v>2017</v>
      </c>
      <c r="B120" s="119" t="s">
        <v>38</v>
      </c>
      <c r="C120" s="119" t="s">
        <v>75</v>
      </c>
      <c r="D120" s="119" t="s">
        <v>256</v>
      </c>
      <c r="E120" s="119" t="s">
        <v>175</v>
      </c>
      <c r="F120" s="119" t="s">
        <v>320</v>
      </c>
      <c r="G120" s="119" t="s">
        <v>320</v>
      </c>
      <c r="H120" s="119" t="s">
        <v>320</v>
      </c>
      <c r="I120" s="131" t="s">
        <v>243</v>
      </c>
      <c r="J120" s="119" t="s">
        <v>244</v>
      </c>
      <c r="K120" s="119" t="s">
        <v>266</v>
      </c>
      <c r="L120" s="119" t="s">
        <v>320</v>
      </c>
      <c r="M120" s="119" t="s">
        <v>46</v>
      </c>
      <c r="N120" s="135">
        <v>0</v>
      </c>
      <c r="O120" s="135" t="s">
        <v>47</v>
      </c>
      <c r="P120" s="135"/>
      <c r="Q120" s="137">
        <v>0</v>
      </c>
      <c r="R120" s="137">
        <v>0</v>
      </c>
      <c r="S120" s="137">
        <v>13675</v>
      </c>
      <c r="T120" s="137">
        <f t="shared" si="12"/>
        <v>0</v>
      </c>
      <c r="U120" s="137">
        <f t="shared" si="16"/>
        <v>13675</v>
      </c>
      <c r="V120" s="137">
        <v>9304.5</v>
      </c>
      <c r="W120" s="137">
        <f t="shared" si="17"/>
        <v>4370.5</v>
      </c>
      <c r="X120" s="137">
        <f t="shared" si="13"/>
        <v>4370.5</v>
      </c>
      <c r="Y120" s="137">
        <f t="shared" si="18"/>
        <v>0</v>
      </c>
      <c r="Z120" s="137">
        <v>13675</v>
      </c>
      <c r="AA120" s="137">
        <f t="shared" si="14"/>
        <v>-4370.5</v>
      </c>
      <c r="AB120" s="146">
        <f t="shared" si="22"/>
        <v>13675</v>
      </c>
      <c r="AC120" s="147">
        <f t="shared" si="15"/>
        <v>0</v>
      </c>
      <c r="AD120" s="137">
        <v>9304.5</v>
      </c>
      <c r="AE120" s="138">
        <v>0</v>
      </c>
      <c r="AF120" s="137">
        <f t="shared" si="23"/>
        <v>0</v>
      </c>
      <c r="AG120" s="137">
        <f t="shared" si="21"/>
        <v>0</v>
      </c>
      <c r="AH120" s="154"/>
      <c r="AI120" s="154"/>
      <c r="AJ120" s="136">
        <v>0</v>
      </c>
      <c r="AK120" s="119" t="s">
        <v>120</v>
      </c>
      <c r="AL120" s="119" t="s">
        <v>269</v>
      </c>
      <c r="AM120" s="131"/>
    </row>
    <row r="121" spans="1:39" s="119" customFormat="1" ht="15" customHeight="1" x14ac:dyDescent="0.3">
      <c r="A121" s="119">
        <v>2017</v>
      </c>
      <c r="B121" s="119" t="s">
        <v>38</v>
      </c>
      <c r="C121" s="119" t="s">
        <v>75</v>
      </c>
      <c r="D121" s="119" t="s">
        <v>256</v>
      </c>
      <c r="E121" s="119" t="s">
        <v>321</v>
      </c>
      <c r="F121" s="119" t="s">
        <v>322</v>
      </c>
      <c r="G121" s="119" t="s">
        <v>322</v>
      </c>
      <c r="H121" s="119" t="s">
        <v>322</v>
      </c>
      <c r="I121" s="131" t="s">
        <v>243</v>
      </c>
      <c r="J121" s="119" t="s">
        <v>244</v>
      </c>
      <c r="K121" s="119" t="s">
        <v>266</v>
      </c>
      <c r="L121" s="119" t="s">
        <v>322</v>
      </c>
      <c r="M121" s="119" t="s">
        <v>46</v>
      </c>
      <c r="N121" s="135">
        <v>0</v>
      </c>
      <c r="O121" s="135" t="s">
        <v>47</v>
      </c>
      <c r="P121" s="135"/>
      <c r="Q121" s="137">
        <v>0</v>
      </c>
      <c r="R121" s="137">
        <v>0</v>
      </c>
      <c r="S121" s="137">
        <v>71365.5</v>
      </c>
      <c r="T121" s="137">
        <f t="shared" si="12"/>
        <v>0</v>
      </c>
      <c r="U121" s="137">
        <f t="shared" si="16"/>
        <v>71365.5</v>
      </c>
      <c r="V121" s="137">
        <v>50209.5</v>
      </c>
      <c r="W121" s="137">
        <f t="shared" si="17"/>
        <v>21156</v>
      </c>
      <c r="X121" s="137">
        <f t="shared" si="13"/>
        <v>21156</v>
      </c>
      <c r="Y121" s="137">
        <f t="shared" si="18"/>
        <v>0</v>
      </c>
      <c r="Z121" s="137">
        <v>71053</v>
      </c>
      <c r="AA121" s="137">
        <f t="shared" si="14"/>
        <v>-20843.5</v>
      </c>
      <c r="AB121" s="146">
        <f t="shared" si="22"/>
        <v>71053</v>
      </c>
      <c r="AC121" s="147">
        <f t="shared" si="15"/>
        <v>0</v>
      </c>
      <c r="AD121" s="137">
        <v>50209.5</v>
      </c>
      <c r="AE121" s="138">
        <v>0</v>
      </c>
      <c r="AF121" s="137">
        <f t="shared" si="23"/>
        <v>0</v>
      </c>
      <c r="AG121" s="137">
        <f t="shared" si="21"/>
        <v>0</v>
      </c>
      <c r="AH121" s="154"/>
      <c r="AI121" s="154"/>
      <c r="AJ121" s="136">
        <v>0</v>
      </c>
      <c r="AK121" s="119" t="s">
        <v>120</v>
      </c>
      <c r="AL121" s="119" t="s">
        <v>269</v>
      </c>
      <c r="AM121" s="131"/>
    </row>
    <row r="122" spans="1:39" s="119" customFormat="1" ht="15" customHeight="1" x14ac:dyDescent="0.3">
      <c r="A122" s="119">
        <v>2017</v>
      </c>
      <c r="B122" s="119" t="s">
        <v>38</v>
      </c>
      <c r="C122" s="119" t="s">
        <v>75</v>
      </c>
      <c r="D122" s="119" t="s">
        <v>256</v>
      </c>
      <c r="E122" s="119" t="s">
        <v>321</v>
      </c>
      <c r="F122" s="119" t="s">
        <v>323</v>
      </c>
      <c r="G122" s="119" t="s">
        <v>323</v>
      </c>
      <c r="H122" s="119" t="s">
        <v>323</v>
      </c>
      <c r="I122" s="131" t="s">
        <v>243</v>
      </c>
      <c r="J122" s="119" t="s">
        <v>244</v>
      </c>
      <c r="K122" s="119" t="s">
        <v>266</v>
      </c>
      <c r="L122" s="119" t="s">
        <v>324</v>
      </c>
      <c r="M122" s="119" t="s">
        <v>46</v>
      </c>
      <c r="N122" s="135">
        <v>0</v>
      </c>
      <c r="O122" s="135" t="s">
        <v>47</v>
      </c>
      <c r="P122" s="135"/>
      <c r="Q122" s="137">
        <v>0</v>
      </c>
      <c r="R122" s="137">
        <v>0</v>
      </c>
      <c r="S122" s="137">
        <v>3342</v>
      </c>
      <c r="T122" s="137">
        <f t="shared" si="12"/>
        <v>0</v>
      </c>
      <c r="U122" s="137">
        <f t="shared" si="16"/>
        <v>3342</v>
      </c>
      <c r="V122" s="137">
        <v>2152.5</v>
      </c>
      <c r="W122" s="137">
        <f t="shared" si="17"/>
        <v>1189.5</v>
      </c>
      <c r="X122" s="137">
        <f t="shared" si="13"/>
        <v>1189.5</v>
      </c>
      <c r="Y122" s="137">
        <f t="shared" si="18"/>
        <v>0</v>
      </c>
      <c r="Z122" s="137">
        <v>3342</v>
      </c>
      <c r="AA122" s="137">
        <f t="shared" si="14"/>
        <v>-1189.5</v>
      </c>
      <c r="AB122" s="146">
        <f t="shared" si="22"/>
        <v>3342</v>
      </c>
      <c r="AC122" s="147">
        <f t="shared" si="15"/>
        <v>0</v>
      </c>
      <c r="AD122" s="137">
        <v>2152.5</v>
      </c>
      <c r="AE122" s="138">
        <v>0</v>
      </c>
      <c r="AF122" s="137">
        <f t="shared" si="23"/>
        <v>0</v>
      </c>
      <c r="AG122" s="137">
        <f t="shared" si="21"/>
        <v>0</v>
      </c>
      <c r="AH122" s="154"/>
      <c r="AI122" s="154"/>
      <c r="AJ122" s="135" t="s">
        <v>47</v>
      </c>
      <c r="AK122" s="119" t="s">
        <v>47</v>
      </c>
      <c r="AL122" s="119" t="s">
        <v>269</v>
      </c>
      <c r="AM122" s="131"/>
    </row>
    <row r="123" spans="1:39" s="119" customFormat="1" ht="15" customHeight="1" x14ac:dyDescent="0.3">
      <c r="A123" s="119">
        <v>2017</v>
      </c>
      <c r="B123" s="119" t="s">
        <v>38</v>
      </c>
      <c r="C123" s="119" t="s">
        <v>39</v>
      </c>
      <c r="D123" s="119" t="s">
        <v>81</v>
      </c>
      <c r="E123" s="119" t="s">
        <v>48</v>
      </c>
      <c r="F123" s="119" t="s">
        <v>325</v>
      </c>
      <c r="G123" s="119" t="s">
        <v>325</v>
      </c>
      <c r="H123" s="119" t="s">
        <v>325</v>
      </c>
      <c r="I123" s="131" t="s">
        <v>243</v>
      </c>
      <c r="J123" s="119" t="s">
        <v>244</v>
      </c>
      <c r="K123" s="119" t="s">
        <v>266</v>
      </c>
      <c r="L123" s="119" t="s">
        <v>325</v>
      </c>
      <c r="M123" s="119" t="s">
        <v>46</v>
      </c>
      <c r="N123" s="135">
        <v>0</v>
      </c>
      <c r="O123" s="135" t="s">
        <v>47</v>
      </c>
      <c r="P123" s="135" t="s">
        <v>1657</v>
      </c>
      <c r="Q123" s="137">
        <v>0</v>
      </c>
      <c r="R123" s="137">
        <v>0</v>
      </c>
      <c r="S123" s="137">
        <v>10572</v>
      </c>
      <c r="T123" s="137">
        <f t="shared" si="12"/>
        <v>0</v>
      </c>
      <c r="U123" s="137">
        <f t="shared" si="16"/>
        <v>10572</v>
      </c>
      <c r="V123" s="137">
        <v>0</v>
      </c>
      <c r="W123" s="137">
        <f t="shared" si="17"/>
        <v>10572</v>
      </c>
      <c r="X123" s="137">
        <f t="shared" si="13"/>
        <v>10572</v>
      </c>
      <c r="Y123" s="137">
        <f t="shared" si="18"/>
        <v>0</v>
      </c>
      <c r="Z123" s="137">
        <v>0</v>
      </c>
      <c r="AA123" s="137">
        <f t="shared" si="14"/>
        <v>0</v>
      </c>
      <c r="AB123" s="146">
        <v>10572</v>
      </c>
      <c r="AC123" s="147">
        <f t="shared" si="15"/>
        <v>-10572</v>
      </c>
      <c r="AD123" s="137">
        <v>0</v>
      </c>
      <c r="AE123" s="138">
        <v>0</v>
      </c>
      <c r="AF123" s="137">
        <f t="shared" si="23"/>
        <v>0</v>
      </c>
      <c r="AG123" s="137">
        <f t="shared" si="21"/>
        <v>10572</v>
      </c>
      <c r="AH123" s="154"/>
      <c r="AI123" s="154"/>
      <c r="AJ123" s="135" t="s">
        <v>47</v>
      </c>
      <c r="AK123" s="119" t="s">
        <v>47</v>
      </c>
      <c r="AL123" s="119" t="s">
        <v>269</v>
      </c>
      <c r="AM123" s="131"/>
    </row>
    <row r="124" spans="1:39" s="119" customFormat="1" ht="15" customHeight="1" x14ac:dyDescent="0.3">
      <c r="A124" s="119">
        <v>2017</v>
      </c>
      <c r="B124" s="119" t="s">
        <v>38</v>
      </c>
      <c r="C124" s="119" t="s">
        <v>39</v>
      </c>
      <c r="D124" s="119" t="s">
        <v>81</v>
      </c>
      <c r="E124" s="119" t="s">
        <v>82</v>
      </c>
      <c r="F124" s="119" t="s">
        <v>326</v>
      </c>
      <c r="G124" s="119" t="s">
        <v>326</v>
      </c>
      <c r="H124" s="119" t="s">
        <v>326</v>
      </c>
      <c r="I124" s="131" t="s">
        <v>243</v>
      </c>
      <c r="J124" s="119" t="s">
        <v>244</v>
      </c>
      <c r="K124" s="119" t="s">
        <v>266</v>
      </c>
      <c r="L124" s="119" t="s">
        <v>326</v>
      </c>
      <c r="M124" s="119" t="s">
        <v>46</v>
      </c>
      <c r="N124" s="135">
        <v>0</v>
      </c>
      <c r="O124" s="135" t="s">
        <v>47</v>
      </c>
      <c r="P124" s="135"/>
      <c r="Q124" s="137">
        <v>0</v>
      </c>
      <c r="R124" s="137">
        <v>0</v>
      </c>
      <c r="S124" s="137">
        <v>20000</v>
      </c>
      <c r="T124" s="137">
        <f t="shared" si="12"/>
        <v>0</v>
      </c>
      <c r="U124" s="137">
        <f t="shared" si="16"/>
        <v>20000</v>
      </c>
      <c r="V124" s="137">
        <v>6426</v>
      </c>
      <c r="W124" s="137">
        <f t="shared" si="17"/>
        <v>13574</v>
      </c>
      <c r="X124" s="137">
        <f t="shared" si="13"/>
        <v>13574</v>
      </c>
      <c r="Y124" s="137">
        <f t="shared" si="18"/>
        <v>0</v>
      </c>
      <c r="Z124" s="137">
        <v>8715.5</v>
      </c>
      <c r="AA124" s="137">
        <f t="shared" si="14"/>
        <v>-2289.5</v>
      </c>
      <c r="AB124" s="146">
        <f t="shared" si="22"/>
        <v>8715.5</v>
      </c>
      <c r="AC124" s="147">
        <f t="shared" si="15"/>
        <v>0</v>
      </c>
      <c r="AD124" s="137">
        <v>6426</v>
      </c>
      <c r="AE124" s="138">
        <v>0</v>
      </c>
      <c r="AF124" s="137">
        <f t="shared" si="23"/>
        <v>0</v>
      </c>
      <c r="AG124" s="137">
        <f t="shared" ref="AG124:AG155" si="24">AB124-Z124+AF124</f>
        <v>0</v>
      </c>
      <c r="AH124" s="154"/>
      <c r="AI124" s="154"/>
      <c r="AJ124" s="136">
        <v>0</v>
      </c>
      <c r="AK124" s="119" t="s">
        <v>120</v>
      </c>
      <c r="AL124" s="119" t="s">
        <v>269</v>
      </c>
      <c r="AM124" s="131"/>
    </row>
    <row r="125" spans="1:39" s="119" customFormat="1" ht="15" customHeight="1" x14ac:dyDescent="0.3">
      <c r="A125" s="119">
        <v>2017</v>
      </c>
      <c r="B125" s="119" t="s">
        <v>38</v>
      </c>
      <c r="C125" s="119" t="s">
        <v>39</v>
      </c>
      <c r="D125" s="119" t="s">
        <v>81</v>
      </c>
      <c r="E125" s="119" t="s">
        <v>82</v>
      </c>
      <c r="F125" s="119" t="s">
        <v>83</v>
      </c>
      <c r="G125" s="119" t="s">
        <v>83</v>
      </c>
      <c r="H125" s="119" t="s">
        <v>83</v>
      </c>
      <c r="I125" s="131" t="s">
        <v>243</v>
      </c>
      <c r="J125" s="119" t="s">
        <v>244</v>
      </c>
      <c r="K125" s="119" t="s">
        <v>266</v>
      </c>
      <c r="L125" s="119" t="s">
        <v>83</v>
      </c>
      <c r="M125" s="119" t="s">
        <v>46</v>
      </c>
      <c r="N125" s="135">
        <v>0</v>
      </c>
      <c r="O125" s="135" t="s">
        <v>47</v>
      </c>
      <c r="P125" s="135"/>
      <c r="Q125" s="137">
        <v>0</v>
      </c>
      <c r="R125" s="137">
        <v>0</v>
      </c>
      <c r="S125" s="137">
        <v>188908.33</v>
      </c>
      <c r="T125" s="137">
        <f t="shared" si="12"/>
        <v>0</v>
      </c>
      <c r="U125" s="137">
        <f t="shared" si="16"/>
        <v>188908.33</v>
      </c>
      <c r="V125" s="137">
        <v>66475.5</v>
      </c>
      <c r="W125" s="137">
        <f t="shared" si="17"/>
        <v>122432.82999999999</v>
      </c>
      <c r="X125" s="137">
        <f t="shared" si="13"/>
        <v>122432.82999999999</v>
      </c>
      <c r="Y125" s="137">
        <f t="shared" si="18"/>
        <v>0</v>
      </c>
      <c r="Z125" s="137">
        <v>100399</v>
      </c>
      <c r="AA125" s="137">
        <f t="shared" si="14"/>
        <v>-33923.5</v>
      </c>
      <c r="AB125" s="146">
        <f t="shared" si="22"/>
        <v>100399</v>
      </c>
      <c r="AC125" s="147">
        <f t="shared" si="15"/>
        <v>0</v>
      </c>
      <c r="AD125" s="137">
        <v>66475.5</v>
      </c>
      <c r="AE125" s="138">
        <v>0</v>
      </c>
      <c r="AF125" s="137">
        <f t="shared" si="23"/>
        <v>0</v>
      </c>
      <c r="AG125" s="137">
        <f t="shared" si="24"/>
        <v>0</v>
      </c>
      <c r="AH125" s="154"/>
      <c r="AI125" s="154"/>
      <c r="AJ125" s="136">
        <v>0</v>
      </c>
      <c r="AK125" s="119" t="s">
        <v>120</v>
      </c>
      <c r="AL125" s="119" t="s">
        <v>269</v>
      </c>
      <c r="AM125" s="131"/>
    </row>
    <row r="126" spans="1:39" s="119" customFormat="1" ht="15" customHeight="1" x14ac:dyDescent="0.3">
      <c r="A126" s="119">
        <v>2017</v>
      </c>
      <c r="B126" s="119" t="s">
        <v>38</v>
      </c>
      <c r="C126" s="119" t="s">
        <v>39</v>
      </c>
      <c r="D126" s="119" t="s">
        <v>81</v>
      </c>
      <c r="E126" s="119" t="s">
        <v>82</v>
      </c>
      <c r="F126" s="119" t="s">
        <v>327</v>
      </c>
      <c r="G126" s="119" t="s">
        <v>327</v>
      </c>
      <c r="H126" s="119" t="s">
        <v>327</v>
      </c>
      <c r="I126" s="131" t="s">
        <v>243</v>
      </c>
      <c r="J126" s="119" t="s">
        <v>244</v>
      </c>
      <c r="K126" s="119" t="s">
        <v>266</v>
      </c>
      <c r="L126" s="119" t="s">
        <v>327</v>
      </c>
      <c r="M126" s="119" t="s">
        <v>46</v>
      </c>
      <c r="N126" s="135">
        <v>0</v>
      </c>
      <c r="O126" s="135" t="s">
        <v>47</v>
      </c>
      <c r="P126" s="135"/>
      <c r="Q126" s="137">
        <v>0</v>
      </c>
      <c r="R126" s="137">
        <v>0</v>
      </c>
      <c r="S126" s="137">
        <v>67414.5</v>
      </c>
      <c r="T126" s="137">
        <f t="shared" si="12"/>
        <v>0</v>
      </c>
      <c r="U126" s="137">
        <f t="shared" si="16"/>
        <v>67414.5</v>
      </c>
      <c r="V126" s="137"/>
      <c r="W126" s="137">
        <f t="shared" si="17"/>
        <v>67414.5</v>
      </c>
      <c r="X126" s="137">
        <f t="shared" si="13"/>
        <v>67414.5</v>
      </c>
      <c r="Y126" s="137">
        <f t="shared" si="18"/>
        <v>0</v>
      </c>
      <c r="Z126" s="137">
        <v>716</v>
      </c>
      <c r="AA126" s="137">
        <f t="shared" si="14"/>
        <v>-716</v>
      </c>
      <c r="AB126" s="146">
        <f t="shared" si="22"/>
        <v>716</v>
      </c>
      <c r="AC126" s="147">
        <f t="shared" si="15"/>
        <v>0</v>
      </c>
      <c r="AD126" s="137">
        <v>537</v>
      </c>
      <c r="AE126" s="138">
        <v>0</v>
      </c>
      <c r="AF126" s="137">
        <f t="shared" si="23"/>
        <v>0</v>
      </c>
      <c r="AG126" s="137">
        <f t="shared" si="24"/>
        <v>0</v>
      </c>
      <c r="AH126" s="154"/>
      <c r="AI126" s="154"/>
      <c r="AJ126" s="136">
        <v>0</v>
      </c>
      <c r="AK126" s="119" t="s">
        <v>120</v>
      </c>
      <c r="AL126" s="119" t="s">
        <v>269</v>
      </c>
      <c r="AM126" s="131"/>
    </row>
    <row r="127" spans="1:39" s="119" customFormat="1" ht="15" customHeight="1" x14ac:dyDescent="0.3">
      <c r="A127" s="119">
        <v>2017</v>
      </c>
      <c r="B127" s="119" t="s">
        <v>38</v>
      </c>
      <c r="C127" s="119" t="s">
        <v>39</v>
      </c>
      <c r="D127" s="119" t="s">
        <v>40</v>
      </c>
      <c r="E127" s="119" t="s">
        <v>48</v>
      </c>
      <c r="F127" s="119" t="s">
        <v>328</v>
      </c>
      <c r="G127" s="119" t="s">
        <v>328</v>
      </c>
      <c r="H127" s="119" t="s">
        <v>328</v>
      </c>
      <c r="I127" s="131" t="s">
        <v>243</v>
      </c>
      <c r="J127" s="119" t="s">
        <v>244</v>
      </c>
      <c r="K127" s="119" t="s">
        <v>266</v>
      </c>
      <c r="L127" s="119" t="s">
        <v>136</v>
      </c>
      <c r="M127" s="119" t="s">
        <v>46</v>
      </c>
      <c r="N127" s="135">
        <v>0</v>
      </c>
      <c r="O127" s="135" t="s">
        <v>47</v>
      </c>
      <c r="P127" s="135"/>
      <c r="Q127" s="137">
        <v>0</v>
      </c>
      <c r="R127" s="137">
        <v>0</v>
      </c>
      <c r="S127" s="137">
        <v>266532</v>
      </c>
      <c r="T127" s="137">
        <f t="shared" si="12"/>
        <v>0</v>
      </c>
      <c r="U127" s="137">
        <f t="shared" si="16"/>
        <v>266532</v>
      </c>
      <c r="V127" s="137">
        <v>0</v>
      </c>
      <c r="W127" s="137">
        <f t="shared" si="17"/>
        <v>266532</v>
      </c>
      <c r="X127" s="137">
        <f t="shared" si="13"/>
        <v>266532</v>
      </c>
      <c r="Y127" s="137">
        <f t="shared" si="18"/>
        <v>0</v>
      </c>
      <c r="Z127" s="137">
        <v>0</v>
      </c>
      <c r="AA127" s="137">
        <f t="shared" si="14"/>
        <v>0</v>
      </c>
      <c r="AB127" s="146">
        <f t="shared" si="22"/>
        <v>0</v>
      </c>
      <c r="AC127" s="147">
        <f t="shared" si="15"/>
        <v>0</v>
      </c>
      <c r="AD127" s="137">
        <v>0</v>
      </c>
      <c r="AE127" s="138">
        <v>0</v>
      </c>
      <c r="AF127" s="137">
        <f t="shared" si="23"/>
        <v>0</v>
      </c>
      <c r="AG127" s="137">
        <f t="shared" si="24"/>
        <v>0</v>
      </c>
      <c r="AH127" s="154"/>
      <c r="AI127" s="154"/>
      <c r="AJ127" s="135" t="s">
        <v>47</v>
      </c>
      <c r="AK127" s="119" t="s">
        <v>47</v>
      </c>
      <c r="AL127" s="119" t="s">
        <v>269</v>
      </c>
      <c r="AM127" s="131"/>
    </row>
    <row r="128" spans="1:39" s="119" customFormat="1" ht="15" customHeight="1" x14ac:dyDescent="0.3">
      <c r="A128" s="119">
        <v>2017</v>
      </c>
      <c r="B128" s="119" t="s">
        <v>38</v>
      </c>
      <c r="C128" s="119" t="s">
        <v>39</v>
      </c>
      <c r="D128" s="119" t="s">
        <v>40</v>
      </c>
      <c r="E128" s="119" t="s">
        <v>48</v>
      </c>
      <c r="F128" s="119" t="s">
        <v>329</v>
      </c>
      <c r="G128" s="119" t="s">
        <v>329</v>
      </c>
      <c r="H128" s="119" t="s">
        <v>329</v>
      </c>
      <c r="I128" s="131" t="s">
        <v>243</v>
      </c>
      <c r="J128" s="119" t="s">
        <v>244</v>
      </c>
      <c r="K128" s="119" t="s">
        <v>266</v>
      </c>
      <c r="L128" s="119" t="s">
        <v>330</v>
      </c>
      <c r="M128" s="119" t="s">
        <v>46</v>
      </c>
      <c r="N128" s="135">
        <v>0</v>
      </c>
      <c r="O128" s="135" t="s">
        <v>47</v>
      </c>
      <c r="P128" s="135"/>
      <c r="Q128" s="137">
        <v>0</v>
      </c>
      <c r="R128" s="137">
        <v>0</v>
      </c>
      <c r="S128" s="137">
        <v>26703</v>
      </c>
      <c r="T128" s="137">
        <f t="shared" si="12"/>
        <v>0</v>
      </c>
      <c r="U128" s="137">
        <f t="shared" si="16"/>
        <v>26703</v>
      </c>
      <c r="V128" s="137">
        <v>12682.5</v>
      </c>
      <c r="W128" s="137">
        <f t="shared" si="17"/>
        <v>14020.5</v>
      </c>
      <c r="X128" s="137">
        <f t="shared" si="13"/>
        <v>14020.5</v>
      </c>
      <c r="Y128" s="137">
        <f t="shared" si="18"/>
        <v>0</v>
      </c>
      <c r="Z128" s="137">
        <v>19317.5</v>
      </c>
      <c r="AA128" s="137">
        <f t="shared" si="14"/>
        <v>-6635</v>
      </c>
      <c r="AB128" s="146">
        <f t="shared" si="22"/>
        <v>19317.5</v>
      </c>
      <c r="AC128" s="147">
        <f t="shared" si="15"/>
        <v>0</v>
      </c>
      <c r="AD128" s="137">
        <v>12682.5</v>
      </c>
      <c r="AE128" s="138">
        <v>0</v>
      </c>
      <c r="AF128" s="137">
        <f t="shared" si="23"/>
        <v>0</v>
      </c>
      <c r="AG128" s="137">
        <f t="shared" si="24"/>
        <v>0</v>
      </c>
      <c r="AH128" s="154"/>
      <c r="AI128" s="154"/>
      <c r="AJ128" s="136">
        <v>0</v>
      </c>
      <c r="AK128" s="119" t="s">
        <v>120</v>
      </c>
      <c r="AL128" s="119" t="s">
        <v>269</v>
      </c>
      <c r="AM128" s="131"/>
    </row>
    <row r="129" spans="1:39" s="119" customFormat="1" ht="15" customHeight="1" x14ac:dyDescent="0.3">
      <c r="A129" s="119">
        <v>2017</v>
      </c>
      <c r="B129" s="119" t="s">
        <v>38</v>
      </c>
      <c r="C129" s="119" t="s">
        <v>39</v>
      </c>
      <c r="D129" s="119" t="s">
        <v>40</v>
      </c>
      <c r="E129" s="119" t="s">
        <v>48</v>
      </c>
      <c r="F129" s="119" t="s">
        <v>127</v>
      </c>
      <c r="G129" s="119" t="s">
        <v>127</v>
      </c>
      <c r="H129" s="119" t="s">
        <v>127</v>
      </c>
      <c r="I129" s="131" t="s">
        <v>243</v>
      </c>
      <c r="J129" s="119" t="s">
        <v>244</v>
      </c>
      <c r="K129" s="119" t="s">
        <v>266</v>
      </c>
      <c r="L129" s="119" t="s">
        <v>127</v>
      </c>
      <c r="M129" s="119" t="s">
        <v>46</v>
      </c>
      <c r="N129" s="135">
        <v>0</v>
      </c>
      <c r="O129" s="135" t="s">
        <v>47</v>
      </c>
      <c r="P129" s="135"/>
      <c r="Q129" s="137">
        <v>0</v>
      </c>
      <c r="R129" s="137">
        <v>0</v>
      </c>
      <c r="S129" s="137">
        <v>84992</v>
      </c>
      <c r="T129" s="137">
        <f t="shared" si="12"/>
        <v>0</v>
      </c>
      <c r="U129" s="137">
        <f t="shared" si="16"/>
        <v>84992</v>
      </c>
      <c r="V129" s="137">
        <v>37669.5</v>
      </c>
      <c r="W129" s="137">
        <f t="shared" si="17"/>
        <v>47322.5</v>
      </c>
      <c r="X129" s="137">
        <f t="shared" si="13"/>
        <v>47322.5</v>
      </c>
      <c r="Y129" s="137">
        <f t="shared" si="18"/>
        <v>0</v>
      </c>
      <c r="Z129" s="137">
        <v>53143</v>
      </c>
      <c r="AA129" s="137">
        <f t="shared" si="14"/>
        <v>-15473.5</v>
      </c>
      <c r="AB129" s="146">
        <f t="shared" si="22"/>
        <v>53143</v>
      </c>
      <c r="AC129" s="147">
        <f t="shared" si="15"/>
        <v>0</v>
      </c>
      <c r="AD129" s="137">
        <v>37669.5</v>
      </c>
      <c r="AE129" s="138">
        <v>0</v>
      </c>
      <c r="AF129" s="137">
        <f t="shared" si="23"/>
        <v>0</v>
      </c>
      <c r="AG129" s="137">
        <f t="shared" si="24"/>
        <v>0</v>
      </c>
      <c r="AH129" s="154"/>
      <c r="AI129" s="154"/>
      <c r="AJ129" s="136">
        <v>0</v>
      </c>
      <c r="AK129" s="119" t="s">
        <v>120</v>
      </c>
      <c r="AL129" s="119" t="s">
        <v>269</v>
      </c>
      <c r="AM129" s="131"/>
    </row>
    <row r="130" spans="1:39" s="119" customFormat="1" ht="15" customHeight="1" x14ac:dyDescent="0.3">
      <c r="A130" s="119">
        <v>2017</v>
      </c>
      <c r="B130" s="119" t="s">
        <v>38</v>
      </c>
      <c r="C130" s="119" t="s">
        <v>39</v>
      </c>
      <c r="D130" s="119" t="s">
        <v>40</v>
      </c>
      <c r="E130" s="119" t="s">
        <v>48</v>
      </c>
      <c r="F130" s="119" t="s">
        <v>331</v>
      </c>
      <c r="G130" s="119" t="s">
        <v>331</v>
      </c>
      <c r="H130" s="119" t="s">
        <v>331</v>
      </c>
      <c r="I130" s="131" t="s">
        <v>243</v>
      </c>
      <c r="J130" s="119" t="s">
        <v>244</v>
      </c>
      <c r="K130" s="119" t="s">
        <v>266</v>
      </c>
      <c r="L130" s="119" t="s">
        <v>332</v>
      </c>
      <c r="M130" s="119" t="s">
        <v>46</v>
      </c>
      <c r="N130" s="135">
        <v>0</v>
      </c>
      <c r="O130" s="135" t="s">
        <v>47</v>
      </c>
      <c r="P130" s="135"/>
      <c r="Q130" s="137">
        <v>0</v>
      </c>
      <c r="R130" s="137">
        <v>0</v>
      </c>
      <c r="S130" s="137">
        <v>90000</v>
      </c>
      <c r="T130" s="137">
        <f t="shared" ref="T130:T193" si="25">S130*N130</f>
        <v>0</v>
      </c>
      <c r="U130" s="137">
        <f t="shared" si="16"/>
        <v>90000</v>
      </c>
      <c r="V130" s="137">
        <v>64243.5</v>
      </c>
      <c r="W130" s="137">
        <f t="shared" si="17"/>
        <v>25756.5</v>
      </c>
      <c r="X130" s="137">
        <f t="shared" ref="X130:X193" si="26">W130/(1+N130)</f>
        <v>25756.5</v>
      </c>
      <c r="Y130" s="137">
        <f t="shared" si="18"/>
        <v>0</v>
      </c>
      <c r="Z130" s="137">
        <v>92212</v>
      </c>
      <c r="AA130" s="137">
        <f t="shared" ref="AA130:AA193" si="27">Q130+V130-Z130</f>
        <v>-27968.5</v>
      </c>
      <c r="AB130" s="146">
        <f t="shared" si="22"/>
        <v>92212</v>
      </c>
      <c r="AC130" s="147">
        <f t="shared" ref="AC130:AC193" si="28">IF(O130="返现",Z130*N130,Z130-AB130)</f>
        <v>0</v>
      </c>
      <c r="AD130" s="137">
        <v>64243.5</v>
      </c>
      <c r="AE130" s="138">
        <v>0</v>
      </c>
      <c r="AF130" s="137">
        <f t="shared" si="23"/>
        <v>0</v>
      </c>
      <c r="AG130" s="137">
        <f t="shared" si="24"/>
        <v>0</v>
      </c>
      <c r="AH130" s="154"/>
      <c r="AI130" s="154"/>
      <c r="AJ130" s="136">
        <v>0</v>
      </c>
      <c r="AK130" s="119" t="s">
        <v>120</v>
      </c>
      <c r="AL130" s="119" t="s">
        <v>269</v>
      </c>
      <c r="AM130" s="131"/>
    </row>
    <row r="131" spans="1:39" s="119" customFormat="1" ht="15" customHeight="1" x14ac:dyDescent="0.3">
      <c r="A131" s="119">
        <v>2017</v>
      </c>
      <c r="B131" s="119" t="s">
        <v>333</v>
      </c>
      <c r="C131" s="119" t="s">
        <v>39</v>
      </c>
      <c r="D131" s="119" t="s">
        <v>40</v>
      </c>
      <c r="E131" s="119" t="s">
        <v>41</v>
      </c>
      <c r="F131" s="119" t="s">
        <v>334</v>
      </c>
      <c r="G131" s="119" t="s">
        <v>335</v>
      </c>
      <c r="H131" s="119" t="s">
        <v>335</v>
      </c>
      <c r="I131" s="131" t="s">
        <v>243</v>
      </c>
      <c r="J131" s="119" t="s">
        <v>244</v>
      </c>
      <c r="K131" s="119" t="s">
        <v>266</v>
      </c>
      <c r="L131" s="119" t="s">
        <v>336</v>
      </c>
      <c r="M131" s="119" t="s">
        <v>46</v>
      </c>
      <c r="N131" s="135">
        <v>0</v>
      </c>
      <c r="O131" s="135" t="s">
        <v>47</v>
      </c>
      <c r="P131" s="135"/>
      <c r="Q131" s="137">
        <v>0</v>
      </c>
      <c r="R131" s="137">
        <v>0</v>
      </c>
      <c r="S131" s="137">
        <v>107.5</v>
      </c>
      <c r="T131" s="137">
        <f t="shared" si="25"/>
        <v>0</v>
      </c>
      <c r="U131" s="137">
        <f t="shared" ref="U131:U194" si="29">R131+S131+T131</f>
        <v>107.5</v>
      </c>
      <c r="V131" s="137">
        <v>64.5</v>
      </c>
      <c r="W131" s="137">
        <f t="shared" ref="W131:W194" si="30">U131-V131</f>
        <v>43</v>
      </c>
      <c r="X131" s="137">
        <f t="shared" si="26"/>
        <v>43</v>
      </c>
      <c r="Y131" s="137">
        <f t="shared" ref="Y131:Y194" si="31">W131-X131</f>
        <v>0</v>
      </c>
      <c r="Z131" s="137">
        <v>107.5</v>
      </c>
      <c r="AA131" s="137">
        <f t="shared" si="27"/>
        <v>-43</v>
      </c>
      <c r="AB131" s="146">
        <f t="shared" si="22"/>
        <v>107.5</v>
      </c>
      <c r="AC131" s="147">
        <f t="shared" si="28"/>
        <v>0</v>
      </c>
      <c r="AD131" s="137">
        <v>64.5</v>
      </c>
      <c r="AE131" s="138">
        <v>0</v>
      </c>
      <c r="AF131" s="137">
        <f t="shared" si="23"/>
        <v>0</v>
      </c>
      <c r="AG131" s="137">
        <f t="shared" si="24"/>
        <v>0</v>
      </c>
      <c r="AH131" s="154"/>
      <c r="AI131" s="154"/>
      <c r="AJ131" s="135" t="s">
        <v>47</v>
      </c>
      <c r="AK131" s="119" t="s">
        <v>47</v>
      </c>
      <c r="AL131" s="119" t="s">
        <v>269</v>
      </c>
      <c r="AM131" s="131"/>
    </row>
    <row r="132" spans="1:39" s="119" customFormat="1" ht="15" customHeight="1" x14ac:dyDescent="0.3">
      <c r="A132" s="119">
        <v>2017</v>
      </c>
      <c r="B132" s="119" t="s">
        <v>38</v>
      </c>
      <c r="C132" s="119" t="s">
        <v>39</v>
      </c>
      <c r="D132" s="119" t="s">
        <v>40</v>
      </c>
      <c r="E132" s="119" t="s">
        <v>82</v>
      </c>
      <c r="F132" s="119" t="s">
        <v>136</v>
      </c>
      <c r="G132" s="119" t="s">
        <v>136</v>
      </c>
      <c r="H132" s="119" t="s">
        <v>136</v>
      </c>
      <c r="I132" s="131" t="s">
        <v>243</v>
      </c>
      <c r="J132" s="119" t="s">
        <v>244</v>
      </c>
      <c r="K132" s="119" t="s">
        <v>266</v>
      </c>
      <c r="L132" s="119" t="s">
        <v>136</v>
      </c>
      <c r="M132" s="119" t="s">
        <v>46</v>
      </c>
      <c r="N132" s="135">
        <v>0</v>
      </c>
      <c r="O132" s="135" t="s">
        <v>47</v>
      </c>
      <c r="P132" s="135"/>
      <c r="Q132" s="137">
        <v>0</v>
      </c>
      <c r="R132" s="137">
        <v>0</v>
      </c>
      <c r="S132" s="137">
        <v>5800</v>
      </c>
      <c r="T132" s="137">
        <f t="shared" si="25"/>
        <v>0</v>
      </c>
      <c r="U132" s="137">
        <f t="shared" si="29"/>
        <v>5800</v>
      </c>
      <c r="V132" s="137">
        <v>4350</v>
      </c>
      <c r="W132" s="137">
        <f t="shared" si="30"/>
        <v>1450</v>
      </c>
      <c r="X132" s="137">
        <f t="shared" si="26"/>
        <v>1450</v>
      </c>
      <c r="Y132" s="137">
        <f t="shared" si="31"/>
        <v>0</v>
      </c>
      <c r="Z132" s="137">
        <v>5800</v>
      </c>
      <c r="AA132" s="137">
        <f t="shared" si="27"/>
        <v>-1450</v>
      </c>
      <c r="AB132" s="146">
        <f t="shared" si="22"/>
        <v>5800</v>
      </c>
      <c r="AC132" s="147">
        <f t="shared" si="28"/>
        <v>0</v>
      </c>
      <c r="AD132" s="137">
        <v>4350</v>
      </c>
      <c r="AE132" s="138">
        <v>0</v>
      </c>
      <c r="AF132" s="137">
        <f t="shared" si="23"/>
        <v>0</v>
      </c>
      <c r="AG132" s="137">
        <f t="shared" si="24"/>
        <v>0</v>
      </c>
      <c r="AH132" s="154"/>
      <c r="AI132" s="154"/>
      <c r="AJ132" s="155">
        <v>0</v>
      </c>
      <c r="AK132" s="119">
        <v>0</v>
      </c>
      <c r="AL132" s="119" t="s">
        <v>269</v>
      </c>
      <c r="AM132" s="131"/>
    </row>
    <row r="133" spans="1:39" s="119" customFormat="1" ht="15" customHeight="1" x14ac:dyDescent="0.3">
      <c r="A133" s="119">
        <v>2017</v>
      </c>
      <c r="B133" s="119" t="s">
        <v>38</v>
      </c>
      <c r="C133" s="119" t="s">
        <v>59</v>
      </c>
      <c r="D133" s="119" t="s">
        <v>154</v>
      </c>
      <c r="E133" s="119" t="s">
        <v>107</v>
      </c>
      <c r="F133" s="119" t="s">
        <v>337</v>
      </c>
      <c r="G133" s="119" t="s">
        <v>337</v>
      </c>
      <c r="H133" s="119" t="s">
        <v>337</v>
      </c>
      <c r="I133" s="131" t="s">
        <v>243</v>
      </c>
      <c r="J133" s="119" t="s">
        <v>244</v>
      </c>
      <c r="K133" s="119" t="s">
        <v>266</v>
      </c>
      <c r="L133" s="119" t="s">
        <v>337</v>
      </c>
      <c r="M133" s="119" t="s">
        <v>46</v>
      </c>
      <c r="N133" s="135">
        <v>0</v>
      </c>
      <c r="O133" s="135" t="s">
        <v>47</v>
      </c>
      <c r="P133" s="135"/>
      <c r="Q133" s="137">
        <v>0</v>
      </c>
      <c r="R133" s="137">
        <v>0</v>
      </c>
      <c r="S133" s="137">
        <v>9346</v>
      </c>
      <c r="T133" s="137">
        <f t="shared" si="25"/>
        <v>0</v>
      </c>
      <c r="U133" s="137">
        <f t="shared" si="29"/>
        <v>9346</v>
      </c>
      <c r="V133" s="137">
        <v>5917.5</v>
      </c>
      <c r="W133" s="137">
        <f t="shared" si="30"/>
        <v>3428.5</v>
      </c>
      <c r="X133" s="137">
        <f t="shared" si="26"/>
        <v>3428.5</v>
      </c>
      <c r="Y133" s="137">
        <f t="shared" si="31"/>
        <v>0</v>
      </c>
      <c r="Z133" s="137">
        <v>9343.5</v>
      </c>
      <c r="AA133" s="137">
        <f t="shared" si="27"/>
        <v>-3426</v>
      </c>
      <c r="AB133" s="146">
        <f t="shared" si="22"/>
        <v>9343.5</v>
      </c>
      <c r="AC133" s="147">
        <f t="shared" si="28"/>
        <v>0</v>
      </c>
      <c r="AD133" s="137">
        <v>5917.5</v>
      </c>
      <c r="AE133" s="138">
        <v>0</v>
      </c>
      <c r="AF133" s="137">
        <f t="shared" si="23"/>
        <v>0</v>
      </c>
      <c r="AG133" s="137">
        <f t="shared" si="24"/>
        <v>0</v>
      </c>
      <c r="AH133" s="154"/>
      <c r="AI133" s="154"/>
      <c r="AJ133" s="136">
        <v>0</v>
      </c>
      <c r="AK133" s="119" t="s">
        <v>120</v>
      </c>
      <c r="AL133" s="119" t="s">
        <v>269</v>
      </c>
      <c r="AM133" s="131"/>
    </row>
    <row r="134" spans="1:39" s="119" customFormat="1" ht="15" customHeight="1" x14ac:dyDescent="0.3">
      <c r="A134" s="119">
        <v>2017</v>
      </c>
      <c r="B134" s="119" t="s">
        <v>38</v>
      </c>
      <c r="C134" s="119" t="s">
        <v>59</v>
      </c>
      <c r="D134" s="119" t="s">
        <v>154</v>
      </c>
      <c r="E134" s="119" t="s">
        <v>107</v>
      </c>
      <c r="F134" s="119" t="s">
        <v>338</v>
      </c>
      <c r="G134" s="119" t="s">
        <v>339</v>
      </c>
      <c r="H134" s="119" t="s">
        <v>339</v>
      </c>
      <c r="I134" s="131" t="s">
        <v>243</v>
      </c>
      <c r="J134" s="119" t="s">
        <v>244</v>
      </c>
      <c r="K134" s="119" t="s">
        <v>266</v>
      </c>
      <c r="L134" s="119" t="s">
        <v>338</v>
      </c>
      <c r="M134" s="119" t="s">
        <v>46</v>
      </c>
      <c r="N134" s="135">
        <v>0</v>
      </c>
      <c r="O134" s="135" t="s">
        <v>47</v>
      </c>
      <c r="P134" s="135"/>
      <c r="Q134" s="137">
        <v>0</v>
      </c>
      <c r="R134" s="137">
        <v>0</v>
      </c>
      <c r="S134" s="137">
        <v>30848</v>
      </c>
      <c r="T134" s="137">
        <f t="shared" si="25"/>
        <v>0</v>
      </c>
      <c r="U134" s="137">
        <f t="shared" si="29"/>
        <v>30848</v>
      </c>
      <c r="V134" s="137">
        <v>21853.5</v>
      </c>
      <c r="W134" s="137">
        <f t="shared" si="30"/>
        <v>8994.5</v>
      </c>
      <c r="X134" s="137">
        <f t="shared" si="26"/>
        <v>8994.5</v>
      </c>
      <c r="Y134" s="137">
        <f t="shared" si="31"/>
        <v>0</v>
      </c>
      <c r="Z134" s="137">
        <v>30848</v>
      </c>
      <c r="AA134" s="137">
        <f t="shared" si="27"/>
        <v>-8994.5</v>
      </c>
      <c r="AB134" s="146">
        <f t="shared" si="22"/>
        <v>30848</v>
      </c>
      <c r="AC134" s="147">
        <f t="shared" si="28"/>
        <v>0</v>
      </c>
      <c r="AD134" s="137">
        <v>21853.5</v>
      </c>
      <c r="AE134" s="138">
        <v>0</v>
      </c>
      <c r="AF134" s="137">
        <f t="shared" si="23"/>
        <v>0</v>
      </c>
      <c r="AG134" s="137">
        <f t="shared" si="24"/>
        <v>0</v>
      </c>
      <c r="AH134" s="154"/>
      <c r="AI134" s="154"/>
      <c r="AJ134" s="136">
        <v>0</v>
      </c>
      <c r="AK134" s="119" t="s">
        <v>120</v>
      </c>
      <c r="AL134" s="119" t="s">
        <v>269</v>
      </c>
      <c r="AM134" s="131"/>
    </row>
    <row r="135" spans="1:39" s="119" customFormat="1" ht="15" customHeight="1" x14ac:dyDescent="0.3">
      <c r="A135" s="119">
        <v>2017</v>
      </c>
      <c r="B135" s="119" t="s">
        <v>199</v>
      </c>
      <c r="C135" s="119" t="s">
        <v>59</v>
      </c>
      <c r="D135" s="119" t="s">
        <v>154</v>
      </c>
      <c r="E135" s="119" t="s">
        <v>61</v>
      </c>
      <c r="F135" s="119" t="s">
        <v>340</v>
      </c>
      <c r="G135" s="119" t="s">
        <v>341</v>
      </c>
      <c r="H135" s="119" t="s">
        <v>341</v>
      </c>
      <c r="I135" s="131" t="s">
        <v>243</v>
      </c>
      <c r="J135" s="119" t="s">
        <v>244</v>
      </c>
      <c r="K135" s="119" t="s">
        <v>266</v>
      </c>
      <c r="L135" s="119" t="s">
        <v>342</v>
      </c>
      <c r="M135" s="119" t="s">
        <v>46</v>
      </c>
      <c r="N135" s="135">
        <v>0</v>
      </c>
      <c r="O135" s="135" t="s">
        <v>47</v>
      </c>
      <c r="P135" s="135"/>
      <c r="Q135" s="137">
        <v>0</v>
      </c>
      <c r="R135" s="137">
        <v>0</v>
      </c>
      <c r="S135" s="137">
        <v>20000</v>
      </c>
      <c r="T135" s="137">
        <f t="shared" si="25"/>
        <v>0</v>
      </c>
      <c r="U135" s="137">
        <f t="shared" si="29"/>
        <v>20000</v>
      </c>
      <c r="V135" s="137">
        <v>7846.5</v>
      </c>
      <c r="W135" s="137">
        <f t="shared" si="30"/>
        <v>12153.5</v>
      </c>
      <c r="X135" s="137">
        <f t="shared" si="26"/>
        <v>12153.5</v>
      </c>
      <c r="Y135" s="137">
        <f t="shared" si="31"/>
        <v>0</v>
      </c>
      <c r="Z135" s="137">
        <v>10462</v>
      </c>
      <c r="AA135" s="137">
        <f t="shared" si="27"/>
        <v>-2615.5</v>
      </c>
      <c r="AB135" s="146">
        <f t="shared" si="22"/>
        <v>10462</v>
      </c>
      <c r="AC135" s="147">
        <f t="shared" si="28"/>
        <v>0</v>
      </c>
      <c r="AD135" s="137">
        <v>7846.5</v>
      </c>
      <c r="AE135" s="138">
        <v>0</v>
      </c>
      <c r="AF135" s="137">
        <f t="shared" si="23"/>
        <v>0</v>
      </c>
      <c r="AG135" s="137">
        <f t="shared" si="24"/>
        <v>0</v>
      </c>
      <c r="AH135" s="154"/>
      <c r="AI135" s="154"/>
      <c r="AJ135" s="135" t="s">
        <v>47</v>
      </c>
      <c r="AK135" s="119" t="s">
        <v>47</v>
      </c>
      <c r="AL135" s="119" t="s">
        <v>269</v>
      </c>
      <c r="AM135" s="131"/>
    </row>
    <row r="136" spans="1:39" s="119" customFormat="1" ht="15" customHeight="1" x14ac:dyDescent="0.3">
      <c r="A136" s="119">
        <v>2017</v>
      </c>
      <c r="B136" s="119" t="s">
        <v>38</v>
      </c>
      <c r="C136" s="119" t="s">
        <v>59</v>
      </c>
      <c r="D136" s="119" t="s">
        <v>154</v>
      </c>
      <c r="E136" s="119" t="s">
        <v>61</v>
      </c>
      <c r="F136" s="119" t="s">
        <v>343</v>
      </c>
      <c r="G136" s="119" t="s">
        <v>343</v>
      </c>
      <c r="H136" s="119" t="s">
        <v>343</v>
      </c>
      <c r="I136" s="131" t="s">
        <v>243</v>
      </c>
      <c r="J136" s="119" t="s">
        <v>244</v>
      </c>
      <c r="K136" s="119" t="s">
        <v>266</v>
      </c>
      <c r="L136" s="119" t="s">
        <v>343</v>
      </c>
      <c r="M136" s="119" t="s">
        <v>46</v>
      </c>
      <c r="N136" s="135">
        <v>0</v>
      </c>
      <c r="O136" s="135" t="s">
        <v>47</v>
      </c>
      <c r="P136" s="135"/>
      <c r="Q136" s="137">
        <v>0</v>
      </c>
      <c r="R136" s="137">
        <v>0</v>
      </c>
      <c r="S136" s="137">
        <v>82838</v>
      </c>
      <c r="T136" s="137">
        <f t="shared" si="25"/>
        <v>0</v>
      </c>
      <c r="U136" s="137">
        <f t="shared" si="29"/>
        <v>82838</v>
      </c>
      <c r="V136" s="137">
        <v>58720.5</v>
      </c>
      <c r="W136" s="137">
        <f t="shared" si="30"/>
        <v>24117.5</v>
      </c>
      <c r="X136" s="137">
        <f t="shared" si="26"/>
        <v>24117.5</v>
      </c>
      <c r="Y136" s="137">
        <f t="shared" si="31"/>
        <v>0</v>
      </c>
      <c r="Z136" s="137">
        <v>82820.5</v>
      </c>
      <c r="AA136" s="137">
        <f t="shared" si="27"/>
        <v>-24100</v>
      </c>
      <c r="AB136" s="146">
        <f t="shared" si="22"/>
        <v>82820.5</v>
      </c>
      <c r="AC136" s="147">
        <f t="shared" si="28"/>
        <v>0</v>
      </c>
      <c r="AD136" s="137">
        <v>58720.5</v>
      </c>
      <c r="AE136" s="138">
        <v>0</v>
      </c>
      <c r="AF136" s="137">
        <f t="shared" si="23"/>
        <v>0</v>
      </c>
      <c r="AG136" s="137">
        <f t="shared" si="24"/>
        <v>0</v>
      </c>
      <c r="AH136" s="154"/>
      <c r="AI136" s="154"/>
      <c r="AJ136" s="135" t="s">
        <v>47</v>
      </c>
      <c r="AK136" s="119" t="s">
        <v>120</v>
      </c>
      <c r="AL136" s="119" t="s">
        <v>269</v>
      </c>
      <c r="AM136" s="131"/>
    </row>
    <row r="137" spans="1:39" s="119" customFormat="1" ht="15" customHeight="1" x14ac:dyDescent="0.3">
      <c r="A137" s="119">
        <v>2017</v>
      </c>
      <c r="B137" s="119" t="s">
        <v>38</v>
      </c>
      <c r="C137" s="119" t="s">
        <v>59</v>
      </c>
      <c r="D137" s="119" t="s">
        <v>154</v>
      </c>
      <c r="E137" s="119" t="s">
        <v>61</v>
      </c>
      <c r="F137" s="119" t="s">
        <v>344</v>
      </c>
      <c r="G137" s="119" t="s">
        <v>344</v>
      </c>
      <c r="H137" s="119" t="s">
        <v>344</v>
      </c>
      <c r="I137" s="131" t="s">
        <v>243</v>
      </c>
      <c r="J137" s="119" t="s">
        <v>244</v>
      </c>
      <c r="K137" s="119" t="s">
        <v>266</v>
      </c>
      <c r="L137" s="119" t="s">
        <v>344</v>
      </c>
      <c r="M137" s="119" t="s">
        <v>46</v>
      </c>
      <c r="N137" s="135">
        <v>0</v>
      </c>
      <c r="O137" s="135" t="s">
        <v>47</v>
      </c>
      <c r="P137" s="135"/>
      <c r="Q137" s="137">
        <v>0</v>
      </c>
      <c r="R137" s="137">
        <v>0</v>
      </c>
      <c r="S137" s="137">
        <v>38855</v>
      </c>
      <c r="T137" s="137">
        <f t="shared" si="25"/>
        <v>0</v>
      </c>
      <c r="U137" s="137">
        <f t="shared" si="29"/>
        <v>38855</v>
      </c>
      <c r="V137" s="137">
        <v>23545.5</v>
      </c>
      <c r="W137" s="137">
        <f t="shared" si="30"/>
        <v>15309.5</v>
      </c>
      <c r="X137" s="137">
        <f t="shared" si="26"/>
        <v>15309.5</v>
      </c>
      <c r="Y137" s="137">
        <f t="shared" si="31"/>
        <v>0</v>
      </c>
      <c r="Z137" s="137">
        <v>35165</v>
      </c>
      <c r="AA137" s="137">
        <f t="shared" si="27"/>
        <v>-11619.5</v>
      </c>
      <c r="AB137" s="146">
        <f t="shared" si="22"/>
        <v>35165</v>
      </c>
      <c r="AC137" s="147">
        <f t="shared" si="28"/>
        <v>0</v>
      </c>
      <c r="AD137" s="137">
        <v>23545.5</v>
      </c>
      <c r="AE137" s="138">
        <v>0</v>
      </c>
      <c r="AF137" s="137">
        <f t="shared" si="23"/>
        <v>0</v>
      </c>
      <c r="AG137" s="137">
        <f t="shared" si="24"/>
        <v>0</v>
      </c>
      <c r="AH137" s="154"/>
      <c r="AI137" s="154"/>
      <c r="AJ137" s="135" t="s">
        <v>47</v>
      </c>
      <c r="AK137" s="119" t="s">
        <v>120</v>
      </c>
      <c r="AL137" s="119" t="s">
        <v>269</v>
      </c>
      <c r="AM137" s="131"/>
    </row>
    <row r="138" spans="1:39" s="119" customFormat="1" ht="15" customHeight="1" x14ac:dyDescent="0.3">
      <c r="A138" s="119">
        <v>2017</v>
      </c>
      <c r="B138" s="119" t="s">
        <v>38</v>
      </c>
      <c r="C138" s="119" t="s">
        <v>59</v>
      </c>
      <c r="D138" s="119" t="s">
        <v>154</v>
      </c>
      <c r="E138" s="119" t="s">
        <v>67</v>
      </c>
      <c r="F138" s="119" t="s">
        <v>345</v>
      </c>
      <c r="G138" s="119" t="s">
        <v>345</v>
      </c>
      <c r="H138" s="119" t="s">
        <v>345</v>
      </c>
      <c r="I138" s="131" t="s">
        <v>243</v>
      </c>
      <c r="J138" s="119" t="s">
        <v>244</v>
      </c>
      <c r="K138" s="119" t="s">
        <v>266</v>
      </c>
      <c r="L138" s="119" t="s">
        <v>345</v>
      </c>
      <c r="M138" s="119" t="s">
        <v>46</v>
      </c>
      <c r="N138" s="135">
        <v>0</v>
      </c>
      <c r="O138" s="135" t="s">
        <v>47</v>
      </c>
      <c r="P138" s="135"/>
      <c r="Q138" s="137">
        <v>0</v>
      </c>
      <c r="R138" s="137">
        <v>0</v>
      </c>
      <c r="S138" s="137">
        <v>498969</v>
      </c>
      <c r="T138" s="137">
        <f t="shared" si="25"/>
        <v>0</v>
      </c>
      <c r="U138" s="137">
        <f t="shared" si="29"/>
        <v>498969</v>
      </c>
      <c r="V138" s="137">
        <v>321802.5</v>
      </c>
      <c r="W138" s="137">
        <f t="shared" si="30"/>
        <v>177166.5</v>
      </c>
      <c r="X138" s="137">
        <f t="shared" si="26"/>
        <v>177166.5</v>
      </c>
      <c r="Y138" s="137">
        <f t="shared" si="31"/>
        <v>0</v>
      </c>
      <c r="Z138" s="137">
        <v>497578.5</v>
      </c>
      <c r="AA138" s="137">
        <f t="shared" si="27"/>
        <v>-175776</v>
      </c>
      <c r="AB138" s="146">
        <f t="shared" si="22"/>
        <v>497578.5</v>
      </c>
      <c r="AC138" s="147">
        <f t="shared" si="28"/>
        <v>0</v>
      </c>
      <c r="AD138" s="137">
        <v>321802.5</v>
      </c>
      <c r="AE138" s="138">
        <v>0</v>
      </c>
      <c r="AF138" s="137">
        <f t="shared" si="23"/>
        <v>0</v>
      </c>
      <c r="AG138" s="137">
        <f t="shared" si="24"/>
        <v>0</v>
      </c>
      <c r="AH138" s="154"/>
      <c r="AI138" s="154"/>
      <c r="AJ138" s="135" t="s">
        <v>47</v>
      </c>
      <c r="AK138" s="119" t="s">
        <v>47</v>
      </c>
      <c r="AL138" s="119" t="s">
        <v>269</v>
      </c>
      <c r="AM138" s="131"/>
    </row>
    <row r="139" spans="1:39" s="119" customFormat="1" ht="15" customHeight="1" x14ac:dyDescent="0.3">
      <c r="A139" s="119">
        <v>2017</v>
      </c>
      <c r="B139" s="119" t="s">
        <v>38</v>
      </c>
      <c r="C139" s="119" t="s">
        <v>59</v>
      </c>
      <c r="D139" s="119" t="s">
        <v>154</v>
      </c>
      <c r="E139" s="119" t="s">
        <v>131</v>
      </c>
      <c r="F139" s="119" t="s">
        <v>346</v>
      </c>
      <c r="G139" s="119" t="s">
        <v>346</v>
      </c>
      <c r="H139" s="119" t="s">
        <v>346</v>
      </c>
      <c r="I139" s="131" t="s">
        <v>243</v>
      </c>
      <c r="J139" s="119" t="s">
        <v>244</v>
      </c>
      <c r="K139" s="119" t="s">
        <v>266</v>
      </c>
      <c r="L139" s="119" t="s">
        <v>347</v>
      </c>
      <c r="M139" s="119" t="s">
        <v>46</v>
      </c>
      <c r="N139" s="135">
        <v>0</v>
      </c>
      <c r="O139" s="135" t="s">
        <v>47</v>
      </c>
      <c r="P139" s="135"/>
      <c r="Q139" s="137">
        <v>0</v>
      </c>
      <c r="R139" s="137">
        <v>0</v>
      </c>
      <c r="S139" s="137">
        <v>106216</v>
      </c>
      <c r="T139" s="137">
        <f t="shared" si="25"/>
        <v>0</v>
      </c>
      <c r="U139" s="137">
        <f t="shared" si="29"/>
        <v>106216</v>
      </c>
      <c r="V139" s="137">
        <v>79656</v>
      </c>
      <c r="W139" s="137">
        <f t="shared" si="30"/>
        <v>26560</v>
      </c>
      <c r="X139" s="137">
        <f t="shared" si="26"/>
        <v>26560</v>
      </c>
      <c r="Y139" s="137">
        <f t="shared" si="31"/>
        <v>0</v>
      </c>
      <c r="Z139" s="137">
        <v>106208</v>
      </c>
      <c r="AA139" s="137">
        <f t="shared" si="27"/>
        <v>-26552</v>
      </c>
      <c r="AB139" s="146">
        <f t="shared" si="22"/>
        <v>106208</v>
      </c>
      <c r="AC139" s="147">
        <f t="shared" si="28"/>
        <v>0</v>
      </c>
      <c r="AD139" s="137">
        <v>79656</v>
      </c>
      <c r="AE139" s="138">
        <v>0</v>
      </c>
      <c r="AF139" s="137">
        <f t="shared" si="23"/>
        <v>0</v>
      </c>
      <c r="AG139" s="137">
        <f t="shared" si="24"/>
        <v>0</v>
      </c>
      <c r="AH139" s="154"/>
      <c r="AI139" s="154"/>
      <c r="AJ139" s="135" t="s">
        <v>47</v>
      </c>
      <c r="AK139" s="119" t="s">
        <v>47</v>
      </c>
      <c r="AL139" s="119" t="s">
        <v>269</v>
      </c>
      <c r="AM139" s="131"/>
    </row>
    <row r="140" spans="1:39" s="119" customFormat="1" ht="15" customHeight="1" x14ac:dyDescent="0.3">
      <c r="A140" s="119">
        <v>2017</v>
      </c>
      <c r="B140" s="119" t="s">
        <v>199</v>
      </c>
      <c r="C140" s="119" t="s">
        <v>59</v>
      </c>
      <c r="D140" s="119" t="s">
        <v>154</v>
      </c>
      <c r="E140" s="119" t="s">
        <v>192</v>
      </c>
      <c r="F140" s="119" t="s">
        <v>348</v>
      </c>
      <c r="G140" s="119" t="s">
        <v>349</v>
      </c>
      <c r="H140" s="119" t="s">
        <v>349</v>
      </c>
      <c r="I140" s="131" t="s">
        <v>243</v>
      </c>
      <c r="J140" s="119" t="s">
        <v>244</v>
      </c>
      <c r="K140" s="119" t="s">
        <v>266</v>
      </c>
      <c r="L140" s="119" t="s">
        <v>348</v>
      </c>
      <c r="M140" s="119" t="s">
        <v>46</v>
      </c>
      <c r="N140" s="135">
        <v>0</v>
      </c>
      <c r="O140" s="135" t="s">
        <v>47</v>
      </c>
      <c r="P140" s="135"/>
      <c r="Q140" s="137">
        <v>0</v>
      </c>
      <c r="R140" s="137">
        <v>0</v>
      </c>
      <c r="S140" s="137">
        <v>11142.5</v>
      </c>
      <c r="T140" s="137">
        <f t="shared" si="25"/>
        <v>0</v>
      </c>
      <c r="U140" s="137">
        <f t="shared" si="29"/>
        <v>11142.5</v>
      </c>
      <c r="V140" s="137">
        <v>7344</v>
      </c>
      <c r="W140" s="137">
        <f t="shared" si="30"/>
        <v>3798.5</v>
      </c>
      <c r="X140" s="137">
        <f t="shared" si="26"/>
        <v>3798.5</v>
      </c>
      <c r="Y140" s="137">
        <f t="shared" si="31"/>
        <v>0</v>
      </c>
      <c r="Z140" s="137">
        <v>11140.5</v>
      </c>
      <c r="AA140" s="137">
        <f t="shared" si="27"/>
        <v>-3796.5</v>
      </c>
      <c r="AB140" s="146">
        <f t="shared" si="22"/>
        <v>11140.5</v>
      </c>
      <c r="AC140" s="147">
        <f t="shared" si="28"/>
        <v>0</v>
      </c>
      <c r="AD140" s="137">
        <v>7344</v>
      </c>
      <c r="AE140" s="138">
        <v>0</v>
      </c>
      <c r="AF140" s="137">
        <f t="shared" si="23"/>
        <v>0</v>
      </c>
      <c r="AG140" s="137">
        <f t="shared" si="24"/>
        <v>0</v>
      </c>
      <c r="AH140" s="154"/>
      <c r="AI140" s="154"/>
      <c r="AJ140" s="155">
        <v>0</v>
      </c>
      <c r="AK140" s="119">
        <v>0</v>
      </c>
      <c r="AL140" s="119" t="s">
        <v>269</v>
      </c>
      <c r="AM140" s="131"/>
    </row>
    <row r="141" spans="1:39" s="119" customFormat="1" ht="15" customHeight="1" x14ac:dyDescent="0.3">
      <c r="A141" s="119">
        <v>2017</v>
      </c>
      <c r="B141" s="119" t="s">
        <v>38</v>
      </c>
      <c r="C141" s="119" t="s">
        <v>59</v>
      </c>
      <c r="D141" s="119" t="s">
        <v>181</v>
      </c>
      <c r="E141" s="119" t="s">
        <v>67</v>
      </c>
      <c r="F141" s="119" t="s">
        <v>350</v>
      </c>
      <c r="G141" s="119" t="s">
        <v>350</v>
      </c>
      <c r="H141" s="119" t="s">
        <v>350</v>
      </c>
      <c r="I141" s="131" t="s">
        <v>243</v>
      </c>
      <c r="J141" s="119" t="s">
        <v>244</v>
      </c>
      <c r="K141" s="119" t="s">
        <v>266</v>
      </c>
      <c r="L141" s="119" t="s">
        <v>351</v>
      </c>
      <c r="M141" s="119" t="s">
        <v>46</v>
      </c>
      <c r="N141" s="135">
        <v>0</v>
      </c>
      <c r="O141" s="135" t="s">
        <v>47</v>
      </c>
      <c r="P141" s="135"/>
      <c r="Q141" s="137">
        <v>0</v>
      </c>
      <c r="R141" s="137">
        <v>0</v>
      </c>
      <c r="S141" s="137">
        <v>9170</v>
      </c>
      <c r="T141" s="137">
        <f t="shared" si="25"/>
        <v>0</v>
      </c>
      <c r="U141" s="137">
        <f t="shared" si="29"/>
        <v>9170</v>
      </c>
      <c r="V141" s="137">
        <v>6831</v>
      </c>
      <c r="W141" s="137">
        <f t="shared" si="30"/>
        <v>2339</v>
      </c>
      <c r="X141" s="137">
        <f t="shared" si="26"/>
        <v>2339</v>
      </c>
      <c r="Y141" s="137">
        <f t="shared" si="31"/>
        <v>0</v>
      </c>
      <c r="Z141" s="137">
        <v>9108</v>
      </c>
      <c r="AA141" s="137">
        <f t="shared" si="27"/>
        <v>-2277</v>
      </c>
      <c r="AB141" s="146">
        <f t="shared" si="22"/>
        <v>9108</v>
      </c>
      <c r="AC141" s="147">
        <f t="shared" si="28"/>
        <v>0</v>
      </c>
      <c r="AD141" s="137">
        <v>6831</v>
      </c>
      <c r="AE141" s="138">
        <v>0</v>
      </c>
      <c r="AF141" s="137">
        <f t="shared" si="23"/>
        <v>0</v>
      </c>
      <c r="AG141" s="137">
        <f t="shared" si="24"/>
        <v>0</v>
      </c>
      <c r="AH141" s="154"/>
      <c r="AI141" s="154"/>
      <c r="AJ141" s="135" t="s">
        <v>47</v>
      </c>
      <c r="AK141" s="119" t="s">
        <v>47</v>
      </c>
      <c r="AL141" s="119" t="s">
        <v>269</v>
      </c>
      <c r="AM141" s="131"/>
    </row>
    <row r="142" spans="1:39" s="119" customFormat="1" ht="15" customHeight="1" x14ac:dyDescent="0.3">
      <c r="A142" s="119">
        <v>2017</v>
      </c>
      <c r="B142" s="119" t="s">
        <v>38</v>
      </c>
      <c r="C142" s="119" t="s">
        <v>59</v>
      </c>
      <c r="D142" s="119" t="s">
        <v>106</v>
      </c>
      <c r="E142" s="119" t="s">
        <v>239</v>
      </c>
      <c r="F142" s="119" t="s">
        <v>240</v>
      </c>
      <c r="G142" s="119" t="s">
        <v>240</v>
      </c>
      <c r="H142" s="119" t="s">
        <v>240</v>
      </c>
      <c r="I142" s="131" t="s">
        <v>243</v>
      </c>
      <c r="J142" s="119" t="s">
        <v>244</v>
      </c>
      <c r="K142" s="119" t="s">
        <v>266</v>
      </c>
      <c r="L142" s="119" t="s">
        <v>240</v>
      </c>
      <c r="M142" s="119" t="s">
        <v>46</v>
      </c>
      <c r="N142" s="135">
        <v>0</v>
      </c>
      <c r="O142" s="135" t="s">
        <v>47</v>
      </c>
      <c r="P142" s="135"/>
      <c r="Q142" s="137">
        <v>0</v>
      </c>
      <c r="R142" s="137">
        <v>0</v>
      </c>
      <c r="S142" s="137">
        <v>20248</v>
      </c>
      <c r="T142" s="137">
        <f t="shared" si="25"/>
        <v>0</v>
      </c>
      <c r="U142" s="137">
        <f t="shared" si="29"/>
        <v>20248</v>
      </c>
      <c r="V142" s="137">
        <v>13570.5</v>
      </c>
      <c r="W142" s="137">
        <f t="shared" si="30"/>
        <v>6677.5</v>
      </c>
      <c r="X142" s="137">
        <f t="shared" si="26"/>
        <v>6677.5</v>
      </c>
      <c r="Y142" s="137">
        <f t="shared" si="31"/>
        <v>0</v>
      </c>
      <c r="Z142" s="137">
        <v>20248</v>
      </c>
      <c r="AA142" s="137">
        <f t="shared" si="27"/>
        <v>-6677.5</v>
      </c>
      <c r="AB142" s="146">
        <f t="shared" si="22"/>
        <v>20248</v>
      </c>
      <c r="AC142" s="147">
        <f t="shared" si="28"/>
        <v>0</v>
      </c>
      <c r="AD142" s="137">
        <v>13570.5</v>
      </c>
      <c r="AE142" s="138">
        <v>0</v>
      </c>
      <c r="AF142" s="137">
        <f t="shared" si="23"/>
        <v>0</v>
      </c>
      <c r="AG142" s="137">
        <f t="shared" si="24"/>
        <v>0</v>
      </c>
      <c r="AH142" s="154"/>
      <c r="AI142" s="154"/>
      <c r="AJ142" s="135" t="s">
        <v>47</v>
      </c>
      <c r="AK142" s="119" t="s">
        <v>47</v>
      </c>
      <c r="AL142" s="119" t="s">
        <v>269</v>
      </c>
      <c r="AM142" s="131"/>
    </row>
    <row r="143" spans="1:39" s="119" customFormat="1" ht="15" customHeight="1" x14ac:dyDescent="0.3">
      <c r="A143" s="119">
        <v>2017</v>
      </c>
      <c r="B143" s="119" t="s">
        <v>38</v>
      </c>
      <c r="C143" s="119" t="s">
        <v>59</v>
      </c>
      <c r="D143" s="119" t="s">
        <v>106</v>
      </c>
      <c r="E143" s="119" t="s">
        <v>239</v>
      </c>
      <c r="F143" s="119" t="s">
        <v>352</v>
      </c>
      <c r="G143" s="119" t="s">
        <v>352</v>
      </c>
      <c r="H143" s="119" t="s">
        <v>352</v>
      </c>
      <c r="I143" s="131" t="s">
        <v>243</v>
      </c>
      <c r="J143" s="119" t="s">
        <v>244</v>
      </c>
      <c r="K143" s="119" t="s">
        <v>266</v>
      </c>
      <c r="L143" s="119" t="s">
        <v>352</v>
      </c>
      <c r="M143" s="119" t="s">
        <v>46</v>
      </c>
      <c r="N143" s="135">
        <v>0</v>
      </c>
      <c r="O143" s="135" t="s">
        <v>47</v>
      </c>
      <c r="P143" s="135"/>
      <c r="Q143" s="137">
        <v>0</v>
      </c>
      <c r="R143" s="137">
        <v>0</v>
      </c>
      <c r="S143" s="137">
        <v>955516</v>
      </c>
      <c r="T143" s="137">
        <f t="shared" si="25"/>
        <v>0</v>
      </c>
      <c r="U143" s="137">
        <f t="shared" si="29"/>
        <v>955516</v>
      </c>
      <c r="V143" s="137">
        <v>524698.5</v>
      </c>
      <c r="W143" s="137">
        <f t="shared" si="30"/>
        <v>430817.5</v>
      </c>
      <c r="X143" s="137">
        <f t="shared" si="26"/>
        <v>430817.5</v>
      </c>
      <c r="Y143" s="137">
        <f t="shared" si="31"/>
        <v>0</v>
      </c>
      <c r="Z143" s="137">
        <v>734300</v>
      </c>
      <c r="AA143" s="137">
        <f t="shared" si="27"/>
        <v>-209601.5</v>
      </c>
      <c r="AB143" s="146">
        <f t="shared" si="22"/>
        <v>734300</v>
      </c>
      <c r="AC143" s="147">
        <f t="shared" si="28"/>
        <v>0</v>
      </c>
      <c r="AD143" s="137">
        <v>524698.5</v>
      </c>
      <c r="AE143" s="138">
        <v>0</v>
      </c>
      <c r="AF143" s="137">
        <f t="shared" si="23"/>
        <v>0</v>
      </c>
      <c r="AG143" s="137">
        <f t="shared" si="24"/>
        <v>0</v>
      </c>
      <c r="AH143" s="154"/>
      <c r="AI143" s="154"/>
      <c r="AJ143" s="136">
        <v>0</v>
      </c>
      <c r="AK143" s="119" t="s">
        <v>120</v>
      </c>
      <c r="AL143" s="119" t="s">
        <v>269</v>
      </c>
      <c r="AM143" s="131"/>
    </row>
    <row r="144" spans="1:39" s="119" customFormat="1" ht="15" customHeight="1" x14ac:dyDescent="0.3">
      <c r="A144" s="119">
        <v>2017</v>
      </c>
      <c r="B144" s="119" t="s">
        <v>38</v>
      </c>
      <c r="C144" s="119" t="s">
        <v>59</v>
      </c>
      <c r="D144" s="119" t="s">
        <v>106</v>
      </c>
      <c r="E144" s="119" t="s">
        <v>190</v>
      </c>
      <c r="F144" s="119" t="s">
        <v>353</v>
      </c>
      <c r="G144" s="119" t="s">
        <v>353</v>
      </c>
      <c r="H144" s="119" t="s">
        <v>353</v>
      </c>
      <c r="I144" s="131" t="s">
        <v>243</v>
      </c>
      <c r="J144" s="119" t="s">
        <v>244</v>
      </c>
      <c r="K144" s="119" t="s">
        <v>266</v>
      </c>
      <c r="L144" s="119" t="s">
        <v>354</v>
      </c>
      <c r="M144" s="119" t="s">
        <v>46</v>
      </c>
      <c r="N144" s="135">
        <v>0</v>
      </c>
      <c r="O144" s="135" t="s">
        <v>47</v>
      </c>
      <c r="P144" s="135"/>
      <c r="Q144" s="137">
        <v>0</v>
      </c>
      <c r="R144" s="137">
        <v>0</v>
      </c>
      <c r="S144" s="137">
        <v>91181</v>
      </c>
      <c r="T144" s="137">
        <f t="shared" si="25"/>
        <v>0</v>
      </c>
      <c r="U144" s="137">
        <f t="shared" si="29"/>
        <v>91181</v>
      </c>
      <c r="V144" s="137">
        <v>65053.5</v>
      </c>
      <c r="W144" s="137">
        <f t="shared" si="30"/>
        <v>26127.5</v>
      </c>
      <c r="X144" s="137">
        <f t="shared" si="26"/>
        <v>26127.5</v>
      </c>
      <c r="Y144" s="137">
        <f t="shared" si="31"/>
        <v>0</v>
      </c>
      <c r="Z144" s="137">
        <v>90381</v>
      </c>
      <c r="AA144" s="137">
        <f t="shared" si="27"/>
        <v>-25327.5</v>
      </c>
      <c r="AB144" s="146">
        <f t="shared" si="22"/>
        <v>90381</v>
      </c>
      <c r="AC144" s="147">
        <f t="shared" si="28"/>
        <v>0</v>
      </c>
      <c r="AD144" s="137">
        <v>65053.5</v>
      </c>
      <c r="AE144" s="138">
        <v>0</v>
      </c>
      <c r="AF144" s="137">
        <f t="shared" si="23"/>
        <v>0</v>
      </c>
      <c r="AG144" s="137">
        <f t="shared" si="24"/>
        <v>0</v>
      </c>
      <c r="AH144" s="154"/>
      <c r="AI144" s="154"/>
      <c r="AJ144" s="136">
        <v>0</v>
      </c>
      <c r="AK144" s="119" t="s">
        <v>47</v>
      </c>
      <c r="AL144" s="119" t="s">
        <v>269</v>
      </c>
      <c r="AM144" s="131"/>
    </row>
    <row r="145" spans="1:39" s="119" customFormat="1" ht="15" customHeight="1" x14ac:dyDescent="0.3">
      <c r="A145" s="119">
        <v>2017</v>
      </c>
      <c r="B145" s="119" t="s">
        <v>38</v>
      </c>
      <c r="C145" s="119" t="s">
        <v>59</v>
      </c>
      <c r="D145" s="119" t="s">
        <v>106</v>
      </c>
      <c r="E145" s="119" t="s">
        <v>190</v>
      </c>
      <c r="F145" s="119" t="s">
        <v>355</v>
      </c>
      <c r="G145" s="119" t="s">
        <v>356</v>
      </c>
      <c r="H145" s="119" t="s">
        <v>356</v>
      </c>
      <c r="I145" s="131" t="s">
        <v>243</v>
      </c>
      <c r="J145" s="119" t="s">
        <v>244</v>
      </c>
      <c r="K145" s="119" t="s">
        <v>266</v>
      </c>
      <c r="L145" s="119" t="s">
        <v>357</v>
      </c>
      <c r="M145" s="119" t="s">
        <v>46</v>
      </c>
      <c r="N145" s="135">
        <v>0</v>
      </c>
      <c r="O145" s="135" t="s">
        <v>47</v>
      </c>
      <c r="P145" s="135"/>
      <c r="Q145" s="137">
        <v>0</v>
      </c>
      <c r="R145" s="137">
        <v>0</v>
      </c>
      <c r="S145" s="137">
        <v>240841</v>
      </c>
      <c r="T145" s="137">
        <f t="shared" si="25"/>
        <v>0</v>
      </c>
      <c r="U145" s="137">
        <f t="shared" si="29"/>
        <v>240841</v>
      </c>
      <c r="V145" s="137">
        <v>102546</v>
      </c>
      <c r="W145" s="137">
        <f t="shared" si="30"/>
        <v>138295</v>
      </c>
      <c r="X145" s="137">
        <f t="shared" si="26"/>
        <v>138295</v>
      </c>
      <c r="Y145" s="137">
        <f t="shared" si="31"/>
        <v>0</v>
      </c>
      <c r="Z145" s="137">
        <v>140483.5</v>
      </c>
      <c r="AA145" s="137">
        <f t="shared" si="27"/>
        <v>-37937.5</v>
      </c>
      <c r="AB145" s="146">
        <f t="shared" si="22"/>
        <v>140483.5</v>
      </c>
      <c r="AC145" s="147">
        <f t="shared" si="28"/>
        <v>0</v>
      </c>
      <c r="AD145" s="137">
        <v>102546</v>
      </c>
      <c r="AE145" s="138">
        <v>0</v>
      </c>
      <c r="AF145" s="137">
        <f t="shared" si="23"/>
        <v>0</v>
      </c>
      <c r="AG145" s="137">
        <f t="shared" si="24"/>
        <v>0</v>
      </c>
      <c r="AH145" s="154"/>
      <c r="AI145" s="154"/>
      <c r="AJ145" s="135" t="s">
        <v>47</v>
      </c>
      <c r="AK145" s="119" t="s">
        <v>47</v>
      </c>
      <c r="AL145" s="119" t="s">
        <v>269</v>
      </c>
      <c r="AM145" s="131"/>
    </row>
    <row r="146" spans="1:39" s="119" customFormat="1" ht="15" customHeight="1" x14ac:dyDescent="0.3">
      <c r="A146" s="119">
        <v>2017</v>
      </c>
      <c r="B146" s="119" t="s">
        <v>38</v>
      </c>
      <c r="C146" s="119" t="s">
        <v>59</v>
      </c>
      <c r="D146" s="119" t="s">
        <v>106</v>
      </c>
      <c r="E146" s="119" t="s">
        <v>131</v>
      </c>
      <c r="F146" s="119" t="s">
        <v>358</v>
      </c>
      <c r="G146" s="119" t="s">
        <v>358</v>
      </c>
      <c r="H146" s="119" t="s">
        <v>358</v>
      </c>
      <c r="I146" s="131" t="s">
        <v>243</v>
      </c>
      <c r="J146" s="119" t="s">
        <v>244</v>
      </c>
      <c r="K146" s="119" t="s">
        <v>266</v>
      </c>
      <c r="L146" s="119" t="s">
        <v>359</v>
      </c>
      <c r="M146" s="119" t="s">
        <v>46</v>
      </c>
      <c r="N146" s="135">
        <v>0</v>
      </c>
      <c r="O146" s="135" t="s">
        <v>47</v>
      </c>
      <c r="P146" s="135"/>
      <c r="Q146" s="137">
        <v>0</v>
      </c>
      <c r="R146" s="137">
        <v>0</v>
      </c>
      <c r="S146" s="137">
        <v>27632.5</v>
      </c>
      <c r="T146" s="137">
        <f t="shared" si="25"/>
        <v>0</v>
      </c>
      <c r="U146" s="137">
        <f t="shared" si="29"/>
        <v>27632.5</v>
      </c>
      <c r="V146" s="137">
        <v>19408.5</v>
      </c>
      <c r="W146" s="137">
        <f t="shared" si="30"/>
        <v>8224</v>
      </c>
      <c r="X146" s="137">
        <f t="shared" si="26"/>
        <v>8224</v>
      </c>
      <c r="Y146" s="137">
        <f t="shared" si="31"/>
        <v>0</v>
      </c>
      <c r="Z146" s="137">
        <v>27499</v>
      </c>
      <c r="AA146" s="137">
        <f t="shared" si="27"/>
        <v>-8090.5</v>
      </c>
      <c r="AB146" s="146">
        <f t="shared" si="22"/>
        <v>27499</v>
      </c>
      <c r="AC146" s="147">
        <f t="shared" si="28"/>
        <v>0</v>
      </c>
      <c r="AD146" s="137">
        <v>19408.5</v>
      </c>
      <c r="AE146" s="138">
        <v>0</v>
      </c>
      <c r="AF146" s="137">
        <f t="shared" si="23"/>
        <v>0</v>
      </c>
      <c r="AG146" s="137">
        <f t="shared" si="24"/>
        <v>0</v>
      </c>
      <c r="AH146" s="154"/>
      <c r="AI146" s="154"/>
      <c r="AJ146" s="136">
        <v>0</v>
      </c>
      <c r="AK146" s="119" t="s">
        <v>120</v>
      </c>
      <c r="AL146" s="119" t="s">
        <v>269</v>
      </c>
      <c r="AM146" s="131"/>
    </row>
    <row r="147" spans="1:39" s="119" customFormat="1" ht="15" customHeight="1" x14ac:dyDescent="0.3">
      <c r="A147" s="119">
        <v>2017</v>
      </c>
      <c r="B147" s="119" t="s">
        <v>38</v>
      </c>
      <c r="C147" s="119" t="s">
        <v>59</v>
      </c>
      <c r="D147" s="119" t="s">
        <v>60</v>
      </c>
      <c r="E147" s="119" t="s">
        <v>61</v>
      </c>
      <c r="F147" s="119" t="s">
        <v>360</v>
      </c>
      <c r="G147" s="119" t="s">
        <v>360</v>
      </c>
      <c r="H147" s="119" t="s">
        <v>360</v>
      </c>
      <c r="I147" s="131" t="s">
        <v>243</v>
      </c>
      <c r="J147" s="119" t="s">
        <v>244</v>
      </c>
      <c r="K147" s="119" t="s">
        <v>266</v>
      </c>
      <c r="L147" s="119" t="s">
        <v>361</v>
      </c>
      <c r="M147" s="119" t="s">
        <v>46</v>
      </c>
      <c r="N147" s="135">
        <v>0</v>
      </c>
      <c r="O147" s="135" t="s">
        <v>47</v>
      </c>
      <c r="P147" s="135"/>
      <c r="Q147" s="137">
        <v>0</v>
      </c>
      <c r="R147" s="137">
        <v>0</v>
      </c>
      <c r="S147" s="137">
        <v>41978</v>
      </c>
      <c r="T147" s="137">
        <f t="shared" si="25"/>
        <v>0</v>
      </c>
      <c r="U147" s="137">
        <f t="shared" si="29"/>
        <v>41978</v>
      </c>
      <c r="V147" s="137">
        <v>0</v>
      </c>
      <c r="W147" s="137">
        <f t="shared" si="30"/>
        <v>41978</v>
      </c>
      <c r="X147" s="137">
        <f t="shared" si="26"/>
        <v>41978</v>
      </c>
      <c r="Y147" s="137">
        <f t="shared" si="31"/>
        <v>0</v>
      </c>
      <c r="Z147" s="137">
        <v>0</v>
      </c>
      <c r="AA147" s="137">
        <f t="shared" si="27"/>
        <v>0</v>
      </c>
      <c r="AB147" s="146">
        <f t="shared" si="22"/>
        <v>0</v>
      </c>
      <c r="AC147" s="147">
        <f t="shared" si="28"/>
        <v>0</v>
      </c>
      <c r="AD147" s="137">
        <v>0</v>
      </c>
      <c r="AE147" s="138">
        <v>0</v>
      </c>
      <c r="AF147" s="137">
        <f t="shared" si="23"/>
        <v>0</v>
      </c>
      <c r="AG147" s="137">
        <f t="shared" si="24"/>
        <v>0</v>
      </c>
      <c r="AH147" s="154"/>
      <c r="AI147" s="154"/>
      <c r="AJ147" s="135" t="s">
        <v>47</v>
      </c>
      <c r="AK147" s="119" t="s">
        <v>120</v>
      </c>
      <c r="AL147" s="119" t="s">
        <v>269</v>
      </c>
      <c r="AM147" s="131"/>
    </row>
    <row r="148" spans="1:39" s="119" customFormat="1" ht="15" customHeight="1" x14ac:dyDescent="0.3">
      <c r="A148" s="119">
        <v>2017</v>
      </c>
      <c r="B148" s="119" t="s">
        <v>38</v>
      </c>
      <c r="C148" s="119" t="s">
        <v>59</v>
      </c>
      <c r="D148" s="119" t="s">
        <v>60</v>
      </c>
      <c r="E148" s="119" t="s">
        <v>61</v>
      </c>
      <c r="F148" s="119" t="s">
        <v>362</v>
      </c>
      <c r="G148" s="119" t="s">
        <v>362</v>
      </c>
      <c r="H148" s="119" t="s">
        <v>362</v>
      </c>
      <c r="I148" s="131" t="s">
        <v>243</v>
      </c>
      <c r="J148" s="119" t="s">
        <v>244</v>
      </c>
      <c r="K148" s="119" t="s">
        <v>266</v>
      </c>
      <c r="L148" s="119" t="s">
        <v>362</v>
      </c>
      <c r="M148" s="119" t="s">
        <v>46</v>
      </c>
      <c r="N148" s="135">
        <v>0</v>
      </c>
      <c r="O148" s="135" t="s">
        <v>47</v>
      </c>
      <c r="P148" s="135"/>
      <c r="Q148" s="137">
        <v>0</v>
      </c>
      <c r="R148" s="137">
        <v>0</v>
      </c>
      <c r="S148" s="137">
        <v>20510.5</v>
      </c>
      <c r="T148" s="137">
        <f t="shared" si="25"/>
        <v>0</v>
      </c>
      <c r="U148" s="137">
        <f t="shared" si="29"/>
        <v>20510.5</v>
      </c>
      <c r="V148" s="137">
        <v>15453</v>
      </c>
      <c r="W148" s="137">
        <f t="shared" si="30"/>
        <v>5057.5</v>
      </c>
      <c r="X148" s="137">
        <f t="shared" si="26"/>
        <v>5057.5</v>
      </c>
      <c r="Y148" s="137">
        <f t="shared" si="31"/>
        <v>0</v>
      </c>
      <c r="Z148" s="137">
        <v>20697.5</v>
      </c>
      <c r="AA148" s="137">
        <f t="shared" si="27"/>
        <v>-5244.5</v>
      </c>
      <c r="AB148" s="146">
        <f t="shared" si="22"/>
        <v>20697.5</v>
      </c>
      <c r="AC148" s="147">
        <f t="shared" si="28"/>
        <v>0</v>
      </c>
      <c r="AD148" s="137">
        <v>15453</v>
      </c>
      <c r="AE148" s="138">
        <v>0</v>
      </c>
      <c r="AF148" s="137">
        <f t="shared" si="23"/>
        <v>0</v>
      </c>
      <c r="AG148" s="137">
        <f t="shared" si="24"/>
        <v>0</v>
      </c>
      <c r="AH148" s="154"/>
      <c r="AI148" s="154"/>
      <c r="AJ148" s="135" t="s">
        <v>47</v>
      </c>
      <c r="AK148" s="119" t="s">
        <v>47</v>
      </c>
      <c r="AL148" s="119" t="s">
        <v>269</v>
      </c>
      <c r="AM148" s="131"/>
    </row>
    <row r="149" spans="1:39" s="119" customFormat="1" ht="15" customHeight="1" x14ac:dyDescent="0.3">
      <c r="A149" s="119">
        <v>2017</v>
      </c>
      <c r="B149" s="119" t="s">
        <v>38</v>
      </c>
      <c r="C149" s="119" t="s">
        <v>59</v>
      </c>
      <c r="D149" s="119" t="s">
        <v>60</v>
      </c>
      <c r="E149" s="119" t="s">
        <v>61</v>
      </c>
      <c r="F149" s="119" t="s">
        <v>274</v>
      </c>
      <c r="G149" s="119" t="s">
        <v>274</v>
      </c>
      <c r="H149" s="119" t="s">
        <v>274</v>
      </c>
      <c r="I149" s="131" t="s">
        <v>243</v>
      </c>
      <c r="J149" s="119" t="s">
        <v>244</v>
      </c>
      <c r="K149" s="119" t="s">
        <v>266</v>
      </c>
      <c r="L149" s="119" t="s">
        <v>274</v>
      </c>
      <c r="M149" s="119" t="s">
        <v>46</v>
      </c>
      <c r="N149" s="135">
        <v>0</v>
      </c>
      <c r="O149" s="135" t="s">
        <v>47</v>
      </c>
      <c r="P149" s="135"/>
      <c r="Q149" s="137">
        <v>0</v>
      </c>
      <c r="R149" s="137">
        <v>0</v>
      </c>
      <c r="S149" s="137">
        <v>9461.5</v>
      </c>
      <c r="T149" s="137">
        <f t="shared" si="25"/>
        <v>0</v>
      </c>
      <c r="U149" s="137">
        <f t="shared" si="29"/>
        <v>9461.5</v>
      </c>
      <c r="V149" s="137">
        <v>36256.5</v>
      </c>
      <c r="W149" s="137">
        <f t="shared" si="30"/>
        <v>-26795</v>
      </c>
      <c r="X149" s="137">
        <f t="shared" si="26"/>
        <v>-26795</v>
      </c>
      <c r="Y149" s="137">
        <f t="shared" si="31"/>
        <v>0</v>
      </c>
      <c r="Z149" s="137">
        <v>51008</v>
      </c>
      <c r="AA149" s="137">
        <f t="shared" si="27"/>
        <v>-14751.5</v>
      </c>
      <c r="AB149" s="146">
        <f t="shared" si="22"/>
        <v>51008</v>
      </c>
      <c r="AC149" s="147">
        <f t="shared" si="28"/>
        <v>0</v>
      </c>
      <c r="AD149" s="137">
        <v>36256.5</v>
      </c>
      <c r="AE149" s="138">
        <v>0</v>
      </c>
      <c r="AF149" s="137">
        <f t="shared" si="23"/>
        <v>0</v>
      </c>
      <c r="AG149" s="137">
        <f t="shared" si="24"/>
        <v>0</v>
      </c>
      <c r="AH149" s="154"/>
      <c r="AI149" s="154"/>
      <c r="AJ149" s="136">
        <v>0</v>
      </c>
      <c r="AK149" s="119" t="s">
        <v>120</v>
      </c>
      <c r="AL149" s="119" t="s">
        <v>269</v>
      </c>
      <c r="AM149" s="131"/>
    </row>
    <row r="150" spans="1:39" s="119" customFormat="1" ht="15" customHeight="1" x14ac:dyDescent="0.3">
      <c r="A150" s="119">
        <v>2017</v>
      </c>
      <c r="B150" s="119" t="s">
        <v>38</v>
      </c>
      <c r="C150" s="119" t="s">
        <v>59</v>
      </c>
      <c r="D150" s="119" t="s">
        <v>210</v>
      </c>
      <c r="E150" s="119" t="s">
        <v>190</v>
      </c>
      <c r="F150" s="119" t="s">
        <v>363</v>
      </c>
      <c r="G150" s="119" t="s">
        <v>363</v>
      </c>
      <c r="H150" s="119" t="s">
        <v>363</v>
      </c>
      <c r="I150" s="131" t="s">
        <v>243</v>
      </c>
      <c r="J150" s="119" t="s">
        <v>244</v>
      </c>
      <c r="K150" s="119" t="s">
        <v>266</v>
      </c>
      <c r="L150" s="119" t="s">
        <v>363</v>
      </c>
      <c r="M150" s="119" t="s">
        <v>46</v>
      </c>
      <c r="N150" s="135">
        <v>0</v>
      </c>
      <c r="O150" s="135" t="s">
        <v>47</v>
      </c>
      <c r="P150" s="135"/>
      <c r="Q150" s="137">
        <v>0</v>
      </c>
      <c r="R150" s="137">
        <v>0</v>
      </c>
      <c r="S150" s="137">
        <v>370506.5</v>
      </c>
      <c r="T150" s="137">
        <f t="shared" si="25"/>
        <v>0</v>
      </c>
      <c r="U150" s="137">
        <f t="shared" si="29"/>
        <v>370506.5</v>
      </c>
      <c r="V150" s="137">
        <v>267919.5</v>
      </c>
      <c r="W150" s="137">
        <f t="shared" si="30"/>
        <v>102587</v>
      </c>
      <c r="X150" s="137">
        <f t="shared" si="26"/>
        <v>102587</v>
      </c>
      <c r="Y150" s="137">
        <f t="shared" si="31"/>
        <v>0</v>
      </c>
      <c r="Z150" s="137">
        <v>373529</v>
      </c>
      <c r="AA150" s="137">
        <f t="shared" si="27"/>
        <v>-105609.5</v>
      </c>
      <c r="AB150" s="146">
        <f t="shared" si="22"/>
        <v>373529</v>
      </c>
      <c r="AC150" s="147">
        <f t="shared" si="28"/>
        <v>0</v>
      </c>
      <c r="AD150" s="137">
        <v>267919.5</v>
      </c>
      <c r="AE150" s="138">
        <v>0</v>
      </c>
      <c r="AF150" s="137">
        <f t="shared" si="23"/>
        <v>0</v>
      </c>
      <c r="AG150" s="137">
        <f t="shared" si="24"/>
        <v>0</v>
      </c>
      <c r="AH150" s="154"/>
      <c r="AI150" s="154"/>
      <c r="AJ150" s="135" t="s">
        <v>47</v>
      </c>
      <c r="AK150" s="119" t="s">
        <v>47</v>
      </c>
      <c r="AL150" s="119" t="s">
        <v>269</v>
      </c>
      <c r="AM150" s="131"/>
    </row>
    <row r="151" spans="1:39" s="119" customFormat="1" ht="15" customHeight="1" x14ac:dyDescent="0.3">
      <c r="A151" s="119">
        <v>2017</v>
      </c>
      <c r="B151" s="119" t="s">
        <v>38</v>
      </c>
      <c r="C151" s="119" t="s">
        <v>59</v>
      </c>
      <c r="D151" s="119" t="s">
        <v>210</v>
      </c>
      <c r="E151" s="119" t="s">
        <v>131</v>
      </c>
      <c r="F151" s="119" t="s">
        <v>364</v>
      </c>
      <c r="G151" s="119" t="s">
        <v>364</v>
      </c>
      <c r="H151" s="119" t="s">
        <v>364</v>
      </c>
      <c r="I151" s="131" t="s">
        <v>243</v>
      </c>
      <c r="J151" s="119" t="s">
        <v>244</v>
      </c>
      <c r="K151" s="119" t="s">
        <v>245</v>
      </c>
      <c r="L151" s="119" t="s">
        <v>365</v>
      </c>
      <c r="M151" s="119" t="s">
        <v>46</v>
      </c>
      <c r="N151" s="135">
        <v>0</v>
      </c>
      <c r="O151" s="135" t="s">
        <v>47</v>
      </c>
      <c r="P151" s="135"/>
      <c r="Q151" s="137">
        <v>0</v>
      </c>
      <c r="R151" s="137">
        <v>0</v>
      </c>
      <c r="S151" s="137">
        <v>47395.5</v>
      </c>
      <c r="T151" s="137">
        <f t="shared" si="25"/>
        <v>0</v>
      </c>
      <c r="U151" s="137">
        <f t="shared" si="29"/>
        <v>47395.5</v>
      </c>
      <c r="V151" s="137">
        <v>6244.5</v>
      </c>
      <c r="W151" s="137">
        <f t="shared" si="30"/>
        <v>41151</v>
      </c>
      <c r="X151" s="137">
        <f t="shared" si="26"/>
        <v>41151</v>
      </c>
      <c r="Y151" s="137">
        <f t="shared" si="31"/>
        <v>0</v>
      </c>
      <c r="Z151" s="137">
        <v>106859.69</v>
      </c>
      <c r="AA151" s="137">
        <f t="shared" si="27"/>
        <v>-100615.19</v>
      </c>
      <c r="AB151" s="146">
        <f t="shared" si="22"/>
        <v>106859.69</v>
      </c>
      <c r="AC151" s="147">
        <f t="shared" si="28"/>
        <v>0</v>
      </c>
      <c r="AD151" s="137">
        <v>6244.5</v>
      </c>
      <c r="AE151" s="138">
        <v>0</v>
      </c>
      <c r="AF151" s="137">
        <f t="shared" si="23"/>
        <v>0</v>
      </c>
      <c r="AG151" s="137">
        <f t="shared" si="24"/>
        <v>0</v>
      </c>
      <c r="AH151" s="154"/>
      <c r="AI151" s="154"/>
      <c r="AJ151" s="135" t="s">
        <v>47</v>
      </c>
      <c r="AK151" s="119" t="s">
        <v>47</v>
      </c>
      <c r="AL151" s="119" t="s">
        <v>269</v>
      </c>
      <c r="AM151" s="131"/>
    </row>
    <row r="152" spans="1:39" s="119" customFormat="1" ht="15" customHeight="1" x14ac:dyDescent="0.3">
      <c r="A152" s="119">
        <v>2017</v>
      </c>
      <c r="B152" s="119" t="s">
        <v>38</v>
      </c>
      <c r="C152" s="119" t="s">
        <v>54</v>
      </c>
      <c r="D152" s="119" t="s">
        <v>55</v>
      </c>
      <c r="E152" s="119" t="s">
        <v>56</v>
      </c>
      <c r="F152" s="119" t="s">
        <v>366</v>
      </c>
      <c r="G152" s="119" t="s">
        <v>366</v>
      </c>
      <c r="H152" s="119" t="s">
        <v>366</v>
      </c>
      <c r="I152" s="131" t="s">
        <v>243</v>
      </c>
      <c r="J152" s="119" t="s">
        <v>244</v>
      </c>
      <c r="K152" s="119" t="s">
        <v>266</v>
      </c>
      <c r="L152" s="119" t="s">
        <v>366</v>
      </c>
      <c r="M152" s="119" t="s">
        <v>46</v>
      </c>
      <c r="N152" s="135">
        <v>0</v>
      </c>
      <c r="O152" s="135" t="s">
        <v>47</v>
      </c>
      <c r="P152" s="135"/>
      <c r="Q152" s="137">
        <v>0</v>
      </c>
      <c r="R152" s="137">
        <v>0</v>
      </c>
      <c r="S152" s="137">
        <v>12114</v>
      </c>
      <c r="T152" s="137">
        <f t="shared" si="25"/>
        <v>0</v>
      </c>
      <c r="U152" s="137">
        <f t="shared" si="29"/>
        <v>12114</v>
      </c>
      <c r="V152" s="137">
        <v>9085.5</v>
      </c>
      <c r="W152" s="137">
        <f t="shared" si="30"/>
        <v>3028.5</v>
      </c>
      <c r="X152" s="137">
        <f t="shared" si="26"/>
        <v>3028.5</v>
      </c>
      <c r="Y152" s="137">
        <f t="shared" si="31"/>
        <v>0</v>
      </c>
      <c r="Z152" s="137">
        <v>12114</v>
      </c>
      <c r="AA152" s="137">
        <f t="shared" si="27"/>
        <v>-3028.5</v>
      </c>
      <c r="AB152" s="146">
        <f t="shared" si="22"/>
        <v>12114</v>
      </c>
      <c r="AC152" s="147">
        <f t="shared" si="28"/>
        <v>0</v>
      </c>
      <c r="AD152" s="137">
        <v>9085.5</v>
      </c>
      <c r="AE152" s="138">
        <v>0</v>
      </c>
      <c r="AF152" s="137">
        <f t="shared" si="23"/>
        <v>0</v>
      </c>
      <c r="AG152" s="137">
        <f t="shared" si="24"/>
        <v>0</v>
      </c>
      <c r="AH152" s="154"/>
      <c r="AI152" s="154"/>
      <c r="AJ152" s="135" t="s">
        <v>47</v>
      </c>
      <c r="AK152" s="119" t="s">
        <v>47</v>
      </c>
      <c r="AL152" s="119" t="s">
        <v>269</v>
      </c>
      <c r="AM152" s="131"/>
    </row>
    <row r="153" spans="1:39" s="119" customFormat="1" ht="15" customHeight="1" x14ac:dyDescent="0.3">
      <c r="A153" s="119">
        <v>2017</v>
      </c>
      <c r="B153" s="119" t="s">
        <v>38</v>
      </c>
      <c r="C153" s="119" t="s">
        <v>54</v>
      </c>
      <c r="D153" s="119" t="s">
        <v>55</v>
      </c>
      <c r="E153" s="119" t="s">
        <v>56</v>
      </c>
      <c r="F153" s="119" t="s">
        <v>367</v>
      </c>
      <c r="G153" s="119" t="s">
        <v>367</v>
      </c>
      <c r="H153" s="119" t="s">
        <v>367</v>
      </c>
      <c r="I153" s="131" t="s">
        <v>243</v>
      </c>
      <c r="J153" s="119" t="s">
        <v>244</v>
      </c>
      <c r="K153" s="119" t="s">
        <v>266</v>
      </c>
      <c r="L153" s="119" t="s">
        <v>367</v>
      </c>
      <c r="M153" s="119" t="s">
        <v>46</v>
      </c>
      <c r="N153" s="135">
        <v>0</v>
      </c>
      <c r="O153" s="135" t="s">
        <v>47</v>
      </c>
      <c r="P153" s="135"/>
      <c r="Q153" s="137">
        <v>0</v>
      </c>
      <c r="R153" s="137">
        <v>0</v>
      </c>
      <c r="S153" s="137">
        <v>3588</v>
      </c>
      <c r="T153" s="137">
        <f t="shared" si="25"/>
        <v>0</v>
      </c>
      <c r="U153" s="137">
        <f t="shared" si="29"/>
        <v>3588</v>
      </c>
      <c r="V153" s="137">
        <v>2691</v>
      </c>
      <c r="W153" s="137">
        <f t="shared" si="30"/>
        <v>897</v>
      </c>
      <c r="X153" s="137">
        <f t="shared" si="26"/>
        <v>897</v>
      </c>
      <c r="Y153" s="137">
        <f t="shared" si="31"/>
        <v>0</v>
      </c>
      <c r="Z153" s="137">
        <v>3588</v>
      </c>
      <c r="AA153" s="137">
        <f t="shared" si="27"/>
        <v>-897</v>
      </c>
      <c r="AB153" s="146">
        <f t="shared" si="22"/>
        <v>3588</v>
      </c>
      <c r="AC153" s="147">
        <f t="shared" si="28"/>
        <v>0</v>
      </c>
      <c r="AD153" s="137">
        <v>2691</v>
      </c>
      <c r="AE153" s="138">
        <v>0</v>
      </c>
      <c r="AF153" s="137">
        <f t="shared" si="23"/>
        <v>0</v>
      </c>
      <c r="AG153" s="137">
        <f t="shared" si="24"/>
        <v>0</v>
      </c>
      <c r="AH153" s="154"/>
      <c r="AI153" s="154"/>
      <c r="AJ153" s="136">
        <v>0</v>
      </c>
      <c r="AK153" s="119" t="s">
        <v>120</v>
      </c>
      <c r="AL153" s="119" t="s">
        <v>269</v>
      </c>
      <c r="AM153" s="131"/>
    </row>
    <row r="154" spans="1:39" s="119" customFormat="1" ht="15" customHeight="1" x14ac:dyDescent="0.3">
      <c r="A154" s="119">
        <v>2017</v>
      </c>
      <c r="B154" s="119" t="s">
        <v>38</v>
      </c>
      <c r="C154" s="119" t="s">
        <v>54</v>
      </c>
      <c r="D154" s="119" t="s">
        <v>55</v>
      </c>
      <c r="E154" s="119" t="s">
        <v>368</v>
      </c>
      <c r="F154" s="119" t="s">
        <v>369</v>
      </c>
      <c r="G154" s="119" t="s">
        <v>369</v>
      </c>
      <c r="H154" s="119" t="s">
        <v>369</v>
      </c>
      <c r="I154" s="131" t="s">
        <v>243</v>
      </c>
      <c r="J154" s="119" t="s">
        <v>244</v>
      </c>
      <c r="K154" s="119" t="s">
        <v>266</v>
      </c>
      <c r="L154" s="119" t="s">
        <v>369</v>
      </c>
      <c r="M154" s="119" t="s">
        <v>46</v>
      </c>
      <c r="N154" s="135">
        <v>0</v>
      </c>
      <c r="O154" s="135" t="s">
        <v>47</v>
      </c>
      <c r="P154" s="135"/>
      <c r="Q154" s="137">
        <v>0</v>
      </c>
      <c r="R154" s="137">
        <v>0</v>
      </c>
      <c r="S154" s="137">
        <v>13824.5</v>
      </c>
      <c r="T154" s="137">
        <f t="shared" si="25"/>
        <v>0</v>
      </c>
      <c r="U154" s="137">
        <f t="shared" si="29"/>
        <v>13824.5</v>
      </c>
      <c r="V154" s="137">
        <v>8958</v>
      </c>
      <c r="W154" s="137">
        <f t="shared" si="30"/>
        <v>4866.5</v>
      </c>
      <c r="X154" s="137">
        <f t="shared" si="26"/>
        <v>4866.5</v>
      </c>
      <c r="Y154" s="137">
        <f t="shared" si="31"/>
        <v>0</v>
      </c>
      <c r="Z154" s="137">
        <v>13824.5</v>
      </c>
      <c r="AA154" s="137">
        <f t="shared" si="27"/>
        <v>-4866.5</v>
      </c>
      <c r="AB154" s="146">
        <f t="shared" si="22"/>
        <v>13824.5</v>
      </c>
      <c r="AC154" s="147">
        <f t="shared" si="28"/>
        <v>0</v>
      </c>
      <c r="AD154" s="137">
        <v>8958</v>
      </c>
      <c r="AE154" s="138">
        <v>0</v>
      </c>
      <c r="AF154" s="137">
        <f t="shared" si="23"/>
        <v>0</v>
      </c>
      <c r="AG154" s="137">
        <f t="shared" si="24"/>
        <v>0</v>
      </c>
      <c r="AH154" s="154"/>
      <c r="AI154" s="154"/>
      <c r="AJ154" s="136">
        <v>0</v>
      </c>
      <c r="AK154" s="119" t="s">
        <v>120</v>
      </c>
      <c r="AL154" s="119" t="s">
        <v>269</v>
      </c>
      <c r="AM154" s="131"/>
    </row>
    <row r="155" spans="1:39" s="119" customFormat="1" ht="15" customHeight="1" x14ac:dyDescent="0.3">
      <c r="A155" s="119">
        <v>2017</v>
      </c>
      <c r="B155" s="119" t="s">
        <v>38</v>
      </c>
      <c r="C155" s="119" t="s">
        <v>54</v>
      </c>
      <c r="D155" s="119" t="s">
        <v>55</v>
      </c>
      <c r="E155" s="119" t="s">
        <v>368</v>
      </c>
      <c r="F155" s="119" t="s">
        <v>65</v>
      </c>
      <c r="G155" s="119" t="s">
        <v>65</v>
      </c>
      <c r="H155" s="119" t="s">
        <v>65</v>
      </c>
      <c r="I155" s="131" t="s">
        <v>243</v>
      </c>
      <c r="J155" s="119" t="s">
        <v>244</v>
      </c>
      <c r="K155" s="119" t="s">
        <v>266</v>
      </c>
      <c r="L155" s="119" t="s">
        <v>65</v>
      </c>
      <c r="M155" s="119" t="s">
        <v>46</v>
      </c>
      <c r="N155" s="135">
        <v>0</v>
      </c>
      <c r="O155" s="135" t="s">
        <v>47</v>
      </c>
      <c r="P155" s="135"/>
      <c r="Q155" s="137">
        <v>0</v>
      </c>
      <c r="R155" s="137">
        <v>0</v>
      </c>
      <c r="S155" s="137">
        <v>54264</v>
      </c>
      <c r="T155" s="137">
        <f t="shared" si="25"/>
        <v>0</v>
      </c>
      <c r="U155" s="137">
        <f t="shared" si="29"/>
        <v>54264</v>
      </c>
      <c r="V155" s="137">
        <v>0</v>
      </c>
      <c r="W155" s="137">
        <f t="shared" si="30"/>
        <v>54264</v>
      </c>
      <c r="X155" s="137">
        <f t="shared" si="26"/>
        <v>54264</v>
      </c>
      <c r="Y155" s="137">
        <f t="shared" si="31"/>
        <v>0</v>
      </c>
      <c r="Z155" s="137">
        <v>0</v>
      </c>
      <c r="AA155" s="137">
        <f t="shared" si="27"/>
        <v>0</v>
      </c>
      <c r="AB155" s="146">
        <f t="shared" si="22"/>
        <v>0</v>
      </c>
      <c r="AC155" s="147">
        <f t="shared" si="28"/>
        <v>0</v>
      </c>
      <c r="AD155" s="137">
        <v>0</v>
      </c>
      <c r="AE155" s="138">
        <v>0</v>
      </c>
      <c r="AF155" s="137">
        <f t="shared" si="23"/>
        <v>0</v>
      </c>
      <c r="AG155" s="137">
        <f t="shared" si="24"/>
        <v>0</v>
      </c>
      <c r="AH155" s="154"/>
      <c r="AI155" s="154"/>
      <c r="AJ155" s="135" t="s">
        <v>47</v>
      </c>
      <c r="AK155" s="119" t="s">
        <v>47</v>
      </c>
      <c r="AL155" s="119" t="s">
        <v>269</v>
      </c>
      <c r="AM155" s="131"/>
    </row>
    <row r="156" spans="1:39" s="119" customFormat="1" ht="15" customHeight="1" x14ac:dyDescent="0.3">
      <c r="A156" s="119">
        <v>2017</v>
      </c>
      <c r="B156" s="119" t="s">
        <v>199</v>
      </c>
      <c r="C156" s="119" t="s">
        <v>54</v>
      </c>
      <c r="D156" s="119" t="s">
        <v>55</v>
      </c>
      <c r="E156" s="119" t="s">
        <v>370</v>
      </c>
      <c r="F156" s="119" t="s">
        <v>242</v>
      </c>
      <c r="G156" s="119" t="s">
        <v>371</v>
      </c>
      <c r="H156" s="119" t="s">
        <v>372</v>
      </c>
      <c r="I156" s="131" t="s">
        <v>243</v>
      </c>
      <c r="J156" s="119" t="s">
        <v>244</v>
      </c>
      <c r="K156" s="119" t="s">
        <v>266</v>
      </c>
      <c r="L156" s="119" t="s">
        <v>373</v>
      </c>
      <c r="M156" s="119" t="s">
        <v>46</v>
      </c>
      <c r="N156" s="135">
        <v>0</v>
      </c>
      <c r="O156" s="135" t="s">
        <v>47</v>
      </c>
      <c r="P156" s="135"/>
      <c r="Q156" s="137">
        <v>0</v>
      </c>
      <c r="R156" s="137">
        <v>0</v>
      </c>
      <c r="S156" s="137">
        <v>100000</v>
      </c>
      <c r="T156" s="137">
        <f t="shared" si="25"/>
        <v>0</v>
      </c>
      <c r="U156" s="137">
        <f t="shared" si="29"/>
        <v>100000</v>
      </c>
      <c r="V156" s="137">
        <v>30220.5</v>
      </c>
      <c r="W156" s="137">
        <f t="shared" si="30"/>
        <v>69779.5</v>
      </c>
      <c r="X156" s="137">
        <f t="shared" si="26"/>
        <v>69779.5</v>
      </c>
      <c r="Y156" s="137">
        <f t="shared" si="31"/>
        <v>0</v>
      </c>
      <c r="Z156" s="137">
        <v>50367.5</v>
      </c>
      <c r="AA156" s="137">
        <f t="shared" si="27"/>
        <v>-20147</v>
      </c>
      <c r="AB156" s="146">
        <f t="shared" si="22"/>
        <v>50367.5</v>
      </c>
      <c r="AC156" s="147">
        <f t="shared" si="28"/>
        <v>0</v>
      </c>
      <c r="AD156" s="137">
        <v>30220.5</v>
      </c>
      <c r="AE156" s="138">
        <v>0</v>
      </c>
      <c r="AF156" s="137">
        <f t="shared" si="23"/>
        <v>0</v>
      </c>
      <c r="AG156" s="137">
        <f t="shared" ref="AG156:AG187" si="32">AB156-Z156+AF156</f>
        <v>0</v>
      </c>
      <c r="AH156" s="154"/>
      <c r="AI156" s="154"/>
      <c r="AJ156" s="135" t="s">
        <v>47</v>
      </c>
      <c r="AK156" s="119" t="s">
        <v>47</v>
      </c>
      <c r="AL156" s="119" t="s">
        <v>269</v>
      </c>
      <c r="AM156" s="131"/>
    </row>
    <row r="157" spans="1:39" s="119" customFormat="1" ht="15" customHeight="1" x14ac:dyDescent="0.3">
      <c r="A157" s="119">
        <v>2017</v>
      </c>
      <c r="B157" s="119" t="s">
        <v>38</v>
      </c>
      <c r="C157" s="119" t="s">
        <v>54</v>
      </c>
      <c r="D157" s="119" t="s">
        <v>55</v>
      </c>
      <c r="E157" s="119" t="s">
        <v>64</v>
      </c>
      <c r="F157" s="119" t="s">
        <v>374</v>
      </c>
      <c r="G157" s="119" t="s">
        <v>374</v>
      </c>
      <c r="H157" s="119" t="s">
        <v>374</v>
      </c>
      <c r="I157" s="131" t="s">
        <v>243</v>
      </c>
      <c r="J157" s="119" t="s">
        <v>244</v>
      </c>
      <c r="K157" s="119" t="s">
        <v>266</v>
      </c>
      <c r="L157" s="119" t="s">
        <v>375</v>
      </c>
      <c r="M157" s="119" t="s">
        <v>46</v>
      </c>
      <c r="N157" s="135">
        <v>0</v>
      </c>
      <c r="O157" s="135" t="s">
        <v>47</v>
      </c>
      <c r="P157" s="135"/>
      <c r="Q157" s="137">
        <v>0</v>
      </c>
      <c r="R157" s="137">
        <v>0</v>
      </c>
      <c r="S157" s="137">
        <v>20000</v>
      </c>
      <c r="T157" s="137">
        <f t="shared" si="25"/>
        <v>0</v>
      </c>
      <c r="U157" s="137">
        <f t="shared" si="29"/>
        <v>20000</v>
      </c>
      <c r="V157" s="137">
        <v>14296.5</v>
      </c>
      <c r="W157" s="137">
        <f t="shared" si="30"/>
        <v>5703.5</v>
      </c>
      <c r="X157" s="137">
        <f t="shared" si="26"/>
        <v>5703.5</v>
      </c>
      <c r="Y157" s="137">
        <f t="shared" si="31"/>
        <v>0</v>
      </c>
      <c r="Z157" s="137">
        <v>21316.5</v>
      </c>
      <c r="AA157" s="137">
        <f t="shared" si="27"/>
        <v>-7020</v>
      </c>
      <c r="AB157" s="146">
        <f t="shared" si="22"/>
        <v>21316.5</v>
      </c>
      <c r="AC157" s="147">
        <f t="shared" si="28"/>
        <v>0</v>
      </c>
      <c r="AD157" s="137">
        <v>14296.5</v>
      </c>
      <c r="AE157" s="138">
        <v>0</v>
      </c>
      <c r="AF157" s="137">
        <f t="shared" si="23"/>
        <v>0</v>
      </c>
      <c r="AG157" s="137">
        <f t="shared" si="32"/>
        <v>0</v>
      </c>
      <c r="AH157" s="154"/>
      <c r="AI157" s="154"/>
      <c r="AJ157" s="135" t="s">
        <v>47</v>
      </c>
      <c r="AK157" s="119" t="s">
        <v>47</v>
      </c>
      <c r="AL157" s="119" t="s">
        <v>269</v>
      </c>
      <c r="AM157" s="131"/>
    </row>
    <row r="158" spans="1:39" s="119" customFormat="1" ht="15" customHeight="1" x14ac:dyDescent="0.3">
      <c r="A158" s="119">
        <v>2017</v>
      </c>
      <c r="B158" s="119" t="s">
        <v>38</v>
      </c>
      <c r="C158" s="119" t="s">
        <v>54</v>
      </c>
      <c r="D158" s="119" t="s">
        <v>55</v>
      </c>
      <c r="E158" s="119" t="s">
        <v>64</v>
      </c>
      <c r="F158" s="119" t="s">
        <v>376</v>
      </c>
      <c r="G158" s="119" t="s">
        <v>376</v>
      </c>
      <c r="H158" s="119" t="s">
        <v>376</v>
      </c>
      <c r="I158" s="131" t="s">
        <v>243</v>
      </c>
      <c r="J158" s="119" t="s">
        <v>244</v>
      </c>
      <c r="K158" s="119" t="s">
        <v>266</v>
      </c>
      <c r="L158" s="119" t="s">
        <v>377</v>
      </c>
      <c r="M158" s="119" t="s">
        <v>46</v>
      </c>
      <c r="N158" s="135">
        <v>0</v>
      </c>
      <c r="O158" s="135" t="s">
        <v>47</v>
      </c>
      <c r="P158" s="135"/>
      <c r="Q158" s="137">
        <v>0</v>
      </c>
      <c r="R158" s="137">
        <v>0</v>
      </c>
      <c r="S158" s="137">
        <v>20000</v>
      </c>
      <c r="T158" s="137">
        <f t="shared" si="25"/>
        <v>0</v>
      </c>
      <c r="U158" s="137">
        <f t="shared" si="29"/>
        <v>20000</v>
      </c>
      <c r="V158" s="137">
        <v>5022</v>
      </c>
      <c r="W158" s="137">
        <f t="shared" si="30"/>
        <v>14978</v>
      </c>
      <c r="X158" s="137">
        <f t="shared" si="26"/>
        <v>14978</v>
      </c>
      <c r="Y158" s="137">
        <f t="shared" si="31"/>
        <v>0</v>
      </c>
      <c r="Z158" s="137">
        <v>6775</v>
      </c>
      <c r="AA158" s="137">
        <f t="shared" si="27"/>
        <v>-1753</v>
      </c>
      <c r="AB158" s="146">
        <f t="shared" si="22"/>
        <v>6775</v>
      </c>
      <c r="AC158" s="147">
        <f t="shared" si="28"/>
        <v>0</v>
      </c>
      <c r="AD158" s="137">
        <v>5022</v>
      </c>
      <c r="AE158" s="138">
        <v>0</v>
      </c>
      <c r="AF158" s="137">
        <f t="shared" si="23"/>
        <v>0</v>
      </c>
      <c r="AG158" s="137">
        <f t="shared" si="32"/>
        <v>0</v>
      </c>
      <c r="AH158" s="154"/>
      <c r="AI158" s="154"/>
      <c r="AJ158" s="135" t="s">
        <v>47</v>
      </c>
      <c r="AK158" s="119" t="s">
        <v>47</v>
      </c>
      <c r="AL158" s="119" t="s">
        <v>269</v>
      </c>
      <c r="AM158" s="131"/>
    </row>
    <row r="159" spans="1:39" s="119" customFormat="1" ht="15" customHeight="1" x14ac:dyDescent="0.3">
      <c r="A159" s="119">
        <v>2017</v>
      </c>
      <c r="B159" s="119" t="s">
        <v>38</v>
      </c>
      <c r="C159" s="119" t="s">
        <v>54</v>
      </c>
      <c r="D159" s="119" t="s">
        <v>55</v>
      </c>
      <c r="E159" s="119" t="s">
        <v>64</v>
      </c>
      <c r="F159" s="119" t="s">
        <v>378</v>
      </c>
      <c r="G159" s="119" t="s">
        <v>378</v>
      </c>
      <c r="H159" s="119" t="s">
        <v>378</v>
      </c>
      <c r="I159" s="131" t="s">
        <v>243</v>
      </c>
      <c r="J159" s="119" t="s">
        <v>244</v>
      </c>
      <c r="K159" s="119" t="s">
        <v>266</v>
      </c>
      <c r="L159" s="119" t="s">
        <v>378</v>
      </c>
      <c r="M159" s="119" t="s">
        <v>46</v>
      </c>
      <c r="N159" s="135">
        <v>0</v>
      </c>
      <c r="O159" s="135" t="s">
        <v>47</v>
      </c>
      <c r="P159" s="135"/>
      <c r="Q159" s="137">
        <v>0</v>
      </c>
      <c r="R159" s="137">
        <v>0</v>
      </c>
      <c r="S159" s="137">
        <v>3134</v>
      </c>
      <c r="T159" s="137">
        <f t="shared" si="25"/>
        <v>0</v>
      </c>
      <c r="U159" s="137">
        <f t="shared" si="29"/>
        <v>3134</v>
      </c>
      <c r="V159" s="137">
        <v>2125.5</v>
      </c>
      <c r="W159" s="137">
        <f t="shared" si="30"/>
        <v>1008.5</v>
      </c>
      <c r="X159" s="137">
        <f t="shared" si="26"/>
        <v>1008.5</v>
      </c>
      <c r="Y159" s="137">
        <f t="shared" si="31"/>
        <v>0</v>
      </c>
      <c r="Z159" s="137">
        <v>2834</v>
      </c>
      <c r="AA159" s="137">
        <f t="shared" si="27"/>
        <v>-708.5</v>
      </c>
      <c r="AB159" s="146">
        <f t="shared" si="22"/>
        <v>2834</v>
      </c>
      <c r="AC159" s="147">
        <f t="shared" si="28"/>
        <v>0</v>
      </c>
      <c r="AD159" s="137">
        <v>2125.5</v>
      </c>
      <c r="AE159" s="138">
        <v>0</v>
      </c>
      <c r="AF159" s="137">
        <f t="shared" si="23"/>
        <v>0</v>
      </c>
      <c r="AG159" s="137">
        <f t="shared" si="32"/>
        <v>0</v>
      </c>
      <c r="AH159" s="154"/>
      <c r="AI159" s="154"/>
      <c r="AJ159" s="135" t="s">
        <v>47</v>
      </c>
      <c r="AK159" s="119" t="s">
        <v>47</v>
      </c>
      <c r="AL159" s="119" t="s">
        <v>269</v>
      </c>
      <c r="AM159" s="131"/>
    </row>
    <row r="160" spans="1:39" s="119" customFormat="1" ht="15" customHeight="1" x14ac:dyDescent="0.3">
      <c r="A160" s="119">
        <v>2017</v>
      </c>
      <c r="B160" s="119" t="s">
        <v>38</v>
      </c>
      <c r="C160" s="119" t="s">
        <v>54</v>
      </c>
      <c r="D160" s="119" t="s">
        <v>102</v>
      </c>
      <c r="E160" s="119" t="s">
        <v>115</v>
      </c>
      <c r="F160" s="119" t="s">
        <v>379</v>
      </c>
      <c r="G160" s="119" t="s">
        <v>379</v>
      </c>
      <c r="H160" s="119" t="s">
        <v>379</v>
      </c>
      <c r="I160" s="131" t="s">
        <v>243</v>
      </c>
      <c r="J160" s="119" t="s">
        <v>244</v>
      </c>
      <c r="K160" s="119" t="s">
        <v>266</v>
      </c>
      <c r="L160" s="119" t="s">
        <v>379</v>
      </c>
      <c r="M160" s="119" t="s">
        <v>46</v>
      </c>
      <c r="N160" s="135">
        <v>0</v>
      </c>
      <c r="O160" s="135" t="s">
        <v>47</v>
      </c>
      <c r="P160" s="135"/>
      <c r="Q160" s="137">
        <v>0</v>
      </c>
      <c r="R160" s="137">
        <v>0</v>
      </c>
      <c r="S160" s="137">
        <v>104159.5</v>
      </c>
      <c r="T160" s="137">
        <f t="shared" si="25"/>
        <v>0</v>
      </c>
      <c r="U160" s="137">
        <f t="shared" si="29"/>
        <v>104159.5</v>
      </c>
      <c r="V160" s="137">
        <v>74319</v>
      </c>
      <c r="W160" s="137">
        <f t="shared" si="30"/>
        <v>29840.5</v>
      </c>
      <c r="X160" s="137">
        <f t="shared" si="26"/>
        <v>29840.5</v>
      </c>
      <c r="Y160" s="137">
        <f t="shared" si="31"/>
        <v>0</v>
      </c>
      <c r="Z160" s="137">
        <v>93344</v>
      </c>
      <c r="AA160" s="137">
        <f t="shared" si="27"/>
        <v>-19025</v>
      </c>
      <c r="AB160" s="146">
        <v>104159.5</v>
      </c>
      <c r="AC160" s="147">
        <f t="shared" si="28"/>
        <v>-10815.5</v>
      </c>
      <c r="AD160" s="137">
        <v>74319</v>
      </c>
      <c r="AE160" s="138">
        <v>0</v>
      </c>
      <c r="AF160" s="137">
        <f t="shared" si="23"/>
        <v>0</v>
      </c>
      <c r="AG160" s="137">
        <f t="shared" si="32"/>
        <v>10815.5</v>
      </c>
      <c r="AH160" s="154"/>
      <c r="AI160" s="154"/>
      <c r="AJ160" s="135" t="s">
        <v>47</v>
      </c>
      <c r="AK160" s="119" t="s">
        <v>47</v>
      </c>
      <c r="AL160" s="119" t="s">
        <v>269</v>
      </c>
      <c r="AM160" s="131"/>
    </row>
    <row r="161" spans="1:39" s="119" customFormat="1" ht="15" customHeight="1" x14ac:dyDescent="0.3">
      <c r="A161" s="119">
        <v>2017</v>
      </c>
      <c r="B161" s="119" t="s">
        <v>38</v>
      </c>
      <c r="C161" s="119" t="s">
        <v>54</v>
      </c>
      <c r="D161" s="119" t="s">
        <v>102</v>
      </c>
      <c r="E161" s="119" t="s">
        <v>115</v>
      </c>
      <c r="F161" s="119" t="s">
        <v>380</v>
      </c>
      <c r="G161" s="119" t="s">
        <v>380</v>
      </c>
      <c r="H161" s="119" t="s">
        <v>380</v>
      </c>
      <c r="I161" s="131" t="s">
        <v>243</v>
      </c>
      <c r="J161" s="119" t="s">
        <v>244</v>
      </c>
      <c r="K161" s="119" t="s">
        <v>266</v>
      </c>
      <c r="L161" s="119" t="s">
        <v>380</v>
      </c>
      <c r="M161" s="119" t="s">
        <v>46</v>
      </c>
      <c r="N161" s="135">
        <v>0</v>
      </c>
      <c r="O161" s="135" t="s">
        <v>47</v>
      </c>
      <c r="P161" s="135"/>
      <c r="Q161" s="137">
        <v>0</v>
      </c>
      <c r="R161" s="137">
        <v>0</v>
      </c>
      <c r="S161" s="137">
        <v>45801</v>
      </c>
      <c r="T161" s="137">
        <f t="shared" si="25"/>
        <v>0</v>
      </c>
      <c r="U161" s="137">
        <f t="shared" si="29"/>
        <v>45801</v>
      </c>
      <c r="V161" s="137">
        <v>32355</v>
      </c>
      <c r="W161" s="137">
        <f t="shared" si="30"/>
        <v>13446</v>
      </c>
      <c r="X161" s="137">
        <f t="shared" si="26"/>
        <v>13446</v>
      </c>
      <c r="Y161" s="137">
        <f t="shared" si="31"/>
        <v>0</v>
      </c>
      <c r="Z161" s="137">
        <v>45801</v>
      </c>
      <c r="AA161" s="137">
        <f t="shared" si="27"/>
        <v>-13446</v>
      </c>
      <c r="AB161" s="146">
        <f t="shared" si="22"/>
        <v>45801</v>
      </c>
      <c r="AC161" s="147">
        <f t="shared" si="28"/>
        <v>0</v>
      </c>
      <c r="AD161" s="137">
        <v>32355</v>
      </c>
      <c r="AE161" s="138">
        <v>0</v>
      </c>
      <c r="AF161" s="137">
        <f t="shared" si="23"/>
        <v>0</v>
      </c>
      <c r="AG161" s="137">
        <f t="shared" si="32"/>
        <v>0</v>
      </c>
      <c r="AH161" s="154"/>
      <c r="AI161" s="154"/>
      <c r="AJ161" s="135" t="s">
        <v>47</v>
      </c>
      <c r="AK161" s="119" t="s">
        <v>47</v>
      </c>
      <c r="AL161" s="119" t="s">
        <v>269</v>
      </c>
      <c r="AM161" s="131"/>
    </row>
    <row r="162" spans="1:39" s="119" customFormat="1" ht="15" customHeight="1" x14ac:dyDescent="0.3">
      <c r="A162" s="119">
        <v>2017</v>
      </c>
      <c r="B162" s="119" t="s">
        <v>38</v>
      </c>
      <c r="C162" s="119" t="s">
        <v>54</v>
      </c>
      <c r="D162" s="119" t="s">
        <v>102</v>
      </c>
      <c r="E162" s="119" t="s">
        <v>115</v>
      </c>
      <c r="F162" s="119" t="s">
        <v>381</v>
      </c>
      <c r="G162" s="119" t="s">
        <v>381</v>
      </c>
      <c r="H162" s="119" t="s">
        <v>381</v>
      </c>
      <c r="I162" s="131" t="s">
        <v>243</v>
      </c>
      <c r="J162" s="119" t="s">
        <v>244</v>
      </c>
      <c r="K162" s="119" t="s">
        <v>266</v>
      </c>
      <c r="L162" s="119" t="s">
        <v>381</v>
      </c>
      <c r="M162" s="119" t="s">
        <v>46</v>
      </c>
      <c r="N162" s="135">
        <v>0</v>
      </c>
      <c r="O162" s="135" t="s">
        <v>47</v>
      </c>
      <c r="P162" s="135"/>
      <c r="Q162" s="137">
        <v>0</v>
      </c>
      <c r="R162" s="137">
        <v>0</v>
      </c>
      <c r="S162" s="137">
        <v>298</v>
      </c>
      <c r="T162" s="137">
        <f t="shared" si="25"/>
        <v>0</v>
      </c>
      <c r="U162" s="137">
        <f t="shared" si="29"/>
        <v>298</v>
      </c>
      <c r="V162" s="137">
        <v>210</v>
      </c>
      <c r="W162" s="137">
        <f t="shared" si="30"/>
        <v>88</v>
      </c>
      <c r="X162" s="137">
        <f t="shared" si="26"/>
        <v>88</v>
      </c>
      <c r="Y162" s="137">
        <f t="shared" si="31"/>
        <v>0</v>
      </c>
      <c r="Z162" s="137">
        <v>280</v>
      </c>
      <c r="AA162" s="137">
        <f t="shared" si="27"/>
        <v>-70</v>
      </c>
      <c r="AB162" s="146">
        <f t="shared" si="22"/>
        <v>280</v>
      </c>
      <c r="AC162" s="147">
        <f t="shared" si="28"/>
        <v>0</v>
      </c>
      <c r="AD162" s="137">
        <v>210</v>
      </c>
      <c r="AE162" s="138">
        <v>0</v>
      </c>
      <c r="AF162" s="137">
        <f t="shared" si="23"/>
        <v>0</v>
      </c>
      <c r="AG162" s="137">
        <f t="shared" si="32"/>
        <v>0</v>
      </c>
      <c r="AH162" s="154"/>
      <c r="AI162" s="154"/>
      <c r="AJ162" s="136">
        <v>1</v>
      </c>
      <c r="AK162" s="156">
        <v>1</v>
      </c>
      <c r="AL162" s="119" t="s">
        <v>269</v>
      </c>
      <c r="AM162" s="131"/>
    </row>
    <row r="163" spans="1:39" s="119" customFormat="1" ht="15" customHeight="1" x14ac:dyDescent="0.3">
      <c r="A163" s="119">
        <v>2017</v>
      </c>
      <c r="B163" s="119" t="s">
        <v>38</v>
      </c>
      <c r="C163" s="119" t="s">
        <v>54</v>
      </c>
      <c r="D163" s="119" t="s">
        <v>102</v>
      </c>
      <c r="E163" s="119" t="s">
        <v>115</v>
      </c>
      <c r="F163" s="119" t="s">
        <v>382</v>
      </c>
      <c r="G163" s="119" t="s">
        <v>382</v>
      </c>
      <c r="H163" s="119" t="s">
        <v>382</v>
      </c>
      <c r="I163" s="131" t="s">
        <v>243</v>
      </c>
      <c r="J163" s="119" t="s">
        <v>244</v>
      </c>
      <c r="K163" s="119" t="s">
        <v>266</v>
      </c>
      <c r="L163" s="119" t="s">
        <v>382</v>
      </c>
      <c r="M163" s="119" t="s">
        <v>46</v>
      </c>
      <c r="N163" s="135">
        <v>0</v>
      </c>
      <c r="O163" s="135" t="s">
        <v>47</v>
      </c>
      <c r="P163" s="135"/>
      <c r="Q163" s="137">
        <v>0</v>
      </c>
      <c r="R163" s="137">
        <v>0</v>
      </c>
      <c r="S163" s="137">
        <v>37283.5</v>
      </c>
      <c r="T163" s="137">
        <f t="shared" si="25"/>
        <v>0</v>
      </c>
      <c r="U163" s="137">
        <f t="shared" si="29"/>
        <v>37283.5</v>
      </c>
      <c r="V163" s="137">
        <v>26680.5</v>
      </c>
      <c r="W163" s="137">
        <f t="shared" si="30"/>
        <v>10603</v>
      </c>
      <c r="X163" s="137">
        <f t="shared" si="26"/>
        <v>10603</v>
      </c>
      <c r="Y163" s="137">
        <f t="shared" si="31"/>
        <v>0</v>
      </c>
      <c r="Z163" s="137">
        <v>37283.5</v>
      </c>
      <c r="AA163" s="137">
        <f t="shared" si="27"/>
        <v>-10603</v>
      </c>
      <c r="AB163" s="146">
        <f t="shared" si="22"/>
        <v>37283.5</v>
      </c>
      <c r="AC163" s="147">
        <f t="shared" si="28"/>
        <v>0</v>
      </c>
      <c r="AD163" s="137">
        <v>26680.5</v>
      </c>
      <c r="AE163" s="138">
        <v>0</v>
      </c>
      <c r="AF163" s="137">
        <f t="shared" si="23"/>
        <v>0</v>
      </c>
      <c r="AG163" s="137">
        <f t="shared" si="32"/>
        <v>0</v>
      </c>
      <c r="AH163" s="154"/>
      <c r="AI163" s="154"/>
      <c r="AJ163" s="135" t="s">
        <v>47</v>
      </c>
      <c r="AK163" s="119" t="s">
        <v>47</v>
      </c>
      <c r="AL163" s="119" t="s">
        <v>269</v>
      </c>
      <c r="AM163" s="131"/>
    </row>
    <row r="164" spans="1:39" s="119" customFormat="1" ht="15" customHeight="1" x14ac:dyDescent="0.3">
      <c r="A164" s="119">
        <v>2017</v>
      </c>
      <c r="B164" s="119" t="s">
        <v>38</v>
      </c>
      <c r="C164" s="119" t="s">
        <v>54</v>
      </c>
      <c r="D164" s="119" t="s">
        <v>102</v>
      </c>
      <c r="E164" s="119" t="s">
        <v>115</v>
      </c>
      <c r="F164" s="119" t="s">
        <v>383</v>
      </c>
      <c r="G164" s="119" t="s">
        <v>383</v>
      </c>
      <c r="H164" s="119" t="s">
        <v>383</v>
      </c>
      <c r="I164" s="131" t="s">
        <v>243</v>
      </c>
      <c r="J164" s="119" t="s">
        <v>244</v>
      </c>
      <c r="K164" s="119" t="s">
        <v>266</v>
      </c>
      <c r="L164" s="119" t="s">
        <v>384</v>
      </c>
      <c r="M164" s="119" t="s">
        <v>46</v>
      </c>
      <c r="N164" s="135">
        <v>0</v>
      </c>
      <c r="O164" s="135" t="s">
        <v>47</v>
      </c>
      <c r="P164" s="135"/>
      <c r="Q164" s="137">
        <v>0</v>
      </c>
      <c r="R164" s="137">
        <v>0</v>
      </c>
      <c r="S164" s="137">
        <v>17080</v>
      </c>
      <c r="T164" s="137">
        <f t="shared" si="25"/>
        <v>0</v>
      </c>
      <c r="U164" s="137">
        <f t="shared" si="29"/>
        <v>17080</v>
      </c>
      <c r="V164" s="137">
        <v>11580</v>
      </c>
      <c r="W164" s="137">
        <f t="shared" si="30"/>
        <v>5500</v>
      </c>
      <c r="X164" s="137">
        <f t="shared" si="26"/>
        <v>5500</v>
      </c>
      <c r="Y164" s="137">
        <f t="shared" si="31"/>
        <v>0</v>
      </c>
      <c r="Z164" s="137">
        <v>17080</v>
      </c>
      <c r="AA164" s="137">
        <f t="shared" si="27"/>
        <v>-5500</v>
      </c>
      <c r="AB164" s="146">
        <f t="shared" si="22"/>
        <v>17080</v>
      </c>
      <c r="AC164" s="147">
        <f t="shared" si="28"/>
        <v>0</v>
      </c>
      <c r="AD164" s="137">
        <v>11580</v>
      </c>
      <c r="AE164" s="138">
        <v>0</v>
      </c>
      <c r="AF164" s="137">
        <f t="shared" si="23"/>
        <v>0</v>
      </c>
      <c r="AG164" s="137">
        <f t="shared" si="32"/>
        <v>0</v>
      </c>
      <c r="AH164" s="154"/>
      <c r="AI164" s="154"/>
      <c r="AJ164" s="135" t="s">
        <v>47</v>
      </c>
      <c r="AK164" s="119" t="s">
        <v>47</v>
      </c>
      <c r="AL164" s="119" t="s">
        <v>269</v>
      </c>
      <c r="AM164" s="131"/>
    </row>
    <row r="165" spans="1:39" s="119" customFormat="1" ht="15" customHeight="1" x14ac:dyDescent="0.3">
      <c r="A165" s="119">
        <v>2017</v>
      </c>
      <c r="B165" s="119" t="s">
        <v>38</v>
      </c>
      <c r="C165" s="119" t="s">
        <v>54</v>
      </c>
      <c r="D165" s="119" t="s">
        <v>102</v>
      </c>
      <c r="E165" s="119" t="s">
        <v>187</v>
      </c>
      <c r="F165" s="119" t="s">
        <v>385</v>
      </c>
      <c r="G165" s="119" t="s">
        <v>385</v>
      </c>
      <c r="H165" s="119" t="s">
        <v>385</v>
      </c>
      <c r="I165" s="131" t="s">
        <v>243</v>
      </c>
      <c r="J165" s="119" t="s">
        <v>244</v>
      </c>
      <c r="K165" s="119" t="s">
        <v>266</v>
      </c>
      <c r="L165" s="119" t="s">
        <v>386</v>
      </c>
      <c r="M165" s="119" t="s">
        <v>46</v>
      </c>
      <c r="N165" s="135">
        <v>0</v>
      </c>
      <c r="O165" s="135" t="s">
        <v>47</v>
      </c>
      <c r="P165" s="135"/>
      <c r="Q165" s="137">
        <v>0</v>
      </c>
      <c r="R165" s="137">
        <v>0</v>
      </c>
      <c r="S165" s="137">
        <v>10935</v>
      </c>
      <c r="T165" s="137">
        <f t="shared" si="25"/>
        <v>0</v>
      </c>
      <c r="U165" s="137">
        <f t="shared" si="29"/>
        <v>10935</v>
      </c>
      <c r="V165" s="137">
        <v>0</v>
      </c>
      <c r="W165" s="137">
        <f t="shared" si="30"/>
        <v>10935</v>
      </c>
      <c r="X165" s="137">
        <f t="shared" si="26"/>
        <v>10935</v>
      </c>
      <c r="Y165" s="137">
        <f t="shared" si="31"/>
        <v>0</v>
      </c>
      <c r="Z165" s="137">
        <v>0</v>
      </c>
      <c r="AA165" s="137">
        <f t="shared" si="27"/>
        <v>0</v>
      </c>
      <c r="AB165" s="146">
        <f t="shared" ref="AB165:AB228" si="33">IF(O165="返货",Z165/(1+N165),IF(O165="返现",Z165,IF(O165="折扣",Z165*N165,IF(O165="无",Z165))))</f>
        <v>0</v>
      </c>
      <c r="AC165" s="147">
        <f t="shared" si="28"/>
        <v>0</v>
      </c>
      <c r="AD165" s="137">
        <v>0</v>
      </c>
      <c r="AE165" s="138">
        <v>0</v>
      </c>
      <c r="AF165" s="137">
        <f t="shared" si="23"/>
        <v>0</v>
      </c>
      <c r="AG165" s="137">
        <f t="shared" si="32"/>
        <v>0</v>
      </c>
      <c r="AH165" s="154"/>
      <c r="AI165" s="154"/>
      <c r="AJ165" s="135" t="s">
        <v>47</v>
      </c>
      <c r="AK165" s="119" t="s">
        <v>47</v>
      </c>
      <c r="AL165" s="119" t="s">
        <v>269</v>
      </c>
      <c r="AM165" s="131"/>
    </row>
    <row r="166" spans="1:39" s="119" customFormat="1" ht="15" customHeight="1" x14ac:dyDescent="0.3">
      <c r="A166" s="119">
        <v>2017</v>
      </c>
      <c r="B166" s="119" t="s">
        <v>38</v>
      </c>
      <c r="C166" s="119" t="s">
        <v>54</v>
      </c>
      <c r="D166" s="119" t="s">
        <v>102</v>
      </c>
      <c r="E166" s="119" t="s">
        <v>370</v>
      </c>
      <c r="F166" s="119" t="s">
        <v>387</v>
      </c>
      <c r="G166" s="119" t="s">
        <v>387</v>
      </c>
      <c r="H166" s="119" t="s">
        <v>387</v>
      </c>
      <c r="I166" s="131" t="s">
        <v>243</v>
      </c>
      <c r="J166" s="119" t="s">
        <v>244</v>
      </c>
      <c r="K166" s="119" t="s">
        <v>266</v>
      </c>
      <c r="L166" s="119" t="s">
        <v>388</v>
      </c>
      <c r="M166" s="119" t="s">
        <v>46</v>
      </c>
      <c r="N166" s="135">
        <v>0</v>
      </c>
      <c r="O166" s="135" t="s">
        <v>47</v>
      </c>
      <c r="P166" s="135"/>
      <c r="Q166" s="137">
        <v>0</v>
      </c>
      <c r="R166" s="137">
        <v>0</v>
      </c>
      <c r="S166" s="137">
        <v>31722</v>
      </c>
      <c r="T166" s="137">
        <f t="shared" si="25"/>
        <v>0</v>
      </c>
      <c r="U166" s="137">
        <f t="shared" si="29"/>
        <v>31722</v>
      </c>
      <c r="V166" s="137">
        <v>22090.5</v>
      </c>
      <c r="W166" s="137">
        <f t="shared" si="30"/>
        <v>9631.5</v>
      </c>
      <c r="X166" s="137">
        <f t="shared" si="26"/>
        <v>9631.5</v>
      </c>
      <c r="Y166" s="137">
        <f t="shared" si="31"/>
        <v>0</v>
      </c>
      <c r="Z166" s="137">
        <v>29454</v>
      </c>
      <c r="AA166" s="137">
        <f t="shared" si="27"/>
        <v>-7363.5</v>
      </c>
      <c r="AB166" s="146">
        <f t="shared" si="33"/>
        <v>29454</v>
      </c>
      <c r="AC166" s="147">
        <f t="shared" si="28"/>
        <v>0</v>
      </c>
      <c r="AD166" s="137">
        <v>22090.5</v>
      </c>
      <c r="AE166" s="138">
        <v>0</v>
      </c>
      <c r="AF166" s="137">
        <f t="shared" si="23"/>
        <v>0</v>
      </c>
      <c r="AG166" s="137">
        <f t="shared" si="32"/>
        <v>0</v>
      </c>
      <c r="AH166" s="154"/>
      <c r="AI166" s="154"/>
      <c r="AJ166" s="135" t="s">
        <v>47</v>
      </c>
      <c r="AK166" s="119" t="s">
        <v>120</v>
      </c>
      <c r="AL166" s="119" t="s">
        <v>269</v>
      </c>
      <c r="AM166" s="131"/>
    </row>
    <row r="167" spans="1:39" s="119" customFormat="1" ht="15" customHeight="1" x14ac:dyDescent="0.3">
      <c r="A167" s="119">
        <v>2017</v>
      </c>
      <c r="B167" s="119" t="s">
        <v>199</v>
      </c>
      <c r="C167" s="119" t="s">
        <v>54</v>
      </c>
      <c r="D167" s="119" t="s">
        <v>102</v>
      </c>
      <c r="E167" s="119" t="s">
        <v>103</v>
      </c>
      <c r="F167" s="119" t="s">
        <v>389</v>
      </c>
      <c r="G167" s="119" t="s">
        <v>390</v>
      </c>
      <c r="H167" s="119" t="s">
        <v>391</v>
      </c>
      <c r="I167" s="131" t="s">
        <v>243</v>
      </c>
      <c r="J167" s="119" t="s">
        <v>244</v>
      </c>
      <c r="K167" s="119" t="s">
        <v>266</v>
      </c>
      <c r="L167" s="119" t="s">
        <v>392</v>
      </c>
      <c r="M167" s="119" t="s">
        <v>46</v>
      </c>
      <c r="N167" s="135">
        <v>0</v>
      </c>
      <c r="O167" s="135" t="s">
        <v>47</v>
      </c>
      <c r="P167" s="135"/>
      <c r="Q167" s="137">
        <v>0</v>
      </c>
      <c r="R167" s="137">
        <v>0</v>
      </c>
      <c r="S167" s="137">
        <v>332306.5</v>
      </c>
      <c r="T167" s="137">
        <f t="shared" si="25"/>
        <v>0</v>
      </c>
      <c r="U167" s="137">
        <f t="shared" si="29"/>
        <v>332306.5</v>
      </c>
      <c r="V167" s="137">
        <v>0</v>
      </c>
      <c r="W167" s="137">
        <f t="shared" si="30"/>
        <v>332306.5</v>
      </c>
      <c r="X167" s="137">
        <f t="shared" si="26"/>
        <v>332306.5</v>
      </c>
      <c r="Y167" s="137">
        <f t="shared" si="31"/>
        <v>0</v>
      </c>
      <c r="Z167" s="137">
        <v>0</v>
      </c>
      <c r="AA167" s="137">
        <f t="shared" si="27"/>
        <v>0</v>
      </c>
      <c r="AB167" s="146">
        <f t="shared" si="33"/>
        <v>0</v>
      </c>
      <c r="AC167" s="147">
        <f t="shared" si="28"/>
        <v>0</v>
      </c>
      <c r="AD167" s="137">
        <v>0</v>
      </c>
      <c r="AE167" s="138">
        <v>0</v>
      </c>
      <c r="AF167" s="137">
        <f t="shared" si="23"/>
        <v>0</v>
      </c>
      <c r="AG167" s="137">
        <f t="shared" si="32"/>
        <v>0</v>
      </c>
      <c r="AH167" s="154"/>
      <c r="AI167" s="154"/>
      <c r="AJ167" s="135" t="s">
        <v>47</v>
      </c>
      <c r="AK167" s="119" t="s">
        <v>47</v>
      </c>
      <c r="AL167" s="119" t="s">
        <v>269</v>
      </c>
      <c r="AM167" s="131"/>
    </row>
    <row r="168" spans="1:39" s="119" customFormat="1" ht="15" customHeight="1" x14ac:dyDescent="0.3">
      <c r="A168" s="119">
        <v>2017</v>
      </c>
      <c r="B168" s="119" t="s">
        <v>38</v>
      </c>
      <c r="C168" s="119" t="s">
        <v>54</v>
      </c>
      <c r="D168" s="119" t="s">
        <v>102</v>
      </c>
      <c r="E168" s="119" t="s">
        <v>103</v>
      </c>
      <c r="F168" s="119" t="s">
        <v>393</v>
      </c>
      <c r="G168" s="119" t="s">
        <v>393</v>
      </c>
      <c r="H168" s="119" t="s">
        <v>393</v>
      </c>
      <c r="I168" s="131" t="s">
        <v>243</v>
      </c>
      <c r="J168" s="119" t="s">
        <v>244</v>
      </c>
      <c r="K168" s="119" t="s">
        <v>266</v>
      </c>
      <c r="L168" s="119" t="s">
        <v>394</v>
      </c>
      <c r="M168" s="119" t="s">
        <v>46</v>
      </c>
      <c r="N168" s="135">
        <v>0</v>
      </c>
      <c r="O168" s="135" t="s">
        <v>47</v>
      </c>
      <c r="P168" s="135"/>
      <c r="Q168" s="137">
        <v>0</v>
      </c>
      <c r="R168" s="137">
        <v>0</v>
      </c>
      <c r="S168" s="137">
        <v>57990</v>
      </c>
      <c r="T168" s="137">
        <f t="shared" si="25"/>
        <v>0</v>
      </c>
      <c r="U168" s="137">
        <f t="shared" si="29"/>
        <v>57990</v>
      </c>
      <c r="V168" s="137">
        <v>22794</v>
      </c>
      <c r="W168" s="137">
        <f t="shared" si="30"/>
        <v>35196</v>
      </c>
      <c r="X168" s="137">
        <f t="shared" si="26"/>
        <v>35196</v>
      </c>
      <c r="Y168" s="137">
        <f t="shared" si="31"/>
        <v>0</v>
      </c>
      <c r="Z168" s="137">
        <v>37990</v>
      </c>
      <c r="AA168" s="137">
        <f t="shared" si="27"/>
        <v>-15196</v>
      </c>
      <c r="AB168" s="146">
        <f t="shared" si="33"/>
        <v>37990</v>
      </c>
      <c r="AC168" s="147">
        <f t="shared" si="28"/>
        <v>0</v>
      </c>
      <c r="AD168" s="137">
        <v>22794</v>
      </c>
      <c r="AE168" s="138">
        <v>0</v>
      </c>
      <c r="AF168" s="137">
        <f t="shared" si="23"/>
        <v>0</v>
      </c>
      <c r="AG168" s="137">
        <f t="shared" si="32"/>
        <v>0</v>
      </c>
      <c r="AH168" s="154"/>
      <c r="AI168" s="154"/>
      <c r="AJ168" s="135" t="s">
        <v>47</v>
      </c>
      <c r="AK168" s="119" t="s">
        <v>47</v>
      </c>
      <c r="AL168" s="119" t="s">
        <v>269</v>
      </c>
      <c r="AM168" s="131"/>
    </row>
    <row r="169" spans="1:39" s="119" customFormat="1" ht="15" customHeight="1" x14ac:dyDescent="0.3">
      <c r="A169" s="119">
        <v>2017</v>
      </c>
      <c r="B169" s="119" t="s">
        <v>38</v>
      </c>
      <c r="C169" s="119" t="s">
        <v>54</v>
      </c>
      <c r="D169" s="119" t="s">
        <v>102</v>
      </c>
      <c r="E169" s="119" t="s">
        <v>103</v>
      </c>
      <c r="F169" s="119" t="s">
        <v>395</v>
      </c>
      <c r="G169" s="119" t="s">
        <v>395</v>
      </c>
      <c r="H169" s="119" t="s">
        <v>395</v>
      </c>
      <c r="I169" s="131" t="s">
        <v>243</v>
      </c>
      <c r="J169" s="119" t="s">
        <v>244</v>
      </c>
      <c r="K169" s="119" t="s">
        <v>266</v>
      </c>
      <c r="L169" s="119" t="s">
        <v>395</v>
      </c>
      <c r="M169" s="119" t="s">
        <v>46</v>
      </c>
      <c r="N169" s="135">
        <v>0</v>
      </c>
      <c r="O169" s="135" t="s">
        <v>47</v>
      </c>
      <c r="P169" s="135"/>
      <c r="Q169" s="137">
        <v>0</v>
      </c>
      <c r="R169" s="137">
        <v>0</v>
      </c>
      <c r="S169" s="137">
        <v>186705.5</v>
      </c>
      <c r="T169" s="137">
        <f t="shared" si="25"/>
        <v>0</v>
      </c>
      <c r="U169" s="137">
        <f t="shared" si="29"/>
        <v>186705.5</v>
      </c>
      <c r="V169" s="137">
        <v>133090.5</v>
      </c>
      <c r="W169" s="137">
        <f t="shared" si="30"/>
        <v>53615</v>
      </c>
      <c r="X169" s="137">
        <f t="shared" si="26"/>
        <v>53615</v>
      </c>
      <c r="Y169" s="137">
        <f t="shared" si="31"/>
        <v>0</v>
      </c>
      <c r="Z169" s="137">
        <v>186333</v>
      </c>
      <c r="AA169" s="137">
        <f t="shared" si="27"/>
        <v>-53242.5</v>
      </c>
      <c r="AB169" s="146">
        <f t="shared" si="33"/>
        <v>186333</v>
      </c>
      <c r="AC169" s="147">
        <f t="shared" si="28"/>
        <v>0</v>
      </c>
      <c r="AD169" s="137">
        <v>133090.5</v>
      </c>
      <c r="AE169" s="138">
        <v>0</v>
      </c>
      <c r="AF169" s="137">
        <f t="shared" si="23"/>
        <v>0</v>
      </c>
      <c r="AG169" s="137">
        <f t="shared" si="32"/>
        <v>0</v>
      </c>
      <c r="AH169" s="154"/>
      <c r="AI169" s="154"/>
      <c r="AJ169" s="135" t="s">
        <v>47</v>
      </c>
      <c r="AK169" s="119" t="s">
        <v>47</v>
      </c>
      <c r="AL169" s="119" t="s">
        <v>269</v>
      </c>
      <c r="AM169" s="131"/>
    </row>
    <row r="170" spans="1:39" s="119" customFormat="1" ht="15" customHeight="1" x14ac:dyDescent="0.3">
      <c r="A170" s="119">
        <v>2017</v>
      </c>
      <c r="B170" s="119" t="s">
        <v>38</v>
      </c>
      <c r="C170" s="119" t="s">
        <v>54</v>
      </c>
      <c r="D170" s="119" t="s">
        <v>396</v>
      </c>
      <c r="E170" s="119" t="s">
        <v>64</v>
      </c>
      <c r="F170" s="119" t="s">
        <v>397</v>
      </c>
      <c r="G170" s="119" t="s">
        <v>397</v>
      </c>
      <c r="H170" s="119" t="s">
        <v>397</v>
      </c>
      <c r="I170" s="131" t="s">
        <v>243</v>
      </c>
      <c r="J170" s="119" t="s">
        <v>244</v>
      </c>
      <c r="K170" s="119" t="s">
        <v>266</v>
      </c>
      <c r="L170" s="119" t="s">
        <v>398</v>
      </c>
      <c r="M170" s="119" t="s">
        <v>46</v>
      </c>
      <c r="N170" s="135">
        <v>0</v>
      </c>
      <c r="O170" s="135" t="s">
        <v>47</v>
      </c>
      <c r="P170" s="135"/>
      <c r="Q170" s="137">
        <v>0</v>
      </c>
      <c r="R170" s="137">
        <v>0</v>
      </c>
      <c r="S170" s="137">
        <v>43665</v>
      </c>
      <c r="T170" s="137">
        <f t="shared" si="25"/>
        <v>0</v>
      </c>
      <c r="U170" s="137">
        <f t="shared" si="29"/>
        <v>43665</v>
      </c>
      <c r="V170" s="137">
        <v>26199</v>
      </c>
      <c r="W170" s="137">
        <f t="shared" si="30"/>
        <v>17466</v>
      </c>
      <c r="X170" s="137">
        <f t="shared" si="26"/>
        <v>17466</v>
      </c>
      <c r="Y170" s="137">
        <f t="shared" si="31"/>
        <v>0</v>
      </c>
      <c r="Z170" s="137">
        <v>43665</v>
      </c>
      <c r="AA170" s="137">
        <f t="shared" si="27"/>
        <v>-17466</v>
      </c>
      <c r="AB170" s="146">
        <f t="shared" si="33"/>
        <v>43665</v>
      </c>
      <c r="AC170" s="147">
        <f t="shared" si="28"/>
        <v>0</v>
      </c>
      <c r="AD170" s="137">
        <v>26199</v>
      </c>
      <c r="AE170" s="138">
        <v>0</v>
      </c>
      <c r="AF170" s="137">
        <f t="shared" si="23"/>
        <v>0</v>
      </c>
      <c r="AG170" s="137">
        <f t="shared" si="32"/>
        <v>0</v>
      </c>
      <c r="AH170" s="154"/>
      <c r="AI170" s="154"/>
      <c r="AJ170" s="135" t="s">
        <v>47</v>
      </c>
      <c r="AK170" s="119" t="s">
        <v>47</v>
      </c>
      <c r="AL170" s="119" t="s">
        <v>269</v>
      </c>
      <c r="AM170" s="131"/>
    </row>
    <row r="171" spans="1:39" s="119" customFormat="1" ht="15" customHeight="1" x14ac:dyDescent="0.3">
      <c r="A171" s="119">
        <v>2017</v>
      </c>
      <c r="B171" s="119" t="s">
        <v>38</v>
      </c>
      <c r="C171" s="119" t="s">
        <v>200</v>
      </c>
      <c r="D171" s="119" t="s">
        <v>201</v>
      </c>
      <c r="E171" s="119" t="s">
        <v>399</v>
      </c>
      <c r="F171" s="119" t="s">
        <v>400</v>
      </c>
      <c r="G171" s="119" t="s">
        <v>400</v>
      </c>
      <c r="H171" s="119" t="s">
        <v>400</v>
      </c>
      <c r="I171" s="131" t="s">
        <v>243</v>
      </c>
      <c r="J171" s="119" t="s">
        <v>244</v>
      </c>
      <c r="K171" s="119" t="s">
        <v>266</v>
      </c>
      <c r="L171" s="119" t="s">
        <v>400</v>
      </c>
      <c r="M171" s="119" t="s">
        <v>46</v>
      </c>
      <c r="N171" s="135">
        <v>0</v>
      </c>
      <c r="O171" s="135" t="s">
        <v>47</v>
      </c>
      <c r="P171" s="135"/>
      <c r="Q171" s="137">
        <v>0</v>
      </c>
      <c r="R171" s="137">
        <v>0</v>
      </c>
      <c r="S171" s="137">
        <v>60598</v>
      </c>
      <c r="T171" s="137">
        <f t="shared" si="25"/>
        <v>0</v>
      </c>
      <c r="U171" s="137">
        <f t="shared" si="29"/>
        <v>60598</v>
      </c>
      <c r="V171" s="137">
        <v>44082</v>
      </c>
      <c r="W171" s="137">
        <f t="shared" si="30"/>
        <v>16516</v>
      </c>
      <c r="X171" s="137">
        <f t="shared" si="26"/>
        <v>16516</v>
      </c>
      <c r="Y171" s="137">
        <f t="shared" si="31"/>
        <v>0</v>
      </c>
      <c r="Z171" s="137">
        <v>58776</v>
      </c>
      <c r="AA171" s="137">
        <f t="shared" si="27"/>
        <v>-14694</v>
      </c>
      <c r="AB171" s="146">
        <f t="shared" si="33"/>
        <v>58776</v>
      </c>
      <c r="AC171" s="147">
        <f t="shared" si="28"/>
        <v>0</v>
      </c>
      <c r="AD171" s="137">
        <v>44082</v>
      </c>
      <c r="AE171" s="138">
        <v>0</v>
      </c>
      <c r="AF171" s="137">
        <f t="shared" si="23"/>
        <v>0</v>
      </c>
      <c r="AG171" s="137">
        <f t="shared" si="32"/>
        <v>0</v>
      </c>
      <c r="AH171" s="154"/>
      <c r="AI171" s="154"/>
      <c r="AJ171" s="155">
        <v>0</v>
      </c>
      <c r="AK171" s="119">
        <v>0</v>
      </c>
      <c r="AL171" s="119" t="s">
        <v>269</v>
      </c>
      <c r="AM171" s="131"/>
    </row>
    <row r="172" spans="1:39" s="119" customFormat="1" ht="15" customHeight="1" x14ac:dyDescent="0.3">
      <c r="A172" s="119">
        <v>2017</v>
      </c>
      <c r="B172" s="119" t="s">
        <v>38</v>
      </c>
      <c r="C172" s="119" t="s">
        <v>137</v>
      </c>
      <c r="D172" s="119" t="s">
        <v>138</v>
      </c>
      <c r="E172" s="119" t="s">
        <v>139</v>
      </c>
      <c r="F172" s="119" t="s">
        <v>264</v>
      </c>
      <c r="G172" s="119" t="s">
        <v>265</v>
      </c>
      <c r="H172" s="119" t="s">
        <v>265</v>
      </c>
      <c r="I172" s="131" t="s">
        <v>243</v>
      </c>
      <c r="J172" s="119" t="s">
        <v>244</v>
      </c>
      <c r="K172" s="119" t="s">
        <v>245</v>
      </c>
      <c r="L172" s="119" t="s">
        <v>401</v>
      </c>
      <c r="M172" s="119" t="s">
        <v>46</v>
      </c>
      <c r="N172" s="136">
        <v>0.02</v>
      </c>
      <c r="O172" s="135" t="s">
        <v>51</v>
      </c>
      <c r="P172" s="135"/>
      <c r="Q172" s="137">
        <v>0</v>
      </c>
      <c r="R172" s="137">
        <v>0</v>
      </c>
      <c r="S172" s="137">
        <v>520000</v>
      </c>
      <c r="T172" s="137">
        <f t="shared" si="25"/>
        <v>10400</v>
      </c>
      <c r="U172" s="137">
        <f t="shared" si="29"/>
        <v>530400</v>
      </c>
      <c r="V172" s="137">
        <v>40000</v>
      </c>
      <c r="W172" s="137">
        <f t="shared" si="30"/>
        <v>490400</v>
      </c>
      <c r="X172" s="137">
        <f t="shared" si="26"/>
        <v>480784.31372549018</v>
      </c>
      <c r="Y172" s="137">
        <f t="shared" si="31"/>
        <v>9615.6862745098188</v>
      </c>
      <c r="Z172" s="137">
        <v>30275.01</v>
      </c>
      <c r="AA172" s="137">
        <f t="shared" si="27"/>
        <v>9724.9900000000016</v>
      </c>
      <c r="AB172" s="146">
        <f t="shared" si="33"/>
        <v>29681.382352941175</v>
      </c>
      <c r="AC172" s="147">
        <f t="shared" si="28"/>
        <v>593.62764705882364</v>
      </c>
      <c r="AD172" s="137">
        <v>25378.558494654299</v>
      </c>
      <c r="AE172" s="138">
        <v>0.17647058823529399</v>
      </c>
      <c r="AF172" s="137">
        <f t="shared" si="23"/>
        <v>4478.5691461154611</v>
      </c>
      <c r="AG172" s="137">
        <f t="shared" si="32"/>
        <v>3884.9414990566374</v>
      </c>
      <c r="AH172" s="154"/>
      <c r="AI172" s="154"/>
      <c r="AJ172" s="135" t="s">
        <v>173</v>
      </c>
      <c r="AK172" s="156">
        <v>0.02</v>
      </c>
      <c r="AM172" s="131"/>
    </row>
    <row r="173" spans="1:39" s="119" customFormat="1" ht="15" customHeight="1" x14ac:dyDescent="0.3">
      <c r="A173" s="119">
        <v>2017</v>
      </c>
      <c r="B173" s="119" t="s">
        <v>252</v>
      </c>
      <c r="C173" s="119" t="s">
        <v>137</v>
      </c>
      <c r="D173" s="119" t="s">
        <v>270</v>
      </c>
      <c r="E173" s="119" t="s">
        <v>270</v>
      </c>
      <c r="F173" s="119" t="s">
        <v>276</v>
      </c>
      <c r="G173" s="119" t="s">
        <v>402</v>
      </c>
      <c r="H173" s="119" t="s">
        <v>402</v>
      </c>
      <c r="I173" s="131" t="s">
        <v>243</v>
      </c>
      <c r="J173" s="119" t="s">
        <v>244</v>
      </c>
      <c r="K173" s="119" t="s">
        <v>245</v>
      </c>
      <c r="L173" s="119" t="s">
        <v>276</v>
      </c>
      <c r="M173" s="119" t="s">
        <v>46</v>
      </c>
      <c r="N173" s="135">
        <v>0</v>
      </c>
      <c r="O173" s="135" t="s">
        <v>47</v>
      </c>
      <c r="P173" s="135"/>
      <c r="Q173" s="137">
        <v>0</v>
      </c>
      <c r="R173" s="137">
        <v>0</v>
      </c>
      <c r="S173" s="137">
        <v>100000</v>
      </c>
      <c r="T173" s="137">
        <f t="shared" si="25"/>
        <v>0</v>
      </c>
      <c r="U173" s="137">
        <f t="shared" si="29"/>
        <v>100000</v>
      </c>
      <c r="V173" s="137">
        <v>60000</v>
      </c>
      <c r="W173" s="137">
        <f t="shared" si="30"/>
        <v>40000</v>
      </c>
      <c r="X173" s="137">
        <f t="shared" si="26"/>
        <v>40000</v>
      </c>
      <c r="Y173" s="137">
        <f t="shared" si="31"/>
        <v>0</v>
      </c>
      <c r="Z173" s="137">
        <v>28587.200000000001</v>
      </c>
      <c r="AA173" s="137">
        <f t="shared" si="27"/>
        <v>31412.799999999999</v>
      </c>
      <c r="AB173" s="146">
        <f t="shared" si="33"/>
        <v>28587.200000000001</v>
      </c>
      <c r="AC173" s="147">
        <f t="shared" si="28"/>
        <v>0</v>
      </c>
      <c r="AD173" s="137">
        <v>23963.722139097001</v>
      </c>
      <c r="AE173" s="138">
        <v>0.17647058823529399</v>
      </c>
      <c r="AF173" s="137">
        <f t="shared" si="23"/>
        <v>4228.8921421935856</v>
      </c>
      <c r="AG173" s="137">
        <f t="shared" si="32"/>
        <v>4228.8921421935856</v>
      </c>
      <c r="AH173" s="154"/>
      <c r="AI173" s="154"/>
      <c r="AJ173" s="135" t="s">
        <v>47</v>
      </c>
      <c r="AK173" s="119" t="s">
        <v>47</v>
      </c>
      <c r="AM173" s="131"/>
    </row>
    <row r="174" spans="1:39" s="119" customFormat="1" ht="15" customHeight="1" x14ac:dyDescent="0.3">
      <c r="A174" s="119">
        <v>2017</v>
      </c>
      <c r="B174" s="119" t="s">
        <v>38</v>
      </c>
      <c r="C174" s="119" t="s">
        <v>137</v>
      </c>
      <c r="D174" s="119" t="s">
        <v>270</v>
      </c>
      <c r="E174" s="119" t="s">
        <v>270</v>
      </c>
      <c r="F174" s="119" t="s">
        <v>271</v>
      </c>
      <c r="G174" s="119" t="s">
        <v>403</v>
      </c>
      <c r="H174" s="119" t="s">
        <v>403</v>
      </c>
      <c r="I174" s="131" t="s">
        <v>243</v>
      </c>
      <c r="J174" s="119" t="s">
        <v>244</v>
      </c>
      <c r="K174" s="119" t="s">
        <v>245</v>
      </c>
      <c r="L174" s="119" t="s">
        <v>404</v>
      </c>
      <c r="M174" s="119" t="s">
        <v>46</v>
      </c>
      <c r="N174" s="136">
        <v>0.02</v>
      </c>
      <c r="O174" s="135" t="s">
        <v>51</v>
      </c>
      <c r="P174" s="135"/>
      <c r="Q174" s="137">
        <v>0</v>
      </c>
      <c r="R174" s="137">
        <v>0</v>
      </c>
      <c r="S174" s="137">
        <v>274400</v>
      </c>
      <c r="T174" s="137">
        <f t="shared" si="25"/>
        <v>5488</v>
      </c>
      <c r="U174" s="137">
        <f t="shared" si="29"/>
        <v>279888</v>
      </c>
      <c r="V174" s="137">
        <v>44597</v>
      </c>
      <c r="W174" s="137">
        <f t="shared" si="30"/>
        <v>235291</v>
      </c>
      <c r="X174" s="137">
        <f t="shared" si="26"/>
        <v>230677.45098039214</v>
      </c>
      <c r="Y174" s="137">
        <f t="shared" si="31"/>
        <v>4613.5490196078608</v>
      </c>
      <c r="Z174" s="137">
        <v>23559</v>
      </c>
      <c r="AA174" s="137">
        <f t="shared" si="27"/>
        <v>21038</v>
      </c>
      <c r="AB174" s="146">
        <f t="shared" si="33"/>
        <v>23097.058823529413</v>
      </c>
      <c r="AC174" s="147">
        <f t="shared" si="28"/>
        <v>461.94117647058738</v>
      </c>
      <c r="AD174" s="137">
        <v>19748.745238252999</v>
      </c>
      <c r="AE174" s="138">
        <v>0.17647058823529399</v>
      </c>
      <c r="AF174" s="137">
        <f t="shared" si="23"/>
        <v>3485.0726891034678</v>
      </c>
      <c r="AG174" s="137">
        <f t="shared" si="32"/>
        <v>3023.1315126328805</v>
      </c>
      <c r="AH174" s="154"/>
      <c r="AI174" s="154"/>
      <c r="AJ174" s="135" t="s">
        <v>173</v>
      </c>
      <c r="AK174" s="119" t="s">
        <v>173</v>
      </c>
      <c r="AM174" s="131"/>
    </row>
    <row r="175" spans="1:39" s="119" customFormat="1" ht="15" customHeight="1" x14ac:dyDescent="0.3">
      <c r="A175" s="119">
        <v>2017</v>
      </c>
      <c r="B175" s="119" t="s">
        <v>38</v>
      </c>
      <c r="C175" s="119" t="s">
        <v>88</v>
      </c>
      <c r="D175" s="119" t="s">
        <v>128</v>
      </c>
      <c r="E175" s="119" t="s">
        <v>96</v>
      </c>
      <c r="F175" s="119" t="s">
        <v>274</v>
      </c>
      <c r="G175" s="119" t="s">
        <v>275</v>
      </c>
      <c r="H175" s="119" t="s">
        <v>275</v>
      </c>
      <c r="I175" s="131" t="s">
        <v>243</v>
      </c>
      <c r="J175" s="119" t="s">
        <v>244</v>
      </c>
      <c r="K175" s="119" t="s">
        <v>245</v>
      </c>
      <c r="L175" s="119" t="s">
        <v>274</v>
      </c>
      <c r="M175" s="119" t="s">
        <v>46</v>
      </c>
      <c r="N175" s="136">
        <v>0</v>
      </c>
      <c r="O175" s="135" t="s">
        <v>47</v>
      </c>
      <c r="P175" s="135"/>
      <c r="Q175" s="137">
        <v>0</v>
      </c>
      <c r="R175" s="137">
        <v>0</v>
      </c>
      <c r="S175" s="137">
        <v>65332.76</v>
      </c>
      <c r="T175" s="137">
        <f t="shared" si="25"/>
        <v>0</v>
      </c>
      <c r="U175" s="137">
        <f t="shared" si="29"/>
        <v>65332.76</v>
      </c>
      <c r="V175" s="137">
        <v>0</v>
      </c>
      <c r="W175" s="137">
        <f t="shared" si="30"/>
        <v>65332.76</v>
      </c>
      <c r="X175" s="137">
        <f t="shared" si="26"/>
        <v>65332.76</v>
      </c>
      <c r="Y175" s="137">
        <f t="shared" si="31"/>
        <v>0</v>
      </c>
      <c r="Z175" s="137">
        <v>0</v>
      </c>
      <c r="AA175" s="137">
        <f t="shared" si="27"/>
        <v>0</v>
      </c>
      <c r="AB175" s="146">
        <f t="shared" si="33"/>
        <v>0</v>
      </c>
      <c r="AC175" s="147">
        <f t="shared" si="28"/>
        <v>0</v>
      </c>
      <c r="AD175" s="137">
        <v>0</v>
      </c>
      <c r="AE175" s="138">
        <v>0.17647058823529399</v>
      </c>
      <c r="AF175" s="137">
        <f t="shared" ref="AF175:AF238" si="34">AD175*AE175</f>
        <v>0</v>
      </c>
      <c r="AG175" s="137">
        <f t="shared" si="32"/>
        <v>0</v>
      </c>
      <c r="AH175" s="154"/>
      <c r="AI175" s="154"/>
      <c r="AJ175" s="155">
        <v>0</v>
      </c>
      <c r="AK175" s="119" t="s">
        <v>120</v>
      </c>
      <c r="AM175" s="131"/>
    </row>
    <row r="176" spans="1:39" s="119" customFormat="1" ht="15" customHeight="1" x14ac:dyDescent="0.3">
      <c r="A176" s="119">
        <v>2017</v>
      </c>
      <c r="B176" s="119" t="s">
        <v>38</v>
      </c>
      <c r="C176" s="119" t="s">
        <v>88</v>
      </c>
      <c r="D176" s="119" t="s">
        <v>128</v>
      </c>
      <c r="E176" s="119" t="s">
        <v>124</v>
      </c>
      <c r="F176" s="119" t="s">
        <v>169</v>
      </c>
      <c r="G176" s="119" t="s">
        <v>169</v>
      </c>
      <c r="H176" s="119" t="s">
        <v>169</v>
      </c>
      <c r="I176" s="131" t="s">
        <v>243</v>
      </c>
      <c r="J176" s="119" t="s">
        <v>244</v>
      </c>
      <c r="K176" s="119" t="s">
        <v>245</v>
      </c>
      <c r="L176" s="119" t="s">
        <v>169</v>
      </c>
      <c r="M176" s="119" t="s">
        <v>46</v>
      </c>
      <c r="N176" s="135">
        <v>0</v>
      </c>
      <c r="O176" s="135" t="s">
        <v>47</v>
      </c>
      <c r="P176" s="135"/>
      <c r="Q176" s="137">
        <v>0</v>
      </c>
      <c r="R176" s="137">
        <v>0</v>
      </c>
      <c r="S176" s="137">
        <v>20000</v>
      </c>
      <c r="T176" s="137">
        <f t="shared" si="25"/>
        <v>0</v>
      </c>
      <c r="U176" s="137">
        <f t="shared" si="29"/>
        <v>20000</v>
      </c>
      <c r="V176" s="137">
        <v>20000</v>
      </c>
      <c r="W176" s="137">
        <f t="shared" si="30"/>
        <v>0</v>
      </c>
      <c r="X176" s="137">
        <f t="shared" si="26"/>
        <v>0</v>
      </c>
      <c r="Y176" s="137">
        <f t="shared" si="31"/>
        <v>0</v>
      </c>
      <c r="Z176" s="137">
        <v>20006</v>
      </c>
      <c r="AA176" s="137">
        <f t="shared" si="27"/>
        <v>-6</v>
      </c>
      <c r="AB176" s="146">
        <f t="shared" si="33"/>
        <v>20006</v>
      </c>
      <c r="AC176" s="147">
        <f t="shared" si="28"/>
        <v>0</v>
      </c>
      <c r="AD176" s="137">
        <v>16770.380628909901</v>
      </c>
      <c r="AE176" s="138">
        <v>0.17647058823529399</v>
      </c>
      <c r="AF176" s="137">
        <f t="shared" si="34"/>
        <v>2959.47893451351</v>
      </c>
      <c r="AG176" s="137">
        <f t="shared" si="32"/>
        <v>2959.47893451351</v>
      </c>
      <c r="AH176" s="154"/>
      <c r="AI176" s="154"/>
      <c r="AJ176" s="135" t="s">
        <v>47</v>
      </c>
      <c r="AK176" s="119" t="s">
        <v>47</v>
      </c>
      <c r="AM176" s="131"/>
    </row>
    <row r="177" spans="1:39" s="119" customFormat="1" ht="15" customHeight="1" x14ac:dyDescent="0.3">
      <c r="A177" s="119">
        <v>2017</v>
      </c>
      <c r="B177" s="119" t="s">
        <v>38</v>
      </c>
      <c r="C177" s="119" t="s">
        <v>88</v>
      </c>
      <c r="D177" s="119" t="s">
        <v>128</v>
      </c>
      <c r="E177" s="119" t="s">
        <v>277</v>
      </c>
      <c r="F177" s="119" t="s">
        <v>405</v>
      </c>
      <c r="G177" s="119" t="s">
        <v>405</v>
      </c>
      <c r="H177" s="119" t="s">
        <v>405</v>
      </c>
      <c r="I177" s="131" t="s">
        <v>243</v>
      </c>
      <c r="J177" s="119" t="s">
        <v>244</v>
      </c>
      <c r="K177" s="119" t="s">
        <v>245</v>
      </c>
      <c r="L177" s="119" t="s">
        <v>406</v>
      </c>
      <c r="M177" s="119" t="s">
        <v>46</v>
      </c>
      <c r="N177" s="135">
        <v>0</v>
      </c>
      <c r="O177" s="135" t="s">
        <v>47</v>
      </c>
      <c r="P177" s="135"/>
      <c r="Q177" s="137">
        <v>0</v>
      </c>
      <c r="R177" s="137">
        <v>0</v>
      </c>
      <c r="S177" s="137">
        <v>20000</v>
      </c>
      <c r="T177" s="137">
        <f t="shared" si="25"/>
        <v>0</v>
      </c>
      <c r="U177" s="137">
        <f t="shared" si="29"/>
        <v>20000</v>
      </c>
      <c r="V177" s="137">
        <v>20000</v>
      </c>
      <c r="W177" s="137">
        <f t="shared" si="30"/>
        <v>0</v>
      </c>
      <c r="X177" s="137">
        <f t="shared" si="26"/>
        <v>0</v>
      </c>
      <c r="Y177" s="137">
        <f t="shared" si="31"/>
        <v>0</v>
      </c>
      <c r="Z177" s="137">
        <v>20000</v>
      </c>
      <c r="AA177" s="137">
        <f t="shared" si="27"/>
        <v>0</v>
      </c>
      <c r="AB177" s="146">
        <f t="shared" si="33"/>
        <v>20000</v>
      </c>
      <c r="AC177" s="147">
        <f t="shared" si="28"/>
        <v>0</v>
      </c>
      <c r="AD177" s="137">
        <v>16765.3510236029</v>
      </c>
      <c r="AE177" s="138">
        <v>0.17647058823529399</v>
      </c>
      <c r="AF177" s="137">
        <f t="shared" si="34"/>
        <v>2958.591357106392</v>
      </c>
      <c r="AG177" s="137">
        <f t="shared" si="32"/>
        <v>2958.591357106392</v>
      </c>
      <c r="AH177" s="154"/>
      <c r="AI177" s="154"/>
      <c r="AJ177" s="135" t="s">
        <v>47</v>
      </c>
      <c r="AK177" s="119" t="s">
        <v>47</v>
      </c>
      <c r="AM177" s="131"/>
    </row>
    <row r="178" spans="1:39" s="119" customFormat="1" ht="15" customHeight="1" x14ac:dyDescent="0.3">
      <c r="A178" s="119">
        <v>2017</v>
      </c>
      <c r="B178" s="119" t="s">
        <v>38</v>
      </c>
      <c r="C178" s="119" t="s">
        <v>88</v>
      </c>
      <c r="D178" s="119" t="s">
        <v>128</v>
      </c>
      <c r="E178" s="119" t="s">
        <v>277</v>
      </c>
      <c r="F178" s="119" t="s">
        <v>278</v>
      </c>
      <c r="G178" s="119" t="s">
        <v>278</v>
      </c>
      <c r="H178" s="119" t="s">
        <v>278</v>
      </c>
      <c r="I178" s="131" t="s">
        <v>243</v>
      </c>
      <c r="J178" s="119" t="s">
        <v>244</v>
      </c>
      <c r="K178" s="119" t="s">
        <v>245</v>
      </c>
      <c r="L178" s="119" t="s">
        <v>279</v>
      </c>
      <c r="M178" s="119" t="s">
        <v>46</v>
      </c>
      <c r="N178" s="136">
        <v>0.02</v>
      </c>
      <c r="O178" s="135" t="s">
        <v>51</v>
      </c>
      <c r="P178" s="135"/>
      <c r="Q178" s="137">
        <v>0</v>
      </c>
      <c r="R178" s="137">
        <v>0</v>
      </c>
      <c r="S178" s="137">
        <v>20009</v>
      </c>
      <c r="T178" s="137">
        <f t="shared" si="25"/>
        <v>400.18</v>
      </c>
      <c r="U178" s="137">
        <f t="shared" si="29"/>
        <v>20409.18</v>
      </c>
      <c r="V178" s="137">
        <v>25000</v>
      </c>
      <c r="W178" s="137">
        <f t="shared" si="30"/>
        <v>-4590.82</v>
      </c>
      <c r="X178" s="137">
        <f t="shared" si="26"/>
        <v>-4500.8039215686267</v>
      </c>
      <c r="Y178" s="137">
        <f t="shared" si="31"/>
        <v>-90.016078431372989</v>
      </c>
      <c r="Z178" s="137">
        <v>15580.3</v>
      </c>
      <c r="AA178" s="137">
        <f t="shared" si="27"/>
        <v>9419.7000000000007</v>
      </c>
      <c r="AB178" s="146">
        <f t="shared" si="33"/>
        <v>15274.803921568626</v>
      </c>
      <c r="AC178" s="147">
        <f t="shared" si="28"/>
        <v>305.49607843137346</v>
      </c>
      <c r="AD178" s="137">
        <v>13060.459927652</v>
      </c>
      <c r="AE178" s="138">
        <v>0.17647058823529399</v>
      </c>
      <c r="AF178" s="137">
        <f t="shared" si="34"/>
        <v>2304.7870460562335</v>
      </c>
      <c r="AG178" s="137">
        <f t="shared" si="32"/>
        <v>1999.2909676248601</v>
      </c>
      <c r="AH178" s="154"/>
      <c r="AI178" s="154"/>
      <c r="AJ178" s="135" t="s">
        <v>173</v>
      </c>
      <c r="AK178" s="119" t="s">
        <v>173</v>
      </c>
      <c r="AM178" s="131"/>
    </row>
    <row r="179" spans="1:39" s="119" customFormat="1" ht="15" customHeight="1" x14ac:dyDescent="0.3">
      <c r="A179" s="119">
        <v>2017</v>
      </c>
      <c r="B179" s="119" t="s">
        <v>199</v>
      </c>
      <c r="C179" s="119" t="s">
        <v>88</v>
      </c>
      <c r="D179" s="119" t="s">
        <v>95</v>
      </c>
      <c r="E179" s="119" t="s">
        <v>98</v>
      </c>
      <c r="F179" s="119" t="s">
        <v>407</v>
      </c>
      <c r="G179" s="119" t="s">
        <v>408</v>
      </c>
      <c r="H179" s="119" t="s">
        <v>408</v>
      </c>
      <c r="I179" s="131" t="s">
        <v>243</v>
      </c>
      <c r="J179" s="119" t="s">
        <v>244</v>
      </c>
      <c r="K179" s="119" t="s">
        <v>245</v>
      </c>
      <c r="L179" s="119" t="s">
        <v>407</v>
      </c>
      <c r="M179" s="119" t="s">
        <v>46</v>
      </c>
      <c r="N179" s="135">
        <v>0</v>
      </c>
      <c r="O179" s="135" t="s">
        <v>47</v>
      </c>
      <c r="P179" s="135"/>
      <c r="Q179" s="137">
        <v>0</v>
      </c>
      <c r="R179" s="137">
        <v>0</v>
      </c>
      <c r="S179" s="137">
        <v>50000</v>
      </c>
      <c r="T179" s="137">
        <f t="shared" si="25"/>
        <v>0</v>
      </c>
      <c r="U179" s="137">
        <f t="shared" si="29"/>
        <v>50000</v>
      </c>
      <c r="V179" s="137">
        <v>50000</v>
      </c>
      <c r="W179" s="137">
        <f t="shared" si="30"/>
        <v>0</v>
      </c>
      <c r="X179" s="137">
        <f t="shared" si="26"/>
        <v>0</v>
      </c>
      <c r="Y179" s="137">
        <f t="shared" si="31"/>
        <v>0</v>
      </c>
      <c r="Z179" s="137">
        <v>36919</v>
      </c>
      <c r="AA179" s="137">
        <f t="shared" si="27"/>
        <v>13081</v>
      </c>
      <c r="AB179" s="146">
        <f t="shared" si="33"/>
        <v>36919</v>
      </c>
      <c r="AC179" s="147">
        <f t="shared" si="28"/>
        <v>0</v>
      </c>
      <c r="AD179" s="137">
        <v>30947.9997220197</v>
      </c>
      <c r="AE179" s="138">
        <v>0.17647058823529399</v>
      </c>
      <c r="AF179" s="137">
        <f t="shared" si="34"/>
        <v>5461.4117156505317</v>
      </c>
      <c r="AG179" s="137">
        <f t="shared" si="32"/>
        <v>5461.4117156505317</v>
      </c>
      <c r="AH179" s="154"/>
      <c r="AI179" s="154"/>
      <c r="AJ179" s="135" t="s">
        <v>47</v>
      </c>
      <c r="AK179" s="119" t="s">
        <v>47</v>
      </c>
      <c r="AM179" s="131"/>
    </row>
    <row r="180" spans="1:39" s="119" customFormat="1" ht="15" customHeight="1" x14ac:dyDescent="0.3">
      <c r="A180" s="119">
        <v>2017</v>
      </c>
      <c r="B180" s="119" t="s">
        <v>38</v>
      </c>
      <c r="C180" s="119" t="s">
        <v>88</v>
      </c>
      <c r="D180" s="119" t="s">
        <v>95</v>
      </c>
      <c r="E180" s="119" t="s">
        <v>98</v>
      </c>
      <c r="F180" s="119" t="s">
        <v>409</v>
      </c>
      <c r="G180" s="119" t="s">
        <v>409</v>
      </c>
      <c r="H180" s="119" t="s">
        <v>409</v>
      </c>
      <c r="I180" s="131" t="s">
        <v>243</v>
      </c>
      <c r="J180" s="119" t="s">
        <v>244</v>
      </c>
      <c r="K180" s="119" t="s">
        <v>245</v>
      </c>
      <c r="L180" s="119" t="s">
        <v>409</v>
      </c>
      <c r="M180" s="119" t="s">
        <v>46</v>
      </c>
      <c r="N180" s="135">
        <v>0</v>
      </c>
      <c r="O180" s="135" t="s">
        <v>47</v>
      </c>
      <c r="P180" s="135"/>
      <c r="Q180" s="137">
        <v>0</v>
      </c>
      <c r="R180" s="137">
        <v>0</v>
      </c>
      <c r="S180" s="137">
        <v>20000</v>
      </c>
      <c r="T180" s="137">
        <f t="shared" si="25"/>
        <v>0</v>
      </c>
      <c r="U180" s="137">
        <f t="shared" si="29"/>
        <v>20000</v>
      </c>
      <c r="V180" s="137">
        <v>20000</v>
      </c>
      <c r="W180" s="137">
        <f t="shared" si="30"/>
        <v>0</v>
      </c>
      <c r="X180" s="137">
        <f t="shared" si="26"/>
        <v>0</v>
      </c>
      <c r="Y180" s="137">
        <f t="shared" si="31"/>
        <v>0</v>
      </c>
      <c r="Z180" s="137">
        <v>1652.4</v>
      </c>
      <c r="AA180" s="137">
        <f t="shared" si="27"/>
        <v>18347.599999999999</v>
      </c>
      <c r="AB180" s="146">
        <f t="shared" si="33"/>
        <v>1652.4</v>
      </c>
      <c r="AC180" s="147">
        <f t="shared" si="28"/>
        <v>0</v>
      </c>
      <c r="AD180" s="137">
        <v>1385.15330157007</v>
      </c>
      <c r="AE180" s="138">
        <v>0.17647058823529399</v>
      </c>
      <c r="AF180" s="137">
        <f t="shared" si="34"/>
        <v>244.43881792412981</v>
      </c>
      <c r="AG180" s="137">
        <f t="shared" si="32"/>
        <v>244.43881792412981</v>
      </c>
      <c r="AH180" s="154"/>
      <c r="AI180" s="154"/>
      <c r="AJ180" s="135" t="s">
        <v>47</v>
      </c>
      <c r="AK180" s="119" t="s">
        <v>47</v>
      </c>
      <c r="AM180" s="131"/>
    </row>
    <row r="181" spans="1:39" s="119" customFormat="1" ht="15" customHeight="1" x14ac:dyDescent="0.3">
      <c r="A181" s="119">
        <v>2017</v>
      </c>
      <c r="B181" s="119" t="s">
        <v>38</v>
      </c>
      <c r="C181" s="119" t="s">
        <v>88</v>
      </c>
      <c r="D181" s="119" t="s">
        <v>95</v>
      </c>
      <c r="E181" s="119" t="s">
        <v>98</v>
      </c>
      <c r="F181" s="119" t="s">
        <v>410</v>
      </c>
      <c r="G181" s="119" t="s">
        <v>410</v>
      </c>
      <c r="H181" s="119" t="s">
        <v>410</v>
      </c>
      <c r="I181" s="131" t="s">
        <v>243</v>
      </c>
      <c r="J181" s="119" t="s">
        <v>244</v>
      </c>
      <c r="K181" s="119" t="s">
        <v>245</v>
      </c>
      <c r="L181" s="119" t="s">
        <v>410</v>
      </c>
      <c r="M181" s="119" t="s">
        <v>46</v>
      </c>
      <c r="N181" s="135">
        <v>0</v>
      </c>
      <c r="O181" s="135" t="s">
        <v>47</v>
      </c>
      <c r="P181" s="135"/>
      <c r="Q181" s="137">
        <v>0</v>
      </c>
      <c r="R181" s="137">
        <v>0</v>
      </c>
      <c r="S181" s="137">
        <v>20000</v>
      </c>
      <c r="T181" s="137">
        <f t="shared" si="25"/>
        <v>0</v>
      </c>
      <c r="U181" s="137">
        <f t="shared" si="29"/>
        <v>20000</v>
      </c>
      <c r="V181" s="137">
        <v>20000</v>
      </c>
      <c r="W181" s="137">
        <f t="shared" si="30"/>
        <v>0</v>
      </c>
      <c r="X181" s="137">
        <f t="shared" si="26"/>
        <v>0</v>
      </c>
      <c r="Y181" s="137">
        <f t="shared" si="31"/>
        <v>0</v>
      </c>
      <c r="Z181" s="137">
        <v>20000</v>
      </c>
      <c r="AA181" s="137">
        <f t="shared" si="27"/>
        <v>0</v>
      </c>
      <c r="AB181" s="146">
        <f t="shared" si="33"/>
        <v>20000</v>
      </c>
      <c r="AC181" s="147">
        <f t="shared" si="28"/>
        <v>0</v>
      </c>
      <c r="AD181" s="137">
        <v>16765.3510236029</v>
      </c>
      <c r="AE181" s="138">
        <v>0.17647058823529399</v>
      </c>
      <c r="AF181" s="137">
        <f t="shared" si="34"/>
        <v>2958.591357106392</v>
      </c>
      <c r="AG181" s="137">
        <f t="shared" si="32"/>
        <v>2958.591357106392</v>
      </c>
      <c r="AH181" s="154"/>
      <c r="AI181" s="154"/>
      <c r="AJ181" s="135" t="s">
        <v>47</v>
      </c>
      <c r="AK181" s="119" t="s">
        <v>47</v>
      </c>
      <c r="AM181" s="131"/>
    </row>
    <row r="182" spans="1:39" s="119" customFormat="1" ht="15" customHeight="1" x14ac:dyDescent="0.3">
      <c r="A182" s="119">
        <v>2017</v>
      </c>
      <c r="B182" s="119" t="s">
        <v>38</v>
      </c>
      <c r="C182" s="119" t="s">
        <v>88</v>
      </c>
      <c r="D182" s="119" t="s">
        <v>95</v>
      </c>
      <c r="E182" s="119" t="s">
        <v>98</v>
      </c>
      <c r="F182" s="119" t="s">
        <v>411</v>
      </c>
      <c r="G182" s="119" t="s">
        <v>411</v>
      </c>
      <c r="H182" s="119" t="s">
        <v>411</v>
      </c>
      <c r="I182" s="131" t="s">
        <v>243</v>
      </c>
      <c r="J182" s="119" t="s">
        <v>244</v>
      </c>
      <c r="K182" s="119" t="s">
        <v>245</v>
      </c>
      <c r="L182" s="119" t="s">
        <v>411</v>
      </c>
      <c r="M182" s="119" t="s">
        <v>46</v>
      </c>
      <c r="N182" s="136">
        <v>0</v>
      </c>
      <c r="O182" s="135" t="s">
        <v>47</v>
      </c>
      <c r="P182" s="135"/>
      <c r="Q182" s="137">
        <v>0</v>
      </c>
      <c r="R182" s="137">
        <v>0</v>
      </c>
      <c r="S182" s="137">
        <v>50000</v>
      </c>
      <c r="T182" s="137">
        <f t="shared" si="25"/>
        <v>0</v>
      </c>
      <c r="U182" s="137">
        <f t="shared" si="29"/>
        <v>50000</v>
      </c>
      <c r="V182" s="137">
        <v>50000</v>
      </c>
      <c r="W182" s="137">
        <f t="shared" si="30"/>
        <v>0</v>
      </c>
      <c r="X182" s="137">
        <f t="shared" si="26"/>
        <v>0</v>
      </c>
      <c r="Y182" s="137">
        <f t="shared" si="31"/>
        <v>0</v>
      </c>
      <c r="Z182" s="137">
        <v>18739.93</v>
      </c>
      <c r="AA182" s="137">
        <f t="shared" si="27"/>
        <v>31260.07</v>
      </c>
      <c r="AB182" s="146">
        <f t="shared" si="33"/>
        <v>18739.93</v>
      </c>
      <c r="AC182" s="147">
        <f t="shared" si="28"/>
        <v>0</v>
      </c>
      <c r="AD182" s="137">
        <v>15709.0752303873</v>
      </c>
      <c r="AE182" s="138">
        <v>0.17647058823529399</v>
      </c>
      <c r="AF182" s="137">
        <f t="shared" si="34"/>
        <v>2772.1897465389334</v>
      </c>
      <c r="AG182" s="137">
        <f t="shared" si="32"/>
        <v>2772.1897465389334</v>
      </c>
      <c r="AH182" s="154"/>
      <c r="AI182" s="154"/>
      <c r="AJ182" s="135" t="s">
        <v>47</v>
      </c>
      <c r="AK182" s="119" t="s">
        <v>47</v>
      </c>
      <c r="AM182" s="131"/>
    </row>
    <row r="183" spans="1:39" s="119" customFormat="1" ht="15" customHeight="1" x14ac:dyDescent="0.3">
      <c r="A183" s="119">
        <v>2017</v>
      </c>
      <c r="B183" s="119" t="s">
        <v>38</v>
      </c>
      <c r="C183" s="119" t="s">
        <v>88</v>
      </c>
      <c r="D183" s="119" t="s">
        <v>95</v>
      </c>
      <c r="E183" s="119" t="s">
        <v>98</v>
      </c>
      <c r="F183" s="119" t="s">
        <v>412</v>
      </c>
      <c r="G183" s="119" t="s">
        <v>412</v>
      </c>
      <c r="H183" s="119" t="s">
        <v>412</v>
      </c>
      <c r="I183" s="131" t="s">
        <v>243</v>
      </c>
      <c r="J183" s="119" t="s">
        <v>244</v>
      </c>
      <c r="K183" s="119" t="s">
        <v>245</v>
      </c>
      <c r="L183" s="119" t="s">
        <v>412</v>
      </c>
      <c r="M183" s="119" t="s">
        <v>46</v>
      </c>
      <c r="N183" s="136">
        <v>0</v>
      </c>
      <c r="O183" s="135" t="s">
        <v>47</v>
      </c>
      <c r="P183" s="135"/>
      <c r="Q183" s="137">
        <v>0</v>
      </c>
      <c r="R183" s="137">
        <v>0</v>
      </c>
      <c r="S183" s="137">
        <v>50000</v>
      </c>
      <c r="T183" s="137">
        <f t="shared" si="25"/>
        <v>0</v>
      </c>
      <c r="U183" s="137">
        <f t="shared" si="29"/>
        <v>50000</v>
      </c>
      <c r="V183" s="137">
        <v>50000</v>
      </c>
      <c r="W183" s="137">
        <f t="shared" si="30"/>
        <v>0</v>
      </c>
      <c r="X183" s="137">
        <f t="shared" si="26"/>
        <v>0</v>
      </c>
      <c r="Y183" s="137">
        <f t="shared" si="31"/>
        <v>0</v>
      </c>
      <c r="Z183" s="137">
        <v>16354.94</v>
      </c>
      <c r="AA183" s="137">
        <f t="shared" si="27"/>
        <v>33645.06</v>
      </c>
      <c r="AB183" s="146">
        <f t="shared" si="33"/>
        <v>16354.94</v>
      </c>
      <c r="AC183" s="147">
        <f t="shared" si="28"/>
        <v>0</v>
      </c>
      <c r="AD183" s="137">
        <v>13709.815503498199</v>
      </c>
      <c r="AE183" s="138">
        <v>0.17647058823529399</v>
      </c>
      <c r="AF183" s="137">
        <f t="shared" si="34"/>
        <v>2419.3792064996805</v>
      </c>
      <c r="AG183" s="137">
        <f t="shared" si="32"/>
        <v>2419.3792064996805</v>
      </c>
      <c r="AH183" s="154"/>
      <c r="AI183" s="154"/>
      <c r="AJ183" s="135" t="s">
        <v>47</v>
      </c>
      <c r="AK183" s="119" t="s">
        <v>47</v>
      </c>
      <c r="AM183" s="131"/>
    </row>
    <row r="184" spans="1:39" s="119" customFormat="1" ht="15" customHeight="1" x14ac:dyDescent="0.3">
      <c r="A184" s="119">
        <v>2017</v>
      </c>
      <c r="B184" s="119" t="s">
        <v>38</v>
      </c>
      <c r="C184" s="119" t="s">
        <v>110</v>
      </c>
      <c r="D184" s="119" t="s">
        <v>280</v>
      </c>
      <c r="E184" s="119" t="s">
        <v>281</v>
      </c>
      <c r="F184" s="119" t="s">
        <v>282</v>
      </c>
      <c r="G184" s="119" t="s">
        <v>282</v>
      </c>
      <c r="H184" s="119" t="s">
        <v>282</v>
      </c>
      <c r="I184" s="131" t="s">
        <v>243</v>
      </c>
      <c r="J184" s="119" t="s">
        <v>244</v>
      </c>
      <c r="K184" s="119" t="s">
        <v>245</v>
      </c>
      <c r="L184" s="119" t="s">
        <v>283</v>
      </c>
      <c r="M184" s="119" t="s">
        <v>46</v>
      </c>
      <c r="N184" s="135">
        <v>0</v>
      </c>
      <c r="O184" s="135" t="s">
        <v>47</v>
      </c>
      <c r="P184" s="135"/>
      <c r="Q184" s="137">
        <v>0</v>
      </c>
      <c r="R184" s="137">
        <v>0</v>
      </c>
      <c r="S184" s="137">
        <v>1200000</v>
      </c>
      <c r="T184" s="137">
        <f t="shared" si="25"/>
        <v>0</v>
      </c>
      <c r="U184" s="137">
        <f t="shared" si="29"/>
        <v>1200000</v>
      </c>
      <c r="V184" s="137">
        <v>1082000</v>
      </c>
      <c r="W184" s="137">
        <f t="shared" si="30"/>
        <v>118000</v>
      </c>
      <c r="X184" s="137">
        <f t="shared" si="26"/>
        <v>118000</v>
      </c>
      <c r="Y184" s="137">
        <f t="shared" si="31"/>
        <v>0</v>
      </c>
      <c r="Z184" s="137">
        <v>1023512.2</v>
      </c>
      <c r="AA184" s="137">
        <f t="shared" si="27"/>
        <v>58487.800000000047</v>
      </c>
      <c r="AB184" s="146">
        <f t="shared" si="33"/>
        <v>1023512.2</v>
      </c>
      <c r="AC184" s="147">
        <f t="shared" si="28"/>
        <v>0</v>
      </c>
      <c r="AD184" s="137">
        <v>857977.06549700105</v>
      </c>
      <c r="AE184" s="138">
        <v>0.17647058823529399</v>
      </c>
      <c r="AF184" s="137">
        <f t="shared" si="34"/>
        <v>151407.71744064713</v>
      </c>
      <c r="AG184" s="137">
        <f t="shared" si="32"/>
        <v>151407.71744064713</v>
      </c>
      <c r="AH184" s="154"/>
      <c r="AI184" s="154"/>
      <c r="AJ184" s="135" t="s">
        <v>47</v>
      </c>
      <c r="AK184" s="119" t="s">
        <v>120</v>
      </c>
      <c r="AM184" s="131"/>
    </row>
    <row r="185" spans="1:39" s="119" customFormat="1" ht="15" customHeight="1" x14ac:dyDescent="0.3">
      <c r="A185" s="119">
        <v>2017</v>
      </c>
      <c r="B185" s="119" t="s">
        <v>252</v>
      </c>
      <c r="C185" s="119" t="s">
        <v>110</v>
      </c>
      <c r="D185" s="119" t="s">
        <v>111</v>
      </c>
      <c r="E185" s="119" t="s">
        <v>112</v>
      </c>
      <c r="F185" s="119" t="s">
        <v>413</v>
      </c>
      <c r="G185" s="119" t="s">
        <v>414</v>
      </c>
      <c r="H185" s="119" t="s">
        <v>414</v>
      </c>
      <c r="I185" s="131" t="s">
        <v>243</v>
      </c>
      <c r="J185" s="119" t="s">
        <v>244</v>
      </c>
      <c r="K185" s="119" t="s">
        <v>245</v>
      </c>
      <c r="L185" s="119" t="s">
        <v>415</v>
      </c>
      <c r="M185" s="119" t="s">
        <v>46</v>
      </c>
      <c r="N185" s="136">
        <v>0</v>
      </c>
      <c r="O185" s="135" t="s">
        <v>47</v>
      </c>
      <c r="P185" s="135"/>
      <c r="Q185" s="137">
        <v>0</v>
      </c>
      <c r="R185" s="137">
        <v>0</v>
      </c>
      <c r="S185" s="137">
        <v>50000</v>
      </c>
      <c r="T185" s="137">
        <f t="shared" si="25"/>
        <v>0</v>
      </c>
      <c r="U185" s="137">
        <f t="shared" si="29"/>
        <v>50000</v>
      </c>
      <c r="V185" s="137">
        <v>50000</v>
      </c>
      <c r="W185" s="137">
        <f t="shared" si="30"/>
        <v>0</v>
      </c>
      <c r="X185" s="137">
        <f t="shared" si="26"/>
        <v>0</v>
      </c>
      <c r="Y185" s="137">
        <f t="shared" si="31"/>
        <v>0</v>
      </c>
      <c r="Z185" s="137">
        <v>50000</v>
      </c>
      <c r="AA185" s="137">
        <f t="shared" si="27"/>
        <v>0</v>
      </c>
      <c r="AB185" s="146">
        <f t="shared" si="33"/>
        <v>50000</v>
      </c>
      <c r="AC185" s="147">
        <f t="shared" si="28"/>
        <v>0</v>
      </c>
      <c r="AD185" s="137">
        <v>41913.377559007102</v>
      </c>
      <c r="AE185" s="138">
        <v>0.17647058823529399</v>
      </c>
      <c r="AF185" s="137">
        <f t="shared" si="34"/>
        <v>7396.4783927659537</v>
      </c>
      <c r="AG185" s="137">
        <f t="shared" si="32"/>
        <v>7396.4783927659537</v>
      </c>
      <c r="AH185" s="154"/>
      <c r="AI185" s="154"/>
      <c r="AJ185" s="155">
        <v>0</v>
      </c>
      <c r="AK185" s="119">
        <v>0</v>
      </c>
      <c r="AM185" s="131"/>
    </row>
    <row r="186" spans="1:39" s="119" customFormat="1" ht="15" customHeight="1" x14ac:dyDescent="0.3">
      <c r="A186" s="119">
        <v>2017</v>
      </c>
      <c r="B186" s="119" t="s">
        <v>252</v>
      </c>
      <c r="C186" s="119" t="s">
        <v>110</v>
      </c>
      <c r="D186" s="119" t="s">
        <v>111</v>
      </c>
      <c r="E186" s="119" t="s">
        <v>112</v>
      </c>
      <c r="F186" s="119" t="s">
        <v>284</v>
      </c>
      <c r="G186" s="119" t="s">
        <v>285</v>
      </c>
      <c r="H186" s="119" t="s">
        <v>285</v>
      </c>
      <c r="I186" s="131" t="s">
        <v>243</v>
      </c>
      <c r="J186" s="119" t="s">
        <v>244</v>
      </c>
      <c r="K186" s="119" t="s">
        <v>245</v>
      </c>
      <c r="L186" s="119" t="s">
        <v>284</v>
      </c>
      <c r="M186" s="119" t="s">
        <v>46</v>
      </c>
      <c r="N186" s="135">
        <v>0</v>
      </c>
      <c r="O186" s="135" t="s">
        <v>47</v>
      </c>
      <c r="P186" s="135"/>
      <c r="Q186" s="137">
        <v>0</v>
      </c>
      <c r="R186" s="137">
        <v>0</v>
      </c>
      <c r="S186" s="137">
        <v>6494.5</v>
      </c>
      <c r="T186" s="137">
        <f t="shared" si="25"/>
        <v>0</v>
      </c>
      <c r="U186" s="137">
        <f t="shared" si="29"/>
        <v>6494.5</v>
      </c>
      <c r="V186" s="137">
        <v>15000</v>
      </c>
      <c r="W186" s="137">
        <f t="shared" si="30"/>
        <v>-8505.5</v>
      </c>
      <c r="X186" s="137">
        <f t="shared" si="26"/>
        <v>-8505.5</v>
      </c>
      <c r="Y186" s="137">
        <f t="shared" si="31"/>
        <v>0</v>
      </c>
      <c r="Z186" s="137">
        <v>6494.5</v>
      </c>
      <c r="AA186" s="137">
        <f t="shared" si="27"/>
        <v>8505.5</v>
      </c>
      <c r="AB186" s="146">
        <f t="shared" si="33"/>
        <v>6494.5</v>
      </c>
      <c r="AC186" s="147">
        <f t="shared" si="28"/>
        <v>0</v>
      </c>
      <c r="AD186" s="137">
        <v>5444.1286111394402</v>
      </c>
      <c r="AE186" s="138">
        <v>0.17647058823529399</v>
      </c>
      <c r="AF186" s="137">
        <f t="shared" si="34"/>
        <v>960.72857843637109</v>
      </c>
      <c r="AG186" s="137">
        <f t="shared" si="32"/>
        <v>960.72857843637109</v>
      </c>
      <c r="AH186" s="154"/>
      <c r="AI186" s="154"/>
      <c r="AJ186" s="135" t="s">
        <v>47</v>
      </c>
      <c r="AK186" s="119" t="s">
        <v>47</v>
      </c>
      <c r="AM186" s="131"/>
    </row>
    <row r="187" spans="1:39" s="119" customFormat="1" ht="15" customHeight="1" x14ac:dyDescent="0.3">
      <c r="A187" s="119">
        <v>2017</v>
      </c>
      <c r="B187" s="119" t="s">
        <v>199</v>
      </c>
      <c r="C187" s="119" t="s">
        <v>110</v>
      </c>
      <c r="D187" s="119" t="s">
        <v>111</v>
      </c>
      <c r="E187" s="119" t="s">
        <v>281</v>
      </c>
      <c r="F187" s="119" t="s">
        <v>416</v>
      </c>
      <c r="G187" s="119" t="s">
        <v>417</v>
      </c>
      <c r="H187" s="119" t="s">
        <v>417</v>
      </c>
      <c r="I187" s="131" t="s">
        <v>243</v>
      </c>
      <c r="J187" s="119" t="s">
        <v>244</v>
      </c>
      <c r="K187" s="119" t="s">
        <v>245</v>
      </c>
      <c r="L187" s="119" t="s">
        <v>416</v>
      </c>
      <c r="M187" s="119" t="s">
        <v>46</v>
      </c>
      <c r="N187" s="135">
        <v>0</v>
      </c>
      <c r="O187" s="135" t="s">
        <v>47</v>
      </c>
      <c r="P187" s="135"/>
      <c r="Q187" s="137">
        <v>0</v>
      </c>
      <c r="R187" s="137">
        <v>0</v>
      </c>
      <c r="S187" s="137">
        <v>10000</v>
      </c>
      <c r="T187" s="137">
        <f t="shared" si="25"/>
        <v>0</v>
      </c>
      <c r="U187" s="137">
        <f t="shared" si="29"/>
        <v>10000</v>
      </c>
      <c r="V187" s="137">
        <v>10000</v>
      </c>
      <c r="W187" s="137">
        <f t="shared" si="30"/>
        <v>0</v>
      </c>
      <c r="X187" s="137">
        <f t="shared" si="26"/>
        <v>0</v>
      </c>
      <c r="Y187" s="137">
        <f t="shared" si="31"/>
        <v>0</v>
      </c>
      <c r="Z187" s="137">
        <v>4052</v>
      </c>
      <c r="AA187" s="137">
        <f t="shared" si="27"/>
        <v>5948</v>
      </c>
      <c r="AB187" s="146">
        <f t="shared" si="33"/>
        <v>4052</v>
      </c>
      <c r="AC187" s="147">
        <f t="shared" si="28"/>
        <v>0</v>
      </c>
      <c r="AD187" s="137">
        <v>3396.6601173819399</v>
      </c>
      <c r="AE187" s="138">
        <v>0.17647058823529399</v>
      </c>
      <c r="AF187" s="137">
        <f t="shared" si="34"/>
        <v>599.41060894975362</v>
      </c>
      <c r="AG187" s="137">
        <f t="shared" si="32"/>
        <v>599.41060894975362</v>
      </c>
      <c r="AH187" s="154"/>
      <c r="AI187" s="154"/>
      <c r="AJ187" s="135" t="s">
        <v>47</v>
      </c>
      <c r="AK187" s="119" t="s">
        <v>47</v>
      </c>
      <c r="AM187" s="131"/>
    </row>
    <row r="188" spans="1:39" s="119" customFormat="1" ht="15" customHeight="1" x14ac:dyDescent="0.3">
      <c r="A188" s="119">
        <v>2017</v>
      </c>
      <c r="B188" s="119" t="s">
        <v>252</v>
      </c>
      <c r="C188" s="119" t="s">
        <v>110</v>
      </c>
      <c r="D188" s="119" t="s">
        <v>111</v>
      </c>
      <c r="E188" s="119" t="s">
        <v>281</v>
      </c>
      <c r="F188" s="119" t="s">
        <v>286</v>
      </c>
      <c r="G188" s="119" t="s">
        <v>287</v>
      </c>
      <c r="H188" s="119" t="s">
        <v>287</v>
      </c>
      <c r="I188" s="131" t="s">
        <v>243</v>
      </c>
      <c r="J188" s="119" t="s">
        <v>244</v>
      </c>
      <c r="K188" s="119" t="s">
        <v>245</v>
      </c>
      <c r="L188" s="119" t="s">
        <v>286</v>
      </c>
      <c r="M188" s="119" t="s">
        <v>46</v>
      </c>
      <c r="N188" s="135">
        <v>0</v>
      </c>
      <c r="O188" s="135" t="s">
        <v>47</v>
      </c>
      <c r="P188" s="135"/>
      <c r="Q188" s="137">
        <v>0</v>
      </c>
      <c r="R188" s="137">
        <v>0</v>
      </c>
      <c r="S188" s="137">
        <v>110000</v>
      </c>
      <c r="T188" s="137">
        <f t="shared" si="25"/>
        <v>0</v>
      </c>
      <c r="U188" s="137">
        <f t="shared" si="29"/>
        <v>110000</v>
      </c>
      <c r="V188" s="137">
        <v>125000</v>
      </c>
      <c r="W188" s="137">
        <f t="shared" si="30"/>
        <v>-15000</v>
      </c>
      <c r="X188" s="137">
        <f t="shared" si="26"/>
        <v>-15000</v>
      </c>
      <c r="Y188" s="137">
        <f t="shared" si="31"/>
        <v>0</v>
      </c>
      <c r="Z188" s="137">
        <v>85409.4</v>
      </c>
      <c r="AA188" s="137">
        <f t="shared" si="27"/>
        <v>39590.600000000006</v>
      </c>
      <c r="AB188" s="146">
        <f t="shared" si="33"/>
        <v>85409.4</v>
      </c>
      <c r="AC188" s="147">
        <f t="shared" si="28"/>
        <v>0</v>
      </c>
      <c r="AD188" s="137">
        <v>71595.928585765301</v>
      </c>
      <c r="AE188" s="138">
        <v>0.17647058823529399</v>
      </c>
      <c r="AF188" s="137">
        <f t="shared" si="34"/>
        <v>12634.575632782104</v>
      </c>
      <c r="AG188" s="137">
        <f t="shared" ref="AG188:AG201" si="35">AB188-Z188+AF188</f>
        <v>12634.575632782104</v>
      </c>
      <c r="AH188" s="154"/>
      <c r="AI188" s="154"/>
      <c r="AJ188" s="135" t="s">
        <v>47</v>
      </c>
      <c r="AK188" s="119" t="s">
        <v>47</v>
      </c>
      <c r="AM188" s="131"/>
    </row>
    <row r="189" spans="1:39" s="119" customFormat="1" ht="15" customHeight="1" x14ac:dyDescent="0.3">
      <c r="A189" s="119">
        <v>2017</v>
      </c>
      <c r="B189" s="119" t="s">
        <v>252</v>
      </c>
      <c r="C189" s="119" t="s">
        <v>110</v>
      </c>
      <c r="D189" s="119" t="s">
        <v>111</v>
      </c>
      <c r="E189" s="119" t="s">
        <v>281</v>
      </c>
      <c r="F189" s="119" t="s">
        <v>418</v>
      </c>
      <c r="G189" s="119" t="s">
        <v>419</v>
      </c>
      <c r="H189" s="119" t="s">
        <v>420</v>
      </c>
      <c r="I189" s="131" t="s">
        <v>243</v>
      </c>
      <c r="J189" s="119" t="s">
        <v>244</v>
      </c>
      <c r="K189" s="119" t="s">
        <v>245</v>
      </c>
      <c r="L189" s="119" t="s">
        <v>418</v>
      </c>
      <c r="M189" s="119" t="s">
        <v>46</v>
      </c>
      <c r="N189" s="135">
        <v>0</v>
      </c>
      <c r="O189" s="135" t="s">
        <v>47</v>
      </c>
      <c r="P189" s="135"/>
      <c r="Q189" s="137">
        <v>0</v>
      </c>
      <c r="R189" s="137">
        <v>0</v>
      </c>
      <c r="S189" s="137">
        <v>110219</v>
      </c>
      <c r="T189" s="137">
        <f t="shared" si="25"/>
        <v>0</v>
      </c>
      <c r="U189" s="137">
        <f t="shared" si="29"/>
        <v>110219</v>
      </c>
      <c r="V189" s="137">
        <v>10001</v>
      </c>
      <c r="W189" s="137">
        <f t="shared" si="30"/>
        <v>100218</v>
      </c>
      <c r="X189" s="137">
        <f t="shared" si="26"/>
        <v>100218</v>
      </c>
      <c r="Y189" s="137">
        <f t="shared" si="31"/>
        <v>0</v>
      </c>
      <c r="Z189" s="137">
        <v>8622</v>
      </c>
      <c r="AA189" s="137">
        <f t="shared" si="27"/>
        <v>1379</v>
      </c>
      <c r="AB189" s="146">
        <f t="shared" si="33"/>
        <v>8622</v>
      </c>
      <c r="AC189" s="147">
        <f t="shared" si="28"/>
        <v>0</v>
      </c>
      <c r="AD189" s="137">
        <v>7227.5428262751902</v>
      </c>
      <c r="AE189" s="138">
        <v>0.17647058823529399</v>
      </c>
      <c r="AF189" s="137">
        <f t="shared" si="34"/>
        <v>1275.4487340485621</v>
      </c>
      <c r="AG189" s="137">
        <f t="shared" si="35"/>
        <v>1275.4487340485621</v>
      </c>
      <c r="AH189" s="154"/>
      <c r="AI189" s="154"/>
      <c r="AJ189" s="155">
        <v>0</v>
      </c>
      <c r="AK189" s="119">
        <v>0</v>
      </c>
      <c r="AM189" s="131"/>
    </row>
    <row r="190" spans="1:39" s="119" customFormat="1" ht="15" customHeight="1" x14ac:dyDescent="0.3">
      <c r="A190" s="119">
        <v>2017</v>
      </c>
      <c r="B190" s="119" t="s">
        <v>38</v>
      </c>
      <c r="C190" s="119" t="s">
        <v>88</v>
      </c>
      <c r="D190" s="119" t="s">
        <v>89</v>
      </c>
      <c r="E190" s="119" t="s">
        <v>124</v>
      </c>
      <c r="F190" s="119" t="s">
        <v>421</v>
      </c>
      <c r="G190" s="119" t="s">
        <v>422</v>
      </c>
      <c r="H190" s="119" t="s">
        <v>422</v>
      </c>
      <c r="I190" s="131" t="s">
        <v>243</v>
      </c>
      <c r="J190" s="119" t="s">
        <v>244</v>
      </c>
      <c r="K190" s="119" t="s">
        <v>245</v>
      </c>
      <c r="L190" s="119" t="s">
        <v>421</v>
      </c>
      <c r="M190" s="119" t="s">
        <v>46</v>
      </c>
      <c r="N190" s="135">
        <v>0</v>
      </c>
      <c r="O190" s="135" t="s">
        <v>47</v>
      </c>
      <c r="P190" s="135"/>
      <c r="Q190" s="137">
        <v>0</v>
      </c>
      <c r="R190" s="137">
        <v>0</v>
      </c>
      <c r="S190" s="137">
        <v>20000</v>
      </c>
      <c r="T190" s="137">
        <f t="shared" si="25"/>
        <v>0</v>
      </c>
      <c r="U190" s="137">
        <f t="shared" si="29"/>
        <v>20000</v>
      </c>
      <c r="V190" s="137">
        <v>10001</v>
      </c>
      <c r="W190" s="137">
        <f t="shared" si="30"/>
        <v>9999</v>
      </c>
      <c r="X190" s="137">
        <f t="shared" si="26"/>
        <v>9999</v>
      </c>
      <c r="Y190" s="137">
        <f t="shared" si="31"/>
        <v>0</v>
      </c>
      <c r="Z190" s="137">
        <v>5932</v>
      </c>
      <c r="AA190" s="137">
        <f t="shared" si="27"/>
        <v>4069</v>
      </c>
      <c r="AB190" s="146">
        <f t="shared" si="33"/>
        <v>5932</v>
      </c>
      <c r="AC190" s="147">
        <f t="shared" si="28"/>
        <v>0</v>
      </c>
      <c r="AD190" s="137">
        <v>4972.6031136006104</v>
      </c>
      <c r="AE190" s="138">
        <v>0.17647058823529399</v>
      </c>
      <c r="AF190" s="137">
        <f t="shared" si="34"/>
        <v>877.51819651775418</v>
      </c>
      <c r="AG190" s="137">
        <f t="shared" si="35"/>
        <v>877.51819651775418</v>
      </c>
      <c r="AH190" s="154"/>
      <c r="AI190" s="154"/>
      <c r="AJ190" s="135" t="s">
        <v>47</v>
      </c>
      <c r="AK190" s="119" t="s">
        <v>47</v>
      </c>
      <c r="AM190" s="131"/>
    </row>
    <row r="191" spans="1:39" s="119" customFormat="1" ht="15" customHeight="1" x14ac:dyDescent="0.3">
      <c r="A191" s="119">
        <v>2017</v>
      </c>
      <c r="B191" s="119" t="s">
        <v>38</v>
      </c>
      <c r="C191" s="119" t="s">
        <v>88</v>
      </c>
      <c r="D191" s="119" t="s">
        <v>89</v>
      </c>
      <c r="E191" s="119" t="s">
        <v>124</v>
      </c>
      <c r="F191" s="119" t="s">
        <v>125</v>
      </c>
      <c r="G191" s="119" t="s">
        <v>125</v>
      </c>
      <c r="H191" s="119" t="s">
        <v>125</v>
      </c>
      <c r="I191" s="131" t="s">
        <v>243</v>
      </c>
      <c r="J191" s="119" t="s">
        <v>244</v>
      </c>
      <c r="K191" s="119" t="s">
        <v>245</v>
      </c>
      <c r="L191" s="119" t="s">
        <v>125</v>
      </c>
      <c r="M191" s="119" t="s">
        <v>46</v>
      </c>
      <c r="N191" s="135">
        <v>0</v>
      </c>
      <c r="O191" s="135" t="s">
        <v>47</v>
      </c>
      <c r="P191" s="135"/>
      <c r="Q191" s="137">
        <v>0</v>
      </c>
      <c r="R191" s="137">
        <v>0</v>
      </c>
      <c r="S191" s="137">
        <v>40000</v>
      </c>
      <c r="T191" s="137">
        <f t="shared" si="25"/>
        <v>0</v>
      </c>
      <c r="U191" s="137">
        <f t="shared" si="29"/>
        <v>40000</v>
      </c>
      <c r="V191" s="137">
        <v>20000</v>
      </c>
      <c r="W191" s="137">
        <f t="shared" si="30"/>
        <v>20000</v>
      </c>
      <c r="X191" s="137">
        <f t="shared" si="26"/>
        <v>20000</v>
      </c>
      <c r="Y191" s="137">
        <f t="shared" si="31"/>
        <v>0</v>
      </c>
      <c r="Z191" s="137">
        <v>3309</v>
      </c>
      <c r="AA191" s="137">
        <f t="shared" si="27"/>
        <v>16691</v>
      </c>
      <c r="AB191" s="146">
        <f t="shared" si="33"/>
        <v>3309</v>
      </c>
      <c r="AC191" s="147">
        <f t="shared" si="28"/>
        <v>0</v>
      </c>
      <c r="AD191" s="137">
        <v>2773.8273268550902</v>
      </c>
      <c r="AE191" s="138">
        <v>0.17647058823529399</v>
      </c>
      <c r="AF191" s="137">
        <f t="shared" si="34"/>
        <v>489.49894003325085</v>
      </c>
      <c r="AG191" s="137">
        <f t="shared" si="35"/>
        <v>489.49894003325085</v>
      </c>
      <c r="AH191" s="154"/>
      <c r="AI191" s="154"/>
      <c r="AJ191" s="136">
        <v>0</v>
      </c>
      <c r="AK191" s="119" t="s">
        <v>47</v>
      </c>
      <c r="AM191" s="131"/>
    </row>
    <row r="192" spans="1:39" s="119" customFormat="1" ht="15" customHeight="1" x14ac:dyDescent="0.3">
      <c r="A192" s="119">
        <v>2017</v>
      </c>
      <c r="B192" s="119" t="s">
        <v>38</v>
      </c>
      <c r="C192" s="119" t="s">
        <v>88</v>
      </c>
      <c r="D192" s="119" t="s">
        <v>89</v>
      </c>
      <c r="E192" s="119" t="s">
        <v>124</v>
      </c>
      <c r="F192" s="119" t="s">
        <v>423</v>
      </c>
      <c r="G192" s="119" t="s">
        <v>423</v>
      </c>
      <c r="H192" s="119" t="s">
        <v>423</v>
      </c>
      <c r="I192" s="131" t="s">
        <v>243</v>
      </c>
      <c r="J192" s="119" t="s">
        <v>244</v>
      </c>
      <c r="K192" s="119" t="s">
        <v>245</v>
      </c>
      <c r="L192" s="119" t="s">
        <v>424</v>
      </c>
      <c r="M192" s="119" t="s">
        <v>46</v>
      </c>
      <c r="N192" s="135">
        <v>0</v>
      </c>
      <c r="O192" s="135" t="s">
        <v>47</v>
      </c>
      <c r="P192" s="135"/>
      <c r="Q192" s="137">
        <v>0</v>
      </c>
      <c r="R192" s="137">
        <v>0</v>
      </c>
      <c r="S192" s="137">
        <v>20000</v>
      </c>
      <c r="T192" s="137">
        <f t="shared" si="25"/>
        <v>0</v>
      </c>
      <c r="U192" s="137">
        <f t="shared" si="29"/>
        <v>20000</v>
      </c>
      <c r="V192" s="137">
        <v>20000</v>
      </c>
      <c r="W192" s="137">
        <f t="shared" si="30"/>
        <v>0</v>
      </c>
      <c r="X192" s="137">
        <f t="shared" si="26"/>
        <v>0</v>
      </c>
      <c r="Y192" s="137">
        <f t="shared" si="31"/>
        <v>0</v>
      </c>
      <c r="Z192" s="137">
        <v>2722.5</v>
      </c>
      <c r="AA192" s="137">
        <f t="shared" si="27"/>
        <v>17277.5</v>
      </c>
      <c r="AB192" s="146">
        <f t="shared" si="33"/>
        <v>2722.5</v>
      </c>
      <c r="AC192" s="147">
        <f t="shared" si="28"/>
        <v>0</v>
      </c>
      <c r="AD192" s="137">
        <v>2282.1834080879398</v>
      </c>
      <c r="AE192" s="138">
        <v>0.17647058823529399</v>
      </c>
      <c r="AF192" s="137">
        <f t="shared" si="34"/>
        <v>402.73824848610673</v>
      </c>
      <c r="AG192" s="137">
        <f t="shared" si="35"/>
        <v>402.73824848610673</v>
      </c>
      <c r="AH192" s="154"/>
      <c r="AI192" s="154"/>
      <c r="AJ192" s="135" t="s">
        <v>47</v>
      </c>
      <c r="AK192" s="119" t="s">
        <v>47</v>
      </c>
      <c r="AM192" s="131"/>
    </row>
    <row r="193" spans="1:39" s="119" customFormat="1" ht="15" customHeight="1" x14ac:dyDescent="0.3">
      <c r="A193" s="119">
        <v>2017</v>
      </c>
      <c r="B193" s="119" t="s">
        <v>38</v>
      </c>
      <c r="C193" s="119" t="s">
        <v>88</v>
      </c>
      <c r="D193" s="119" t="s">
        <v>89</v>
      </c>
      <c r="E193" s="119" t="s">
        <v>124</v>
      </c>
      <c r="F193" s="119" t="s">
        <v>425</v>
      </c>
      <c r="G193" s="119" t="s">
        <v>425</v>
      </c>
      <c r="H193" s="119" t="s">
        <v>425</v>
      </c>
      <c r="I193" s="131" t="s">
        <v>243</v>
      </c>
      <c r="J193" s="119" t="s">
        <v>244</v>
      </c>
      <c r="K193" s="119" t="s">
        <v>245</v>
      </c>
      <c r="L193" s="119" t="s">
        <v>426</v>
      </c>
      <c r="M193" s="119" t="s">
        <v>46</v>
      </c>
      <c r="N193" s="135">
        <v>0</v>
      </c>
      <c r="O193" s="135" t="s">
        <v>47</v>
      </c>
      <c r="P193" s="135"/>
      <c r="Q193" s="137">
        <v>0</v>
      </c>
      <c r="R193" s="137">
        <v>0</v>
      </c>
      <c r="S193" s="137">
        <v>190000</v>
      </c>
      <c r="T193" s="137">
        <f t="shared" si="25"/>
        <v>0</v>
      </c>
      <c r="U193" s="137">
        <f t="shared" si="29"/>
        <v>190000</v>
      </c>
      <c r="V193" s="137">
        <v>190000</v>
      </c>
      <c r="W193" s="137">
        <f t="shared" si="30"/>
        <v>0</v>
      </c>
      <c r="X193" s="137">
        <f t="shared" si="26"/>
        <v>0</v>
      </c>
      <c r="Y193" s="137">
        <f t="shared" si="31"/>
        <v>0</v>
      </c>
      <c r="Z193" s="137">
        <v>100339.32</v>
      </c>
      <c r="AA193" s="137">
        <f t="shared" si="27"/>
        <v>89660.68</v>
      </c>
      <c r="AB193" s="146">
        <f t="shared" si="33"/>
        <v>100339.32</v>
      </c>
      <c r="AC193" s="147">
        <f t="shared" si="28"/>
        <v>0</v>
      </c>
      <c r="AD193" s="137">
        <v>84111.196063480704</v>
      </c>
      <c r="AE193" s="138">
        <v>0.17647058823529399</v>
      </c>
      <c r="AF193" s="137">
        <f t="shared" si="34"/>
        <v>14843.152246496584</v>
      </c>
      <c r="AG193" s="137">
        <f t="shared" si="35"/>
        <v>14843.152246496584</v>
      </c>
      <c r="AH193" s="154"/>
      <c r="AI193" s="154"/>
      <c r="AJ193" s="135" t="s">
        <v>47</v>
      </c>
      <c r="AK193" s="119" t="s">
        <v>47</v>
      </c>
      <c r="AM193" s="131"/>
    </row>
    <row r="194" spans="1:39" s="119" customFormat="1" ht="15" customHeight="1" x14ac:dyDescent="0.3">
      <c r="A194" s="119">
        <v>2017</v>
      </c>
      <c r="B194" s="119" t="s">
        <v>38</v>
      </c>
      <c r="C194" s="119" t="s">
        <v>88</v>
      </c>
      <c r="D194" s="119" t="s">
        <v>89</v>
      </c>
      <c r="E194" s="119" t="s">
        <v>124</v>
      </c>
      <c r="F194" s="119" t="s">
        <v>427</v>
      </c>
      <c r="G194" s="119" t="s">
        <v>427</v>
      </c>
      <c r="H194" s="119" t="s">
        <v>427</v>
      </c>
      <c r="I194" s="131" t="s">
        <v>243</v>
      </c>
      <c r="J194" s="119" t="s">
        <v>244</v>
      </c>
      <c r="K194" s="119" t="s">
        <v>245</v>
      </c>
      <c r="L194" s="119" t="s">
        <v>427</v>
      </c>
      <c r="M194" s="119" t="s">
        <v>46</v>
      </c>
      <c r="N194" s="135">
        <v>0</v>
      </c>
      <c r="O194" s="135" t="s">
        <v>47</v>
      </c>
      <c r="P194" s="135"/>
      <c r="Q194" s="137">
        <v>0</v>
      </c>
      <c r="R194" s="137">
        <v>0</v>
      </c>
      <c r="S194" s="137">
        <v>170000</v>
      </c>
      <c r="T194" s="137">
        <f t="shared" ref="T194:T257" si="36">S194*N194</f>
        <v>0</v>
      </c>
      <c r="U194" s="137">
        <f t="shared" si="29"/>
        <v>170000</v>
      </c>
      <c r="V194" s="137">
        <v>70000</v>
      </c>
      <c r="W194" s="137">
        <f t="shared" si="30"/>
        <v>100000</v>
      </c>
      <c r="X194" s="137">
        <f t="shared" ref="X194:X257" si="37">W194/(1+N194)</f>
        <v>100000</v>
      </c>
      <c r="Y194" s="137">
        <f t="shared" si="31"/>
        <v>0</v>
      </c>
      <c r="Z194" s="137">
        <v>61127.199999999997</v>
      </c>
      <c r="AA194" s="137">
        <f t="shared" ref="AA194:AA257" si="38">Q194+V194-Z194</f>
        <v>8872.8000000000029</v>
      </c>
      <c r="AB194" s="146">
        <f t="shared" si="33"/>
        <v>61127.199999999997</v>
      </c>
      <c r="AC194" s="147">
        <f t="shared" ref="AC194:AC257" si="39">IF(O194="返现",Z194*N194,Z194-AB194)</f>
        <v>0</v>
      </c>
      <c r="AD194" s="137">
        <v>51240.948254498799</v>
      </c>
      <c r="AE194" s="138">
        <v>0.17647058823529399</v>
      </c>
      <c r="AF194" s="137">
        <f t="shared" si="34"/>
        <v>9042.5202802056647</v>
      </c>
      <c r="AG194" s="137">
        <f t="shared" si="35"/>
        <v>9042.5202802056647</v>
      </c>
      <c r="AH194" s="154"/>
      <c r="AI194" s="154"/>
      <c r="AJ194" s="135" t="s">
        <v>47</v>
      </c>
      <c r="AK194" s="119" t="s">
        <v>47</v>
      </c>
      <c r="AM194" s="131"/>
    </row>
    <row r="195" spans="1:39" s="119" customFormat="1" ht="15" customHeight="1" x14ac:dyDescent="0.3">
      <c r="A195" s="119">
        <v>2017</v>
      </c>
      <c r="B195" s="119" t="s">
        <v>38</v>
      </c>
      <c r="C195" s="119" t="s">
        <v>88</v>
      </c>
      <c r="D195" s="119" t="s">
        <v>89</v>
      </c>
      <c r="E195" s="119" t="s">
        <v>124</v>
      </c>
      <c r="F195" s="119" t="s">
        <v>428</v>
      </c>
      <c r="G195" s="119" t="s">
        <v>428</v>
      </c>
      <c r="H195" s="119" t="s">
        <v>428</v>
      </c>
      <c r="I195" s="131" t="s">
        <v>243</v>
      </c>
      <c r="J195" s="119" t="s">
        <v>244</v>
      </c>
      <c r="K195" s="119" t="s">
        <v>245</v>
      </c>
      <c r="L195" s="119" t="s">
        <v>429</v>
      </c>
      <c r="M195" s="119" t="s">
        <v>46</v>
      </c>
      <c r="N195" s="135">
        <v>0</v>
      </c>
      <c r="O195" s="135" t="s">
        <v>47</v>
      </c>
      <c r="P195" s="135"/>
      <c r="Q195" s="137">
        <v>0</v>
      </c>
      <c r="R195" s="137">
        <v>0</v>
      </c>
      <c r="S195" s="137">
        <v>5000</v>
      </c>
      <c r="T195" s="137">
        <f t="shared" si="36"/>
        <v>0</v>
      </c>
      <c r="U195" s="137">
        <f t="shared" ref="U195:U258" si="40">R195+S195+T195</f>
        <v>5000</v>
      </c>
      <c r="V195" s="137">
        <v>5000</v>
      </c>
      <c r="W195" s="137">
        <f t="shared" ref="W195:W258" si="41">U195-V195</f>
        <v>0</v>
      </c>
      <c r="X195" s="137">
        <f t="shared" si="37"/>
        <v>0</v>
      </c>
      <c r="Y195" s="137">
        <f t="shared" ref="Y195:Y258" si="42">W195-X195</f>
        <v>0</v>
      </c>
      <c r="Z195" s="137">
        <v>3498.5</v>
      </c>
      <c r="AA195" s="137">
        <f t="shared" si="38"/>
        <v>1501.5</v>
      </c>
      <c r="AB195" s="146">
        <f t="shared" si="33"/>
        <v>3498.5</v>
      </c>
      <c r="AC195" s="147">
        <f t="shared" si="39"/>
        <v>0</v>
      </c>
      <c r="AD195" s="137">
        <v>2932.6790278037302</v>
      </c>
      <c r="AE195" s="138">
        <v>0.17647058823529399</v>
      </c>
      <c r="AF195" s="137">
        <f t="shared" si="34"/>
        <v>517.53159314183438</v>
      </c>
      <c r="AG195" s="137">
        <f t="shared" si="35"/>
        <v>517.53159314183438</v>
      </c>
      <c r="AH195" s="154"/>
      <c r="AI195" s="154"/>
      <c r="AJ195" s="135" t="s">
        <v>47</v>
      </c>
      <c r="AK195" s="119" t="s">
        <v>47</v>
      </c>
      <c r="AM195" s="131"/>
    </row>
    <row r="196" spans="1:39" s="119" customFormat="1" ht="15" customHeight="1" x14ac:dyDescent="0.3">
      <c r="A196" s="119">
        <v>2017</v>
      </c>
      <c r="B196" s="119" t="s">
        <v>38</v>
      </c>
      <c r="C196" s="119" t="s">
        <v>1634</v>
      </c>
      <c r="D196" s="119" t="s">
        <v>1635</v>
      </c>
      <c r="E196" s="119" t="s">
        <v>1636</v>
      </c>
      <c r="F196" s="119" t="s">
        <v>271</v>
      </c>
      <c r="G196" s="119" t="s">
        <v>1633</v>
      </c>
      <c r="H196" s="119" t="s">
        <v>403</v>
      </c>
      <c r="I196" s="131" t="s">
        <v>243</v>
      </c>
      <c r="J196" s="119" t="s">
        <v>244</v>
      </c>
      <c r="K196" s="119" t="s">
        <v>245</v>
      </c>
      <c r="L196" s="119" t="s">
        <v>432</v>
      </c>
      <c r="M196" s="119" t="s">
        <v>46</v>
      </c>
      <c r="N196" s="135">
        <v>0.02</v>
      </c>
      <c r="O196" s="135" t="s">
        <v>1637</v>
      </c>
      <c r="P196" s="135"/>
      <c r="Q196" s="137">
        <v>0</v>
      </c>
      <c r="R196" s="137">
        <v>0</v>
      </c>
      <c r="S196" s="137">
        <v>60000</v>
      </c>
      <c r="T196" s="137">
        <f t="shared" si="36"/>
        <v>1200</v>
      </c>
      <c r="U196" s="137">
        <f t="shared" si="40"/>
        <v>61200</v>
      </c>
      <c r="V196" s="137">
        <v>20000</v>
      </c>
      <c r="W196" s="137">
        <f t="shared" si="41"/>
        <v>41200</v>
      </c>
      <c r="X196" s="137">
        <f t="shared" si="37"/>
        <v>40392.156862745098</v>
      </c>
      <c r="Y196" s="137">
        <f t="shared" si="42"/>
        <v>807.8431372549021</v>
      </c>
      <c r="Z196" s="137">
        <v>10500.3</v>
      </c>
      <c r="AA196" s="137">
        <f t="shared" si="38"/>
        <v>9499.7000000000007</v>
      </c>
      <c r="AB196" s="146">
        <f t="shared" si="33"/>
        <v>10294.411764705881</v>
      </c>
      <c r="AC196" s="147">
        <f t="shared" si="39"/>
        <v>205.8882352941182</v>
      </c>
      <c r="AD196" s="137">
        <v>8802.0607676568507</v>
      </c>
      <c r="AE196" s="138">
        <v>0.17647058823529399</v>
      </c>
      <c r="AF196" s="137">
        <f t="shared" si="34"/>
        <v>1553.3048413512079</v>
      </c>
      <c r="AG196" s="137">
        <f t="shared" si="35"/>
        <v>1347.4166060570897</v>
      </c>
      <c r="AH196" s="154"/>
      <c r="AI196" s="154"/>
      <c r="AJ196" s="135" t="s">
        <v>47</v>
      </c>
      <c r="AK196" s="119" t="s">
        <v>47</v>
      </c>
      <c r="AM196" s="131"/>
    </row>
    <row r="197" spans="1:39" s="119" customFormat="1" ht="15" customHeight="1" x14ac:dyDescent="0.3">
      <c r="A197" s="119">
        <v>2017</v>
      </c>
      <c r="B197" s="119" t="s">
        <v>199</v>
      </c>
      <c r="C197" s="119" t="s">
        <v>88</v>
      </c>
      <c r="D197" s="119" t="s">
        <v>89</v>
      </c>
      <c r="E197" s="119" t="s">
        <v>277</v>
      </c>
      <c r="F197" s="119" t="s">
        <v>288</v>
      </c>
      <c r="G197" s="119" t="s">
        <v>289</v>
      </c>
      <c r="H197" s="119" t="s">
        <v>289</v>
      </c>
      <c r="I197" s="131" t="s">
        <v>243</v>
      </c>
      <c r="J197" s="119" t="s">
        <v>244</v>
      </c>
      <c r="K197" s="119" t="s">
        <v>245</v>
      </c>
      <c r="L197" s="119" t="s">
        <v>288</v>
      </c>
      <c r="M197" s="119" t="s">
        <v>46</v>
      </c>
      <c r="N197" s="135">
        <v>0</v>
      </c>
      <c r="O197" s="135" t="s">
        <v>47</v>
      </c>
      <c r="P197" s="135"/>
      <c r="Q197" s="137">
        <v>0</v>
      </c>
      <c r="R197" s="137">
        <v>0</v>
      </c>
      <c r="S197" s="137">
        <v>28037</v>
      </c>
      <c r="T197" s="137">
        <f t="shared" si="36"/>
        <v>0</v>
      </c>
      <c r="U197" s="137">
        <f t="shared" si="40"/>
        <v>28037</v>
      </c>
      <c r="V197" s="137">
        <v>35000</v>
      </c>
      <c r="W197" s="137">
        <f t="shared" si="41"/>
        <v>-6963</v>
      </c>
      <c r="X197" s="137">
        <f t="shared" si="37"/>
        <v>-6963</v>
      </c>
      <c r="Y197" s="137">
        <f t="shared" si="42"/>
        <v>0</v>
      </c>
      <c r="Z197" s="137">
        <v>22745.5</v>
      </c>
      <c r="AA197" s="137">
        <f t="shared" si="38"/>
        <v>12254.5</v>
      </c>
      <c r="AB197" s="146">
        <f t="shared" si="33"/>
        <v>22745.5</v>
      </c>
      <c r="AC197" s="147">
        <f t="shared" si="39"/>
        <v>0</v>
      </c>
      <c r="AD197" s="137">
        <v>19066.814585367902</v>
      </c>
      <c r="AE197" s="138">
        <v>0.17647058823529399</v>
      </c>
      <c r="AF197" s="137">
        <f t="shared" si="34"/>
        <v>3364.7319856531567</v>
      </c>
      <c r="AG197" s="137">
        <f t="shared" si="35"/>
        <v>3364.7319856531567</v>
      </c>
      <c r="AH197" s="154"/>
      <c r="AI197" s="154"/>
      <c r="AJ197" s="135" t="s">
        <v>47</v>
      </c>
      <c r="AK197" s="119" t="s">
        <v>47</v>
      </c>
      <c r="AM197" s="131"/>
    </row>
    <row r="198" spans="1:39" s="119" customFormat="1" ht="15" customHeight="1" x14ac:dyDescent="0.3">
      <c r="A198" s="119">
        <v>2017</v>
      </c>
      <c r="B198" s="119" t="s">
        <v>38</v>
      </c>
      <c r="C198" s="119" t="s">
        <v>88</v>
      </c>
      <c r="D198" s="119" t="s">
        <v>293</v>
      </c>
      <c r="E198" s="119" t="s">
        <v>194</v>
      </c>
      <c r="F198" s="119" t="s">
        <v>294</v>
      </c>
      <c r="G198" s="119" t="s">
        <v>294</v>
      </c>
      <c r="H198" s="119" t="s">
        <v>294</v>
      </c>
      <c r="I198" s="131" t="s">
        <v>243</v>
      </c>
      <c r="J198" s="119" t="s">
        <v>244</v>
      </c>
      <c r="K198" s="119" t="s">
        <v>245</v>
      </c>
      <c r="L198" s="119" t="s">
        <v>294</v>
      </c>
      <c r="M198" s="119" t="s">
        <v>46</v>
      </c>
      <c r="N198" s="135">
        <v>0</v>
      </c>
      <c r="O198" s="135" t="s">
        <v>47</v>
      </c>
      <c r="P198" s="135"/>
      <c r="Q198" s="137">
        <v>0</v>
      </c>
      <c r="R198" s="137">
        <v>0</v>
      </c>
      <c r="S198" s="137">
        <v>40000</v>
      </c>
      <c r="T198" s="137">
        <f t="shared" si="36"/>
        <v>0</v>
      </c>
      <c r="U198" s="137">
        <f t="shared" si="40"/>
        <v>40000</v>
      </c>
      <c r="V198" s="137">
        <v>45658</v>
      </c>
      <c r="W198" s="137">
        <f t="shared" si="41"/>
        <v>-5658</v>
      </c>
      <c r="X198" s="137">
        <f t="shared" si="37"/>
        <v>-5658</v>
      </c>
      <c r="Y198" s="137">
        <f t="shared" si="42"/>
        <v>0</v>
      </c>
      <c r="Z198" s="137">
        <v>34270</v>
      </c>
      <c r="AA198" s="137">
        <f t="shared" si="38"/>
        <v>11388</v>
      </c>
      <c r="AB198" s="146">
        <f t="shared" si="33"/>
        <v>34270</v>
      </c>
      <c r="AC198" s="147">
        <f t="shared" si="39"/>
        <v>0</v>
      </c>
      <c r="AD198" s="137">
        <v>28727.428978943499</v>
      </c>
      <c r="AE198" s="138">
        <v>0.17647058823529399</v>
      </c>
      <c r="AF198" s="137">
        <f t="shared" si="34"/>
        <v>5069.5462904017904</v>
      </c>
      <c r="AG198" s="137">
        <f t="shared" si="35"/>
        <v>5069.5462904017904</v>
      </c>
      <c r="AH198" s="154"/>
      <c r="AI198" s="154"/>
      <c r="AJ198" s="136">
        <v>0</v>
      </c>
      <c r="AK198" s="119" t="s">
        <v>120</v>
      </c>
      <c r="AM198" s="131"/>
    </row>
    <row r="199" spans="1:39" s="119" customFormat="1" ht="15" customHeight="1" x14ac:dyDescent="0.3">
      <c r="A199" s="119">
        <v>2017</v>
      </c>
      <c r="B199" s="119" t="s">
        <v>38</v>
      </c>
      <c r="C199" s="119" t="s">
        <v>433</v>
      </c>
      <c r="D199" s="119" t="s">
        <v>434</v>
      </c>
      <c r="E199" s="119" t="s">
        <v>435</v>
      </c>
      <c r="F199" s="119" t="s">
        <v>436</v>
      </c>
      <c r="G199" s="119" t="s">
        <v>436</v>
      </c>
      <c r="H199" s="119" t="s">
        <v>436</v>
      </c>
      <c r="I199" s="131" t="s">
        <v>243</v>
      </c>
      <c r="J199" s="119" t="s">
        <v>244</v>
      </c>
      <c r="K199" s="119" t="s">
        <v>245</v>
      </c>
      <c r="L199" s="119" t="s">
        <v>437</v>
      </c>
      <c r="M199" s="119" t="s">
        <v>46</v>
      </c>
      <c r="N199" s="135">
        <v>0</v>
      </c>
      <c r="O199" s="135" t="s">
        <v>47</v>
      </c>
      <c r="P199" s="135"/>
      <c r="Q199" s="137">
        <v>0</v>
      </c>
      <c r="R199" s="137">
        <v>0</v>
      </c>
      <c r="S199" s="137">
        <v>50000</v>
      </c>
      <c r="T199" s="137">
        <f t="shared" si="36"/>
        <v>0</v>
      </c>
      <c r="U199" s="137">
        <f t="shared" si="40"/>
        <v>50000</v>
      </c>
      <c r="V199" s="137">
        <v>50000</v>
      </c>
      <c r="W199" s="137">
        <f t="shared" si="41"/>
        <v>0</v>
      </c>
      <c r="X199" s="137">
        <f t="shared" si="37"/>
        <v>0</v>
      </c>
      <c r="Y199" s="137">
        <f t="shared" si="42"/>
        <v>0</v>
      </c>
      <c r="Z199" s="137">
        <v>2618.61</v>
      </c>
      <c r="AA199" s="137">
        <f t="shared" si="38"/>
        <v>47381.39</v>
      </c>
      <c r="AB199" s="146">
        <f t="shared" si="33"/>
        <v>2618.61</v>
      </c>
      <c r="AC199" s="147">
        <f t="shared" si="39"/>
        <v>0</v>
      </c>
      <c r="AD199" s="137">
        <v>2195.0957921958302</v>
      </c>
      <c r="AE199" s="138">
        <v>0.17647058823529399</v>
      </c>
      <c r="AF199" s="137">
        <f t="shared" si="34"/>
        <v>387.36984568161682</v>
      </c>
      <c r="AG199" s="137">
        <f t="shared" si="35"/>
        <v>387.36984568161682</v>
      </c>
      <c r="AH199" s="154"/>
      <c r="AI199" s="154"/>
      <c r="AJ199" s="135" t="s">
        <v>47</v>
      </c>
      <c r="AK199" s="119" t="s">
        <v>47</v>
      </c>
      <c r="AM199" s="131"/>
    </row>
    <row r="200" spans="1:39" s="119" customFormat="1" ht="15" customHeight="1" x14ac:dyDescent="0.3">
      <c r="A200" s="119">
        <v>2017</v>
      </c>
      <c r="B200" s="119" t="s">
        <v>38</v>
      </c>
      <c r="C200" s="119" t="s">
        <v>75</v>
      </c>
      <c r="D200" s="119" t="s">
        <v>76</v>
      </c>
      <c r="E200" s="119" t="s">
        <v>167</v>
      </c>
      <c r="F200" s="119" t="s">
        <v>295</v>
      </c>
      <c r="G200" s="119" t="s">
        <v>295</v>
      </c>
      <c r="H200" s="119" t="s">
        <v>295</v>
      </c>
      <c r="I200" s="131" t="s">
        <v>243</v>
      </c>
      <c r="J200" s="119" t="s">
        <v>244</v>
      </c>
      <c r="K200" s="119" t="s">
        <v>245</v>
      </c>
      <c r="L200" s="119" t="s">
        <v>295</v>
      </c>
      <c r="M200" s="119" t="s">
        <v>46</v>
      </c>
      <c r="N200" s="135">
        <v>0</v>
      </c>
      <c r="O200" s="135" t="s">
        <v>47</v>
      </c>
      <c r="P200" s="135"/>
      <c r="Q200" s="137">
        <v>0</v>
      </c>
      <c r="R200" s="137">
        <v>0</v>
      </c>
      <c r="S200" s="137">
        <v>136901</v>
      </c>
      <c r="T200" s="137">
        <f t="shared" si="36"/>
        <v>0</v>
      </c>
      <c r="U200" s="137">
        <f t="shared" si="40"/>
        <v>136901</v>
      </c>
      <c r="V200" s="137">
        <v>159987.5</v>
      </c>
      <c r="W200" s="137">
        <f t="shared" si="41"/>
        <v>-23086.5</v>
      </c>
      <c r="X200" s="137">
        <f t="shared" si="37"/>
        <v>-23086.5</v>
      </c>
      <c r="Y200" s="137">
        <f t="shared" si="42"/>
        <v>0</v>
      </c>
      <c r="Z200" s="137">
        <v>105154.12</v>
      </c>
      <c r="AA200" s="137">
        <f t="shared" si="38"/>
        <v>54833.380000000005</v>
      </c>
      <c r="AB200" s="146">
        <f t="shared" si="33"/>
        <v>105154.12</v>
      </c>
      <c r="AC200" s="147">
        <f t="shared" si="39"/>
        <v>0</v>
      </c>
      <c r="AD200" s="137">
        <v>88147.286668902903</v>
      </c>
      <c r="AE200" s="138">
        <v>0.17647058823529399</v>
      </c>
      <c r="AF200" s="137">
        <f t="shared" si="34"/>
        <v>15555.403529806383</v>
      </c>
      <c r="AG200" s="137">
        <f t="shared" si="35"/>
        <v>15555.403529806383</v>
      </c>
      <c r="AH200" s="154"/>
      <c r="AI200" s="154"/>
      <c r="AJ200" s="135" t="s">
        <v>47</v>
      </c>
      <c r="AK200" s="119" t="s">
        <v>47</v>
      </c>
      <c r="AM200" s="131"/>
    </row>
    <row r="201" spans="1:39" s="119" customFormat="1" ht="15" customHeight="1" x14ac:dyDescent="0.3">
      <c r="A201" s="119">
        <v>2017</v>
      </c>
      <c r="B201" s="119" t="s">
        <v>38</v>
      </c>
      <c r="C201" s="119" t="s">
        <v>75</v>
      </c>
      <c r="D201" s="119" t="s">
        <v>76</v>
      </c>
      <c r="E201" s="119" t="s">
        <v>296</v>
      </c>
      <c r="F201" s="119" t="s">
        <v>205</v>
      </c>
      <c r="G201" s="119" t="s">
        <v>205</v>
      </c>
      <c r="H201" s="119" t="s">
        <v>205</v>
      </c>
      <c r="I201" s="131" t="s">
        <v>243</v>
      </c>
      <c r="J201" s="119" t="s">
        <v>244</v>
      </c>
      <c r="K201" s="119" t="s">
        <v>245</v>
      </c>
      <c r="L201" s="119" t="s">
        <v>438</v>
      </c>
      <c r="M201" s="119" t="s">
        <v>46</v>
      </c>
      <c r="N201" s="136">
        <v>0.02</v>
      </c>
      <c r="O201" s="135" t="s">
        <v>51</v>
      </c>
      <c r="P201" s="135"/>
      <c r="Q201" s="137">
        <v>0</v>
      </c>
      <c r="R201" s="137">
        <v>0</v>
      </c>
      <c r="S201" s="137">
        <v>19329</v>
      </c>
      <c r="T201" s="137">
        <f t="shared" si="36"/>
        <v>386.58</v>
      </c>
      <c r="U201" s="137">
        <f t="shared" si="40"/>
        <v>19715.580000000002</v>
      </c>
      <c r="V201" s="137">
        <v>22712</v>
      </c>
      <c r="W201" s="137">
        <f t="shared" si="41"/>
        <v>-2996.4199999999983</v>
      </c>
      <c r="X201" s="137">
        <f t="shared" si="37"/>
        <v>-2937.6666666666647</v>
      </c>
      <c r="Y201" s="137">
        <f t="shared" si="42"/>
        <v>-58.753333333333558</v>
      </c>
      <c r="Z201" s="137">
        <v>12762</v>
      </c>
      <c r="AA201" s="137">
        <f t="shared" si="38"/>
        <v>9950</v>
      </c>
      <c r="AB201" s="146">
        <f t="shared" si="33"/>
        <v>12511.764705882353</v>
      </c>
      <c r="AC201" s="147">
        <f t="shared" si="39"/>
        <v>250.23529411764684</v>
      </c>
      <c r="AD201" s="137">
        <v>10697.970488161</v>
      </c>
      <c r="AE201" s="138">
        <v>0.17647058823529399</v>
      </c>
      <c r="AF201" s="137">
        <f t="shared" si="34"/>
        <v>1887.8771449695869</v>
      </c>
      <c r="AG201" s="137">
        <f t="shared" si="35"/>
        <v>1637.64185085194</v>
      </c>
      <c r="AH201" s="154"/>
      <c r="AI201" s="154"/>
      <c r="AJ201" s="136">
        <v>0.02</v>
      </c>
      <c r="AK201" s="156">
        <v>0.02</v>
      </c>
      <c r="AM201" s="131"/>
    </row>
    <row r="202" spans="1:39" s="119" customFormat="1" ht="15" customHeight="1" x14ac:dyDescent="0.3">
      <c r="A202" s="119">
        <v>2017</v>
      </c>
      <c r="B202" s="119" t="s">
        <v>38</v>
      </c>
      <c r="C202" s="119" t="s">
        <v>59</v>
      </c>
      <c r="D202" s="119" t="s">
        <v>106</v>
      </c>
      <c r="E202" s="119" t="s">
        <v>107</v>
      </c>
      <c r="F202" s="119" t="s">
        <v>439</v>
      </c>
      <c r="G202" s="119" t="s">
        <v>439</v>
      </c>
      <c r="H202" s="119" t="s">
        <v>439</v>
      </c>
      <c r="I202" s="119" t="s">
        <v>170</v>
      </c>
      <c r="J202" s="119" t="s">
        <v>171</v>
      </c>
      <c r="K202" s="119" t="s">
        <v>172</v>
      </c>
      <c r="L202" s="119" t="s">
        <v>439</v>
      </c>
      <c r="M202" s="119" t="s">
        <v>46</v>
      </c>
      <c r="N202" s="136">
        <v>0.04</v>
      </c>
      <c r="O202" s="135" t="s">
        <v>51</v>
      </c>
      <c r="P202" s="135" t="s">
        <v>440</v>
      </c>
      <c r="Q202" s="137">
        <v>0</v>
      </c>
      <c r="R202" s="137">
        <v>0</v>
      </c>
      <c r="S202" s="137">
        <v>3880000</v>
      </c>
      <c r="T202" s="137">
        <f t="shared" si="36"/>
        <v>155200</v>
      </c>
      <c r="U202" s="137">
        <f t="shared" si="40"/>
        <v>4035200</v>
      </c>
      <c r="V202" s="137">
        <v>3875900.8</v>
      </c>
      <c r="W202" s="137">
        <f t="shared" si="41"/>
        <v>159299.20000000019</v>
      </c>
      <c r="X202" s="137">
        <f t="shared" si="37"/>
        <v>153172.30769230786</v>
      </c>
      <c r="Y202" s="137">
        <f t="shared" si="42"/>
        <v>6126.8923076923238</v>
      </c>
      <c r="Z202" s="137">
        <f>4521795.9-632400</f>
        <v>3889395.9000000004</v>
      </c>
      <c r="AA202" s="137">
        <f t="shared" si="38"/>
        <v>-13495.100000000559</v>
      </c>
      <c r="AB202" s="146">
        <f t="shared" si="33"/>
        <v>3739803.75</v>
      </c>
      <c r="AC202" s="147">
        <f t="shared" si="39"/>
        <v>149592.15000000037</v>
      </c>
      <c r="AD202" s="137">
        <f>(Z202-Q202)*0.89807640489087</f>
        <v>3492974.6870692903</v>
      </c>
      <c r="AE202" s="138">
        <v>0.11269173273981201</v>
      </c>
      <c r="AF202" s="137">
        <f t="shared" si="34"/>
        <v>393629.36990214093</v>
      </c>
      <c r="AG202" s="137">
        <v>230648.556564928</v>
      </c>
      <c r="AH202" s="154"/>
      <c r="AI202" s="154"/>
      <c r="AJ202" s="135" t="s">
        <v>186</v>
      </c>
      <c r="AK202" s="119" t="s">
        <v>186</v>
      </c>
    </row>
    <row r="203" spans="1:39" s="119" customFormat="1" ht="15" customHeight="1" x14ac:dyDescent="0.3">
      <c r="A203" s="119">
        <v>2017</v>
      </c>
      <c r="B203" s="119" t="s">
        <v>38</v>
      </c>
      <c r="C203" s="119" t="s">
        <v>75</v>
      </c>
      <c r="D203" s="119" t="s">
        <v>76</v>
      </c>
      <c r="E203" s="119" t="s">
        <v>150</v>
      </c>
      <c r="F203" s="119" t="s">
        <v>263</v>
      </c>
      <c r="G203" s="119" t="s">
        <v>263</v>
      </c>
      <c r="H203" s="119" t="s">
        <v>263</v>
      </c>
      <c r="I203" s="131" t="s">
        <v>243</v>
      </c>
      <c r="J203" s="119" t="s">
        <v>244</v>
      </c>
      <c r="K203" s="119" t="s">
        <v>245</v>
      </c>
      <c r="L203" s="119" t="s">
        <v>441</v>
      </c>
      <c r="M203" s="119" t="s">
        <v>46</v>
      </c>
      <c r="N203" s="135">
        <v>0</v>
      </c>
      <c r="O203" s="135" t="s">
        <v>47</v>
      </c>
      <c r="P203" s="135"/>
      <c r="Q203" s="137">
        <v>0</v>
      </c>
      <c r="R203" s="137">
        <v>0</v>
      </c>
      <c r="S203" s="137">
        <v>30000</v>
      </c>
      <c r="T203" s="137">
        <f t="shared" si="36"/>
        <v>0</v>
      </c>
      <c r="U203" s="137">
        <f t="shared" si="40"/>
        <v>30000</v>
      </c>
      <c r="V203" s="137">
        <v>30000</v>
      </c>
      <c r="W203" s="137">
        <f t="shared" si="41"/>
        <v>0</v>
      </c>
      <c r="X203" s="137">
        <f t="shared" si="37"/>
        <v>0</v>
      </c>
      <c r="Y203" s="137">
        <f t="shared" si="42"/>
        <v>0</v>
      </c>
      <c r="Z203" s="137">
        <v>22005.599999999999</v>
      </c>
      <c r="AA203" s="137">
        <f t="shared" si="38"/>
        <v>7994.4000000000015</v>
      </c>
      <c r="AB203" s="146">
        <f t="shared" si="33"/>
        <v>22005.599999999999</v>
      </c>
      <c r="AC203" s="147">
        <f t="shared" si="39"/>
        <v>0</v>
      </c>
      <c r="AD203" s="137">
        <v>18446.580424249802</v>
      </c>
      <c r="AE203" s="138">
        <v>0.17647058823529399</v>
      </c>
      <c r="AF203" s="137">
        <f t="shared" si="34"/>
        <v>3255.2788983970213</v>
      </c>
      <c r="AG203" s="137">
        <f t="shared" ref="AG203:AG234" si="43">AB203-Z203+AF203</f>
        <v>3255.2788983970213</v>
      </c>
      <c r="AH203" s="154"/>
      <c r="AI203" s="154"/>
      <c r="AJ203" s="135" t="s">
        <v>47</v>
      </c>
      <c r="AK203" s="119" t="s">
        <v>47</v>
      </c>
      <c r="AM203" s="131"/>
    </row>
    <row r="204" spans="1:39" s="119" customFormat="1" ht="15" customHeight="1" x14ac:dyDescent="0.3">
      <c r="A204" s="119">
        <v>2017</v>
      </c>
      <c r="B204" s="119" t="s">
        <v>38</v>
      </c>
      <c r="C204" s="119" t="s">
        <v>75</v>
      </c>
      <c r="D204" s="119" t="s">
        <v>76</v>
      </c>
      <c r="E204" s="119" t="s">
        <v>150</v>
      </c>
      <c r="F204" s="119" t="s">
        <v>300</v>
      </c>
      <c r="G204" s="119" t="s">
        <v>300</v>
      </c>
      <c r="H204" s="119" t="s">
        <v>300</v>
      </c>
      <c r="I204" s="131" t="s">
        <v>243</v>
      </c>
      <c r="J204" s="119" t="s">
        <v>244</v>
      </c>
      <c r="K204" s="119" t="s">
        <v>245</v>
      </c>
      <c r="L204" s="119" t="s">
        <v>300</v>
      </c>
      <c r="M204" s="119" t="s">
        <v>46</v>
      </c>
      <c r="N204" s="135">
        <v>0</v>
      </c>
      <c r="O204" s="135" t="s">
        <v>47</v>
      </c>
      <c r="P204" s="135"/>
      <c r="Q204" s="137">
        <v>0</v>
      </c>
      <c r="R204" s="137">
        <v>0</v>
      </c>
      <c r="S204" s="137">
        <v>289774.5</v>
      </c>
      <c r="T204" s="137">
        <f t="shared" si="36"/>
        <v>0</v>
      </c>
      <c r="U204" s="137">
        <f t="shared" si="40"/>
        <v>289774.5</v>
      </c>
      <c r="V204" s="137">
        <v>0</v>
      </c>
      <c r="W204" s="137">
        <f t="shared" si="41"/>
        <v>289774.5</v>
      </c>
      <c r="X204" s="137">
        <f t="shared" si="37"/>
        <v>289774.5</v>
      </c>
      <c r="Y204" s="137">
        <f t="shared" si="42"/>
        <v>0</v>
      </c>
      <c r="Z204" s="137">
        <v>0</v>
      </c>
      <c r="AA204" s="137">
        <f t="shared" si="38"/>
        <v>0</v>
      </c>
      <c r="AB204" s="146">
        <f t="shared" si="33"/>
        <v>0</v>
      </c>
      <c r="AC204" s="147">
        <f t="shared" si="39"/>
        <v>0</v>
      </c>
      <c r="AD204" s="137">
        <v>0</v>
      </c>
      <c r="AE204" s="138">
        <v>0.17647058823529399</v>
      </c>
      <c r="AF204" s="137">
        <f t="shared" si="34"/>
        <v>0</v>
      </c>
      <c r="AG204" s="137">
        <f t="shared" si="43"/>
        <v>0</v>
      </c>
      <c r="AH204" s="154"/>
      <c r="AI204" s="154"/>
      <c r="AJ204" s="135" t="s">
        <v>47</v>
      </c>
      <c r="AK204" s="119" t="s">
        <v>47</v>
      </c>
      <c r="AM204" s="131"/>
    </row>
    <row r="205" spans="1:39" s="119" customFormat="1" ht="15" customHeight="1" x14ac:dyDescent="0.3">
      <c r="A205" s="119">
        <v>2017</v>
      </c>
      <c r="B205" s="119" t="s">
        <v>38</v>
      </c>
      <c r="C205" s="119" t="s">
        <v>75</v>
      </c>
      <c r="D205" s="119" t="s">
        <v>76</v>
      </c>
      <c r="E205" s="119" t="s">
        <v>150</v>
      </c>
      <c r="F205" s="119" t="s">
        <v>300</v>
      </c>
      <c r="G205" s="119" t="s">
        <v>301</v>
      </c>
      <c r="H205" s="119" t="s">
        <v>301</v>
      </c>
      <c r="I205" s="131" t="s">
        <v>243</v>
      </c>
      <c r="J205" s="119" t="s">
        <v>244</v>
      </c>
      <c r="K205" s="119" t="s">
        <v>245</v>
      </c>
      <c r="L205" s="119" t="s">
        <v>331</v>
      </c>
      <c r="M205" s="119" t="s">
        <v>46</v>
      </c>
      <c r="N205" s="135">
        <v>0</v>
      </c>
      <c r="O205" s="135" t="s">
        <v>47</v>
      </c>
      <c r="P205" s="135"/>
      <c r="Q205" s="137">
        <v>0</v>
      </c>
      <c r="R205" s="137">
        <v>0</v>
      </c>
      <c r="S205" s="137">
        <v>995956.5</v>
      </c>
      <c r="T205" s="137">
        <f t="shared" si="36"/>
        <v>0</v>
      </c>
      <c r="U205" s="137">
        <f t="shared" si="40"/>
        <v>995956.5</v>
      </c>
      <c r="V205" s="137">
        <v>986000</v>
      </c>
      <c r="W205" s="137">
        <f t="shared" si="41"/>
        <v>9956.5</v>
      </c>
      <c r="X205" s="137">
        <f t="shared" si="37"/>
        <v>9956.5</v>
      </c>
      <c r="Y205" s="137">
        <f t="shared" si="42"/>
        <v>0</v>
      </c>
      <c r="Z205" s="137">
        <v>849905</v>
      </c>
      <c r="AA205" s="137">
        <f t="shared" si="38"/>
        <v>136095</v>
      </c>
      <c r="AB205" s="146">
        <f t="shared" si="33"/>
        <v>849905</v>
      </c>
      <c r="AC205" s="147">
        <f t="shared" si="39"/>
        <v>0</v>
      </c>
      <c r="AD205" s="137">
        <v>712447.78308575903</v>
      </c>
      <c r="AE205" s="138">
        <v>0.17647058823529399</v>
      </c>
      <c r="AF205" s="137">
        <f t="shared" si="34"/>
        <v>125726.07936807504</v>
      </c>
      <c r="AG205" s="137">
        <f t="shared" si="43"/>
        <v>125726.07936807504</v>
      </c>
      <c r="AH205" s="154"/>
      <c r="AI205" s="154"/>
      <c r="AJ205" s="135" t="s">
        <v>47</v>
      </c>
      <c r="AK205" s="119" t="s">
        <v>47</v>
      </c>
      <c r="AM205" s="131"/>
    </row>
    <row r="206" spans="1:39" s="119" customFormat="1" ht="15" customHeight="1" x14ac:dyDescent="0.3">
      <c r="A206" s="119">
        <v>2017</v>
      </c>
      <c r="B206" s="119" t="s">
        <v>38</v>
      </c>
      <c r="C206" s="119" t="s">
        <v>75</v>
      </c>
      <c r="D206" s="119" t="s">
        <v>76</v>
      </c>
      <c r="E206" s="119" t="s">
        <v>77</v>
      </c>
      <c r="F206" s="119" t="s">
        <v>303</v>
      </c>
      <c r="G206" s="119" t="s">
        <v>303</v>
      </c>
      <c r="H206" s="119" t="s">
        <v>303</v>
      </c>
      <c r="I206" s="131" t="s">
        <v>243</v>
      </c>
      <c r="J206" s="119" t="s">
        <v>244</v>
      </c>
      <c r="K206" s="119" t="s">
        <v>245</v>
      </c>
      <c r="L206" s="119" t="s">
        <v>303</v>
      </c>
      <c r="M206" s="119" t="s">
        <v>46</v>
      </c>
      <c r="N206" s="135">
        <v>0</v>
      </c>
      <c r="O206" s="135" t="s">
        <v>47</v>
      </c>
      <c r="P206" s="135"/>
      <c r="Q206" s="137">
        <v>0</v>
      </c>
      <c r="R206" s="137">
        <v>0</v>
      </c>
      <c r="S206" s="137">
        <v>48284.5</v>
      </c>
      <c r="T206" s="137">
        <f t="shared" si="36"/>
        <v>0</v>
      </c>
      <c r="U206" s="137">
        <f t="shared" si="40"/>
        <v>48284.5</v>
      </c>
      <c r="V206" s="137">
        <v>61781.5</v>
      </c>
      <c r="W206" s="137">
        <f t="shared" si="41"/>
        <v>-13497</v>
      </c>
      <c r="X206" s="137">
        <f t="shared" si="37"/>
        <v>-13497</v>
      </c>
      <c r="Y206" s="137">
        <f t="shared" si="42"/>
        <v>0</v>
      </c>
      <c r="Z206" s="137">
        <v>45856.85</v>
      </c>
      <c r="AA206" s="137">
        <f t="shared" si="38"/>
        <v>15924.650000000001</v>
      </c>
      <c r="AB206" s="146">
        <f t="shared" si="33"/>
        <v>45856.85</v>
      </c>
      <c r="AC206" s="147">
        <f t="shared" si="39"/>
        <v>0</v>
      </c>
      <c r="AD206" s="137">
        <v>38440.309354335099</v>
      </c>
      <c r="AE206" s="138">
        <v>0.17647058823529399</v>
      </c>
      <c r="AF206" s="137">
        <f t="shared" si="34"/>
        <v>6783.5840037061889</v>
      </c>
      <c r="AG206" s="137">
        <f t="shared" si="43"/>
        <v>6783.5840037061889</v>
      </c>
      <c r="AH206" s="154"/>
      <c r="AI206" s="154"/>
      <c r="AJ206" s="135" t="s">
        <v>47</v>
      </c>
      <c r="AK206" s="119" t="s">
        <v>47</v>
      </c>
      <c r="AM206" s="131"/>
    </row>
    <row r="207" spans="1:39" s="119" customFormat="1" ht="15" customHeight="1" x14ac:dyDescent="0.3">
      <c r="A207" s="119">
        <v>2017</v>
      </c>
      <c r="B207" s="119" t="s">
        <v>38</v>
      </c>
      <c r="C207" s="119" t="s">
        <v>75</v>
      </c>
      <c r="D207" s="119" t="s">
        <v>76</v>
      </c>
      <c r="E207" s="119" t="s">
        <v>257</v>
      </c>
      <c r="F207" s="119" t="s">
        <v>230</v>
      </c>
      <c r="G207" s="119" t="s">
        <v>230</v>
      </c>
      <c r="H207" s="119" t="s">
        <v>230</v>
      </c>
      <c r="I207" s="131" t="s">
        <v>243</v>
      </c>
      <c r="J207" s="119" t="s">
        <v>244</v>
      </c>
      <c r="K207" s="119" t="s">
        <v>245</v>
      </c>
      <c r="L207" s="119" t="s">
        <v>314</v>
      </c>
      <c r="M207" s="119" t="s">
        <v>46</v>
      </c>
      <c r="N207" s="135">
        <v>0</v>
      </c>
      <c r="O207" s="135" t="s">
        <v>47</v>
      </c>
      <c r="P207" s="135"/>
      <c r="Q207" s="137">
        <v>0</v>
      </c>
      <c r="R207" s="137">
        <v>0</v>
      </c>
      <c r="S207" s="137">
        <v>380000</v>
      </c>
      <c r="T207" s="137">
        <f t="shared" si="36"/>
        <v>0</v>
      </c>
      <c r="U207" s="137">
        <f t="shared" si="40"/>
        <v>380000</v>
      </c>
      <c r="V207" s="137">
        <v>418109</v>
      </c>
      <c r="W207" s="137">
        <f t="shared" si="41"/>
        <v>-38109</v>
      </c>
      <c r="X207" s="137">
        <f t="shared" si="37"/>
        <v>-38109</v>
      </c>
      <c r="Y207" s="137">
        <f t="shared" si="42"/>
        <v>0</v>
      </c>
      <c r="Z207" s="137">
        <v>311628.5</v>
      </c>
      <c r="AA207" s="137">
        <f t="shared" si="38"/>
        <v>106480.5</v>
      </c>
      <c r="AB207" s="146">
        <f t="shared" si="33"/>
        <v>311628.5</v>
      </c>
      <c r="AC207" s="147">
        <f t="shared" si="39"/>
        <v>0</v>
      </c>
      <c r="AD207" s="137">
        <v>261228.05957294101</v>
      </c>
      <c r="AE207" s="138">
        <v>0.17647058823529399</v>
      </c>
      <c r="AF207" s="137">
        <f t="shared" si="34"/>
        <v>46099.06933640132</v>
      </c>
      <c r="AG207" s="137">
        <f t="shared" si="43"/>
        <v>46099.06933640132</v>
      </c>
      <c r="AH207" s="154"/>
      <c r="AI207" s="154"/>
      <c r="AJ207" s="135" t="s">
        <v>47</v>
      </c>
      <c r="AK207" s="119" t="s">
        <v>47</v>
      </c>
      <c r="AM207" s="131"/>
    </row>
    <row r="208" spans="1:39" s="119" customFormat="1" ht="15" customHeight="1" x14ac:dyDescent="0.3">
      <c r="A208" s="119">
        <v>2017</v>
      </c>
      <c r="B208" s="119" t="s">
        <v>38</v>
      </c>
      <c r="C208" s="119" t="s">
        <v>75</v>
      </c>
      <c r="D208" s="119" t="s">
        <v>76</v>
      </c>
      <c r="E208" s="119" t="s">
        <v>257</v>
      </c>
      <c r="F208" s="119" t="s">
        <v>251</v>
      </c>
      <c r="G208" s="119" t="s">
        <v>251</v>
      </c>
      <c r="H208" s="119" t="s">
        <v>251</v>
      </c>
      <c r="I208" s="131" t="s">
        <v>243</v>
      </c>
      <c r="J208" s="119" t="s">
        <v>244</v>
      </c>
      <c r="K208" s="119" t="s">
        <v>245</v>
      </c>
      <c r="L208" s="119" t="s">
        <v>251</v>
      </c>
      <c r="M208" s="119" t="s">
        <v>46</v>
      </c>
      <c r="N208" s="135">
        <v>0</v>
      </c>
      <c r="O208" s="135" t="s">
        <v>47</v>
      </c>
      <c r="P208" s="135"/>
      <c r="Q208" s="137">
        <v>0</v>
      </c>
      <c r="R208" s="137">
        <v>0</v>
      </c>
      <c r="S208" s="137">
        <v>20000</v>
      </c>
      <c r="T208" s="137">
        <f t="shared" si="36"/>
        <v>0</v>
      </c>
      <c r="U208" s="137">
        <f t="shared" si="40"/>
        <v>20000</v>
      </c>
      <c r="V208" s="137">
        <v>20000</v>
      </c>
      <c r="W208" s="137">
        <f t="shared" si="41"/>
        <v>0</v>
      </c>
      <c r="X208" s="137">
        <f t="shared" si="37"/>
        <v>0</v>
      </c>
      <c r="Y208" s="137">
        <f t="shared" si="42"/>
        <v>0</v>
      </c>
      <c r="Z208" s="137">
        <v>0</v>
      </c>
      <c r="AA208" s="137">
        <f t="shared" si="38"/>
        <v>20000</v>
      </c>
      <c r="AB208" s="146">
        <f t="shared" si="33"/>
        <v>0</v>
      </c>
      <c r="AC208" s="147">
        <f t="shared" si="39"/>
        <v>0</v>
      </c>
      <c r="AD208" s="137">
        <v>0</v>
      </c>
      <c r="AE208" s="138">
        <v>0.17647058823529399</v>
      </c>
      <c r="AF208" s="137">
        <f t="shared" si="34"/>
        <v>0</v>
      </c>
      <c r="AG208" s="137">
        <f t="shared" si="43"/>
        <v>0</v>
      </c>
      <c r="AH208" s="154"/>
      <c r="AI208" s="154"/>
      <c r="AJ208" s="136">
        <v>1</v>
      </c>
      <c r="AK208" s="156">
        <v>1</v>
      </c>
      <c r="AM208" s="131"/>
    </row>
    <row r="209" spans="1:39" s="119" customFormat="1" ht="15" customHeight="1" x14ac:dyDescent="0.3">
      <c r="A209" s="119">
        <v>2017</v>
      </c>
      <c r="B209" s="119" t="s">
        <v>38</v>
      </c>
      <c r="C209" s="119" t="s">
        <v>75</v>
      </c>
      <c r="D209" s="119" t="s">
        <v>76</v>
      </c>
      <c r="E209" s="119" t="s">
        <v>304</v>
      </c>
      <c r="F209" s="119" t="s">
        <v>305</v>
      </c>
      <c r="G209" s="119" t="s">
        <v>305</v>
      </c>
      <c r="H209" s="119" t="s">
        <v>305</v>
      </c>
      <c r="I209" s="131" t="s">
        <v>243</v>
      </c>
      <c r="J209" s="119" t="s">
        <v>244</v>
      </c>
      <c r="K209" s="119" t="s">
        <v>245</v>
      </c>
      <c r="L209" s="119" t="s">
        <v>305</v>
      </c>
      <c r="M209" s="119" t="s">
        <v>46</v>
      </c>
      <c r="N209" s="135">
        <v>0</v>
      </c>
      <c r="O209" s="135" t="s">
        <v>47</v>
      </c>
      <c r="P209" s="135"/>
      <c r="Q209" s="137">
        <v>0</v>
      </c>
      <c r="R209" s="137">
        <v>0</v>
      </c>
      <c r="S209" s="137">
        <v>616858</v>
      </c>
      <c r="T209" s="137">
        <f t="shared" si="36"/>
        <v>0</v>
      </c>
      <c r="U209" s="137">
        <f t="shared" si="40"/>
        <v>616858</v>
      </c>
      <c r="V209" s="137">
        <v>663605.5</v>
      </c>
      <c r="W209" s="137">
        <f t="shared" si="41"/>
        <v>-46747.5</v>
      </c>
      <c r="X209" s="137">
        <f t="shared" si="37"/>
        <v>-46747.5</v>
      </c>
      <c r="Y209" s="137">
        <f t="shared" si="42"/>
        <v>0</v>
      </c>
      <c r="Z209" s="137">
        <v>560545.22</v>
      </c>
      <c r="AA209" s="137">
        <f t="shared" si="38"/>
        <v>103060.28000000003</v>
      </c>
      <c r="AB209" s="146">
        <f t="shared" si="33"/>
        <v>560545.22</v>
      </c>
      <c r="AC209" s="147">
        <f t="shared" si="39"/>
        <v>0</v>
      </c>
      <c r="AD209" s="137">
        <v>469886.86889513402</v>
      </c>
      <c r="AE209" s="138">
        <v>0.17647058823529399</v>
      </c>
      <c r="AF209" s="137">
        <f t="shared" si="34"/>
        <v>82921.212157964765</v>
      </c>
      <c r="AG209" s="137">
        <f t="shared" si="43"/>
        <v>82921.212157964765</v>
      </c>
      <c r="AH209" s="154"/>
      <c r="AI209" s="154"/>
      <c r="AJ209" s="136">
        <v>1</v>
      </c>
      <c r="AK209" s="156">
        <v>1</v>
      </c>
      <c r="AM209" s="131"/>
    </row>
    <row r="210" spans="1:39" s="119" customFormat="1" ht="15" customHeight="1" x14ac:dyDescent="0.3">
      <c r="A210" s="119">
        <v>2017</v>
      </c>
      <c r="B210" s="119" t="s">
        <v>38</v>
      </c>
      <c r="C210" s="119" t="s">
        <v>75</v>
      </c>
      <c r="D210" s="119" t="s">
        <v>76</v>
      </c>
      <c r="E210" s="119" t="s">
        <v>304</v>
      </c>
      <c r="F210" s="119" t="s">
        <v>306</v>
      </c>
      <c r="G210" s="119" t="s">
        <v>306</v>
      </c>
      <c r="H210" s="119" t="s">
        <v>306</v>
      </c>
      <c r="I210" s="131" t="s">
        <v>243</v>
      </c>
      <c r="J210" s="119" t="s">
        <v>244</v>
      </c>
      <c r="K210" s="119" t="s">
        <v>245</v>
      </c>
      <c r="L210" s="119" t="s">
        <v>306</v>
      </c>
      <c r="M210" s="119" t="s">
        <v>46</v>
      </c>
      <c r="N210" s="135">
        <v>0</v>
      </c>
      <c r="O210" s="135" t="s">
        <v>47</v>
      </c>
      <c r="P210" s="135"/>
      <c r="Q210" s="137">
        <v>0</v>
      </c>
      <c r="R210" s="137">
        <v>0</v>
      </c>
      <c r="S210" s="137">
        <v>296864</v>
      </c>
      <c r="T210" s="137">
        <f t="shared" si="36"/>
        <v>0</v>
      </c>
      <c r="U210" s="137">
        <f t="shared" si="40"/>
        <v>296864</v>
      </c>
      <c r="V210" s="137">
        <v>310832.5</v>
      </c>
      <c r="W210" s="137">
        <f t="shared" si="41"/>
        <v>-13968.5</v>
      </c>
      <c r="X210" s="137">
        <f t="shared" si="37"/>
        <v>-13968.5</v>
      </c>
      <c r="Y210" s="137">
        <f t="shared" si="42"/>
        <v>0</v>
      </c>
      <c r="Z210" s="137">
        <v>11601</v>
      </c>
      <c r="AA210" s="137">
        <f t="shared" si="38"/>
        <v>299231.5</v>
      </c>
      <c r="AB210" s="146">
        <f t="shared" si="33"/>
        <v>11601</v>
      </c>
      <c r="AC210" s="147">
        <f t="shared" si="39"/>
        <v>0</v>
      </c>
      <c r="AD210" s="137">
        <v>9724.7418612408401</v>
      </c>
      <c r="AE210" s="138">
        <v>0.17647058823529399</v>
      </c>
      <c r="AF210" s="137">
        <f t="shared" si="34"/>
        <v>1716.1309166895587</v>
      </c>
      <c r="AG210" s="137">
        <f t="shared" si="43"/>
        <v>1716.1309166895587</v>
      </c>
      <c r="AH210" s="154"/>
      <c r="AI210" s="154"/>
      <c r="AJ210" s="135" t="s">
        <v>47</v>
      </c>
      <c r="AK210" s="119" t="s">
        <v>47</v>
      </c>
      <c r="AM210" s="131"/>
    </row>
    <row r="211" spans="1:39" s="119" customFormat="1" ht="15" customHeight="1" x14ac:dyDescent="0.3">
      <c r="A211" s="119">
        <v>2017</v>
      </c>
      <c r="B211" s="119" t="s">
        <v>38</v>
      </c>
      <c r="C211" s="119" t="s">
        <v>75</v>
      </c>
      <c r="D211" s="119" t="s">
        <v>76</v>
      </c>
      <c r="E211" s="119" t="s">
        <v>304</v>
      </c>
      <c r="F211" s="119" t="s">
        <v>237</v>
      </c>
      <c r="G211" s="119" t="s">
        <v>237</v>
      </c>
      <c r="H211" s="119" t="s">
        <v>237</v>
      </c>
      <c r="I211" s="131" t="s">
        <v>243</v>
      </c>
      <c r="J211" s="119" t="s">
        <v>244</v>
      </c>
      <c r="K211" s="119" t="s">
        <v>245</v>
      </c>
      <c r="L211" s="119" t="s">
        <v>442</v>
      </c>
      <c r="M211" s="119" t="s">
        <v>46</v>
      </c>
      <c r="N211" s="135">
        <v>0</v>
      </c>
      <c r="O211" s="135" t="s">
        <v>47</v>
      </c>
      <c r="P211" s="135"/>
      <c r="Q211" s="137">
        <v>0</v>
      </c>
      <c r="R211" s="137">
        <v>0</v>
      </c>
      <c r="S211" s="137">
        <v>926006</v>
      </c>
      <c r="T211" s="137">
        <f t="shared" si="36"/>
        <v>0</v>
      </c>
      <c r="U211" s="137">
        <f t="shared" si="40"/>
        <v>926006</v>
      </c>
      <c r="V211" s="137">
        <v>1017927</v>
      </c>
      <c r="W211" s="137">
        <f t="shared" si="41"/>
        <v>-91921</v>
      </c>
      <c r="X211" s="137">
        <f t="shared" si="37"/>
        <v>-91921</v>
      </c>
      <c r="Y211" s="137">
        <f t="shared" si="42"/>
        <v>0</v>
      </c>
      <c r="Z211" s="137">
        <v>623138</v>
      </c>
      <c r="AA211" s="137">
        <f t="shared" si="38"/>
        <v>394789</v>
      </c>
      <c r="AB211" s="146">
        <f t="shared" si="33"/>
        <v>623138</v>
      </c>
      <c r="AC211" s="147">
        <f t="shared" si="39"/>
        <v>0</v>
      </c>
      <c r="AD211" s="137">
        <v>522356.36530729203</v>
      </c>
      <c r="AE211" s="138">
        <v>0.17647058823529399</v>
      </c>
      <c r="AF211" s="137">
        <f t="shared" si="34"/>
        <v>92180.535054227934</v>
      </c>
      <c r="AG211" s="137">
        <f t="shared" si="43"/>
        <v>92180.535054227934</v>
      </c>
      <c r="AH211" s="154"/>
      <c r="AI211" s="154"/>
      <c r="AJ211" s="155">
        <v>0</v>
      </c>
      <c r="AK211" s="119">
        <v>0</v>
      </c>
      <c r="AM211" s="131"/>
    </row>
    <row r="212" spans="1:39" s="119" customFormat="1" ht="15" customHeight="1" x14ac:dyDescent="0.3">
      <c r="A212" s="119">
        <v>2017</v>
      </c>
      <c r="B212" s="119" t="s">
        <v>38</v>
      </c>
      <c r="C212" s="119" t="s">
        <v>75</v>
      </c>
      <c r="D212" s="119" t="s">
        <v>76</v>
      </c>
      <c r="E212" s="119" t="s">
        <v>304</v>
      </c>
      <c r="F212" s="119" t="s">
        <v>159</v>
      </c>
      <c r="G212" s="119" t="s">
        <v>159</v>
      </c>
      <c r="H212" s="119" t="s">
        <v>159</v>
      </c>
      <c r="I212" s="131" t="s">
        <v>243</v>
      </c>
      <c r="J212" s="119" t="s">
        <v>244</v>
      </c>
      <c r="K212" s="119" t="s">
        <v>245</v>
      </c>
      <c r="L212" s="119" t="s">
        <v>159</v>
      </c>
      <c r="M212" s="119" t="s">
        <v>46</v>
      </c>
      <c r="N212" s="135">
        <v>0</v>
      </c>
      <c r="O212" s="135" t="s">
        <v>47</v>
      </c>
      <c r="P212" s="135"/>
      <c r="Q212" s="137">
        <v>0</v>
      </c>
      <c r="R212" s="137">
        <v>0</v>
      </c>
      <c r="S212" s="137">
        <v>704396</v>
      </c>
      <c r="T212" s="137">
        <f t="shared" si="36"/>
        <v>0</v>
      </c>
      <c r="U212" s="137">
        <f t="shared" si="40"/>
        <v>704396</v>
      </c>
      <c r="V212" s="137">
        <v>748371</v>
      </c>
      <c r="W212" s="137">
        <f t="shared" si="41"/>
        <v>-43975</v>
      </c>
      <c r="X212" s="137">
        <f t="shared" si="37"/>
        <v>-43975</v>
      </c>
      <c r="Y212" s="137">
        <f t="shared" si="42"/>
        <v>0</v>
      </c>
      <c r="Z212" s="137">
        <v>633004.68999999994</v>
      </c>
      <c r="AA212" s="137">
        <f t="shared" si="38"/>
        <v>115366.31000000006</v>
      </c>
      <c r="AB212" s="146">
        <f t="shared" si="33"/>
        <v>633004.68999999994</v>
      </c>
      <c r="AC212" s="147">
        <f t="shared" si="39"/>
        <v>0</v>
      </c>
      <c r="AD212" s="137">
        <v>530627.29137184599</v>
      </c>
      <c r="AE212" s="138">
        <v>0.17647058823529399</v>
      </c>
      <c r="AF212" s="137">
        <f t="shared" si="34"/>
        <v>93640.110242090406</v>
      </c>
      <c r="AG212" s="137">
        <f t="shared" si="43"/>
        <v>93640.110242090406</v>
      </c>
      <c r="AH212" s="154"/>
      <c r="AI212" s="154"/>
      <c r="AJ212" s="136">
        <v>1</v>
      </c>
      <c r="AK212" s="156">
        <v>1</v>
      </c>
      <c r="AM212" s="131"/>
    </row>
    <row r="213" spans="1:39" s="119" customFormat="1" ht="15" customHeight="1" x14ac:dyDescent="0.3">
      <c r="A213" s="119">
        <v>2017</v>
      </c>
      <c r="B213" s="119" t="s">
        <v>38</v>
      </c>
      <c r="C213" s="119" t="s">
        <v>75</v>
      </c>
      <c r="D213" s="119" t="s">
        <v>76</v>
      </c>
      <c r="E213" s="119" t="s">
        <v>304</v>
      </c>
      <c r="F213" s="119" t="s">
        <v>443</v>
      </c>
      <c r="G213" s="119" t="s">
        <v>443</v>
      </c>
      <c r="H213" s="119" t="s">
        <v>443</v>
      </c>
      <c r="I213" s="131" t="s">
        <v>243</v>
      </c>
      <c r="J213" s="119" t="s">
        <v>244</v>
      </c>
      <c r="K213" s="119" t="s">
        <v>245</v>
      </c>
      <c r="L213" s="119" t="s">
        <v>444</v>
      </c>
      <c r="M213" s="119" t="s">
        <v>46</v>
      </c>
      <c r="N213" s="135">
        <v>0</v>
      </c>
      <c r="O213" s="135" t="s">
        <v>47</v>
      </c>
      <c r="P213" s="135"/>
      <c r="Q213" s="137">
        <v>0</v>
      </c>
      <c r="R213" s="137">
        <v>0</v>
      </c>
      <c r="S213" s="137">
        <v>150000</v>
      </c>
      <c r="T213" s="137">
        <f t="shared" si="36"/>
        <v>0</v>
      </c>
      <c r="U213" s="137">
        <f t="shared" si="40"/>
        <v>150000</v>
      </c>
      <c r="V213" s="137">
        <v>144000</v>
      </c>
      <c r="W213" s="137">
        <f t="shared" si="41"/>
        <v>6000</v>
      </c>
      <c r="X213" s="137">
        <f t="shared" si="37"/>
        <v>6000</v>
      </c>
      <c r="Y213" s="137">
        <f t="shared" si="42"/>
        <v>0</v>
      </c>
      <c r="Z213" s="137">
        <v>114737.06</v>
      </c>
      <c r="AA213" s="137">
        <f t="shared" si="38"/>
        <v>29262.940000000002</v>
      </c>
      <c r="AB213" s="146">
        <f t="shared" si="33"/>
        <v>114737.06</v>
      </c>
      <c r="AC213" s="147">
        <f t="shared" si="39"/>
        <v>0</v>
      </c>
      <c r="AD213" s="137">
        <v>96180.354315809105</v>
      </c>
      <c r="AE213" s="138">
        <v>0.17647058823529399</v>
      </c>
      <c r="AF213" s="137">
        <f t="shared" si="34"/>
        <v>16973.003702789829</v>
      </c>
      <c r="AG213" s="137">
        <f t="shared" si="43"/>
        <v>16973.003702789829</v>
      </c>
      <c r="AH213" s="154"/>
      <c r="AI213" s="154"/>
      <c r="AJ213" s="155">
        <v>0</v>
      </c>
      <c r="AK213" s="119">
        <v>0</v>
      </c>
      <c r="AM213" s="131"/>
    </row>
    <row r="214" spans="1:39" s="119" customFormat="1" ht="15" customHeight="1" x14ac:dyDescent="0.3">
      <c r="A214" s="119">
        <v>2017</v>
      </c>
      <c r="B214" s="119" t="s">
        <v>38</v>
      </c>
      <c r="C214" s="119" t="s">
        <v>75</v>
      </c>
      <c r="D214" s="119" t="s">
        <v>76</v>
      </c>
      <c r="E214" s="119" t="s">
        <v>118</v>
      </c>
      <c r="F214" s="119" t="s">
        <v>445</v>
      </c>
      <c r="G214" s="119" t="s">
        <v>445</v>
      </c>
      <c r="H214" s="119" t="s">
        <v>445</v>
      </c>
      <c r="I214" s="131" t="s">
        <v>243</v>
      </c>
      <c r="J214" s="119" t="s">
        <v>244</v>
      </c>
      <c r="K214" s="119" t="s">
        <v>245</v>
      </c>
      <c r="L214" s="119" t="s">
        <v>445</v>
      </c>
      <c r="M214" s="119" t="s">
        <v>46</v>
      </c>
      <c r="N214" s="136">
        <v>0.02</v>
      </c>
      <c r="O214" s="135" t="s">
        <v>51</v>
      </c>
      <c r="P214" s="135"/>
      <c r="Q214" s="137">
        <v>0</v>
      </c>
      <c r="R214" s="137">
        <v>0</v>
      </c>
      <c r="S214" s="137">
        <v>94000</v>
      </c>
      <c r="T214" s="137">
        <f t="shared" si="36"/>
        <v>1880</v>
      </c>
      <c r="U214" s="137">
        <f t="shared" si="40"/>
        <v>95880</v>
      </c>
      <c r="V214" s="137">
        <v>94000</v>
      </c>
      <c r="W214" s="137">
        <f t="shared" si="41"/>
        <v>1880</v>
      </c>
      <c r="X214" s="137">
        <f t="shared" si="37"/>
        <v>1843.1372549019607</v>
      </c>
      <c r="Y214" s="137">
        <f t="shared" si="42"/>
        <v>36.862745098039341</v>
      </c>
      <c r="Z214" s="137">
        <v>59005</v>
      </c>
      <c r="AA214" s="137">
        <f t="shared" si="38"/>
        <v>34995</v>
      </c>
      <c r="AB214" s="146">
        <f t="shared" si="33"/>
        <v>57848.039215686273</v>
      </c>
      <c r="AC214" s="147">
        <f t="shared" si="39"/>
        <v>1156.9607843137273</v>
      </c>
      <c r="AD214" s="137">
        <v>49461.976857384303</v>
      </c>
      <c r="AE214" s="138">
        <v>0.17647058823529399</v>
      </c>
      <c r="AF214" s="137">
        <f t="shared" si="34"/>
        <v>8728.5841513031064</v>
      </c>
      <c r="AG214" s="137">
        <f t="shared" si="43"/>
        <v>7571.6233669893791</v>
      </c>
      <c r="AH214" s="154"/>
      <c r="AI214" s="154"/>
      <c r="AJ214" s="136">
        <v>0.02</v>
      </c>
      <c r="AK214" s="156">
        <v>0.02</v>
      </c>
      <c r="AM214" s="131"/>
    </row>
    <row r="215" spans="1:39" s="119" customFormat="1" ht="15" customHeight="1" x14ac:dyDescent="0.3">
      <c r="A215" s="119">
        <v>2017</v>
      </c>
      <c r="B215" s="119" t="s">
        <v>38</v>
      </c>
      <c r="C215" s="119" t="s">
        <v>75</v>
      </c>
      <c r="D215" s="119" t="s">
        <v>76</v>
      </c>
      <c r="E215" s="119" t="s">
        <v>321</v>
      </c>
      <c r="F215" s="119" t="s">
        <v>446</v>
      </c>
      <c r="G215" s="119" t="s">
        <v>446</v>
      </c>
      <c r="H215" s="119" t="s">
        <v>446</v>
      </c>
      <c r="I215" s="131" t="s">
        <v>243</v>
      </c>
      <c r="J215" s="119" t="s">
        <v>244</v>
      </c>
      <c r="K215" s="119" t="s">
        <v>245</v>
      </c>
      <c r="L215" s="119" t="s">
        <v>447</v>
      </c>
      <c r="M215" s="119" t="s">
        <v>46</v>
      </c>
      <c r="N215" s="135">
        <v>0</v>
      </c>
      <c r="O215" s="135" t="s">
        <v>47</v>
      </c>
      <c r="P215" s="135"/>
      <c r="Q215" s="137">
        <v>0</v>
      </c>
      <c r="R215" s="137">
        <v>0</v>
      </c>
      <c r="S215" s="137">
        <v>20000</v>
      </c>
      <c r="T215" s="137">
        <f t="shared" si="36"/>
        <v>0</v>
      </c>
      <c r="U215" s="137">
        <f t="shared" si="40"/>
        <v>20000</v>
      </c>
      <c r="V215" s="137">
        <v>20000</v>
      </c>
      <c r="W215" s="137">
        <f t="shared" si="41"/>
        <v>0</v>
      </c>
      <c r="X215" s="137">
        <f t="shared" si="37"/>
        <v>0</v>
      </c>
      <c r="Y215" s="137">
        <f t="shared" si="42"/>
        <v>0</v>
      </c>
      <c r="Z215" s="137">
        <v>9562.7999999999993</v>
      </c>
      <c r="AA215" s="137">
        <f t="shared" si="38"/>
        <v>10437.200000000001</v>
      </c>
      <c r="AB215" s="146">
        <f t="shared" si="33"/>
        <v>9562.7999999999993</v>
      </c>
      <c r="AC215" s="147">
        <f t="shared" si="39"/>
        <v>0</v>
      </c>
      <c r="AD215" s="137">
        <v>8016.1849384254701</v>
      </c>
      <c r="AE215" s="138">
        <v>0.17647058823529399</v>
      </c>
      <c r="AF215" s="137">
        <f t="shared" si="34"/>
        <v>1414.6208714868467</v>
      </c>
      <c r="AG215" s="137">
        <f t="shared" si="43"/>
        <v>1414.6208714868467</v>
      </c>
      <c r="AH215" s="154"/>
      <c r="AI215" s="154"/>
      <c r="AJ215" s="135" t="s">
        <v>47</v>
      </c>
      <c r="AK215" s="119" t="s">
        <v>47</v>
      </c>
      <c r="AM215" s="131"/>
    </row>
    <row r="216" spans="1:39" s="119" customFormat="1" ht="15" customHeight="1" x14ac:dyDescent="0.3">
      <c r="A216" s="119">
        <v>2017</v>
      </c>
      <c r="B216" s="119" t="s">
        <v>38</v>
      </c>
      <c r="C216" s="119" t="s">
        <v>75</v>
      </c>
      <c r="D216" s="119" t="s">
        <v>256</v>
      </c>
      <c r="E216" s="119" t="s">
        <v>315</v>
      </c>
      <c r="F216" s="119" t="s">
        <v>316</v>
      </c>
      <c r="G216" s="119" t="s">
        <v>316</v>
      </c>
      <c r="H216" s="119" t="s">
        <v>316</v>
      </c>
      <c r="I216" s="131" t="s">
        <v>243</v>
      </c>
      <c r="J216" s="119" t="s">
        <v>244</v>
      </c>
      <c r="K216" s="119" t="s">
        <v>245</v>
      </c>
      <c r="L216" s="119" t="s">
        <v>316</v>
      </c>
      <c r="M216" s="119" t="s">
        <v>46</v>
      </c>
      <c r="N216" s="135">
        <v>0</v>
      </c>
      <c r="O216" s="135" t="s">
        <v>47</v>
      </c>
      <c r="P216" s="135"/>
      <c r="Q216" s="137">
        <v>0</v>
      </c>
      <c r="R216" s="137">
        <v>0</v>
      </c>
      <c r="S216" s="137">
        <v>80041</v>
      </c>
      <c r="T216" s="137">
        <f t="shared" si="36"/>
        <v>0</v>
      </c>
      <c r="U216" s="137">
        <f t="shared" si="40"/>
        <v>80041</v>
      </c>
      <c r="V216" s="137">
        <v>95198</v>
      </c>
      <c r="W216" s="137">
        <f t="shared" si="41"/>
        <v>-15157</v>
      </c>
      <c r="X216" s="137">
        <f t="shared" si="37"/>
        <v>-15157</v>
      </c>
      <c r="Y216" s="137">
        <f t="shared" si="42"/>
        <v>0</v>
      </c>
      <c r="Z216" s="137">
        <v>74344.7</v>
      </c>
      <c r="AA216" s="137">
        <f t="shared" si="38"/>
        <v>20853.300000000003</v>
      </c>
      <c r="AB216" s="146">
        <f t="shared" si="33"/>
        <v>74344.7</v>
      </c>
      <c r="AC216" s="147">
        <f t="shared" si="39"/>
        <v>0</v>
      </c>
      <c r="AD216" s="137">
        <v>62320.749612222397</v>
      </c>
      <c r="AE216" s="138">
        <v>0.17647058823529399</v>
      </c>
      <c r="AF216" s="137">
        <f t="shared" si="34"/>
        <v>10997.779343333355</v>
      </c>
      <c r="AG216" s="137">
        <f t="shared" si="43"/>
        <v>10997.779343333355</v>
      </c>
      <c r="AH216" s="154"/>
      <c r="AI216" s="154"/>
      <c r="AJ216" s="135" t="s">
        <v>47</v>
      </c>
      <c r="AK216" s="119" t="s">
        <v>47</v>
      </c>
      <c r="AM216" s="131"/>
    </row>
    <row r="217" spans="1:39" s="119" customFormat="1" ht="15" customHeight="1" x14ac:dyDescent="0.3">
      <c r="A217" s="119">
        <v>2017</v>
      </c>
      <c r="B217" s="119" t="s">
        <v>38</v>
      </c>
      <c r="C217" s="119" t="s">
        <v>75</v>
      </c>
      <c r="D217" s="119" t="s">
        <v>256</v>
      </c>
      <c r="E217" s="119" t="s">
        <v>175</v>
      </c>
      <c r="F217" s="119" t="s">
        <v>319</v>
      </c>
      <c r="G217" s="119" t="s">
        <v>319</v>
      </c>
      <c r="H217" s="119" t="s">
        <v>319</v>
      </c>
      <c r="I217" s="131" t="s">
        <v>243</v>
      </c>
      <c r="J217" s="119" t="s">
        <v>244</v>
      </c>
      <c r="K217" s="119" t="s">
        <v>245</v>
      </c>
      <c r="L217" s="119" t="s">
        <v>319</v>
      </c>
      <c r="M217" s="119" t="s">
        <v>46</v>
      </c>
      <c r="N217" s="135">
        <v>0</v>
      </c>
      <c r="O217" s="135" t="s">
        <v>47</v>
      </c>
      <c r="P217" s="135"/>
      <c r="Q217" s="137">
        <v>0</v>
      </c>
      <c r="R217" s="137">
        <v>0</v>
      </c>
      <c r="S217" s="137">
        <v>36538.29</v>
      </c>
      <c r="T217" s="137">
        <f t="shared" si="36"/>
        <v>0</v>
      </c>
      <c r="U217" s="137">
        <f t="shared" si="40"/>
        <v>36538.29</v>
      </c>
      <c r="V217" s="137">
        <v>60925.5</v>
      </c>
      <c r="W217" s="137">
        <f t="shared" si="41"/>
        <v>-24387.21</v>
      </c>
      <c r="X217" s="137">
        <f t="shared" si="37"/>
        <v>-24387.21</v>
      </c>
      <c r="Y217" s="137">
        <f t="shared" si="42"/>
        <v>0</v>
      </c>
      <c r="Z217" s="137">
        <v>36538.29</v>
      </c>
      <c r="AA217" s="137">
        <f t="shared" si="38"/>
        <v>24387.21</v>
      </c>
      <c r="AB217" s="146">
        <f t="shared" si="33"/>
        <v>36538.29</v>
      </c>
      <c r="AC217" s="147">
        <f t="shared" si="39"/>
        <v>0</v>
      </c>
      <c r="AD217" s="137">
        <v>30628.862882609901</v>
      </c>
      <c r="AE217" s="138">
        <v>0.17647058823529399</v>
      </c>
      <c r="AF217" s="137">
        <f t="shared" si="34"/>
        <v>5405.0934498723318</v>
      </c>
      <c r="AG217" s="137">
        <f t="shared" si="43"/>
        <v>5405.0934498723318</v>
      </c>
      <c r="AH217" s="154"/>
      <c r="AI217" s="154"/>
      <c r="AJ217" s="135" t="s">
        <v>47</v>
      </c>
      <c r="AK217" s="119" t="s">
        <v>120</v>
      </c>
      <c r="AM217" s="131"/>
    </row>
    <row r="218" spans="1:39" s="119" customFormat="1" ht="15" customHeight="1" x14ac:dyDescent="0.3">
      <c r="A218" s="119">
        <v>2017</v>
      </c>
      <c r="B218" s="119" t="s">
        <v>38</v>
      </c>
      <c r="C218" s="119" t="s">
        <v>75</v>
      </c>
      <c r="D218" s="119" t="s">
        <v>256</v>
      </c>
      <c r="E218" s="119" t="s">
        <v>175</v>
      </c>
      <c r="F218" s="119" t="s">
        <v>320</v>
      </c>
      <c r="G218" s="119" t="s">
        <v>320</v>
      </c>
      <c r="H218" s="119" t="s">
        <v>320</v>
      </c>
      <c r="I218" s="131" t="s">
        <v>243</v>
      </c>
      <c r="J218" s="119" t="s">
        <v>244</v>
      </c>
      <c r="K218" s="119" t="s">
        <v>245</v>
      </c>
      <c r="L218" s="119" t="s">
        <v>320</v>
      </c>
      <c r="M218" s="119" t="s">
        <v>46</v>
      </c>
      <c r="N218" s="135">
        <v>0</v>
      </c>
      <c r="O218" s="135" t="s">
        <v>47</v>
      </c>
      <c r="P218" s="135"/>
      <c r="Q218" s="137">
        <v>0</v>
      </c>
      <c r="R218" s="137">
        <v>0</v>
      </c>
      <c r="S218" s="137">
        <v>14221.9</v>
      </c>
      <c r="T218" s="137">
        <f t="shared" si="36"/>
        <v>0</v>
      </c>
      <c r="U218" s="137">
        <f t="shared" si="40"/>
        <v>14221.9</v>
      </c>
      <c r="V218" s="137">
        <v>24909</v>
      </c>
      <c r="W218" s="137">
        <f t="shared" si="41"/>
        <v>-10687.1</v>
      </c>
      <c r="X218" s="137">
        <f t="shared" si="37"/>
        <v>-10687.1</v>
      </c>
      <c r="Y218" s="137">
        <f t="shared" si="42"/>
        <v>0</v>
      </c>
      <c r="Z218" s="137">
        <v>14221.9</v>
      </c>
      <c r="AA218" s="137">
        <f t="shared" si="38"/>
        <v>10687.1</v>
      </c>
      <c r="AB218" s="146">
        <f t="shared" si="33"/>
        <v>14221.9</v>
      </c>
      <c r="AC218" s="147">
        <f t="shared" si="39"/>
        <v>0</v>
      </c>
      <c r="AD218" s="137">
        <v>11921.757286128901</v>
      </c>
      <c r="AE218" s="138">
        <v>0.17647058823529399</v>
      </c>
      <c r="AF218" s="137">
        <f t="shared" si="34"/>
        <v>2103.8395210815693</v>
      </c>
      <c r="AG218" s="137">
        <f t="shared" si="43"/>
        <v>2103.8395210815693</v>
      </c>
      <c r="AH218" s="154"/>
      <c r="AI218" s="154"/>
      <c r="AJ218" s="136">
        <v>0</v>
      </c>
      <c r="AK218" s="119" t="s">
        <v>120</v>
      </c>
      <c r="AM218" s="131"/>
    </row>
    <row r="219" spans="1:39" s="119" customFormat="1" ht="15" customHeight="1" x14ac:dyDescent="0.3">
      <c r="A219" s="119">
        <v>2017</v>
      </c>
      <c r="B219" s="119" t="s">
        <v>38</v>
      </c>
      <c r="C219" s="119" t="s">
        <v>75</v>
      </c>
      <c r="D219" s="119" t="s">
        <v>256</v>
      </c>
      <c r="E219" s="119" t="s">
        <v>175</v>
      </c>
      <c r="F219" s="119" t="s">
        <v>383</v>
      </c>
      <c r="G219" s="119" t="s">
        <v>448</v>
      </c>
      <c r="H219" s="119" t="s">
        <v>448</v>
      </c>
      <c r="I219" s="131" t="s">
        <v>243</v>
      </c>
      <c r="J219" s="119" t="s">
        <v>244</v>
      </c>
      <c r="K219" s="119" t="s">
        <v>245</v>
      </c>
      <c r="L219" s="119" t="s">
        <v>1649</v>
      </c>
      <c r="M219" s="119" t="s">
        <v>46</v>
      </c>
      <c r="N219" s="135">
        <v>0</v>
      </c>
      <c r="O219" s="135" t="s">
        <v>47</v>
      </c>
      <c r="P219" s="135"/>
      <c r="Q219" s="137">
        <v>0</v>
      </c>
      <c r="R219" s="137">
        <v>0</v>
      </c>
      <c r="S219" s="137">
        <v>20000</v>
      </c>
      <c r="T219" s="137">
        <f t="shared" si="36"/>
        <v>0</v>
      </c>
      <c r="U219" s="137">
        <f t="shared" si="40"/>
        <v>20000</v>
      </c>
      <c r="V219" s="137">
        <v>20000</v>
      </c>
      <c r="W219" s="137">
        <f t="shared" si="41"/>
        <v>0</v>
      </c>
      <c r="X219" s="137">
        <f t="shared" si="37"/>
        <v>0</v>
      </c>
      <c r="Y219" s="137">
        <f t="shared" si="42"/>
        <v>0</v>
      </c>
      <c r="Z219" s="137">
        <v>20011.8</v>
      </c>
      <c r="AA219" s="137">
        <f t="shared" si="38"/>
        <v>-11.799999999999272</v>
      </c>
      <c r="AB219" s="146">
        <f t="shared" si="33"/>
        <v>20011.8</v>
      </c>
      <c r="AC219" s="147">
        <f t="shared" si="39"/>
        <v>0</v>
      </c>
      <c r="AD219" s="137">
        <v>0</v>
      </c>
      <c r="AE219" s="138">
        <v>0.17647058823529399</v>
      </c>
      <c r="AF219" s="137">
        <f t="shared" si="34"/>
        <v>0</v>
      </c>
      <c r="AG219" s="137">
        <f t="shared" si="43"/>
        <v>0</v>
      </c>
      <c r="AH219" s="154"/>
      <c r="AI219" s="154"/>
      <c r="AJ219" s="135" t="s">
        <v>47</v>
      </c>
      <c r="AK219" s="119" t="s">
        <v>47</v>
      </c>
      <c r="AM219" s="131" t="s">
        <v>449</v>
      </c>
    </row>
    <row r="220" spans="1:39" s="119" customFormat="1" ht="15" customHeight="1" x14ac:dyDescent="0.3">
      <c r="A220" s="119">
        <v>2017</v>
      </c>
      <c r="B220" s="119" t="s">
        <v>38</v>
      </c>
      <c r="C220" s="119" t="s">
        <v>75</v>
      </c>
      <c r="D220" s="119" t="s">
        <v>256</v>
      </c>
      <c r="E220" s="119" t="s">
        <v>450</v>
      </c>
      <c r="F220" s="119" t="s">
        <v>323</v>
      </c>
      <c r="G220" s="119" t="s">
        <v>323</v>
      </c>
      <c r="H220" s="119" t="s">
        <v>323</v>
      </c>
      <c r="I220" s="131" t="s">
        <v>243</v>
      </c>
      <c r="J220" s="119" t="s">
        <v>244</v>
      </c>
      <c r="K220" s="119" t="s">
        <v>245</v>
      </c>
      <c r="L220" s="119" t="s">
        <v>324</v>
      </c>
      <c r="M220" s="119" t="s">
        <v>46</v>
      </c>
      <c r="N220" s="135">
        <v>0</v>
      </c>
      <c r="O220" s="135" t="s">
        <v>47</v>
      </c>
      <c r="P220" s="135"/>
      <c r="Q220" s="137">
        <v>0</v>
      </c>
      <c r="R220" s="137">
        <v>0</v>
      </c>
      <c r="S220" s="137">
        <v>36658</v>
      </c>
      <c r="T220" s="137">
        <f t="shared" si="36"/>
        <v>0</v>
      </c>
      <c r="U220" s="137">
        <f t="shared" si="40"/>
        <v>36658</v>
      </c>
      <c r="V220" s="137">
        <v>0</v>
      </c>
      <c r="W220" s="137">
        <f t="shared" si="41"/>
        <v>36658</v>
      </c>
      <c r="X220" s="137">
        <f t="shared" si="37"/>
        <v>36658</v>
      </c>
      <c r="Y220" s="137">
        <f t="shared" si="42"/>
        <v>0</v>
      </c>
      <c r="Z220" s="137">
        <v>0</v>
      </c>
      <c r="AA220" s="137">
        <f t="shared" si="38"/>
        <v>0</v>
      </c>
      <c r="AB220" s="146">
        <f t="shared" si="33"/>
        <v>0</v>
      </c>
      <c r="AC220" s="147">
        <f t="shared" si="39"/>
        <v>0</v>
      </c>
      <c r="AD220" s="137">
        <v>0</v>
      </c>
      <c r="AE220" s="138">
        <v>0.17647058823529399</v>
      </c>
      <c r="AF220" s="137">
        <f t="shared" si="34"/>
        <v>0</v>
      </c>
      <c r="AG220" s="137">
        <f t="shared" si="43"/>
        <v>0</v>
      </c>
      <c r="AH220" s="154"/>
      <c r="AI220" s="154"/>
      <c r="AJ220" s="135" t="s">
        <v>47</v>
      </c>
      <c r="AK220" s="119" t="s">
        <v>47</v>
      </c>
      <c r="AM220" s="131"/>
    </row>
    <row r="221" spans="1:39" s="119" customFormat="1" ht="15" customHeight="1" x14ac:dyDescent="0.3">
      <c r="A221" s="119">
        <v>2017</v>
      </c>
      <c r="B221" s="119" t="s">
        <v>38</v>
      </c>
      <c r="C221" s="119" t="s">
        <v>75</v>
      </c>
      <c r="D221" s="119" t="s">
        <v>256</v>
      </c>
      <c r="E221" s="119" t="s">
        <v>321</v>
      </c>
      <c r="F221" s="119" t="s">
        <v>322</v>
      </c>
      <c r="G221" s="119" t="s">
        <v>322</v>
      </c>
      <c r="H221" s="119" t="s">
        <v>322</v>
      </c>
      <c r="I221" s="131" t="s">
        <v>243</v>
      </c>
      <c r="J221" s="119" t="s">
        <v>244</v>
      </c>
      <c r="K221" s="119" t="s">
        <v>245</v>
      </c>
      <c r="L221" s="119" t="s">
        <v>322</v>
      </c>
      <c r="M221" s="119" t="s">
        <v>46</v>
      </c>
      <c r="N221" s="135">
        <v>0</v>
      </c>
      <c r="O221" s="135" t="s">
        <v>47</v>
      </c>
      <c r="P221" s="135"/>
      <c r="Q221" s="137">
        <v>0</v>
      </c>
      <c r="R221" s="137">
        <v>0</v>
      </c>
      <c r="S221" s="137">
        <v>48634.5</v>
      </c>
      <c r="T221" s="137">
        <f t="shared" si="36"/>
        <v>0</v>
      </c>
      <c r="U221" s="137">
        <f t="shared" si="40"/>
        <v>48634.5</v>
      </c>
      <c r="V221" s="137">
        <v>61213.5</v>
      </c>
      <c r="W221" s="137">
        <f t="shared" si="41"/>
        <v>-12579</v>
      </c>
      <c r="X221" s="137">
        <f t="shared" si="37"/>
        <v>-12579</v>
      </c>
      <c r="Y221" s="137">
        <f t="shared" si="42"/>
        <v>0</v>
      </c>
      <c r="Z221" s="137">
        <v>36551.9</v>
      </c>
      <c r="AA221" s="137">
        <f t="shared" si="38"/>
        <v>24661.599999999999</v>
      </c>
      <c r="AB221" s="146">
        <f t="shared" si="33"/>
        <v>36551.9</v>
      </c>
      <c r="AC221" s="147">
        <f t="shared" si="39"/>
        <v>0</v>
      </c>
      <c r="AD221" s="137">
        <v>30640.2717039815</v>
      </c>
      <c r="AE221" s="138">
        <v>0.17647058823529399</v>
      </c>
      <c r="AF221" s="137">
        <f t="shared" si="34"/>
        <v>5407.1067712908489</v>
      </c>
      <c r="AG221" s="137">
        <f t="shared" si="43"/>
        <v>5407.1067712908489</v>
      </c>
      <c r="AH221" s="154"/>
      <c r="AI221" s="154"/>
      <c r="AJ221" s="136">
        <v>0</v>
      </c>
      <c r="AK221" s="119" t="s">
        <v>120</v>
      </c>
      <c r="AM221" s="131"/>
    </row>
    <row r="222" spans="1:39" s="119" customFormat="1" ht="15" customHeight="1" x14ac:dyDescent="0.3">
      <c r="A222" s="119">
        <v>2017</v>
      </c>
      <c r="B222" s="119" t="s">
        <v>38</v>
      </c>
      <c r="C222" s="119" t="s">
        <v>75</v>
      </c>
      <c r="D222" s="119" t="s">
        <v>256</v>
      </c>
      <c r="E222" s="119" t="s">
        <v>321</v>
      </c>
      <c r="F222" s="119" t="s">
        <v>451</v>
      </c>
      <c r="G222" s="119" t="s">
        <v>451</v>
      </c>
      <c r="H222" s="119" t="s">
        <v>451</v>
      </c>
      <c r="I222" s="131" t="s">
        <v>243</v>
      </c>
      <c r="J222" s="119" t="s">
        <v>244</v>
      </c>
      <c r="K222" s="119" t="s">
        <v>245</v>
      </c>
      <c r="L222" s="119" t="s">
        <v>451</v>
      </c>
      <c r="M222" s="119" t="s">
        <v>46</v>
      </c>
      <c r="N222" s="136">
        <v>0</v>
      </c>
      <c r="O222" s="135" t="s">
        <v>47</v>
      </c>
      <c r="P222" s="135"/>
      <c r="Q222" s="137">
        <v>0</v>
      </c>
      <c r="R222" s="137">
        <v>0</v>
      </c>
      <c r="S222" s="137">
        <v>60000</v>
      </c>
      <c r="T222" s="137">
        <f t="shared" si="36"/>
        <v>0</v>
      </c>
      <c r="U222" s="137">
        <f t="shared" si="40"/>
        <v>60000</v>
      </c>
      <c r="V222" s="137">
        <v>60000</v>
      </c>
      <c r="W222" s="137">
        <f t="shared" si="41"/>
        <v>0</v>
      </c>
      <c r="X222" s="137">
        <f t="shared" si="37"/>
        <v>0</v>
      </c>
      <c r="Y222" s="137">
        <f t="shared" si="42"/>
        <v>0</v>
      </c>
      <c r="Z222" s="137">
        <v>38635.85</v>
      </c>
      <c r="AA222" s="137">
        <f t="shared" si="38"/>
        <v>21364.15</v>
      </c>
      <c r="AB222" s="146">
        <f t="shared" si="33"/>
        <v>38635.85</v>
      </c>
      <c r="AC222" s="147">
        <f t="shared" si="39"/>
        <v>0</v>
      </c>
      <c r="AD222" s="137">
        <v>32387.179367263299</v>
      </c>
      <c r="AE222" s="138">
        <v>0.17647058823529399</v>
      </c>
      <c r="AF222" s="137">
        <f t="shared" si="34"/>
        <v>5715.3845942229309</v>
      </c>
      <c r="AG222" s="137">
        <f t="shared" si="43"/>
        <v>5715.3845942229309</v>
      </c>
      <c r="AH222" s="154"/>
      <c r="AI222" s="154"/>
      <c r="AJ222" s="135" t="s">
        <v>47</v>
      </c>
      <c r="AK222" s="119" t="s">
        <v>47</v>
      </c>
      <c r="AM222" s="131"/>
    </row>
    <row r="223" spans="1:39" s="119" customFormat="1" ht="15" customHeight="1" x14ac:dyDescent="0.3">
      <c r="A223" s="119">
        <v>2017</v>
      </c>
      <c r="B223" s="119" t="s">
        <v>38</v>
      </c>
      <c r="C223" s="119" t="s">
        <v>75</v>
      </c>
      <c r="D223" s="119" t="s">
        <v>256</v>
      </c>
      <c r="E223" s="119" t="s">
        <v>321</v>
      </c>
      <c r="F223" s="119" t="s">
        <v>452</v>
      </c>
      <c r="G223" s="119" t="s">
        <v>452</v>
      </c>
      <c r="H223" s="119" t="s">
        <v>452</v>
      </c>
      <c r="I223" s="131" t="s">
        <v>243</v>
      </c>
      <c r="J223" s="119" t="s">
        <v>244</v>
      </c>
      <c r="K223" s="119" t="s">
        <v>245</v>
      </c>
      <c r="L223" s="119" t="s">
        <v>452</v>
      </c>
      <c r="M223" s="119" t="s">
        <v>46</v>
      </c>
      <c r="N223" s="135">
        <v>0</v>
      </c>
      <c r="O223" s="135" t="s">
        <v>47</v>
      </c>
      <c r="P223" s="135"/>
      <c r="Q223" s="137">
        <v>0</v>
      </c>
      <c r="R223" s="137">
        <v>0</v>
      </c>
      <c r="S223" s="137">
        <v>20000</v>
      </c>
      <c r="T223" s="137">
        <f t="shared" si="36"/>
        <v>0</v>
      </c>
      <c r="U223" s="137">
        <f t="shared" si="40"/>
        <v>20000</v>
      </c>
      <c r="V223" s="137">
        <v>20000</v>
      </c>
      <c r="W223" s="137">
        <f t="shared" si="41"/>
        <v>0</v>
      </c>
      <c r="X223" s="137">
        <f t="shared" si="37"/>
        <v>0</v>
      </c>
      <c r="Y223" s="137">
        <f t="shared" si="42"/>
        <v>0</v>
      </c>
      <c r="Z223" s="137">
        <v>8373.2000000000007</v>
      </c>
      <c r="AA223" s="137">
        <f t="shared" si="38"/>
        <v>11626.8</v>
      </c>
      <c r="AB223" s="146">
        <f t="shared" si="33"/>
        <v>8373.2000000000007</v>
      </c>
      <c r="AC223" s="147">
        <f t="shared" si="39"/>
        <v>0</v>
      </c>
      <c r="AD223" s="137">
        <v>7018.98185954157</v>
      </c>
      <c r="AE223" s="138">
        <v>0.17647058823529399</v>
      </c>
      <c r="AF223" s="137">
        <f t="shared" si="34"/>
        <v>1238.6438575661584</v>
      </c>
      <c r="AG223" s="137">
        <f t="shared" si="43"/>
        <v>1238.6438575661584</v>
      </c>
      <c r="AH223" s="154"/>
      <c r="AI223" s="154"/>
      <c r="AJ223" s="155">
        <v>0</v>
      </c>
      <c r="AK223" s="119">
        <v>0</v>
      </c>
      <c r="AM223" s="131"/>
    </row>
    <row r="224" spans="1:39" s="119" customFormat="1" ht="15" customHeight="1" x14ac:dyDescent="0.3">
      <c r="A224" s="119">
        <v>2017</v>
      </c>
      <c r="B224" s="119" t="s">
        <v>38</v>
      </c>
      <c r="C224" s="119" t="s">
        <v>75</v>
      </c>
      <c r="D224" s="119" t="s">
        <v>256</v>
      </c>
      <c r="E224" s="119" t="s">
        <v>321</v>
      </c>
      <c r="F224" s="119" t="s">
        <v>323</v>
      </c>
      <c r="G224" s="119" t="s">
        <v>453</v>
      </c>
      <c r="H224" s="119" t="s">
        <v>453</v>
      </c>
      <c r="I224" s="131" t="s">
        <v>243</v>
      </c>
      <c r="J224" s="119" t="s">
        <v>244</v>
      </c>
      <c r="K224" s="119" t="s">
        <v>245</v>
      </c>
      <c r="L224" s="119" t="s">
        <v>454</v>
      </c>
      <c r="M224" s="119" t="s">
        <v>46</v>
      </c>
      <c r="N224" s="135">
        <v>0</v>
      </c>
      <c r="O224" s="135" t="s">
        <v>47</v>
      </c>
      <c r="P224" s="135"/>
      <c r="Q224" s="137">
        <v>0</v>
      </c>
      <c r="R224" s="137">
        <v>0</v>
      </c>
      <c r="S224" s="137">
        <v>270000</v>
      </c>
      <c r="T224" s="137">
        <f t="shared" si="36"/>
        <v>0</v>
      </c>
      <c r="U224" s="137">
        <f t="shared" si="40"/>
        <v>270000</v>
      </c>
      <c r="V224" s="137">
        <v>270000</v>
      </c>
      <c r="W224" s="137">
        <f t="shared" si="41"/>
        <v>0</v>
      </c>
      <c r="X224" s="137">
        <f t="shared" si="37"/>
        <v>0</v>
      </c>
      <c r="Y224" s="137">
        <f t="shared" si="42"/>
        <v>0</v>
      </c>
      <c r="Z224" s="137">
        <v>181967.39</v>
      </c>
      <c r="AA224" s="137">
        <f t="shared" si="38"/>
        <v>88032.609999999986</v>
      </c>
      <c r="AB224" s="146">
        <f t="shared" si="33"/>
        <v>181967.39</v>
      </c>
      <c r="AC224" s="147">
        <f t="shared" si="39"/>
        <v>0</v>
      </c>
      <c r="AD224" s="137">
        <v>152537.35840994201</v>
      </c>
      <c r="AE224" s="138">
        <v>0.17647058823529399</v>
      </c>
      <c r="AF224" s="137">
        <f t="shared" si="34"/>
        <v>26918.357366460335</v>
      </c>
      <c r="AG224" s="137">
        <f t="shared" si="43"/>
        <v>26918.357366460335</v>
      </c>
      <c r="AH224" s="154"/>
      <c r="AI224" s="154"/>
      <c r="AJ224" s="136">
        <v>0</v>
      </c>
      <c r="AK224" s="119" t="s">
        <v>47</v>
      </c>
      <c r="AM224" s="131"/>
    </row>
    <row r="225" spans="1:39" s="119" customFormat="1" ht="15" customHeight="1" x14ac:dyDescent="0.3">
      <c r="A225" s="119">
        <v>2017</v>
      </c>
      <c r="B225" s="119" t="s">
        <v>38</v>
      </c>
      <c r="C225" s="119" t="s">
        <v>39</v>
      </c>
      <c r="D225" s="119" t="s">
        <v>81</v>
      </c>
      <c r="E225" s="119" t="s">
        <v>48</v>
      </c>
      <c r="F225" s="119" t="s">
        <v>455</v>
      </c>
      <c r="G225" s="119" t="s">
        <v>455</v>
      </c>
      <c r="H225" s="119" t="s">
        <v>455</v>
      </c>
      <c r="I225" s="131" t="s">
        <v>243</v>
      </c>
      <c r="J225" s="119" t="s">
        <v>244</v>
      </c>
      <c r="K225" s="119" t="s">
        <v>245</v>
      </c>
      <c r="L225" s="119" t="s">
        <v>455</v>
      </c>
      <c r="M225" s="119" t="s">
        <v>46</v>
      </c>
      <c r="N225" s="135">
        <v>0</v>
      </c>
      <c r="O225" s="135" t="s">
        <v>47</v>
      </c>
      <c r="P225" s="135"/>
      <c r="Q225" s="137">
        <v>0</v>
      </c>
      <c r="R225" s="137">
        <v>0</v>
      </c>
      <c r="S225" s="137">
        <v>200000</v>
      </c>
      <c r="T225" s="137">
        <f t="shared" si="36"/>
        <v>0</v>
      </c>
      <c r="U225" s="137">
        <f t="shared" si="40"/>
        <v>200000</v>
      </c>
      <c r="V225" s="137">
        <v>140000</v>
      </c>
      <c r="W225" s="137">
        <f t="shared" si="41"/>
        <v>60000</v>
      </c>
      <c r="X225" s="137">
        <f t="shared" si="37"/>
        <v>60000</v>
      </c>
      <c r="Y225" s="137">
        <f t="shared" si="42"/>
        <v>0</v>
      </c>
      <c r="Z225" s="137">
        <v>134711.4</v>
      </c>
      <c r="AA225" s="137">
        <f t="shared" si="38"/>
        <v>5288.6000000000058</v>
      </c>
      <c r="AB225" s="146">
        <f t="shared" si="33"/>
        <v>134711.4</v>
      </c>
      <c r="AC225" s="147">
        <f t="shared" si="39"/>
        <v>0</v>
      </c>
      <c r="AD225" s="137">
        <v>112924.19539404901</v>
      </c>
      <c r="AE225" s="138">
        <v>0.17647058823529399</v>
      </c>
      <c r="AF225" s="137">
        <f t="shared" si="34"/>
        <v>19927.799187185105</v>
      </c>
      <c r="AG225" s="137">
        <f t="shared" si="43"/>
        <v>19927.799187185105</v>
      </c>
      <c r="AH225" s="154"/>
      <c r="AI225" s="154"/>
      <c r="AJ225" s="135" t="s">
        <v>47</v>
      </c>
      <c r="AK225" s="119" t="s">
        <v>47</v>
      </c>
      <c r="AM225" s="131"/>
    </row>
    <row r="226" spans="1:39" s="119" customFormat="1" ht="15" customHeight="1" x14ac:dyDescent="0.3">
      <c r="A226" s="119">
        <v>2017</v>
      </c>
      <c r="B226" s="119" t="s">
        <v>38</v>
      </c>
      <c r="C226" s="119" t="s">
        <v>39</v>
      </c>
      <c r="D226" s="119" t="s">
        <v>81</v>
      </c>
      <c r="E226" s="119" t="s">
        <v>82</v>
      </c>
      <c r="F226" s="119" t="s">
        <v>326</v>
      </c>
      <c r="G226" s="119" t="s">
        <v>326</v>
      </c>
      <c r="H226" s="119" t="s">
        <v>326</v>
      </c>
      <c r="I226" s="131" t="s">
        <v>243</v>
      </c>
      <c r="J226" s="119" t="s">
        <v>244</v>
      </c>
      <c r="K226" s="119" t="s">
        <v>245</v>
      </c>
      <c r="L226" s="119" t="s">
        <v>326</v>
      </c>
      <c r="M226" s="119" t="s">
        <v>46</v>
      </c>
      <c r="N226" s="135">
        <v>0</v>
      </c>
      <c r="O226" s="135" t="s">
        <v>47</v>
      </c>
      <c r="P226" s="135"/>
      <c r="Q226" s="137">
        <v>0</v>
      </c>
      <c r="R226" s="137">
        <v>0</v>
      </c>
      <c r="S226" s="137">
        <v>50000</v>
      </c>
      <c r="T226" s="137">
        <f t="shared" si="36"/>
        <v>0</v>
      </c>
      <c r="U226" s="137">
        <f t="shared" si="40"/>
        <v>50000</v>
      </c>
      <c r="V226" s="137">
        <v>15000</v>
      </c>
      <c r="W226" s="137">
        <f t="shared" si="41"/>
        <v>35000</v>
      </c>
      <c r="X226" s="137">
        <f t="shared" si="37"/>
        <v>35000</v>
      </c>
      <c r="Y226" s="137">
        <f t="shared" si="42"/>
        <v>0</v>
      </c>
      <c r="Z226" s="137">
        <v>10050.700000000001</v>
      </c>
      <c r="AA226" s="137">
        <f t="shared" si="38"/>
        <v>4949.2999999999993</v>
      </c>
      <c r="AB226" s="146">
        <f t="shared" si="33"/>
        <v>10050.700000000001</v>
      </c>
      <c r="AC226" s="147">
        <f t="shared" si="39"/>
        <v>0</v>
      </c>
      <c r="AD226" s="137">
        <v>8425.1756766462604</v>
      </c>
      <c r="AE226" s="138">
        <v>0.17647058823529399</v>
      </c>
      <c r="AF226" s="137">
        <f t="shared" si="34"/>
        <v>1486.7957076434566</v>
      </c>
      <c r="AG226" s="137">
        <f t="shared" si="43"/>
        <v>1486.7957076434566</v>
      </c>
      <c r="AH226" s="154"/>
      <c r="AI226" s="154"/>
      <c r="AJ226" s="136">
        <v>0</v>
      </c>
      <c r="AK226" s="119" t="s">
        <v>120</v>
      </c>
      <c r="AM226" s="131"/>
    </row>
    <row r="227" spans="1:39" s="119" customFormat="1" ht="15" customHeight="1" x14ac:dyDescent="0.3">
      <c r="A227" s="119">
        <v>2017</v>
      </c>
      <c r="B227" s="119" t="s">
        <v>38</v>
      </c>
      <c r="C227" s="119" t="s">
        <v>39</v>
      </c>
      <c r="D227" s="119" t="s">
        <v>81</v>
      </c>
      <c r="E227" s="119" t="s">
        <v>82</v>
      </c>
      <c r="F227" s="119" t="s">
        <v>83</v>
      </c>
      <c r="G227" s="119" t="s">
        <v>83</v>
      </c>
      <c r="H227" s="119" t="s">
        <v>83</v>
      </c>
      <c r="I227" s="131" t="s">
        <v>243</v>
      </c>
      <c r="J227" s="119" t="s">
        <v>244</v>
      </c>
      <c r="K227" s="119" t="s">
        <v>245</v>
      </c>
      <c r="L227" s="119" t="s">
        <v>83</v>
      </c>
      <c r="M227" s="119" t="s">
        <v>46</v>
      </c>
      <c r="N227" s="135">
        <v>0</v>
      </c>
      <c r="O227" s="135" t="s">
        <v>47</v>
      </c>
      <c r="P227" s="135"/>
      <c r="Q227" s="137">
        <v>0</v>
      </c>
      <c r="R227" s="137">
        <v>0</v>
      </c>
      <c r="S227" s="137">
        <v>211175</v>
      </c>
      <c r="T227" s="137">
        <f t="shared" si="36"/>
        <v>0</v>
      </c>
      <c r="U227" s="137">
        <f t="shared" si="40"/>
        <v>211175</v>
      </c>
      <c r="V227" s="137">
        <v>288000</v>
      </c>
      <c r="W227" s="137">
        <f t="shared" si="41"/>
        <v>-76825</v>
      </c>
      <c r="X227" s="137">
        <f t="shared" si="37"/>
        <v>-76825</v>
      </c>
      <c r="Y227" s="137">
        <f t="shared" si="42"/>
        <v>0</v>
      </c>
      <c r="Z227" s="137">
        <v>232214.2</v>
      </c>
      <c r="AA227" s="137">
        <f t="shared" si="38"/>
        <v>55785.799999999988</v>
      </c>
      <c r="AB227" s="146">
        <f t="shared" si="33"/>
        <v>232214.2</v>
      </c>
      <c r="AC227" s="147">
        <f t="shared" si="39"/>
        <v>0</v>
      </c>
      <c r="AD227" s="137">
        <v>194657.62878325599</v>
      </c>
      <c r="AE227" s="138">
        <v>0.17647058823529399</v>
      </c>
      <c r="AF227" s="137">
        <f t="shared" si="34"/>
        <v>34351.346255868681</v>
      </c>
      <c r="AG227" s="137">
        <f t="shared" si="43"/>
        <v>34351.346255868681</v>
      </c>
      <c r="AH227" s="154"/>
      <c r="AI227" s="154"/>
      <c r="AJ227" s="136">
        <v>0</v>
      </c>
      <c r="AK227" s="119" t="s">
        <v>120</v>
      </c>
      <c r="AM227" s="131"/>
    </row>
    <row r="228" spans="1:39" s="119" customFormat="1" ht="15" customHeight="1" x14ac:dyDescent="0.3">
      <c r="A228" s="119">
        <v>2017</v>
      </c>
      <c r="B228" s="119" t="s">
        <v>38</v>
      </c>
      <c r="C228" s="119" t="s">
        <v>39</v>
      </c>
      <c r="D228" s="119" t="s">
        <v>81</v>
      </c>
      <c r="E228" s="119" t="s">
        <v>82</v>
      </c>
      <c r="F228" s="119" t="s">
        <v>456</v>
      </c>
      <c r="G228" s="119" t="s">
        <v>456</v>
      </c>
      <c r="H228" s="119" t="s">
        <v>456</v>
      </c>
      <c r="I228" s="131" t="s">
        <v>243</v>
      </c>
      <c r="J228" s="119" t="s">
        <v>244</v>
      </c>
      <c r="K228" s="119" t="s">
        <v>245</v>
      </c>
      <c r="L228" s="119" t="s">
        <v>456</v>
      </c>
      <c r="M228" s="119" t="s">
        <v>46</v>
      </c>
      <c r="N228" s="135">
        <v>0</v>
      </c>
      <c r="O228" s="135" t="s">
        <v>47</v>
      </c>
      <c r="P228" s="135"/>
      <c r="Q228" s="137">
        <v>0</v>
      </c>
      <c r="R228" s="137">
        <v>0</v>
      </c>
      <c r="S228" s="137">
        <v>20000</v>
      </c>
      <c r="T228" s="137">
        <f t="shared" si="36"/>
        <v>0</v>
      </c>
      <c r="U228" s="137">
        <f t="shared" si="40"/>
        <v>20000</v>
      </c>
      <c r="V228" s="137">
        <v>20000</v>
      </c>
      <c r="W228" s="137">
        <f t="shared" si="41"/>
        <v>0</v>
      </c>
      <c r="X228" s="137">
        <f t="shared" si="37"/>
        <v>0</v>
      </c>
      <c r="Y228" s="137">
        <f t="shared" si="42"/>
        <v>0</v>
      </c>
      <c r="Z228" s="137">
        <v>14852.9</v>
      </c>
      <c r="AA228" s="137">
        <f t="shared" si="38"/>
        <v>5147.1000000000004</v>
      </c>
      <c r="AB228" s="146">
        <f t="shared" si="33"/>
        <v>14852.9</v>
      </c>
      <c r="AC228" s="147">
        <f t="shared" si="39"/>
        <v>0</v>
      </c>
      <c r="AD228" s="137">
        <v>12450.7041109235</v>
      </c>
      <c r="AE228" s="138">
        <v>0.17647058823529399</v>
      </c>
      <c r="AF228" s="137">
        <f t="shared" si="34"/>
        <v>2197.1830783982632</v>
      </c>
      <c r="AG228" s="137">
        <f t="shared" si="43"/>
        <v>2197.1830783982632</v>
      </c>
      <c r="AH228" s="154"/>
      <c r="AI228" s="154"/>
      <c r="AJ228" s="155">
        <v>0</v>
      </c>
      <c r="AK228" s="119">
        <v>0</v>
      </c>
      <c r="AM228" s="131"/>
    </row>
    <row r="229" spans="1:39" s="119" customFormat="1" ht="15" customHeight="1" x14ac:dyDescent="0.3">
      <c r="A229" s="119">
        <v>2017</v>
      </c>
      <c r="B229" s="119" t="s">
        <v>38</v>
      </c>
      <c r="C229" s="119" t="s">
        <v>39</v>
      </c>
      <c r="D229" s="119" t="s">
        <v>40</v>
      </c>
      <c r="E229" s="119" t="s">
        <v>48</v>
      </c>
      <c r="F229" s="119" t="s">
        <v>329</v>
      </c>
      <c r="G229" s="119" t="s">
        <v>329</v>
      </c>
      <c r="H229" s="119" t="s">
        <v>329</v>
      </c>
      <c r="I229" s="131" t="s">
        <v>243</v>
      </c>
      <c r="J229" s="119" t="s">
        <v>244</v>
      </c>
      <c r="K229" s="119" t="s">
        <v>245</v>
      </c>
      <c r="L229" s="119" t="s">
        <v>330</v>
      </c>
      <c r="M229" s="119" t="s">
        <v>46</v>
      </c>
      <c r="N229" s="135">
        <v>0</v>
      </c>
      <c r="O229" s="135" t="s">
        <v>47</v>
      </c>
      <c r="P229" s="135"/>
      <c r="Q229" s="137">
        <v>0</v>
      </c>
      <c r="R229" s="137">
        <v>0</v>
      </c>
      <c r="S229" s="137">
        <v>113297</v>
      </c>
      <c r="T229" s="137">
        <f t="shared" si="36"/>
        <v>0</v>
      </c>
      <c r="U229" s="137">
        <f t="shared" si="40"/>
        <v>113297</v>
      </c>
      <c r="V229" s="137">
        <v>65000</v>
      </c>
      <c r="W229" s="137">
        <f t="shared" si="41"/>
        <v>48297</v>
      </c>
      <c r="X229" s="137">
        <f t="shared" si="37"/>
        <v>48297</v>
      </c>
      <c r="Y229" s="137">
        <f t="shared" si="42"/>
        <v>0</v>
      </c>
      <c r="Z229" s="137">
        <v>24865.5</v>
      </c>
      <c r="AA229" s="137">
        <f t="shared" si="38"/>
        <v>40134.5</v>
      </c>
      <c r="AB229" s="146">
        <f t="shared" ref="AB229:AB292" si="44">IF(O229="返货",Z229/(1+N229),IF(O229="返现",Z229,IF(O229="折扣",Z229*N229,IF(O229="无",Z229))))</f>
        <v>24865.5</v>
      </c>
      <c r="AC229" s="147">
        <f t="shared" si="39"/>
        <v>0</v>
      </c>
      <c r="AD229" s="137">
        <v>20843.941793869799</v>
      </c>
      <c r="AE229" s="138">
        <v>0.17647058823529399</v>
      </c>
      <c r="AF229" s="137">
        <f t="shared" si="34"/>
        <v>3678.3426695064322</v>
      </c>
      <c r="AG229" s="137">
        <f t="shared" si="43"/>
        <v>3678.3426695064322</v>
      </c>
      <c r="AH229" s="154"/>
      <c r="AI229" s="154"/>
      <c r="AJ229" s="136">
        <v>0</v>
      </c>
      <c r="AK229" s="119" t="s">
        <v>120</v>
      </c>
      <c r="AM229" s="131"/>
    </row>
    <row r="230" spans="1:39" s="119" customFormat="1" ht="15" customHeight="1" x14ac:dyDescent="0.3">
      <c r="A230" s="119">
        <v>2017</v>
      </c>
      <c r="B230" s="119" t="s">
        <v>38</v>
      </c>
      <c r="C230" s="119" t="s">
        <v>39</v>
      </c>
      <c r="D230" s="119" t="s">
        <v>40</v>
      </c>
      <c r="E230" s="119" t="s">
        <v>48</v>
      </c>
      <c r="F230" s="119" t="s">
        <v>331</v>
      </c>
      <c r="G230" s="119" t="s">
        <v>331</v>
      </c>
      <c r="H230" s="119" t="s">
        <v>331</v>
      </c>
      <c r="I230" s="131" t="s">
        <v>243</v>
      </c>
      <c r="J230" s="119" t="s">
        <v>244</v>
      </c>
      <c r="K230" s="119" t="s">
        <v>245</v>
      </c>
      <c r="L230" s="119" t="s">
        <v>332</v>
      </c>
      <c r="M230" s="119" t="s">
        <v>46</v>
      </c>
      <c r="N230" s="135">
        <v>0</v>
      </c>
      <c r="O230" s="135" t="s">
        <v>47</v>
      </c>
      <c r="P230" s="135"/>
      <c r="Q230" s="137">
        <v>0</v>
      </c>
      <c r="R230" s="137">
        <v>0</v>
      </c>
      <c r="S230" s="137">
        <v>60000</v>
      </c>
      <c r="T230" s="137">
        <f t="shared" si="36"/>
        <v>0</v>
      </c>
      <c r="U230" s="137">
        <f t="shared" si="40"/>
        <v>60000</v>
      </c>
      <c r="V230" s="137">
        <v>90000</v>
      </c>
      <c r="W230" s="137">
        <f t="shared" si="41"/>
        <v>-30000</v>
      </c>
      <c r="X230" s="137">
        <f t="shared" si="37"/>
        <v>-30000</v>
      </c>
      <c r="Y230" s="137">
        <f t="shared" si="42"/>
        <v>0</v>
      </c>
      <c r="Z230" s="137">
        <v>63238.5</v>
      </c>
      <c r="AA230" s="137">
        <f t="shared" si="38"/>
        <v>26761.5</v>
      </c>
      <c r="AB230" s="146">
        <f t="shared" si="44"/>
        <v>63238.5</v>
      </c>
      <c r="AC230" s="147">
        <f t="shared" si="39"/>
        <v>0</v>
      </c>
      <c r="AD230" s="137">
        <v>53010.782535305501</v>
      </c>
      <c r="AE230" s="138">
        <v>0.17647058823529399</v>
      </c>
      <c r="AF230" s="137">
        <f t="shared" si="34"/>
        <v>9354.8439768186108</v>
      </c>
      <c r="AG230" s="137">
        <f t="shared" si="43"/>
        <v>9354.8439768186108</v>
      </c>
      <c r="AH230" s="154"/>
      <c r="AI230" s="154"/>
      <c r="AJ230" s="136">
        <v>0</v>
      </c>
      <c r="AK230" s="119" t="s">
        <v>120</v>
      </c>
      <c r="AM230" s="131"/>
    </row>
    <row r="231" spans="1:39" s="119" customFormat="1" ht="15" customHeight="1" x14ac:dyDescent="0.3">
      <c r="A231" s="119">
        <v>2017</v>
      </c>
      <c r="B231" s="119" t="s">
        <v>38</v>
      </c>
      <c r="C231" s="119" t="s">
        <v>39</v>
      </c>
      <c r="D231" s="119" t="s">
        <v>40</v>
      </c>
      <c r="E231" s="119" t="s">
        <v>41</v>
      </c>
      <c r="F231" s="119" t="s">
        <v>457</v>
      </c>
      <c r="G231" s="119" t="s">
        <v>457</v>
      </c>
      <c r="H231" s="119" t="s">
        <v>457</v>
      </c>
      <c r="I231" s="131" t="s">
        <v>243</v>
      </c>
      <c r="J231" s="119" t="s">
        <v>244</v>
      </c>
      <c r="K231" s="119" t="s">
        <v>245</v>
      </c>
      <c r="L231" s="119" t="s">
        <v>458</v>
      </c>
      <c r="M231" s="119" t="s">
        <v>46</v>
      </c>
      <c r="N231" s="135">
        <v>0</v>
      </c>
      <c r="O231" s="135" t="s">
        <v>47</v>
      </c>
      <c r="P231" s="135"/>
      <c r="Q231" s="137">
        <v>0</v>
      </c>
      <c r="R231" s="137">
        <v>0</v>
      </c>
      <c r="S231" s="137">
        <v>80000</v>
      </c>
      <c r="T231" s="137">
        <f t="shared" si="36"/>
        <v>0</v>
      </c>
      <c r="U231" s="137">
        <f t="shared" si="40"/>
        <v>80000</v>
      </c>
      <c r="V231" s="137">
        <v>80000</v>
      </c>
      <c r="W231" s="137">
        <f t="shared" si="41"/>
        <v>0</v>
      </c>
      <c r="X231" s="137">
        <f t="shared" si="37"/>
        <v>0</v>
      </c>
      <c r="Y231" s="137">
        <f t="shared" si="42"/>
        <v>0</v>
      </c>
      <c r="Z231" s="137">
        <v>79999.100000000006</v>
      </c>
      <c r="AA231" s="137">
        <f t="shared" si="38"/>
        <v>0.89999999999417923</v>
      </c>
      <c r="AB231" s="146">
        <f t="shared" si="44"/>
        <v>79999.100000000006</v>
      </c>
      <c r="AC231" s="147">
        <f t="shared" si="39"/>
        <v>0</v>
      </c>
      <c r="AD231" s="137">
        <v>67060.649653615401</v>
      </c>
      <c r="AE231" s="138">
        <v>0.17647058823529399</v>
      </c>
      <c r="AF231" s="137">
        <f t="shared" si="34"/>
        <v>11834.232291814475</v>
      </c>
      <c r="AG231" s="137">
        <f t="shared" si="43"/>
        <v>11834.232291814475</v>
      </c>
      <c r="AH231" s="154"/>
      <c r="AI231" s="154"/>
      <c r="AJ231" s="135" t="s">
        <v>47</v>
      </c>
      <c r="AK231" s="119" t="s">
        <v>47</v>
      </c>
      <c r="AM231" s="131"/>
    </row>
    <row r="232" spans="1:39" s="119" customFormat="1" ht="15" customHeight="1" x14ac:dyDescent="0.3">
      <c r="A232" s="119">
        <v>2017</v>
      </c>
      <c r="B232" s="119" t="s">
        <v>333</v>
      </c>
      <c r="C232" s="119" t="s">
        <v>39</v>
      </c>
      <c r="D232" s="119" t="s">
        <v>40</v>
      </c>
      <c r="E232" s="119" t="s">
        <v>41</v>
      </c>
      <c r="F232" s="119" t="s">
        <v>334</v>
      </c>
      <c r="G232" s="119" t="s">
        <v>335</v>
      </c>
      <c r="H232" s="119" t="s">
        <v>335</v>
      </c>
      <c r="I232" s="131" t="s">
        <v>243</v>
      </c>
      <c r="J232" s="119" t="s">
        <v>244</v>
      </c>
      <c r="K232" s="119" t="s">
        <v>245</v>
      </c>
      <c r="L232" s="119" t="s">
        <v>336</v>
      </c>
      <c r="M232" s="119" t="s">
        <v>46</v>
      </c>
      <c r="N232" s="136">
        <v>0.02</v>
      </c>
      <c r="O232" s="135" t="s">
        <v>51</v>
      </c>
      <c r="P232" s="135"/>
      <c r="Q232" s="137">
        <v>0</v>
      </c>
      <c r="R232" s="137">
        <v>0</v>
      </c>
      <c r="S232" s="137">
        <v>88572.44</v>
      </c>
      <c r="T232" s="137">
        <f t="shared" si="36"/>
        <v>1771.4488000000001</v>
      </c>
      <c r="U232" s="137">
        <f t="shared" si="40"/>
        <v>90343.888800000001</v>
      </c>
      <c r="V232" s="137">
        <v>1</v>
      </c>
      <c r="W232" s="137">
        <f t="shared" si="41"/>
        <v>90342.888800000001</v>
      </c>
      <c r="X232" s="137">
        <f t="shared" si="37"/>
        <v>88571.459607843135</v>
      </c>
      <c r="Y232" s="137">
        <f t="shared" si="42"/>
        <v>1771.4291921568656</v>
      </c>
      <c r="Z232" s="137">
        <v>0</v>
      </c>
      <c r="AA232" s="137">
        <f t="shared" si="38"/>
        <v>1</v>
      </c>
      <c r="AB232" s="146">
        <f t="shared" si="44"/>
        <v>0</v>
      </c>
      <c r="AC232" s="147">
        <f t="shared" si="39"/>
        <v>0</v>
      </c>
      <c r="AD232" s="137">
        <v>0</v>
      </c>
      <c r="AE232" s="138">
        <v>0.17647058823529399</v>
      </c>
      <c r="AF232" s="137">
        <f t="shared" si="34"/>
        <v>0</v>
      </c>
      <c r="AG232" s="137">
        <f t="shared" si="43"/>
        <v>0</v>
      </c>
      <c r="AH232" s="154"/>
      <c r="AI232" s="154"/>
      <c r="AJ232" s="135" t="s">
        <v>173</v>
      </c>
      <c r="AK232" s="119" t="s">
        <v>173</v>
      </c>
      <c r="AM232" s="131"/>
    </row>
    <row r="233" spans="1:39" s="119" customFormat="1" ht="15" customHeight="1" x14ac:dyDescent="0.3">
      <c r="A233" s="119">
        <v>2017</v>
      </c>
      <c r="B233" s="119" t="s">
        <v>38</v>
      </c>
      <c r="C233" s="119" t="s">
        <v>39</v>
      </c>
      <c r="D233" s="119" t="s">
        <v>40</v>
      </c>
      <c r="E233" s="119" t="s">
        <v>41</v>
      </c>
      <c r="F233" s="119" t="s">
        <v>459</v>
      </c>
      <c r="G233" s="119" t="s">
        <v>459</v>
      </c>
      <c r="H233" s="119" t="s">
        <v>459</v>
      </c>
      <c r="I233" s="131" t="s">
        <v>243</v>
      </c>
      <c r="J233" s="119" t="s">
        <v>244</v>
      </c>
      <c r="K233" s="119" t="s">
        <v>245</v>
      </c>
      <c r="L233" s="119" t="s">
        <v>459</v>
      </c>
      <c r="M233" s="119" t="s">
        <v>46</v>
      </c>
      <c r="N233" s="135">
        <v>0</v>
      </c>
      <c r="O233" s="135" t="s">
        <v>47</v>
      </c>
      <c r="P233" s="135"/>
      <c r="Q233" s="137">
        <v>0</v>
      </c>
      <c r="R233" s="137">
        <v>0</v>
      </c>
      <c r="S233" s="137">
        <v>650000</v>
      </c>
      <c r="T233" s="137">
        <f t="shared" si="36"/>
        <v>0</v>
      </c>
      <c r="U233" s="137">
        <f t="shared" si="40"/>
        <v>650000</v>
      </c>
      <c r="V233" s="137">
        <v>600000</v>
      </c>
      <c r="W233" s="137">
        <f t="shared" si="41"/>
        <v>50000</v>
      </c>
      <c r="X233" s="137">
        <f t="shared" si="37"/>
        <v>50000</v>
      </c>
      <c r="Y233" s="137">
        <f t="shared" si="42"/>
        <v>0</v>
      </c>
      <c r="Z233" s="137">
        <v>555154.75</v>
      </c>
      <c r="AA233" s="137">
        <f t="shared" si="38"/>
        <v>44845.25</v>
      </c>
      <c r="AB233" s="146">
        <f t="shared" si="44"/>
        <v>555154.75</v>
      </c>
      <c r="AC233" s="147">
        <f t="shared" si="39"/>
        <v>0</v>
      </c>
      <c r="AD233" s="137">
        <v>465368.21280852403</v>
      </c>
      <c r="AE233" s="138">
        <v>0.17647058823529399</v>
      </c>
      <c r="AF233" s="137">
        <f t="shared" si="34"/>
        <v>82123.802260327706</v>
      </c>
      <c r="AG233" s="137">
        <f t="shared" si="43"/>
        <v>82123.802260327706</v>
      </c>
      <c r="AH233" s="154"/>
      <c r="AI233" s="154"/>
      <c r="AJ233" s="155">
        <v>0</v>
      </c>
      <c r="AK233" s="119">
        <v>0</v>
      </c>
      <c r="AM233" s="131"/>
    </row>
    <row r="234" spans="1:39" s="119" customFormat="1" ht="15" customHeight="1" x14ac:dyDescent="0.3">
      <c r="A234" s="119">
        <v>2017</v>
      </c>
      <c r="B234" s="119" t="s">
        <v>38</v>
      </c>
      <c r="C234" s="119" t="s">
        <v>39</v>
      </c>
      <c r="D234" s="119" t="s">
        <v>40</v>
      </c>
      <c r="E234" s="119" t="s">
        <v>41</v>
      </c>
      <c r="F234" s="119" t="s">
        <v>460</v>
      </c>
      <c r="G234" s="119" t="s">
        <v>460</v>
      </c>
      <c r="H234" s="119" t="s">
        <v>460</v>
      </c>
      <c r="I234" s="131" t="s">
        <v>243</v>
      </c>
      <c r="J234" s="119" t="s">
        <v>244</v>
      </c>
      <c r="K234" s="119" t="s">
        <v>245</v>
      </c>
      <c r="L234" s="119" t="s">
        <v>461</v>
      </c>
      <c r="M234" s="119" t="s">
        <v>46</v>
      </c>
      <c r="N234" s="136">
        <v>0.02</v>
      </c>
      <c r="O234" s="135" t="s">
        <v>51</v>
      </c>
      <c r="P234" s="135"/>
      <c r="Q234" s="137">
        <v>0</v>
      </c>
      <c r="R234" s="137">
        <v>0</v>
      </c>
      <c r="S234" s="137">
        <v>89759.26</v>
      </c>
      <c r="T234" s="137">
        <f t="shared" si="36"/>
        <v>1795.1851999999999</v>
      </c>
      <c r="U234" s="137">
        <f t="shared" si="40"/>
        <v>91554.445199999987</v>
      </c>
      <c r="V234" s="137">
        <v>70000</v>
      </c>
      <c r="W234" s="137">
        <f t="shared" si="41"/>
        <v>21554.445199999987</v>
      </c>
      <c r="X234" s="137">
        <f t="shared" si="37"/>
        <v>21131.80901960783</v>
      </c>
      <c r="Y234" s="137">
        <f t="shared" si="42"/>
        <v>422.63618039215726</v>
      </c>
      <c r="Z234" s="137">
        <v>14635.4</v>
      </c>
      <c r="AA234" s="137">
        <f t="shared" si="38"/>
        <v>55364.6</v>
      </c>
      <c r="AB234" s="146">
        <f t="shared" si="44"/>
        <v>14348.431372549019</v>
      </c>
      <c r="AC234" s="147">
        <f t="shared" si="39"/>
        <v>286.96862745098042</v>
      </c>
      <c r="AD234" s="137">
        <v>12268.3809185419</v>
      </c>
      <c r="AE234" s="138">
        <v>0.17647058823529399</v>
      </c>
      <c r="AF234" s="137">
        <f t="shared" si="34"/>
        <v>2165.0083973897454</v>
      </c>
      <c r="AG234" s="137">
        <f t="shared" si="43"/>
        <v>1878.0397699387649</v>
      </c>
      <c r="AH234" s="154"/>
      <c r="AI234" s="154"/>
      <c r="AJ234" s="135" t="s">
        <v>173</v>
      </c>
      <c r="AK234" s="119" t="s">
        <v>173</v>
      </c>
      <c r="AM234" s="131"/>
    </row>
    <row r="235" spans="1:39" s="119" customFormat="1" ht="15" customHeight="1" x14ac:dyDescent="0.3">
      <c r="A235" s="119">
        <v>2017</v>
      </c>
      <c r="B235" s="119" t="s">
        <v>38</v>
      </c>
      <c r="C235" s="119" t="s">
        <v>59</v>
      </c>
      <c r="D235" s="119" t="s">
        <v>154</v>
      </c>
      <c r="E235" s="119" t="s">
        <v>107</v>
      </c>
      <c r="F235" s="119" t="s">
        <v>337</v>
      </c>
      <c r="G235" s="119" t="s">
        <v>337</v>
      </c>
      <c r="H235" s="119" t="s">
        <v>337</v>
      </c>
      <c r="I235" s="131" t="s">
        <v>243</v>
      </c>
      <c r="J235" s="119" t="s">
        <v>244</v>
      </c>
      <c r="K235" s="119" t="s">
        <v>245</v>
      </c>
      <c r="L235" s="119" t="s">
        <v>337</v>
      </c>
      <c r="M235" s="119" t="s">
        <v>46</v>
      </c>
      <c r="N235" s="135">
        <v>0</v>
      </c>
      <c r="O235" s="135" t="s">
        <v>47</v>
      </c>
      <c r="P235" s="135"/>
      <c r="Q235" s="137">
        <v>0</v>
      </c>
      <c r="R235" s="137">
        <v>0</v>
      </c>
      <c r="S235" s="137">
        <v>30654</v>
      </c>
      <c r="T235" s="137">
        <f t="shared" si="36"/>
        <v>0</v>
      </c>
      <c r="U235" s="137">
        <f t="shared" si="40"/>
        <v>30654</v>
      </c>
      <c r="V235" s="137">
        <v>35000</v>
      </c>
      <c r="W235" s="137">
        <f t="shared" si="41"/>
        <v>-4346</v>
      </c>
      <c r="X235" s="137">
        <f t="shared" si="37"/>
        <v>-4346</v>
      </c>
      <c r="Y235" s="137">
        <f t="shared" si="42"/>
        <v>0</v>
      </c>
      <c r="Z235" s="137">
        <v>20195.599999999999</v>
      </c>
      <c r="AA235" s="137">
        <f t="shared" si="38"/>
        <v>14804.400000000001</v>
      </c>
      <c r="AB235" s="146">
        <f t="shared" si="44"/>
        <v>20195.599999999999</v>
      </c>
      <c r="AC235" s="147">
        <f t="shared" si="39"/>
        <v>0</v>
      </c>
      <c r="AD235" s="137">
        <v>16929.316156613699</v>
      </c>
      <c r="AE235" s="138">
        <v>0.17647058823529399</v>
      </c>
      <c r="AF235" s="137">
        <f t="shared" si="34"/>
        <v>2987.5263805788859</v>
      </c>
      <c r="AG235" s="137">
        <f t="shared" ref="AG235:AG251" si="45">AB235-Z235+AF235</f>
        <v>2987.5263805788859</v>
      </c>
      <c r="AH235" s="154"/>
      <c r="AI235" s="154"/>
      <c r="AJ235" s="136">
        <v>0</v>
      </c>
      <c r="AK235" s="119" t="s">
        <v>120</v>
      </c>
      <c r="AM235" s="131"/>
    </row>
    <row r="236" spans="1:39" s="119" customFormat="1" ht="15" customHeight="1" x14ac:dyDescent="0.3">
      <c r="A236" s="119">
        <v>2017</v>
      </c>
      <c r="B236" s="119" t="s">
        <v>38</v>
      </c>
      <c r="C236" s="119" t="s">
        <v>59</v>
      </c>
      <c r="D236" s="119" t="s">
        <v>154</v>
      </c>
      <c r="E236" s="119" t="s">
        <v>107</v>
      </c>
      <c r="F236" s="119" t="s">
        <v>462</v>
      </c>
      <c r="G236" s="119" t="s">
        <v>462</v>
      </c>
      <c r="H236" s="119" t="s">
        <v>462</v>
      </c>
      <c r="I236" s="131" t="s">
        <v>243</v>
      </c>
      <c r="J236" s="119" t="s">
        <v>244</v>
      </c>
      <c r="K236" s="119" t="s">
        <v>245</v>
      </c>
      <c r="L236" s="119" t="s">
        <v>462</v>
      </c>
      <c r="M236" s="119" t="s">
        <v>46</v>
      </c>
      <c r="N236" s="135">
        <v>0</v>
      </c>
      <c r="O236" s="135" t="s">
        <v>47</v>
      </c>
      <c r="P236" s="135"/>
      <c r="Q236" s="137">
        <v>0</v>
      </c>
      <c r="R236" s="137">
        <v>0</v>
      </c>
      <c r="S236" s="137">
        <v>50000</v>
      </c>
      <c r="T236" s="137">
        <f t="shared" si="36"/>
        <v>0</v>
      </c>
      <c r="U236" s="137">
        <f t="shared" si="40"/>
        <v>50000</v>
      </c>
      <c r="V236" s="137">
        <v>50000</v>
      </c>
      <c r="W236" s="137">
        <f t="shared" si="41"/>
        <v>0</v>
      </c>
      <c r="X236" s="137">
        <f t="shared" si="37"/>
        <v>0</v>
      </c>
      <c r="Y236" s="137">
        <f t="shared" si="42"/>
        <v>0</v>
      </c>
      <c r="Z236" s="137">
        <v>50000</v>
      </c>
      <c r="AA236" s="137">
        <f t="shared" si="38"/>
        <v>0</v>
      </c>
      <c r="AB236" s="146">
        <f t="shared" si="44"/>
        <v>50000</v>
      </c>
      <c r="AC236" s="147">
        <f t="shared" si="39"/>
        <v>0</v>
      </c>
      <c r="AD236" s="137">
        <v>41913.377559007102</v>
      </c>
      <c r="AE236" s="138">
        <v>0.17647058823529399</v>
      </c>
      <c r="AF236" s="137">
        <f t="shared" si="34"/>
        <v>7396.4783927659537</v>
      </c>
      <c r="AG236" s="137">
        <f t="shared" si="45"/>
        <v>7396.4783927659537</v>
      </c>
      <c r="AH236" s="154"/>
      <c r="AI236" s="154"/>
      <c r="AJ236" s="135" t="s">
        <v>47</v>
      </c>
      <c r="AK236" s="119" t="s">
        <v>47</v>
      </c>
      <c r="AM236" s="131"/>
    </row>
    <row r="237" spans="1:39" s="119" customFormat="1" ht="15" customHeight="1" x14ac:dyDescent="0.3">
      <c r="A237" s="119">
        <v>2017</v>
      </c>
      <c r="B237" s="119" t="s">
        <v>38</v>
      </c>
      <c r="C237" s="119" t="s">
        <v>59</v>
      </c>
      <c r="D237" s="119" t="s">
        <v>154</v>
      </c>
      <c r="E237" s="119" t="s">
        <v>107</v>
      </c>
      <c r="F237" s="119" t="s">
        <v>463</v>
      </c>
      <c r="G237" s="119" t="s">
        <v>463</v>
      </c>
      <c r="H237" s="119" t="s">
        <v>463</v>
      </c>
      <c r="I237" s="131" t="s">
        <v>243</v>
      </c>
      <c r="J237" s="119" t="s">
        <v>244</v>
      </c>
      <c r="K237" s="119" t="s">
        <v>245</v>
      </c>
      <c r="L237" s="119" t="s">
        <v>463</v>
      </c>
      <c r="M237" s="119" t="s">
        <v>46</v>
      </c>
      <c r="N237" s="135">
        <v>0</v>
      </c>
      <c r="O237" s="135" t="s">
        <v>47</v>
      </c>
      <c r="P237" s="135"/>
      <c r="Q237" s="137">
        <v>0</v>
      </c>
      <c r="R237" s="137">
        <v>0</v>
      </c>
      <c r="S237" s="137">
        <v>36000</v>
      </c>
      <c r="T237" s="137">
        <f t="shared" si="36"/>
        <v>0</v>
      </c>
      <c r="U237" s="137">
        <f t="shared" si="40"/>
        <v>36000</v>
      </c>
      <c r="V237" s="137">
        <v>36000</v>
      </c>
      <c r="W237" s="137">
        <f t="shared" si="41"/>
        <v>0</v>
      </c>
      <c r="X237" s="137">
        <f t="shared" si="37"/>
        <v>0</v>
      </c>
      <c r="Y237" s="137">
        <f t="shared" si="42"/>
        <v>0</v>
      </c>
      <c r="Z237" s="137">
        <v>4403.97</v>
      </c>
      <c r="AA237" s="137">
        <f t="shared" si="38"/>
        <v>31596.03</v>
      </c>
      <c r="AB237" s="146">
        <f t="shared" si="44"/>
        <v>4403.97</v>
      </c>
      <c r="AC237" s="147">
        <f t="shared" si="39"/>
        <v>0</v>
      </c>
      <c r="AD237" s="137">
        <v>3691.7051473708102</v>
      </c>
      <c r="AE237" s="138">
        <v>0.17647058823529399</v>
      </c>
      <c r="AF237" s="137">
        <f t="shared" si="34"/>
        <v>651.47737894778959</v>
      </c>
      <c r="AG237" s="137">
        <f t="shared" si="45"/>
        <v>651.47737894778959</v>
      </c>
      <c r="AH237" s="154"/>
      <c r="AI237" s="154"/>
      <c r="AJ237" s="135" t="s">
        <v>47</v>
      </c>
      <c r="AK237" s="119" t="s">
        <v>47</v>
      </c>
      <c r="AM237" s="131"/>
    </row>
    <row r="238" spans="1:39" s="119" customFormat="1" ht="15" customHeight="1" x14ac:dyDescent="0.3">
      <c r="A238" s="119">
        <v>2017</v>
      </c>
      <c r="B238" s="119" t="s">
        <v>38</v>
      </c>
      <c r="C238" s="119" t="s">
        <v>59</v>
      </c>
      <c r="D238" s="119" t="s">
        <v>154</v>
      </c>
      <c r="E238" s="119" t="s">
        <v>107</v>
      </c>
      <c r="F238" s="119" t="s">
        <v>464</v>
      </c>
      <c r="G238" s="119" t="s">
        <v>464</v>
      </c>
      <c r="H238" s="119" t="s">
        <v>464</v>
      </c>
      <c r="I238" s="131" t="s">
        <v>243</v>
      </c>
      <c r="J238" s="119" t="s">
        <v>244</v>
      </c>
      <c r="K238" s="119" t="s">
        <v>245</v>
      </c>
      <c r="L238" s="119" t="s">
        <v>464</v>
      </c>
      <c r="M238" s="119" t="s">
        <v>46</v>
      </c>
      <c r="N238" s="135">
        <v>0</v>
      </c>
      <c r="O238" s="135" t="s">
        <v>47</v>
      </c>
      <c r="P238" s="135"/>
      <c r="Q238" s="137">
        <v>0</v>
      </c>
      <c r="R238" s="137">
        <v>0</v>
      </c>
      <c r="S238" s="137">
        <v>130000</v>
      </c>
      <c r="T238" s="137">
        <f t="shared" si="36"/>
        <v>0</v>
      </c>
      <c r="U238" s="137">
        <f t="shared" si="40"/>
        <v>130000</v>
      </c>
      <c r="V238" s="137">
        <v>100000</v>
      </c>
      <c r="W238" s="137">
        <f t="shared" si="41"/>
        <v>30000</v>
      </c>
      <c r="X238" s="137">
        <f t="shared" si="37"/>
        <v>30000</v>
      </c>
      <c r="Y238" s="137">
        <f t="shared" si="42"/>
        <v>0</v>
      </c>
      <c r="Z238" s="137">
        <v>83696.87</v>
      </c>
      <c r="AA238" s="137">
        <f t="shared" si="38"/>
        <v>16303.130000000005</v>
      </c>
      <c r="AB238" s="146">
        <f t="shared" si="44"/>
        <v>83696.87</v>
      </c>
      <c r="AC238" s="147">
        <f t="shared" si="39"/>
        <v>0</v>
      </c>
      <c r="AD238" s="137">
        <v>70160.370256342794</v>
      </c>
      <c r="AE238" s="138">
        <v>0.17647058823529399</v>
      </c>
      <c r="AF238" s="137">
        <f t="shared" si="34"/>
        <v>12381.241809942838</v>
      </c>
      <c r="AG238" s="137">
        <f t="shared" si="45"/>
        <v>12381.241809942838</v>
      </c>
      <c r="AH238" s="154"/>
      <c r="AI238" s="154"/>
      <c r="AJ238" s="135" t="s">
        <v>47</v>
      </c>
      <c r="AK238" s="119" t="s">
        <v>47</v>
      </c>
      <c r="AM238" s="131"/>
    </row>
    <row r="239" spans="1:39" s="119" customFormat="1" ht="15" customHeight="1" x14ac:dyDescent="0.3">
      <c r="A239" s="119">
        <v>2017</v>
      </c>
      <c r="B239" s="119" t="s">
        <v>38</v>
      </c>
      <c r="C239" s="119" t="s">
        <v>59</v>
      </c>
      <c r="D239" s="119" t="s">
        <v>154</v>
      </c>
      <c r="E239" s="119" t="s">
        <v>107</v>
      </c>
      <c r="F239" s="119" t="s">
        <v>465</v>
      </c>
      <c r="G239" s="119" t="s">
        <v>465</v>
      </c>
      <c r="H239" s="119" t="s">
        <v>465</v>
      </c>
      <c r="I239" s="131" t="s">
        <v>243</v>
      </c>
      <c r="J239" s="119" t="s">
        <v>244</v>
      </c>
      <c r="K239" s="119" t="s">
        <v>245</v>
      </c>
      <c r="L239" s="119" t="s">
        <v>465</v>
      </c>
      <c r="M239" s="119" t="s">
        <v>46</v>
      </c>
      <c r="N239" s="135">
        <v>0</v>
      </c>
      <c r="O239" s="135" t="s">
        <v>47</v>
      </c>
      <c r="P239" s="135"/>
      <c r="Q239" s="137">
        <v>0</v>
      </c>
      <c r="R239" s="137">
        <v>0</v>
      </c>
      <c r="S239" s="137">
        <v>70000</v>
      </c>
      <c r="T239" s="137">
        <f t="shared" si="36"/>
        <v>0</v>
      </c>
      <c r="U239" s="137">
        <f t="shared" si="40"/>
        <v>70000</v>
      </c>
      <c r="V239" s="137">
        <v>70000</v>
      </c>
      <c r="W239" s="137">
        <f t="shared" si="41"/>
        <v>0</v>
      </c>
      <c r="X239" s="137">
        <f t="shared" si="37"/>
        <v>0</v>
      </c>
      <c r="Y239" s="137">
        <f t="shared" si="42"/>
        <v>0</v>
      </c>
      <c r="Z239" s="137">
        <v>49323.8</v>
      </c>
      <c r="AA239" s="137">
        <f t="shared" si="38"/>
        <v>20676.199999999997</v>
      </c>
      <c r="AB239" s="146">
        <f t="shared" si="44"/>
        <v>49323.8</v>
      </c>
      <c r="AC239" s="147">
        <f t="shared" si="39"/>
        <v>0</v>
      </c>
      <c r="AD239" s="137">
        <v>41346.541040899101</v>
      </c>
      <c r="AE239" s="138">
        <v>0.17647058823529399</v>
      </c>
      <c r="AF239" s="137">
        <f t="shared" ref="AF239:AF302" si="46">AD239*AE239</f>
        <v>7296.4484189821887</v>
      </c>
      <c r="AG239" s="137">
        <f t="shared" si="45"/>
        <v>7296.4484189821887</v>
      </c>
      <c r="AH239" s="154"/>
      <c r="AI239" s="154"/>
      <c r="AJ239" s="135" t="s">
        <v>47</v>
      </c>
      <c r="AK239" s="119" t="s">
        <v>47</v>
      </c>
      <c r="AM239" s="131"/>
    </row>
    <row r="240" spans="1:39" s="119" customFormat="1" ht="15" customHeight="1" x14ac:dyDescent="0.3">
      <c r="A240" s="119">
        <v>2017</v>
      </c>
      <c r="B240" s="119" t="s">
        <v>38</v>
      </c>
      <c r="C240" s="119" t="s">
        <v>59</v>
      </c>
      <c r="D240" s="119" t="s">
        <v>154</v>
      </c>
      <c r="E240" s="119" t="s">
        <v>107</v>
      </c>
      <c r="F240" s="119" t="s">
        <v>338</v>
      </c>
      <c r="G240" s="119" t="s">
        <v>339</v>
      </c>
      <c r="H240" s="119" t="s">
        <v>339</v>
      </c>
      <c r="I240" s="131" t="s">
        <v>243</v>
      </c>
      <c r="J240" s="119" t="s">
        <v>244</v>
      </c>
      <c r="K240" s="119" t="s">
        <v>245</v>
      </c>
      <c r="L240" s="119" t="s">
        <v>338</v>
      </c>
      <c r="M240" s="119" t="s">
        <v>46</v>
      </c>
      <c r="N240" s="135">
        <v>0</v>
      </c>
      <c r="O240" s="135" t="s">
        <v>47</v>
      </c>
      <c r="P240" s="135"/>
      <c r="Q240" s="137">
        <v>0</v>
      </c>
      <c r="R240" s="137">
        <v>0</v>
      </c>
      <c r="S240" s="137">
        <v>9152</v>
      </c>
      <c r="T240" s="137">
        <f t="shared" si="36"/>
        <v>0</v>
      </c>
      <c r="U240" s="137">
        <f t="shared" si="40"/>
        <v>9152</v>
      </c>
      <c r="V240" s="137">
        <v>15000</v>
      </c>
      <c r="W240" s="137">
        <f t="shared" si="41"/>
        <v>-5848</v>
      </c>
      <c r="X240" s="137">
        <f t="shared" si="37"/>
        <v>-5848</v>
      </c>
      <c r="Y240" s="137">
        <f t="shared" si="42"/>
        <v>0</v>
      </c>
      <c r="Z240" s="137">
        <v>7596</v>
      </c>
      <c r="AA240" s="137">
        <f t="shared" si="38"/>
        <v>7404</v>
      </c>
      <c r="AB240" s="146">
        <f t="shared" si="44"/>
        <v>7596</v>
      </c>
      <c r="AC240" s="147">
        <f t="shared" si="39"/>
        <v>0</v>
      </c>
      <c r="AD240" s="137">
        <v>6367.4803187643702</v>
      </c>
      <c r="AE240" s="138">
        <v>0.17647058823529399</v>
      </c>
      <c r="AF240" s="137">
        <f t="shared" si="46"/>
        <v>1123.6729974290056</v>
      </c>
      <c r="AG240" s="137">
        <f t="shared" si="45"/>
        <v>1123.6729974290056</v>
      </c>
      <c r="AH240" s="154"/>
      <c r="AI240" s="154"/>
      <c r="AJ240" s="136">
        <v>0</v>
      </c>
      <c r="AK240" s="119" t="s">
        <v>120</v>
      </c>
      <c r="AM240" s="131"/>
    </row>
    <row r="241" spans="1:39" s="119" customFormat="1" ht="15" customHeight="1" x14ac:dyDescent="0.3">
      <c r="A241" s="119">
        <v>2017</v>
      </c>
      <c r="B241" s="119" t="s">
        <v>38</v>
      </c>
      <c r="C241" s="119" t="s">
        <v>59</v>
      </c>
      <c r="D241" s="119" t="s">
        <v>154</v>
      </c>
      <c r="E241" s="119" t="s">
        <v>107</v>
      </c>
      <c r="F241" s="119" t="s">
        <v>155</v>
      </c>
      <c r="G241" s="119" t="s">
        <v>155</v>
      </c>
      <c r="H241" s="119" t="s">
        <v>155</v>
      </c>
      <c r="I241" s="131" t="s">
        <v>243</v>
      </c>
      <c r="J241" s="119" t="s">
        <v>244</v>
      </c>
      <c r="K241" s="119" t="s">
        <v>245</v>
      </c>
      <c r="L241" s="119" t="s">
        <v>466</v>
      </c>
      <c r="M241" s="119" t="s">
        <v>46</v>
      </c>
      <c r="N241" s="135">
        <v>0</v>
      </c>
      <c r="O241" s="135" t="s">
        <v>47</v>
      </c>
      <c r="P241" s="135"/>
      <c r="Q241" s="137">
        <v>0</v>
      </c>
      <c r="R241" s="137">
        <v>0</v>
      </c>
      <c r="S241" s="137">
        <v>20000</v>
      </c>
      <c r="T241" s="137">
        <f t="shared" si="36"/>
        <v>0</v>
      </c>
      <c r="U241" s="137">
        <f t="shared" si="40"/>
        <v>20000</v>
      </c>
      <c r="V241" s="137">
        <v>20000</v>
      </c>
      <c r="W241" s="137">
        <f t="shared" si="41"/>
        <v>0</v>
      </c>
      <c r="X241" s="137">
        <f t="shared" si="37"/>
        <v>0</v>
      </c>
      <c r="Y241" s="137">
        <f t="shared" si="42"/>
        <v>0</v>
      </c>
      <c r="Z241" s="137">
        <v>7837.26</v>
      </c>
      <c r="AA241" s="137">
        <f t="shared" si="38"/>
        <v>12162.74</v>
      </c>
      <c r="AB241" s="146">
        <f t="shared" si="44"/>
        <v>7837.26</v>
      </c>
      <c r="AC241" s="147">
        <f t="shared" si="39"/>
        <v>0</v>
      </c>
      <c r="AD241" s="137">
        <v>6569.7207481620899</v>
      </c>
      <c r="AE241" s="138">
        <v>0.17647058823529399</v>
      </c>
      <c r="AF241" s="137">
        <f t="shared" si="46"/>
        <v>1159.3624849697796</v>
      </c>
      <c r="AG241" s="137">
        <f t="shared" si="45"/>
        <v>1159.3624849697796</v>
      </c>
      <c r="AH241" s="154"/>
      <c r="AI241" s="154"/>
      <c r="AJ241" s="135" t="s">
        <v>47</v>
      </c>
      <c r="AK241" s="119" t="s">
        <v>47</v>
      </c>
      <c r="AM241" s="131"/>
    </row>
    <row r="242" spans="1:39" s="119" customFormat="1" ht="15" customHeight="1" x14ac:dyDescent="0.3">
      <c r="A242" s="119">
        <v>2017</v>
      </c>
      <c r="B242" s="119" t="s">
        <v>199</v>
      </c>
      <c r="C242" s="119" t="s">
        <v>59</v>
      </c>
      <c r="D242" s="119" t="s">
        <v>154</v>
      </c>
      <c r="E242" s="119" t="s">
        <v>61</v>
      </c>
      <c r="F242" s="119" t="s">
        <v>340</v>
      </c>
      <c r="G242" s="119" t="s">
        <v>341</v>
      </c>
      <c r="H242" s="119" t="s">
        <v>341</v>
      </c>
      <c r="I242" s="131" t="s">
        <v>243</v>
      </c>
      <c r="J242" s="119" t="s">
        <v>244</v>
      </c>
      <c r="K242" s="119" t="s">
        <v>245</v>
      </c>
      <c r="L242" s="119" t="s">
        <v>342</v>
      </c>
      <c r="M242" s="119" t="s">
        <v>46</v>
      </c>
      <c r="N242" s="135">
        <v>0</v>
      </c>
      <c r="O242" s="135" t="s">
        <v>47</v>
      </c>
      <c r="P242" s="135"/>
      <c r="Q242" s="137">
        <v>0</v>
      </c>
      <c r="R242" s="137">
        <v>0</v>
      </c>
      <c r="S242" s="137">
        <v>30000</v>
      </c>
      <c r="T242" s="137">
        <f t="shared" si="36"/>
        <v>0</v>
      </c>
      <c r="U242" s="137">
        <f t="shared" si="40"/>
        <v>30000</v>
      </c>
      <c r="V242" s="137">
        <v>39530</v>
      </c>
      <c r="W242" s="137">
        <f t="shared" si="41"/>
        <v>-9530</v>
      </c>
      <c r="X242" s="137">
        <f t="shared" si="37"/>
        <v>-9530</v>
      </c>
      <c r="Y242" s="137">
        <f t="shared" si="42"/>
        <v>0</v>
      </c>
      <c r="Z242" s="137">
        <v>35437.660000000003</v>
      </c>
      <c r="AA242" s="137">
        <f t="shared" si="38"/>
        <v>4092.3399999999965</v>
      </c>
      <c r="AB242" s="146">
        <f t="shared" si="44"/>
        <v>35437.660000000003</v>
      </c>
      <c r="AC242" s="147">
        <f t="shared" si="39"/>
        <v>0</v>
      </c>
      <c r="AD242" s="137">
        <v>29706.240467754498</v>
      </c>
      <c r="AE242" s="138">
        <v>0.17647058823529399</v>
      </c>
      <c r="AF242" s="137">
        <f t="shared" si="46"/>
        <v>5242.2777296037311</v>
      </c>
      <c r="AG242" s="137">
        <f t="shared" si="45"/>
        <v>5242.2777296037311</v>
      </c>
      <c r="AH242" s="154"/>
      <c r="AI242" s="154"/>
      <c r="AJ242" s="135" t="s">
        <v>47</v>
      </c>
      <c r="AK242" s="119" t="s">
        <v>47</v>
      </c>
      <c r="AM242" s="131"/>
    </row>
    <row r="243" spans="1:39" s="119" customFormat="1" ht="15" customHeight="1" x14ac:dyDescent="0.3">
      <c r="A243" s="119">
        <v>2017</v>
      </c>
      <c r="B243" s="119" t="s">
        <v>38</v>
      </c>
      <c r="C243" s="119" t="s">
        <v>59</v>
      </c>
      <c r="D243" s="119" t="s">
        <v>154</v>
      </c>
      <c r="E243" s="119" t="s">
        <v>61</v>
      </c>
      <c r="F243" s="119" t="s">
        <v>467</v>
      </c>
      <c r="G243" s="119" t="s">
        <v>467</v>
      </c>
      <c r="H243" s="119" t="s">
        <v>467</v>
      </c>
      <c r="I243" s="131" t="s">
        <v>243</v>
      </c>
      <c r="J243" s="119" t="s">
        <v>244</v>
      </c>
      <c r="K243" s="119" t="s">
        <v>245</v>
      </c>
      <c r="L243" s="119" t="s">
        <v>467</v>
      </c>
      <c r="M243" s="119" t="s">
        <v>46</v>
      </c>
      <c r="N243" s="135">
        <v>0</v>
      </c>
      <c r="O243" s="135" t="s">
        <v>47</v>
      </c>
      <c r="P243" s="135"/>
      <c r="Q243" s="137">
        <v>0</v>
      </c>
      <c r="R243" s="137">
        <v>0</v>
      </c>
      <c r="S243" s="137">
        <v>20000</v>
      </c>
      <c r="T243" s="137">
        <f t="shared" si="36"/>
        <v>0</v>
      </c>
      <c r="U243" s="137">
        <f t="shared" si="40"/>
        <v>20000</v>
      </c>
      <c r="V243" s="137">
        <v>20000</v>
      </c>
      <c r="W243" s="137">
        <f t="shared" si="41"/>
        <v>0</v>
      </c>
      <c r="X243" s="137">
        <f t="shared" si="37"/>
        <v>0</v>
      </c>
      <c r="Y243" s="137">
        <f t="shared" si="42"/>
        <v>0</v>
      </c>
      <c r="Z243" s="137">
        <v>10206.98</v>
      </c>
      <c r="AA243" s="137">
        <f t="shared" si="38"/>
        <v>9793.02</v>
      </c>
      <c r="AB243" s="146">
        <f t="shared" si="44"/>
        <v>10206.98</v>
      </c>
      <c r="AC243" s="147">
        <f t="shared" si="39"/>
        <v>0</v>
      </c>
      <c r="AD243" s="137">
        <v>8556.1801295446894</v>
      </c>
      <c r="AE243" s="138">
        <v>0.17647058823529399</v>
      </c>
      <c r="AF243" s="137">
        <f t="shared" si="46"/>
        <v>1509.9141405078853</v>
      </c>
      <c r="AG243" s="137">
        <f t="shared" si="45"/>
        <v>1509.9141405078853</v>
      </c>
      <c r="AH243" s="154"/>
      <c r="AI243" s="154"/>
      <c r="AJ243" s="135" t="s">
        <v>47</v>
      </c>
      <c r="AK243" s="119" t="s">
        <v>47</v>
      </c>
      <c r="AM243" s="131"/>
    </row>
    <row r="244" spans="1:39" s="119" customFormat="1" ht="15" customHeight="1" x14ac:dyDescent="0.3">
      <c r="A244" s="119">
        <v>2017</v>
      </c>
      <c r="B244" s="119" t="s">
        <v>38</v>
      </c>
      <c r="C244" s="119" t="s">
        <v>59</v>
      </c>
      <c r="D244" s="119" t="s">
        <v>154</v>
      </c>
      <c r="E244" s="119" t="s">
        <v>61</v>
      </c>
      <c r="F244" s="119" t="s">
        <v>343</v>
      </c>
      <c r="G244" s="119" t="s">
        <v>343</v>
      </c>
      <c r="H244" s="119" t="s">
        <v>343</v>
      </c>
      <c r="I244" s="131" t="s">
        <v>243</v>
      </c>
      <c r="J244" s="119" t="s">
        <v>244</v>
      </c>
      <c r="K244" s="119" t="s">
        <v>245</v>
      </c>
      <c r="L244" s="119" t="s">
        <v>343</v>
      </c>
      <c r="M244" s="119" t="s">
        <v>46</v>
      </c>
      <c r="N244" s="135">
        <v>0</v>
      </c>
      <c r="O244" s="135" t="s">
        <v>47</v>
      </c>
      <c r="P244" s="135"/>
      <c r="Q244" s="137">
        <v>0</v>
      </c>
      <c r="R244" s="137">
        <v>0</v>
      </c>
      <c r="S244" s="137">
        <v>97162</v>
      </c>
      <c r="T244" s="137">
        <f t="shared" si="36"/>
        <v>0</v>
      </c>
      <c r="U244" s="137">
        <f t="shared" si="40"/>
        <v>97162</v>
      </c>
      <c r="V244" s="137">
        <v>120000</v>
      </c>
      <c r="W244" s="137">
        <f t="shared" si="41"/>
        <v>-22838</v>
      </c>
      <c r="X244" s="137">
        <f t="shared" si="37"/>
        <v>-22838</v>
      </c>
      <c r="Y244" s="137">
        <f t="shared" si="42"/>
        <v>0</v>
      </c>
      <c r="Z244" s="137">
        <v>81511.990000000005</v>
      </c>
      <c r="AA244" s="137">
        <f t="shared" si="38"/>
        <v>38488.009999999995</v>
      </c>
      <c r="AB244" s="146">
        <f t="shared" si="44"/>
        <v>81511.990000000005</v>
      </c>
      <c r="AC244" s="147">
        <f t="shared" si="39"/>
        <v>0</v>
      </c>
      <c r="AD244" s="137">
        <v>68328.856249120305</v>
      </c>
      <c r="AE244" s="138">
        <v>0.17647058823529399</v>
      </c>
      <c r="AF244" s="137">
        <f t="shared" si="46"/>
        <v>12058.033455727104</v>
      </c>
      <c r="AG244" s="137">
        <f t="shared" si="45"/>
        <v>12058.033455727104</v>
      </c>
      <c r="AH244" s="154"/>
      <c r="AI244" s="154"/>
      <c r="AJ244" s="135" t="s">
        <v>47</v>
      </c>
      <c r="AK244" s="119" t="s">
        <v>120</v>
      </c>
      <c r="AM244" s="131"/>
    </row>
    <row r="245" spans="1:39" s="119" customFormat="1" ht="15" customHeight="1" x14ac:dyDescent="0.3">
      <c r="A245" s="119">
        <v>2017</v>
      </c>
      <c r="B245" s="119" t="s">
        <v>38</v>
      </c>
      <c r="C245" s="119" t="s">
        <v>59</v>
      </c>
      <c r="D245" s="119" t="s">
        <v>154</v>
      </c>
      <c r="E245" s="119" t="s">
        <v>61</v>
      </c>
      <c r="F245" s="119" t="s">
        <v>344</v>
      </c>
      <c r="G245" s="119" t="s">
        <v>344</v>
      </c>
      <c r="H245" s="119" t="s">
        <v>344</v>
      </c>
      <c r="I245" s="131" t="s">
        <v>243</v>
      </c>
      <c r="J245" s="119" t="s">
        <v>244</v>
      </c>
      <c r="K245" s="119" t="s">
        <v>245</v>
      </c>
      <c r="L245" s="119" t="s">
        <v>344</v>
      </c>
      <c r="M245" s="119" t="s">
        <v>46</v>
      </c>
      <c r="N245" s="135">
        <v>0</v>
      </c>
      <c r="O245" s="135" t="s">
        <v>47</v>
      </c>
      <c r="P245" s="135"/>
      <c r="Q245" s="137">
        <v>0</v>
      </c>
      <c r="R245" s="137">
        <v>0</v>
      </c>
      <c r="S245" s="137">
        <v>61145</v>
      </c>
      <c r="T245" s="137">
        <f t="shared" si="36"/>
        <v>0</v>
      </c>
      <c r="U245" s="137">
        <f t="shared" si="40"/>
        <v>61145</v>
      </c>
      <c r="V245" s="137">
        <v>79541</v>
      </c>
      <c r="W245" s="137">
        <f t="shared" si="41"/>
        <v>-18396</v>
      </c>
      <c r="X245" s="137">
        <f t="shared" si="37"/>
        <v>-18396</v>
      </c>
      <c r="Y245" s="137">
        <f t="shared" si="42"/>
        <v>0</v>
      </c>
      <c r="Z245" s="137">
        <v>61888.11</v>
      </c>
      <c r="AA245" s="137">
        <f t="shared" si="38"/>
        <v>17652.89</v>
      </c>
      <c r="AB245" s="146">
        <f t="shared" si="44"/>
        <v>61888.11</v>
      </c>
      <c r="AC245" s="147">
        <f t="shared" si="39"/>
        <v>0</v>
      </c>
      <c r="AD245" s="137">
        <v>51878.794416867298</v>
      </c>
      <c r="AE245" s="138">
        <v>0.17647058823529399</v>
      </c>
      <c r="AF245" s="137">
        <f t="shared" si="46"/>
        <v>9155.0813676824582</v>
      </c>
      <c r="AG245" s="137">
        <f t="shared" si="45"/>
        <v>9155.0813676824582</v>
      </c>
      <c r="AH245" s="154"/>
      <c r="AI245" s="154"/>
      <c r="AJ245" s="135" t="s">
        <v>47</v>
      </c>
      <c r="AK245" s="119" t="s">
        <v>120</v>
      </c>
      <c r="AM245" s="131"/>
    </row>
    <row r="246" spans="1:39" s="119" customFormat="1" ht="15" customHeight="1" x14ac:dyDescent="0.3">
      <c r="A246" s="119">
        <v>2017</v>
      </c>
      <c r="B246" s="119" t="s">
        <v>38</v>
      </c>
      <c r="C246" s="119" t="s">
        <v>59</v>
      </c>
      <c r="D246" s="119" t="s">
        <v>154</v>
      </c>
      <c r="E246" s="119" t="s">
        <v>468</v>
      </c>
      <c r="F246" s="119" t="s">
        <v>469</v>
      </c>
      <c r="G246" s="119" t="s">
        <v>469</v>
      </c>
      <c r="H246" s="119" t="s">
        <v>469</v>
      </c>
      <c r="I246" s="131" t="s">
        <v>243</v>
      </c>
      <c r="J246" s="119" t="s">
        <v>244</v>
      </c>
      <c r="K246" s="119" t="s">
        <v>245</v>
      </c>
      <c r="L246" s="119" t="s">
        <v>469</v>
      </c>
      <c r="M246" s="119" t="s">
        <v>46</v>
      </c>
      <c r="N246" s="135">
        <v>0</v>
      </c>
      <c r="O246" s="135" t="s">
        <v>47</v>
      </c>
      <c r="P246" s="135"/>
      <c r="Q246" s="137">
        <v>0</v>
      </c>
      <c r="R246" s="137">
        <v>0</v>
      </c>
      <c r="S246" s="137">
        <v>20000</v>
      </c>
      <c r="T246" s="137">
        <f t="shared" si="36"/>
        <v>0</v>
      </c>
      <c r="U246" s="137">
        <f t="shared" si="40"/>
        <v>20000</v>
      </c>
      <c r="V246" s="137">
        <v>20000</v>
      </c>
      <c r="W246" s="137">
        <f t="shared" si="41"/>
        <v>0</v>
      </c>
      <c r="X246" s="137">
        <f t="shared" si="37"/>
        <v>0</v>
      </c>
      <c r="Y246" s="137">
        <f t="shared" si="42"/>
        <v>0</v>
      </c>
      <c r="Z246" s="137">
        <v>1596.67</v>
      </c>
      <c r="AA246" s="137">
        <f t="shared" si="38"/>
        <v>18403.330000000002</v>
      </c>
      <c r="AB246" s="146">
        <f t="shared" si="44"/>
        <v>1596.67</v>
      </c>
      <c r="AC246" s="147">
        <f t="shared" si="39"/>
        <v>0</v>
      </c>
      <c r="AD246" s="137">
        <v>1338.4366509428</v>
      </c>
      <c r="AE246" s="138">
        <v>0.17647058823529399</v>
      </c>
      <c r="AF246" s="137">
        <f t="shared" si="46"/>
        <v>236.19470310755278</v>
      </c>
      <c r="AG246" s="137">
        <f t="shared" si="45"/>
        <v>236.19470310755278</v>
      </c>
      <c r="AH246" s="154"/>
      <c r="AI246" s="154"/>
      <c r="AJ246" s="135" t="s">
        <v>47</v>
      </c>
      <c r="AK246" s="119" t="s">
        <v>47</v>
      </c>
      <c r="AM246" s="131"/>
    </row>
    <row r="247" spans="1:39" s="119" customFormat="1" ht="15" customHeight="1" x14ac:dyDescent="0.3">
      <c r="A247" s="119">
        <v>2017</v>
      </c>
      <c r="B247" s="119" t="s">
        <v>38</v>
      </c>
      <c r="C247" s="119" t="s">
        <v>59</v>
      </c>
      <c r="D247" s="119" t="s">
        <v>154</v>
      </c>
      <c r="E247" s="119" t="s">
        <v>468</v>
      </c>
      <c r="F247" s="119" t="s">
        <v>470</v>
      </c>
      <c r="G247" s="119" t="s">
        <v>470</v>
      </c>
      <c r="H247" s="119" t="s">
        <v>470</v>
      </c>
      <c r="I247" s="131" t="s">
        <v>243</v>
      </c>
      <c r="J247" s="119" t="s">
        <v>244</v>
      </c>
      <c r="K247" s="119" t="s">
        <v>245</v>
      </c>
      <c r="L247" s="119" t="s">
        <v>470</v>
      </c>
      <c r="M247" s="119" t="s">
        <v>46</v>
      </c>
      <c r="N247" s="135">
        <v>0</v>
      </c>
      <c r="O247" s="135" t="s">
        <v>47</v>
      </c>
      <c r="P247" s="135"/>
      <c r="Q247" s="137">
        <v>0</v>
      </c>
      <c r="R247" s="137">
        <v>0</v>
      </c>
      <c r="S247" s="137">
        <v>20000</v>
      </c>
      <c r="T247" s="137">
        <f t="shared" si="36"/>
        <v>0</v>
      </c>
      <c r="U247" s="137">
        <f t="shared" si="40"/>
        <v>20000</v>
      </c>
      <c r="V247" s="137">
        <v>20000</v>
      </c>
      <c r="W247" s="137">
        <f t="shared" si="41"/>
        <v>0</v>
      </c>
      <c r="X247" s="137">
        <f t="shared" si="37"/>
        <v>0</v>
      </c>
      <c r="Y247" s="137">
        <f t="shared" si="42"/>
        <v>0</v>
      </c>
      <c r="Z247" s="137">
        <v>3082.59</v>
      </c>
      <c r="AA247" s="137">
        <f t="shared" si="38"/>
        <v>16917.41</v>
      </c>
      <c r="AB247" s="146">
        <f t="shared" si="44"/>
        <v>3082.59</v>
      </c>
      <c r="AC247" s="147">
        <f t="shared" si="39"/>
        <v>0</v>
      </c>
      <c r="AD247" s="137">
        <v>2584.0351705923999</v>
      </c>
      <c r="AE247" s="138">
        <v>0.17647058823529399</v>
      </c>
      <c r="AF247" s="137">
        <f t="shared" si="46"/>
        <v>456.00620657512906</v>
      </c>
      <c r="AG247" s="137">
        <f t="shared" si="45"/>
        <v>456.00620657512906</v>
      </c>
      <c r="AH247" s="154"/>
      <c r="AI247" s="154"/>
      <c r="AJ247" s="135" t="s">
        <v>47</v>
      </c>
      <c r="AK247" s="119" t="s">
        <v>47</v>
      </c>
      <c r="AM247" s="131"/>
    </row>
    <row r="248" spans="1:39" s="119" customFormat="1" ht="15" customHeight="1" x14ac:dyDescent="0.3">
      <c r="A248" s="119">
        <v>2017</v>
      </c>
      <c r="B248" s="119" t="s">
        <v>38</v>
      </c>
      <c r="C248" s="119" t="s">
        <v>59</v>
      </c>
      <c r="D248" s="119" t="s">
        <v>154</v>
      </c>
      <c r="E248" s="119" t="s">
        <v>67</v>
      </c>
      <c r="F248" s="119" t="s">
        <v>345</v>
      </c>
      <c r="G248" s="119" t="s">
        <v>345</v>
      </c>
      <c r="H248" s="119" t="s">
        <v>345</v>
      </c>
      <c r="I248" s="131" t="s">
        <v>243</v>
      </c>
      <c r="J248" s="119" t="s">
        <v>244</v>
      </c>
      <c r="K248" s="119" t="s">
        <v>245</v>
      </c>
      <c r="L248" s="119" t="s">
        <v>345</v>
      </c>
      <c r="M248" s="119" t="s">
        <v>46</v>
      </c>
      <c r="N248" s="135">
        <v>0</v>
      </c>
      <c r="O248" s="135" t="s">
        <v>47</v>
      </c>
      <c r="P248" s="135"/>
      <c r="Q248" s="137">
        <v>0</v>
      </c>
      <c r="R248" s="137">
        <v>0</v>
      </c>
      <c r="S248" s="137">
        <v>1461899</v>
      </c>
      <c r="T248" s="137">
        <f t="shared" si="36"/>
        <v>0</v>
      </c>
      <c r="U248" s="137">
        <f t="shared" si="40"/>
        <v>1461899</v>
      </c>
      <c r="V248" s="137">
        <v>1394500</v>
      </c>
      <c r="W248" s="137">
        <f t="shared" si="41"/>
        <v>67399</v>
      </c>
      <c r="X248" s="137">
        <f t="shared" si="37"/>
        <v>67399</v>
      </c>
      <c r="Y248" s="137">
        <f t="shared" si="42"/>
        <v>0</v>
      </c>
      <c r="Z248" s="137">
        <v>1279170.28</v>
      </c>
      <c r="AA248" s="137">
        <f t="shared" si="38"/>
        <v>115329.71999999997</v>
      </c>
      <c r="AB248" s="146">
        <f t="shared" si="44"/>
        <v>1279170.28</v>
      </c>
      <c r="AC248" s="147">
        <f t="shared" si="39"/>
        <v>0</v>
      </c>
      <c r="AD248" s="137">
        <v>1072286.9381580199</v>
      </c>
      <c r="AE248" s="138">
        <v>0.17647058823529399</v>
      </c>
      <c r="AF248" s="137">
        <f t="shared" si="46"/>
        <v>189227.10673376807</v>
      </c>
      <c r="AG248" s="137">
        <f t="shared" si="45"/>
        <v>189227.10673376807</v>
      </c>
      <c r="AH248" s="154"/>
      <c r="AI248" s="154"/>
      <c r="AJ248" s="135" t="s">
        <v>47</v>
      </c>
      <c r="AK248" s="119" t="s">
        <v>120</v>
      </c>
      <c r="AM248" s="131"/>
    </row>
    <row r="249" spans="1:39" s="119" customFormat="1" ht="15" customHeight="1" x14ac:dyDescent="0.3">
      <c r="A249" s="119">
        <v>2017</v>
      </c>
      <c r="B249" s="119" t="s">
        <v>38</v>
      </c>
      <c r="C249" s="119" t="s">
        <v>59</v>
      </c>
      <c r="D249" s="119" t="s">
        <v>181</v>
      </c>
      <c r="E249" s="119" t="s">
        <v>61</v>
      </c>
      <c r="F249" s="119" t="s">
        <v>471</v>
      </c>
      <c r="G249" s="119" t="s">
        <v>471</v>
      </c>
      <c r="H249" s="119" t="s">
        <v>471</v>
      </c>
      <c r="I249" s="131" t="s">
        <v>243</v>
      </c>
      <c r="J249" s="119" t="s">
        <v>244</v>
      </c>
      <c r="K249" s="119" t="s">
        <v>245</v>
      </c>
      <c r="L249" s="119" t="s">
        <v>472</v>
      </c>
      <c r="M249" s="119" t="s">
        <v>46</v>
      </c>
      <c r="N249" s="135">
        <v>0</v>
      </c>
      <c r="O249" s="135" t="s">
        <v>47</v>
      </c>
      <c r="P249" s="135"/>
      <c r="Q249" s="137">
        <v>0</v>
      </c>
      <c r="R249" s="137">
        <v>0</v>
      </c>
      <c r="S249" s="137">
        <v>20000</v>
      </c>
      <c r="T249" s="137">
        <f t="shared" si="36"/>
        <v>0</v>
      </c>
      <c r="U249" s="137">
        <f t="shared" si="40"/>
        <v>20000</v>
      </c>
      <c r="V249" s="137">
        <v>20000</v>
      </c>
      <c r="W249" s="137">
        <f t="shared" si="41"/>
        <v>0</v>
      </c>
      <c r="X249" s="137">
        <f t="shared" si="37"/>
        <v>0</v>
      </c>
      <c r="Y249" s="137">
        <f t="shared" si="42"/>
        <v>0</v>
      </c>
      <c r="Z249" s="137">
        <v>12055.44</v>
      </c>
      <c r="AA249" s="137">
        <f t="shared" si="38"/>
        <v>7944.5599999999995</v>
      </c>
      <c r="AB249" s="146">
        <f t="shared" si="44"/>
        <v>12055.44</v>
      </c>
      <c r="AC249" s="147">
        <f t="shared" si="39"/>
        <v>0</v>
      </c>
      <c r="AD249" s="137">
        <v>10105.684167199101</v>
      </c>
      <c r="AE249" s="138">
        <v>0.17647058823529399</v>
      </c>
      <c r="AF249" s="137">
        <f t="shared" si="46"/>
        <v>1783.3560295057223</v>
      </c>
      <c r="AG249" s="137">
        <f t="shared" si="45"/>
        <v>1783.3560295057223</v>
      </c>
      <c r="AH249" s="154"/>
      <c r="AI249" s="154"/>
      <c r="AJ249" s="155">
        <v>0</v>
      </c>
      <c r="AK249" s="119">
        <v>0</v>
      </c>
      <c r="AM249" s="131"/>
    </row>
    <row r="250" spans="1:39" s="119" customFormat="1" ht="15" customHeight="1" x14ac:dyDescent="0.3">
      <c r="A250" s="119">
        <v>2017</v>
      </c>
      <c r="B250" s="119" t="s">
        <v>38</v>
      </c>
      <c r="C250" s="119" t="s">
        <v>59</v>
      </c>
      <c r="D250" s="119" t="s">
        <v>106</v>
      </c>
      <c r="E250" s="119" t="s">
        <v>107</v>
      </c>
      <c r="F250" s="119" t="s">
        <v>473</v>
      </c>
      <c r="G250" s="119" t="s">
        <v>473</v>
      </c>
      <c r="H250" s="119" t="s">
        <v>473</v>
      </c>
      <c r="I250" s="131" t="s">
        <v>243</v>
      </c>
      <c r="J250" s="119" t="s">
        <v>244</v>
      </c>
      <c r="K250" s="119" t="s">
        <v>245</v>
      </c>
      <c r="L250" s="119" t="s">
        <v>473</v>
      </c>
      <c r="M250" s="119" t="s">
        <v>46</v>
      </c>
      <c r="N250" s="135">
        <v>0</v>
      </c>
      <c r="O250" s="135" t="s">
        <v>47</v>
      </c>
      <c r="P250" s="135"/>
      <c r="Q250" s="137">
        <v>0</v>
      </c>
      <c r="R250" s="137">
        <v>0</v>
      </c>
      <c r="S250" s="137">
        <v>60000</v>
      </c>
      <c r="T250" s="137">
        <f t="shared" si="36"/>
        <v>0</v>
      </c>
      <c r="U250" s="137">
        <f t="shared" si="40"/>
        <v>60000</v>
      </c>
      <c r="V250" s="137">
        <v>60000</v>
      </c>
      <c r="W250" s="137">
        <f t="shared" si="41"/>
        <v>0</v>
      </c>
      <c r="X250" s="137">
        <f t="shared" si="37"/>
        <v>0</v>
      </c>
      <c r="Y250" s="137">
        <f t="shared" si="42"/>
        <v>0</v>
      </c>
      <c r="Z250" s="137">
        <v>54423.72</v>
      </c>
      <c r="AA250" s="137">
        <f t="shared" si="38"/>
        <v>5576.2799999999988</v>
      </c>
      <c r="AB250" s="146">
        <f t="shared" si="44"/>
        <v>54423.72</v>
      </c>
      <c r="AC250" s="147">
        <f t="shared" si="39"/>
        <v>0</v>
      </c>
      <c r="AD250" s="137">
        <v>45621.638490513797</v>
      </c>
      <c r="AE250" s="138">
        <v>0.17647058823529399</v>
      </c>
      <c r="AF250" s="137">
        <f t="shared" si="46"/>
        <v>8050.8773806788995</v>
      </c>
      <c r="AG250" s="137">
        <f t="shared" si="45"/>
        <v>8050.8773806788995</v>
      </c>
      <c r="AH250" s="154"/>
      <c r="AI250" s="154"/>
      <c r="AJ250" s="135" t="s">
        <v>47</v>
      </c>
      <c r="AK250" s="119" t="s">
        <v>47</v>
      </c>
      <c r="AM250" s="131"/>
    </row>
    <row r="251" spans="1:39" s="119" customFormat="1" ht="15" customHeight="1" x14ac:dyDescent="0.3">
      <c r="A251" s="119">
        <v>2017</v>
      </c>
      <c r="B251" s="119" t="s">
        <v>38</v>
      </c>
      <c r="C251" s="119" t="s">
        <v>59</v>
      </c>
      <c r="D251" s="119" t="s">
        <v>106</v>
      </c>
      <c r="E251" s="119" t="s">
        <v>239</v>
      </c>
      <c r="F251" s="119" t="s">
        <v>240</v>
      </c>
      <c r="G251" s="119" t="s">
        <v>240</v>
      </c>
      <c r="H251" s="119" t="s">
        <v>240</v>
      </c>
      <c r="I251" s="131" t="s">
        <v>243</v>
      </c>
      <c r="J251" s="119" t="s">
        <v>244</v>
      </c>
      <c r="K251" s="119" t="s">
        <v>245</v>
      </c>
      <c r="L251" s="119" t="s">
        <v>240</v>
      </c>
      <c r="M251" s="119" t="s">
        <v>46</v>
      </c>
      <c r="N251" s="135">
        <v>0</v>
      </c>
      <c r="O251" s="135" t="s">
        <v>47</v>
      </c>
      <c r="P251" s="135"/>
      <c r="Q251" s="137">
        <v>0</v>
      </c>
      <c r="R251" s="137">
        <v>0</v>
      </c>
      <c r="S251" s="137">
        <v>66360.479999999996</v>
      </c>
      <c r="T251" s="137">
        <f t="shared" si="36"/>
        <v>0</v>
      </c>
      <c r="U251" s="137">
        <f t="shared" si="40"/>
        <v>66360.479999999996</v>
      </c>
      <c r="V251" s="137">
        <v>75000</v>
      </c>
      <c r="W251" s="137">
        <f t="shared" si="41"/>
        <v>-8639.5200000000041</v>
      </c>
      <c r="X251" s="137">
        <f t="shared" si="37"/>
        <v>-8639.5200000000041</v>
      </c>
      <c r="Y251" s="137">
        <f t="shared" si="42"/>
        <v>0</v>
      </c>
      <c r="Z251" s="137">
        <v>50647.16</v>
      </c>
      <c r="AA251" s="137">
        <f t="shared" si="38"/>
        <v>24352.839999999997</v>
      </c>
      <c r="AB251" s="146">
        <f t="shared" si="44"/>
        <v>50647.16</v>
      </c>
      <c r="AC251" s="147">
        <f t="shared" si="39"/>
        <v>0</v>
      </c>
      <c r="AD251" s="137">
        <v>42455.870787428903</v>
      </c>
      <c r="AE251" s="138">
        <v>0.17647058823529399</v>
      </c>
      <c r="AF251" s="137">
        <f t="shared" si="46"/>
        <v>7492.2124918992131</v>
      </c>
      <c r="AG251" s="137">
        <f t="shared" si="45"/>
        <v>7492.2124918992131</v>
      </c>
      <c r="AH251" s="154"/>
      <c r="AI251" s="154"/>
      <c r="AJ251" s="135" t="s">
        <v>47</v>
      </c>
      <c r="AK251" s="119" t="s">
        <v>47</v>
      </c>
      <c r="AM251" s="131"/>
    </row>
    <row r="252" spans="1:39" s="119" customFormat="1" ht="15" customHeight="1" x14ac:dyDescent="0.3">
      <c r="A252" s="119">
        <v>2017</v>
      </c>
      <c r="B252" s="131" t="s">
        <v>38</v>
      </c>
      <c r="C252" s="119" t="s">
        <v>75</v>
      </c>
      <c r="D252" s="131"/>
      <c r="E252" s="131"/>
      <c r="F252" s="131" t="s">
        <v>237</v>
      </c>
      <c r="G252" s="131" t="s">
        <v>237</v>
      </c>
      <c r="H252" s="131" t="s">
        <v>237</v>
      </c>
      <c r="I252" s="131" t="s">
        <v>243</v>
      </c>
      <c r="J252" s="119" t="s">
        <v>244</v>
      </c>
      <c r="K252" s="119" t="s">
        <v>245</v>
      </c>
      <c r="L252" s="119" t="s">
        <v>237</v>
      </c>
      <c r="M252" s="119" t="s">
        <v>46</v>
      </c>
      <c r="N252" s="135">
        <v>0</v>
      </c>
      <c r="O252" s="135" t="s">
        <v>47</v>
      </c>
      <c r="P252" s="135"/>
      <c r="Q252" s="137">
        <v>0</v>
      </c>
      <c r="T252" s="137">
        <f t="shared" si="36"/>
        <v>0</v>
      </c>
      <c r="U252" s="137">
        <f t="shared" si="40"/>
        <v>0</v>
      </c>
      <c r="V252" s="137">
        <v>0</v>
      </c>
      <c r="W252" s="137">
        <f t="shared" si="41"/>
        <v>0</v>
      </c>
      <c r="X252" s="137">
        <f t="shared" si="37"/>
        <v>0</v>
      </c>
      <c r="Y252" s="137">
        <f t="shared" si="42"/>
        <v>0</v>
      </c>
      <c r="Z252" s="137">
        <v>276615</v>
      </c>
      <c r="AA252" s="137">
        <f t="shared" si="38"/>
        <v>-276615</v>
      </c>
      <c r="AB252" s="146">
        <f t="shared" si="44"/>
        <v>276615</v>
      </c>
      <c r="AC252" s="147">
        <f t="shared" si="39"/>
        <v>0</v>
      </c>
      <c r="AD252" s="137">
        <v>231877.378669695</v>
      </c>
      <c r="AE252" s="138">
        <v>0.17647058823529399</v>
      </c>
      <c r="AF252" s="137">
        <f t="shared" si="46"/>
        <v>40919.537412299091</v>
      </c>
      <c r="AG252" s="131"/>
      <c r="AH252" s="131"/>
      <c r="AI252" s="131"/>
      <c r="AJ252" s="155">
        <v>0</v>
      </c>
      <c r="AK252" s="131"/>
      <c r="AL252" s="131"/>
      <c r="AM252" s="131" t="s">
        <v>208</v>
      </c>
    </row>
    <row r="253" spans="1:39" s="119" customFormat="1" ht="15" customHeight="1" x14ac:dyDescent="0.3">
      <c r="A253" s="119">
        <v>2017</v>
      </c>
      <c r="B253" s="119" t="s">
        <v>38</v>
      </c>
      <c r="C253" s="119" t="s">
        <v>59</v>
      </c>
      <c r="D253" s="119" t="s">
        <v>106</v>
      </c>
      <c r="E253" s="119" t="s">
        <v>190</v>
      </c>
      <c r="F253" s="119" t="s">
        <v>353</v>
      </c>
      <c r="G253" s="119" t="s">
        <v>353</v>
      </c>
      <c r="H253" s="119" t="s">
        <v>353</v>
      </c>
      <c r="I253" s="131" t="s">
        <v>243</v>
      </c>
      <c r="J253" s="119" t="s">
        <v>244</v>
      </c>
      <c r="K253" s="119" t="s">
        <v>245</v>
      </c>
      <c r="L253" s="119" t="s">
        <v>354</v>
      </c>
      <c r="M253" s="119" t="s">
        <v>46</v>
      </c>
      <c r="N253" s="135">
        <v>0</v>
      </c>
      <c r="O253" s="135" t="s">
        <v>47</v>
      </c>
      <c r="P253" s="135"/>
      <c r="Q253" s="137">
        <v>0</v>
      </c>
      <c r="R253" s="137">
        <v>0</v>
      </c>
      <c r="S253" s="137">
        <v>180000</v>
      </c>
      <c r="T253" s="137">
        <f t="shared" si="36"/>
        <v>0</v>
      </c>
      <c r="U253" s="137">
        <f t="shared" si="40"/>
        <v>180000</v>
      </c>
      <c r="V253" s="137">
        <v>195000</v>
      </c>
      <c r="W253" s="137">
        <f t="shared" si="41"/>
        <v>-15000</v>
      </c>
      <c r="X253" s="137">
        <f t="shared" si="37"/>
        <v>-15000</v>
      </c>
      <c r="Y253" s="137">
        <f t="shared" si="42"/>
        <v>0</v>
      </c>
      <c r="Z253" s="137">
        <v>156422.37</v>
      </c>
      <c r="AA253" s="137">
        <f t="shared" si="38"/>
        <v>38577.630000000005</v>
      </c>
      <c r="AB253" s="146">
        <f t="shared" si="44"/>
        <v>156422.37</v>
      </c>
      <c r="AC253" s="147">
        <f t="shared" si="39"/>
        <v>0</v>
      </c>
      <c r="AD253" s="137">
        <v>131123.797049694</v>
      </c>
      <c r="AE253" s="138">
        <v>0.17647058823529399</v>
      </c>
      <c r="AF253" s="137">
        <f t="shared" si="46"/>
        <v>23139.493597004806</v>
      </c>
      <c r="AG253" s="137">
        <f t="shared" ref="AG253:AG278" si="47">AB253-Z253+AF253</f>
        <v>23139.493597004806</v>
      </c>
      <c r="AH253" s="154"/>
      <c r="AI253" s="154"/>
      <c r="AJ253" s="136">
        <v>0</v>
      </c>
      <c r="AK253" s="119">
        <v>0</v>
      </c>
      <c r="AM253" s="131"/>
    </row>
    <row r="254" spans="1:39" s="119" customFormat="1" ht="15" customHeight="1" x14ac:dyDescent="0.3">
      <c r="A254" s="119">
        <v>2017</v>
      </c>
      <c r="B254" s="119" t="s">
        <v>38</v>
      </c>
      <c r="C254" s="119" t="s">
        <v>59</v>
      </c>
      <c r="D254" s="119" t="s">
        <v>106</v>
      </c>
      <c r="E254" s="119" t="s">
        <v>190</v>
      </c>
      <c r="F254" s="119" t="s">
        <v>355</v>
      </c>
      <c r="G254" s="119" t="s">
        <v>356</v>
      </c>
      <c r="H254" s="119" t="s">
        <v>356</v>
      </c>
      <c r="I254" s="131" t="s">
        <v>243</v>
      </c>
      <c r="J254" s="119" t="s">
        <v>244</v>
      </c>
      <c r="K254" s="119" t="s">
        <v>245</v>
      </c>
      <c r="L254" s="119" t="s">
        <v>357</v>
      </c>
      <c r="M254" s="119" t="s">
        <v>46</v>
      </c>
      <c r="N254" s="135">
        <v>0</v>
      </c>
      <c r="O254" s="135" t="s">
        <v>47</v>
      </c>
      <c r="P254" s="135"/>
      <c r="Q254" s="137">
        <v>0</v>
      </c>
      <c r="R254" s="137">
        <v>0</v>
      </c>
      <c r="S254" s="137">
        <v>6610.5</v>
      </c>
      <c r="T254" s="137">
        <f t="shared" si="36"/>
        <v>0</v>
      </c>
      <c r="U254" s="137">
        <f t="shared" si="40"/>
        <v>6610.5</v>
      </c>
      <c r="V254" s="137">
        <v>27000</v>
      </c>
      <c r="W254" s="137">
        <f t="shared" si="41"/>
        <v>-20389.5</v>
      </c>
      <c r="X254" s="137">
        <f t="shared" si="37"/>
        <v>-20389.5</v>
      </c>
      <c r="Y254" s="137">
        <f t="shared" si="42"/>
        <v>0</v>
      </c>
      <c r="Z254" s="137">
        <v>6610.5</v>
      </c>
      <c r="AA254" s="137">
        <f t="shared" si="38"/>
        <v>20389.5</v>
      </c>
      <c r="AB254" s="146">
        <f t="shared" si="44"/>
        <v>6610.5</v>
      </c>
      <c r="AC254" s="147">
        <f t="shared" si="39"/>
        <v>0</v>
      </c>
      <c r="AD254" s="137">
        <v>5541.3676470763303</v>
      </c>
      <c r="AE254" s="138">
        <v>0.17647058823529399</v>
      </c>
      <c r="AF254" s="137">
        <f t="shared" si="46"/>
        <v>977.88840830758704</v>
      </c>
      <c r="AG254" s="137">
        <f t="shared" si="47"/>
        <v>977.88840830758704</v>
      </c>
      <c r="AH254" s="154"/>
      <c r="AI254" s="154"/>
      <c r="AJ254" s="135" t="s">
        <v>47</v>
      </c>
      <c r="AK254" s="119" t="s">
        <v>47</v>
      </c>
      <c r="AM254" s="131"/>
    </row>
    <row r="255" spans="1:39" s="119" customFormat="1" ht="15" customHeight="1" x14ac:dyDescent="0.3">
      <c r="A255" s="119">
        <v>2017</v>
      </c>
      <c r="B255" s="119" t="s">
        <v>252</v>
      </c>
      <c r="C255" s="119" t="s">
        <v>59</v>
      </c>
      <c r="D255" s="119" t="s">
        <v>106</v>
      </c>
      <c r="E255" s="119" t="s">
        <v>61</v>
      </c>
      <c r="F255" s="119" t="s">
        <v>297</v>
      </c>
      <c r="G255" s="119" t="s">
        <v>474</v>
      </c>
      <c r="H255" s="119" t="s">
        <v>299</v>
      </c>
      <c r="I255" s="131" t="s">
        <v>243</v>
      </c>
      <c r="J255" s="119" t="s">
        <v>244</v>
      </c>
      <c r="K255" s="119" t="s">
        <v>245</v>
      </c>
      <c r="L255" s="119" t="s">
        <v>300</v>
      </c>
      <c r="M255" s="119" t="s">
        <v>46</v>
      </c>
      <c r="N255" s="135">
        <v>0</v>
      </c>
      <c r="O255" s="135" t="s">
        <v>47</v>
      </c>
      <c r="P255" s="135"/>
      <c r="Q255" s="137">
        <v>0</v>
      </c>
      <c r="R255" s="137">
        <v>0</v>
      </c>
      <c r="S255" s="137">
        <v>1096000</v>
      </c>
      <c r="T255" s="137">
        <f t="shared" si="36"/>
        <v>0</v>
      </c>
      <c r="U255" s="137">
        <f t="shared" si="40"/>
        <v>1096000</v>
      </c>
      <c r="V255" s="137">
        <v>1675765.5</v>
      </c>
      <c r="W255" s="137">
        <f t="shared" si="41"/>
        <v>-579765.5</v>
      </c>
      <c r="X255" s="137">
        <f t="shared" si="37"/>
        <v>-579765.5</v>
      </c>
      <c r="Y255" s="137">
        <f t="shared" si="42"/>
        <v>0</v>
      </c>
      <c r="Z255" s="137">
        <v>1532696.5</v>
      </c>
      <c r="AA255" s="137">
        <f t="shared" si="38"/>
        <v>143069</v>
      </c>
      <c r="AB255" s="146">
        <f t="shared" si="44"/>
        <v>1532696.5</v>
      </c>
      <c r="AC255" s="147">
        <f t="shared" si="39"/>
        <v>0</v>
      </c>
      <c r="AD255" s="137">
        <v>1284809.7417573801</v>
      </c>
      <c r="AE255" s="138">
        <v>0.17647058823529399</v>
      </c>
      <c r="AF255" s="137">
        <f t="shared" si="46"/>
        <v>226731.13089836104</v>
      </c>
      <c r="AG255" s="137">
        <f t="shared" si="47"/>
        <v>226731.13089836104</v>
      </c>
      <c r="AH255" s="154"/>
      <c r="AI255" s="154"/>
      <c r="AJ255" s="135" t="s">
        <v>47</v>
      </c>
      <c r="AK255" s="119" t="s">
        <v>47</v>
      </c>
      <c r="AM255" s="131"/>
    </row>
    <row r="256" spans="1:39" s="119" customFormat="1" ht="15" customHeight="1" x14ac:dyDescent="0.3">
      <c r="A256" s="119">
        <v>2017</v>
      </c>
      <c r="B256" s="119" t="s">
        <v>38</v>
      </c>
      <c r="C256" s="119" t="s">
        <v>59</v>
      </c>
      <c r="D256" s="119" t="s">
        <v>106</v>
      </c>
      <c r="E256" s="119" t="s">
        <v>67</v>
      </c>
      <c r="F256" s="119" t="s">
        <v>475</v>
      </c>
      <c r="G256" s="119" t="s">
        <v>475</v>
      </c>
      <c r="H256" s="119" t="s">
        <v>475</v>
      </c>
      <c r="I256" s="131" t="s">
        <v>243</v>
      </c>
      <c r="J256" s="119" t="s">
        <v>244</v>
      </c>
      <c r="K256" s="119" t="s">
        <v>245</v>
      </c>
      <c r="L256" s="119" t="s">
        <v>475</v>
      </c>
      <c r="M256" s="119" t="s">
        <v>46</v>
      </c>
      <c r="N256" s="135">
        <v>0</v>
      </c>
      <c r="O256" s="135" t="s">
        <v>47</v>
      </c>
      <c r="P256" s="135"/>
      <c r="Q256" s="137">
        <v>0</v>
      </c>
      <c r="R256" s="137">
        <v>0</v>
      </c>
      <c r="S256" s="137">
        <v>50000</v>
      </c>
      <c r="T256" s="137">
        <f t="shared" si="36"/>
        <v>0</v>
      </c>
      <c r="U256" s="137">
        <f t="shared" si="40"/>
        <v>50000</v>
      </c>
      <c r="V256" s="137">
        <v>101737.1</v>
      </c>
      <c r="W256" s="137">
        <f t="shared" si="41"/>
        <v>-51737.100000000006</v>
      </c>
      <c r="X256" s="137">
        <f t="shared" si="37"/>
        <v>-51737.100000000006</v>
      </c>
      <c r="Y256" s="137">
        <f t="shared" si="42"/>
        <v>0</v>
      </c>
      <c r="Z256" s="137">
        <v>75683.63</v>
      </c>
      <c r="AA256" s="137">
        <f t="shared" si="38"/>
        <v>26053.47</v>
      </c>
      <c r="AB256" s="146">
        <f t="shared" si="44"/>
        <v>75683.63</v>
      </c>
      <c r="AC256" s="147">
        <f t="shared" si="39"/>
        <v>0</v>
      </c>
      <c r="AD256" s="137">
        <v>63443.131184523998</v>
      </c>
      <c r="AE256" s="138">
        <v>0.17647058823529399</v>
      </c>
      <c r="AF256" s="137">
        <f t="shared" si="46"/>
        <v>11195.846679621875</v>
      </c>
      <c r="AG256" s="137">
        <f t="shared" si="47"/>
        <v>11195.846679621875</v>
      </c>
      <c r="AH256" s="154"/>
      <c r="AI256" s="154"/>
      <c r="AJ256" s="135" t="s">
        <v>47</v>
      </c>
      <c r="AK256" s="119" t="s">
        <v>47</v>
      </c>
      <c r="AM256" s="131"/>
    </row>
    <row r="257" spans="1:39" s="119" customFormat="1" ht="15" customHeight="1" x14ac:dyDescent="0.3">
      <c r="A257" s="119">
        <v>2017</v>
      </c>
      <c r="B257" s="119" t="s">
        <v>38</v>
      </c>
      <c r="C257" s="119" t="s">
        <v>59</v>
      </c>
      <c r="D257" s="119" t="s">
        <v>106</v>
      </c>
      <c r="E257" s="119" t="s">
        <v>131</v>
      </c>
      <c r="F257" s="119" t="s">
        <v>476</v>
      </c>
      <c r="G257" s="119" t="s">
        <v>477</v>
      </c>
      <c r="H257" s="119" t="s">
        <v>477</v>
      </c>
      <c r="I257" s="131" t="s">
        <v>243</v>
      </c>
      <c r="J257" s="119" t="s">
        <v>244</v>
      </c>
      <c r="K257" s="119" t="s">
        <v>245</v>
      </c>
      <c r="L257" s="119" t="s">
        <v>476</v>
      </c>
      <c r="M257" s="119" t="s">
        <v>46</v>
      </c>
      <c r="N257" s="135">
        <v>0</v>
      </c>
      <c r="O257" s="135" t="s">
        <v>47</v>
      </c>
      <c r="P257" s="135"/>
      <c r="Q257" s="137">
        <v>0</v>
      </c>
      <c r="R257" s="137">
        <v>0</v>
      </c>
      <c r="S257" s="137">
        <v>50000</v>
      </c>
      <c r="T257" s="137">
        <f t="shared" si="36"/>
        <v>0</v>
      </c>
      <c r="U257" s="137">
        <f t="shared" si="40"/>
        <v>50000</v>
      </c>
      <c r="V257" s="137">
        <v>50000</v>
      </c>
      <c r="W257" s="137">
        <f t="shared" si="41"/>
        <v>0</v>
      </c>
      <c r="X257" s="137">
        <f t="shared" si="37"/>
        <v>0</v>
      </c>
      <c r="Y257" s="137">
        <f t="shared" si="42"/>
        <v>0</v>
      </c>
      <c r="Z257" s="137">
        <v>49998.85</v>
      </c>
      <c r="AA257" s="137">
        <f t="shared" si="38"/>
        <v>1.1500000000014552</v>
      </c>
      <c r="AB257" s="146">
        <f t="shared" si="44"/>
        <v>49998.85</v>
      </c>
      <c r="AC257" s="147">
        <f t="shared" si="39"/>
        <v>0</v>
      </c>
      <c r="AD257" s="137">
        <v>41912.413551323298</v>
      </c>
      <c r="AE257" s="138">
        <v>0.17647058823529399</v>
      </c>
      <c r="AF257" s="137">
        <f t="shared" si="46"/>
        <v>7396.3082737629293</v>
      </c>
      <c r="AG257" s="137">
        <f t="shared" si="47"/>
        <v>7396.3082737629293</v>
      </c>
      <c r="AH257" s="154"/>
      <c r="AI257" s="154"/>
      <c r="AJ257" s="135" t="s">
        <v>47</v>
      </c>
      <c r="AK257" s="119" t="s">
        <v>47</v>
      </c>
      <c r="AM257" s="131"/>
    </row>
    <row r="258" spans="1:39" s="119" customFormat="1" ht="15" customHeight="1" x14ac:dyDescent="0.3">
      <c r="A258" s="119">
        <v>2017</v>
      </c>
      <c r="B258" s="119" t="s">
        <v>38</v>
      </c>
      <c r="C258" s="119" t="s">
        <v>59</v>
      </c>
      <c r="D258" s="119" t="s">
        <v>106</v>
      </c>
      <c r="E258" s="119" t="s">
        <v>131</v>
      </c>
      <c r="F258" s="119" t="s">
        <v>358</v>
      </c>
      <c r="G258" s="119" t="s">
        <v>358</v>
      </c>
      <c r="H258" s="119" t="s">
        <v>358</v>
      </c>
      <c r="I258" s="131" t="s">
        <v>243</v>
      </c>
      <c r="J258" s="119" t="s">
        <v>244</v>
      </c>
      <c r="K258" s="119" t="s">
        <v>245</v>
      </c>
      <c r="L258" s="119" t="s">
        <v>359</v>
      </c>
      <c r="M258" s="119" t="s">
        <v>46</v>
      </c>
      <c r="N258" s="135">
        <v>0</v>
      </c>
      <c r="O258" s="135" t="s">
        <v>47</v>
      </c>
      <c r="P258" s="135"/>
      <c r="Q258" s="137">
        <v>0</v>
      </c>
      <c r="R258" s="137">
        <v>0</v>
      </c>
      <c r="S258" s="137">
        <v>26319.5</v>
      </c>
      <c r="T258" s="137">
        <f t="shared" ref="T258:T321" si="48">S258*N258</f>
        <v>0</v>
      </c>
      <c r="U258" s="137">
        <f t="shared" si="40"/>
        <v>26319.5</v>
      </c>
      <c r="V258" s="137">
        <v>35000</v>
      </c>
      <c r="W258" s="137">
        <f t="shared" si="41"/>
        <v>-8680.5</v>
      </c>
      <c r="X258" s="137">
        <f t="shared" ref="X258:X321" si="49">W258/(1+N258)</f>
        <v>-8680.5</v>
      </c>
      <c r="Y258" s="137">
        <f t="shared" si="42"/>
        <v>0</v>
      </c>
      <c r="Z258" s="137">
        <v>20470.5</v>
      </c>
      <c r="AA258" s="137">
        <f t="shared" ref="AA258:AA321" si="50">Q258+V258-Z258</f>
        <v>14529.5</v>
      </c>
      <c r="AB258" s="146">
        <f t="shared" si="44"/>
        <v>20470.5</v>
      </c>
      <c r="AC258" s="147">
        <f t="shared" ref="AC258:AC321" si="51">IF(O258="返现",Z258*N258,Z258-AB258)</f>
        <v>0</v>
      </c>
      <c r="AD258" s="137">
        <v>17159.7559064331</v>
      </c>
      <c r="AE258" s="138">
        <v>0.17647058823529399</v>
      </c>
      <c r="AF258" s="137">
        <f t="shared" si="46"/>
        <v>3028.1922187823097</v>
      </c>
      <c r="AG258" s="137">
        <f t="shared" si="47"/>
        <v>3028.1922187823097</v>
      </c>
      <c r="AH258" s="154"/>
      <c r="AI258" s="154"/>
      <c r="AJ258" s="136">
        <v>0</v>
      </c>
      <c r="AK258" s="119" t="s">
        <v>120</v>
      </c>
      <c r="AM258" s="131"/>
    </row>
    <row r="259" spans="1:39" s="119" customFormat="1" ht="15" customHeight="1" x14ac:dyDescent="0.3">
      <c r="A259" s="119">
        <v>2017</v>
      </c>
      <c r="B259" s="119" t="s">
        <v>38</v>
      </c>
      <c r="C259" s="119" t="s">
        <v>59</v>
      </c>
      <c r="D259" s="119" t="s">
        <v>106</v>
      </c>
      <c r="E259" s="119" t="s">
        <v>131</v>
      </c>
      <c r="F259" s="119" t="s">
        <v>132</v>
      </c>
      <c r="G259" s="119" t="s">
        <v>132</v>
      </c>
      <c r="H259" s="119" t="s">
        <v>132</v>
      </c>
      <c r="I259" s="131" t="s">
        <v>243</v>
      </c>
      <c r="J259" s="119" t="s">
        <v>244</v>
      </c>
      <c r="K259" s="119" t="s">
        <v>245</v>
      </c>
      <c r="L259" s="119" t="s">
        <v>132</v>
      </c>
      <c r="M259" s="119" t="s">
        <v>46</v>
      </c>
      <c r="N259" s="135">
        <v>0</v>
      </c>
      <c r="O259" s="135" t="s">
        <v>47</v>
      </c>
      <c r="P259" s="135"/>
      <c r="Q259" s="137">
        <v>0</v>
      </c>
      <c r="R259" s="137">
        <v>0</v>
      </c>
      <c r="S259" s="137">
        <v>1200000</v>
      </c>
      <c r="T259" s="137">
        <f t="shared" si="48"/>
        <v>0</v>
      </c>
      <c r="U259" s="137">
        <f t="shared" ref="U259:U322" si="52">R259+S259+T259</f>
        <v>1200000</v>
      </c>
      <c r="V259" s="137">
        <v>0</v>
      </c>
      <c r="W259" s="137">
        <f t="shared" ref="W259:W322" si="53">U259-V259</f>
        <v>1200000</v>
      </c>
      <c r="X259" s="137">
        <f t="shared" si="49"/>
        <v>1200000</v>
      </c>
      <c r="Y259" s="137">
        <f t="shared" ref="Y259:Y322" si="54">W259-X259</f>
        <v>0</v>
      </c>
      <c r="Z259" s="137"/>
      <c r="AA259" s="137">
        <f t="shared" si="50"/>
        <v>0</v>
      </c>
      <c r="AB259" s="146">
        <f t="shared" si="44"/>
        <v>0</v>
      </c>
      <c r="AC259" s="147">
        <f t="shared" si="51"/>
        <v>0</v>
      </c>
      <c r="AD259" s="137">
        <v>0</v>
      </c>
      <c r="AE259" s="138">
        <v>0.17647058823529399</v>
      </c>
      <c r="AF259" s="137">
        <f t="shared" si="46"/>
        <v>0</v>
      </c>
      <c r="AG259" s="137">
        <f t="shared" si="47"/>
        <v>0</v>
      </c>
      <c r="AH259" s="154"/>
      <c r="AI259" s="154"/>
      <c r="AJ259" s="135" t="s">
        <v>47</v>
      </c>
      <c r="AK259" s="119" t="s">
        <v>47</v>
      </c>
      <c r="AM259" s="131"/>
    </row>
    <row r="260" spans="1:39" s="119" customFormat="1" ht="15" customHeight="1" x14ac:dyDescent="0.3">
      <c r="A260" s="119">
        <v>2017</v>
      </c>
      <c r="B260" s="119" t="s">
        <v>38</v>
      </c>
      <c r="C260" s="119" t="s">
        <v>59</v>
      </c>
      <c r="D260" s="119" t="s">
        <v>60</v>
      </c>
      <c r="E260" s="119" t="s">
        <v>190</v>
      </c>
      <c r="F260" s="119" t="s">
        <v>478</v>
      </c>
      <c r="G260" s="119" t="s">
        <v>478</v>
      </c>
      <c r="H260" s="119" t="s">
        <v>478</v>
      </c>
      <c r="I260" s="131" t="s">
        <v>243</v>
      </c>
      <c r="J260" s="119" t="s">
        <v>244</v>
      </c>
      <c r="K260" s="119" t="s">
        <v>245</v>
      </c>
      <c r="L260" s="119" t="s">
        <v>478</v>
      </c>
      <c r="M260" s="119" t="s">
        <v>46</v>
      </c>
      <c r="N260" s="135">
        <v>0</v>
      </c>
      <c r="O260" s="135" t="s">
        <v>47</v>
      </c>
      <c r="P260" s="135"/>
      <c r="Q260" s="137">
        <v>0</v>
      </c>
      <c r="R260" s="137">
        <v>0</v>
      </c>
      <c r="S260" s="137">
        <v>30000</v>
      </c>
      <c r="T260" s="137">
        <f t="shared" si="48"/>
        <v>0</v>
      </c>
      <c r="U260" s="137">
        <f t="shared" si="52"/>
        <v>30000</v>
      </c>
      <c r="V260" s="137">
        <v>30000</v>
      </c>
      <c r="W260" s="137">
        <f t="shared" si="53"/>
        <v>0</v>
      </c>
      <c r="X260" s="137">
        <f t="shared" si="49"/>
        <v>0</v>
      </c>
      <c r="Y260" s="137">
        <f t="shared" si="54"/>
        <v>0</v>
      </c>
      <c r="Z260" s="137">
        <v>19793</v>
      </c>
      <c r="AA260" s="137">
        <f t="shared" si="50"/>
        <v>10207</v>
      </c>
      <c r="AB260" s="146">
        <f t="shared" si="44"/>
        <v>19793</v>
      </c>
      <c r="AC260" s="147">
        <f t="shared" si="51"/>
        <v>0</v>
      </c>
      <c r="AD260" s="137">
        <v>16591.8296405086</v>
      </c>
      <c r="AE260" s="138">
        <v>0.17647058823529399</v>
      </c>
      <c r="AF260" s="137">
        <f t="shared" si="46"/>
        <v>2927.9699365603392</v>
      </c>
      <c r="AG260" s="137">
        <f t="shared" si="47"/>
        <v>2927.9699365603392</v>
      </c>
      <c r="AH260" s="154"/>
      <c r="AI260" s="154"/>
      <c r="AJ260" s="135" t="s">
        <v>47</v>
      </c>
      <c r="AK260" s="119" t="s">
        <v>47</v>
      </c>
      <c r="AM260" s="131"/>
    </row>
    <row r="261" spans="1:39" s="119" customFormat="1" ht="15" customHeight="1" x14ac:dyDescent="0.3">
      <c r="A261" s="119">
        <v>2017</v>
      </c>
      <c r="B261" s="119" t="s">
        <v>38</v>
      </c>
      <c r="C261" s="119" t="s">
        <v>59</v>
      </c>
      <c r="D261" s="119" t="s">
        <v>60</v>
      </c>
      <c r="E261" s="119" t="s">
        <v>61</v>
      </c>
      <c r="F261" s="119" t="s">
        <v>360</v>
      </c>
      <c r="G261" s="119" t="s">
        <v>360</v>
      </c>
      <c r="H261" s="119" t="s">
        <v>360</v>
      </c>
      <c r="I261" s="131" t="s">
        <v>243</v>
      </c>
      <c r="J261" s="119" t="s">
        <v>244</v>
      </c>
      <c r="K261" s="119" t="s">
        <v>245</v>
      </c>
      <c r="L261" s="119" t="s">
        <v>361</v>
      </c>
      <c r="M261" s="119" t="s">
        <v>46</v>
      </c>
      <c r="N261" s="135">
        <v>0</v>
      </c>
      <c r="O261" s="135" t="s">
        <v>47</v>
      </c>
      <c r="P261" s="135"/>
      <c r="Q261" s="137">
        <v>0</v>
      </c>
      <c r="R261" s="137">
        <v>0</v>
      </c>
      <c r="S261" s="137">
        <v>23426.5</v>
      </c>
      <c r="T261" s="137">
        <f t="shared" si="48"/>
        <v>0</v>
      </c>
      <c r="U261" s="137">
        <f t="shared" si="52"/>
        <v>23426.5</v>
      </c>
      <c r="V261" s="137">
        <v>25000</v>
      </c>
      <c r="W261" s="137">
        <f t="shared" si="53"/>
        <v>-1573.5</v>
      </c>
      <c r="X261" s="137">
        <f t="shared" si="49"/>
        <v>-1573.5</v>
      </c>
      <c r="Y261" s="137">
        <f t="shared" si="54"/>
        <v>0</v>
      </c>
      <c r="Z261" s="137">
        <v>14699.66</v>
      </c>
      <c r="AA261" s="137">
        <f t="shared" si="50"/>
        <v>10300.34</v>
      </c>
      <c r="AB261" s="146">
        <f t="shared" si="44"/>
        <v>14699.66</v>
      </c>
      <c r="AC261" s="147">
        <f t="shared" si="51"/>
        <v>0</v>
      </c>
      <c r="AD261" s="137">
        <v>12322.2479913807</v>
      </c>
      <c r="AE261" s="138">
        <v>0.17647058823529399</v>
      </c>
      <c r="AF261" s="137">
        <f t="shared" si="46"/>
        <v>2174.5143514201218</v>
      </c>
      <c r="AG261" s="137">
        <f t="shared" si="47"/>
        <v>2174.5143514201218</v>
      </c>
      <c r="AH261" s="154"/>
      <c r="AI261" s="154"/>
      <c r="AJ261" s="135" t="s">
        <v>47</v>
      </c>
      <c r="AK261" s="119" t="s">
        <v>47</v>
      </c>
      <c r="AM261" s="131"/>
    </row>
    <row r="262" spans="1:39" s="119" customFormat="1" ht="15" customHeight="1" x14ac:dyDescent="0.3">
      <c r="A262" s="119">
        <v>2017</v>
      </c>
      <c r="B262" s="119" t="s">
        <v>38</v>
      </c>
      <c r="C262" s="119" t="s">
        <v>59</v>
      </c>
      <c r="D262" s="119" t="s">
        <v>60</v>
      </c>
      <c r="E262" s="119" t="s">
        <v>61</v>
      </c>
      <c r="F262" s="119" t="s">
        <v>479</v>
      </c>
      <c r="G262" s="119" t="s">
        <v>479</v>
      </c>
      <c r="H262" s="119" t="s">
        <v>479</v>
      </c>
      <c r="I262" s="131" t="s">
        <v>243</v>
      </c>
      <c r="J262" s="119" t="s">
        <v>244</v>
      </c>
      <c r="K262" s="119" t="s">
        <v>245</v>
      </c>
      <c r="L262" s="119" t="s">
        <v>480</v>
      </c>
      <c r="M262" s="119" t="s">
        <v>46</v>
      </c>
      <c r="N262" s="135">
        <v>0</v>
      </c>
      <c r="O262" s="135" t="s">
        <v>47</v>
      </c>
      <c r="P262" s="135"/>
      <c r="Q262" s="137">
        <v>0</v>
      </c>
      <c r="R262" s="137">
        <v>0</v>
      </c>
      <c r="S262" s="137">
        <v>40000</v>
      </c>
      <c r="T262" s="137">
        <f t="shared" si="48"/>
        <v>0</v>
      </c>
      <c r="U262" s="137">
        <f t="shared" si="52"/>
        <v>40000</v>
      </c>
      <c r="V262" s="137">
        <v>40000</v>
      </c>
      <c r="W262" s="137">
        <f t="shared" si="53"/>
        <v>0</v>
      </c>
      <c r="X262" s="137">
        <f t="shared" si="49"/>
        <v>0</v>
      </c>
      <c r="Y262" s="137">
        <f t="shared" si="54"/>
        <v>0</v>
      </c>
      <c r="Z262" s="137">
        <v>33498.51</v>
      </c>
      <c r="AA262" s="137">
        <f t="shared" si="50"/>
        <v>6501.489999999998</v>
      </c>
      <c r="AB262" s="146">
        <f t="shared" si="44"/>
        <v>33498.51</v>
      </c>
      <c r="AC262" s="147">
        <f t="shared" si="51"/>
        <v>0</v>
      </c>
      <c r="AD262" s="137">
        <v>28080.713945883501</v>
      </c>
      <c r="AE262" s="138">
        <v>0.17647058823529399</v>
      </c>
      <c r="AF262" s="137">
        <f t="shared" si="46"/>
        <v>4955.4201080970852</v>
      </c>
      <c r="AG262" s="137">
        <f t="shared" si="47"/>
        <v>4955.4201080970852</v>
      </c>
      <c r="AH262" s="154"/>
      <c r="AI262" s="154"/>
      <c r="AJ262" s="135" t="s">
        <v>47</v>
      </c>
      <c r="AK262" s="119" t="s">
        <v>47</v>
      </c>
      <c r="AM262" s="131"/>
    </row>
    <row r="263" spans="1:39" s="119" customFormat="1" ht="15" customHeight="1" x14ac:dyDescent="0.3">
      <c r="A263" s="119">
        <v>2017</v>
      </c>
      <c r="B263" s="119" t="s">
        <v>38</v>
      </c>
      <c r="C263" s="119" t="s">
        <v>59</v>
      </c>
      <c r="D263" s="119" t="s">
        <v>60</v>
      </c>
      <c r="E263" s="119" t="s">
        <v>61</v>
      </c>
      <c r="F263" s="119" t="s">
        <v>481</v>
      </c>
      <c r="G263" s="119" t="s">
        <v>481</v>
      </c>
      <c r="H263" s="119" t="s">
        <v>481</v>
      </c>
      <c r="I263" s="131" t="s">
        <v>243</v>
      </c>
      <c r="J263" s="119" t="s">
        <v>244</v>
      </c>
      <c r="K263" s="119" t="s">
        <v>245</v>
      </c>
      <c r="L263" s="119" t="s">
        <v>481</v>
      </c>
      <c r="M263" s="119" t="s">
        <v>46</v>
      </c>
      <c r="N263" s="135">
        <v>0</v>
      </c>
      <c r="O263" s="135" t="s">
        <v>47</v>
      </c>
      <c r="P263" s="135"/>
      <c r="Q263" s="137">
        <v>0</v>
      </c>
      <c r="R263" s="137">
        <v>0</v>
      </c>
      <c r="S263" s="137">
        <v>20000</v>
      </c>
      <c r="T263" s="137">
        <f t="shared" si="48"/>
        <v>0</v>
      </c>
      <c r="U263" s="137">
        <f t="shared" si="52"/>
        <v>20000</v>
      </c>
      <c r="V263" s="137">
        <v>20000</v>
      </c>
      <c r="W263" s="137">
        <f t="shared" si="53"/>
        <v>0</v>
      </c>
      <c r="X263" s="137">
        <f t="shared" si="49"/>
        <v>0</v>
      </c>
      <c r="Y263" s="137">
        <f t="shared" si="54"/>
        <v>0</v>
      </c>
      <c r="Z263" s="137">
        <v>10000</v>
      </c>
      <c r="AA263" s="137">
        <f t="shared" si="50"/>
        <v>10000</v>
      </c>
      <c r="AB263" s="146">
        <f t="shared" si="44"/>
        <v>10000</v>
      </c>
      <c r="AC263" s="147">
        <f t="shared" si="51"/>
        <v>0</v>
      </c>
      <c r="AD263" s="137">
        <v>8382.6755118014298</v>
      </c>
      <c r="AE263" s="138">
        <v>0.17647058823529399</v>
      </c>
      <c r="AF263" s="137">
        <f t="shared" si="46"/>
        <v>1479.2956785531924</v>
      </c>
      <c r="AG263" s="137">
        <f t="shared" si="47"/>
        <v>1479.2956785531924</v>
      </c>
      <c r="AH263" s="154"/>
      <c r="AI263" s="154"/>
      <c r="AJ263" s="135" t="s">
        <v>47</v>
      </c>
      <c r="AK263" s="119" t="s">
        <v>47</v>
      </c>
      <c r="AM263" s="131"/>
    </row>
    <row r="264" spans="1:39" s="119" customFormat="1" ht="15" customHeight="1" x14ac:dyDescent="0.3">
      <c r="A264" s="119">
        <v>2017</v>
      </c>
      <c r="B264" s="119" t="s">
        <v>38</v>
      </c>
      <c r="C264" s="119" t="s">
        <v>59</v>
      </c>
      <c r="D264" s="119" t="s">
        <v>60</v>
      </c>
      <c r="E264" s="119" t="s">
        <v>61</v>
      </c>
      <c r="F264" s="119" t="s">
        <v>274</v>
      </c>
      <c r="G264" s="119" t="s">
        <v>274</v>
      </c>
      <c r="H264" s="119" t="s">
        <v>274</v>
      </c>
      <c r="I264" s="131" t="s">
        <v>243</v>
      </c>
      <c r="J264" s="119" t="s">
        <v>244</v>
      </c>
      <c r="K264" s="119" t="s">
        <v>245</v>
      </c>
      <c r="L264" s="119" t="s">
        <v>274</v>
      </c>
      <c r="M264" s="119" t="s">
        <v>46</v>
      </c>
      <c r="N264" s="135">
        <v>0</v>
      </c>
      <c r="O264" s="135" t="s">
        <v>47</v>
      </c>
      <c r="P264" s="135"/>
      <c r="Q264" s="137">
        <v>0</v>
      </c>
      <c r="R264" s="137">
        <v>0</v>
      </c>
      <c r="S264" s="137">
        <v>17502.5</v>
      </c>
      <c r="T264" s="137">
        <f t="shared" si="48"/>
        <v>0</v>
      </c>
      <c r="U264" s="137">
        <f t="shared" si="52"/>
        <v>17502.5</v>
      </c>
      <c r="V264" s="137">
        <v>104404.93</v>
      </c>
      <c r="W264" s="137">
        <f t="shared" si="53"/>
        <v>-86902.43</v>
      </c>
      <c r="X264" s="137">
        <f t="shared" si="49"/>
        <v>-86902.43</v>
      </c>
      <c r="Y264" s="137">
        <f t="shared" si="54"/>
        <v>0</v>
      </c>
      <c r="Z264" s="137">
        <v>55140.959999999999</v>
      </c>
      <c r="AA264" s="137">
        <f t="shared" si="50"/>
        <v>49263.969999999994</v>
      </c>
      <c r="AB264" s="146">
        <f t="shared" si="44"/>
        <v>55140.959999999999</v>
      </c>
      <c r="AC264" s="147">
        <f t="shared" si="51"/>
        <v>0</v>
      </c>
      <c r="AD264" s="137">
        <v>46222.877508922204</v>
      </c>
      <c r="AE264" s="138">
        <v>0.17647058823529399</v>
      </c>
      <c r="AF264" s="137">
        <f t="shared" si="46"/>
        <v>8156.9783839274414</v>
      </c>
      <c r="AG264" s="137">
        <f t="shared" si="47"/>
        <v>8156.9783839274414</v>
      </c>
      <c r="AH264" s="154"/>
      <c r="AI264" s="154"/>
      <c r="AJ264" s="136">
        <v>0</v>
      </c>
      <c r="AK264" s="119" t="s">
        <v>120</v>
      </c>
      <c r="AM264" s="131"/>
    </row>
    <row r="265" spans="1:39" s="119" customFormat="1" ht="15" customHeight="1" x14ac:dyDescent="0.3">
      <c r="A265" s="119">
        <v>2017</v>
      </c>
      <c r="B265" s="119" t="s">
        <v>38</v>
      </c>
      <c r="C265" s="119" t="s">
        <v>59</v>
      </c>
      <c r="D265" s="119" t="s">
        <v>60</v>
      </c>
      <c r="E265" s="119" t="s">
        <v>61</v>
      </c>
      <c r="F265" s="119" t="s">
        <v>482</v>
      </c>
      <c r="G265" s="119" t="s">
        <v>482</v>
      </c>
      <c r="H265" s="119" t="s">
        <v>482</v>
      </c>
      <c r="I265" s="131" t="s">
        <v>243</v>
      </c>
      <c r="J265" s="119" t="s">
        <v>244</v>
      </c>
      <c r="K265" s="119" t="s">
        <v>245</v>
      </c>
      <c r="L265" s="119" t="s">
        <v>482</v>
      </c>
      <c r="M265" s="119" t="s">
        <v>46</v>
      </c>
      <c r="N265" s="135">
        <v>0</v>
      </c>
      <c r="O265" s="135" t="s">
        <v>47</v>
      </c>
      <c r="P265" s="135"/>
      <c r="Q265" s="137">
        <v>0</v>
      </c>
      <c r="R265" s="137">
        <v>0</v>
      </c>
      <c r="S265" s="137">
        <v>30000</v>
      </c>
      <c r="T265" s="137">
        <f t="shared" si="48"/>
        <v>0</v>
      </c>
      <c r="U265" s="137">
        <f t="shared" si="52"/>
        <v>30000</v>
      </c>
      <c r="V265" s="137">
        <v>30000</v>
      </c>
      <c r="W265" s="137">
        <f t="shared" si="53"/>
        <v>0</v>
      </c>
      <c r="X265" s="137">
        <f t="shared" si="49"/>
        <v>0</v>
      </c>
      <c r="Y265" s="137">
        <f t="shared" si="54"/>
        <v>0</v>
      </c>
      <c r="Z265" s="137">
        <v>28391.919999999998</v>
      </c>
      <c r="AA265" s="137">
        <f t="shared" si="50"/>
        <v>1608.0800000000017</v>
      </c>
      <c r="AB265" s="146">
        <f t="shared" si="44"/>
        <v>28391.919999999998</v>
      </c>
      <c r="AC265" s="147">
        <f t="shared" si="51"/>
        <v>0</v>
      </c>
      <c r="AD265" s="137">
        <v>23800.0252517025</v>
      </c>
      <c r="AE265" s="138">
        <v>0.17647058823529399</v>
      </c>
      <c r="AF265" s="137">
        <f t="shared" si="46"/>
        <v>4200.0044561827908</v>
      </c>
      <c r="AG265" s="137">
        <f t="shared" si="47"/>
        <v>4200.0044561827908</v>
      </c>
      <c r="AH265" s="154"/>
      <c r="AI265" s="154"/>
      <c r="AJ265" s="135" t="s">
        <v>47</v>
      </c>
      <c r="AK265" s="119" t="s">
        <v>47</v>
      </c>
      <c r="AM265" s="131"/>
    </row>
    <row r="266" spans="1:39" s="119" customFormat="1" ht="15" customHeight="1" x14ac:dyDescent="0.3">
      <c r="A266" s="119">
        <v>2017</v>
      </c>
      <c r="B266" s="119" t="s">
        <v>38</v>
      </c>
      <c r="C266" s="119" t="s">
        <v>59</v>
      </c>
      <c r="D266" s="119" t="s">
        <v>60</v>
      </c>
      <c r="E266" s="119" t="s">
        <v>192</v>
      </c>
      <c r="F266" s="119" t="s">
        <v>483</v>
      </c>
      <c r="G266" s="119" t="s">
        <v>483</v>
      </c>
      <c r="H266" s="119" t="s">
        <v>483</v>
      </c>
      <c r="I266" s="131" t="s">
        <v>243</v>
      </c>
      <c r="J266" s="119" t="s">
        <v>244</v>
      </c>
      <c r="K266" s="119" t="s">
        <v>245</v>
      </c>
      <c r="L266" s="119" t="s">
        <v>483</v>
      </c>
      <c r="M266" s="119" t="s">
        <v>46</v>
      </c>
      <c r="N266" s="136">
        <v>0</v>
      </c>
      <c r="O266" s="135" t="s">
        <v>47</v>
      </c>
      <c r="P266" s="135"/>
      <c r="Q266" s="137">
        <v>0</v>
      </c>
      <c r="R266" s="137">
        <v>0</v>
      </c>
      <c r="S266" s="137">
        <v>20000</v>
      </c>
      <c r="T266" s="137">
        <f t="shared" si="48"/>
        <v>0</v>
      </c>
      <c r="U266" s="137">
        <f t="shared" si="52"/>
        <v>20000</v>
      </c>
      <c r="V266" s="137">
        <v>20000</v>
      </c>
      <c r="W266" s="137">
        <f t="shared" si="53"/>
        <v>0</v>
      </c>
      <c r="X266" s="137">
        <f t="shared" si="49"/>
        <v>0</v>
      </c>
      <c r="Y266" s="137">
        <f t="shared" si="54"/>
        <v>0</v>
      </c>
      <c r="Z266" s="137">
        <v>17389.099999999999</v>
      </c>
      <c r="AA266" s="137">
        <f t="shared" si="50"/>
        <v>2610.9000000000015</v>
      </c>
      <c r="AB266" s="146">
        <f t="shared" si="44"/>
        <v>17389.099999999999</v>
      </c>
      <c r="AC266" s="147">
        <f t="shared" si="51"/>
        <v>0</v>
      </c>
      <c r="AD266" s="137">
        <v>14576.7182742266</v>
      </c>
      <c r="AE266" s="138">
        <v>0.17647058823529399</v>
      </c>
      <c r="AF266" s="137">
        <f t="shared" si="46"/>
        <v>2572.3620483929276</v>
      </c>
      <c r="AG266" s="137">
        <f t="shared" si="47"/>
        <v>2572.3620483929276</v>
      </c>
      <c r="AH266" s="154"/>
      <c r="AI266" s="154"/>
      <c r="AJ266" s="135" t="s">
        <v>47</v>
      </c>
      <c r="AK266" s="119" t="s">
        <v>47</v>
      </c>
      <c r="AM266" s="131"/>
    </row>
    <row r="267" spans="1:39" s="119" customFormat="1" ht="15" customHeight="1" x14ac:dyDescent="0.3">
      <c r="A267" s="119">
        <v>2017</v>
      </c>
      <c r="B267" s="119" t="s">
        <v>38</v>
      </c>
      <c r="C267" s="119" t="s">
        <v>59</v>
      </c>
      <c r="D267" s="119" t="s">
        <v>60</v>
      </c>
      <c r="E267" s="119" t="s">
        <v>192</v>
      </c>
      <c r="F267" s="119" t="s">
        <v>484</v>
      </c>
      <c r="G267" s="119" t="s">
        <v>484</v>
      </c>
      <c r="H267" s="119" t="s">
        <v>484</v>
      </c>
      <c r="I267" s="131" t="s">
        <v>243</v>
      </c>
      <c r="J267" s="119" t="s">
        <v>244</v>
      </c>
      <c r="K267" s="119" t="s">
        <v>245</v>
      </c>
      <c r="L267" s="119" t="s">
        <v>484</v>
      </c>
      <c r="M267" s="119" t="s">
        <v>46</v>
      </c>
      <c r="N267" s="135">
        <v>0</v>
      </c>
      <c r="O267" s="135" t="s">
        <v>47</v>
      </c>
      <c r="P267" s="135"/>
      <c r="Q267" s="137">
        <v>0</v>
      </c>
      <c r="R267" s="137">
        <v>0</v>
      </c>
      <c r="S267" s="137">
        <v>20000</v>
      </c>
      <c r="T267" s="137">
        <f t="shared" si="48"/>
        <v>0</v>
      </c>
      <c r="U267" s="137">
        <f t="shared" si="52"/>
        <v>20000</v>
      </c>
      <c r="V267" s="137">
        <v>20000</v>
      </c>
      <c r="W267" s="137">
        <f t="shared" si="53"/>
        <v>0</v>
      </c>
      <c r="X267" s="137">
        <f t="shared" si="49"/>
        <v>0</v>
      </c>
      <c r="Y267" s="137">
        <f t="shared" si="54"/>
        <v>0</v>
      </c>
      <c r="Z267" s="137">
        <v>19996.73</v>
      </c>
      <c r="AA267" s="137">
        <f t="shared" si="50"/>
        <v>3.2700000000004366</v>
      </c>
      <c r="AB267" s="146">
        <f t="shared" si="44"/>
        <v>19996.73</v>
      </c>
      <c r="AC267" s="147">
        <f t="shared" si="51"/>
        <v>0</v>
      </c>
      <c r="AD267" s="137">
        <v>16762.6098887105</v>
      </c>
      <c r="AE267" s="138">
        <v>0.17647058823529399</v>
      </c>
      <c r="AF267" s="137">
        <f t="shared" si="46"/>
        <v>2958.1076274194979</v>
      </c>
      <c r="AG267" s="137">
        <f t="shared" si="47"/>
        <v>2958.1076274194979</v>
      </c>
      <c r="AH267" s="154"/>
      <c r="AI267" s="154"/>
      <c r="AJ267" s="135" t="s">
        <v>47</v>
      </c>
      <c r="AK267" s="119" t="s">
        <v>47</v>
      </c>
      <c r="AM267" s="131"/>
    </row>
    <row r="268" spans="1:39" s="119" customFormat="1" ht="15" customHeight="1" x14ac:dyDescent="0.3">
      <c r="A268" s="119">
        <v>2017</v>
      </c>
      <c r="B268" s="119" t="s">
        <v>38</v>
      </c>
      <c r="C268" s="119" t="s">
        <v>59</v>
      </c>
      <c r="D268" s="119" t="s">
        <v>210</v>
      </c>
      <c r="E268" s="119" t="s">
        <v>190</v>
      </c>
      <c r="F268" s="119" t="s">
        <v>363</v>
      </c>
      <c r="G268" s="119" t="s">
        <v>363</v>
      </c>
      <c r="H268" s="119" t="s">
        <v>363</v>
      </c>
      <c r="I268" s="131" t="s">
        <v>243</v>
      </c>
      <c r="J268" s="119" t="s">
        <v>244</v>
      </c>
      <c r="K268" s="119" t="s">
        <v>245</v>
      </c>
      <c r="L268" s="119" t="s">
        <v>363</v>
      </c>
      <c r="M268" s="119" t="s">
        <v>46</v>
      </c>
      <c r="N268" s="135">
        <v>0</v>
      </c>
      <c r="O268" s="135" t="s">
        <v>47</v>
      </c>
      <c r="P268" s="135"/>
      <c r="Q268" s="137">
        <v>0</v>
      </c>
      <c r="R268" s="137">
        <v>0</v>
      </c>
      <c r="S268" s="137">
        <v>650000</v>
      </c>
      <c r="T268" s="137">
        <f t="shared" si="48"/>
        <v>0</v>
      </c>
      <c r="U268" s="137">
        <f t="shared" si="52"/>
        <v>650000</v>
      </c>
      <c r="V268" s="137">
        <v>641000</v>
      </c>
      <c r="W268" s="137">
        <f t="shared" si="53"/>
        <v>9000</v>
      </c>
      <c r="X268" s="137">
        <f t="shared" si="49"/>
        <v>9000</v>
      </c>
      <c r="Y268" s="137">
        <f t="shared" si="54"/>
        <v>0</v>
      </c>
      <c r="Z268" s="137">
        <v>567585.56000000006</v>
      </c>
      <c r="AA268" s="137">
        <f t="shared" si="50"/>
        <v>73414.439999999944</v>
      </c>
      <c r="AB268" s="146">
        <f t="shared" si="44"/>
        <v>567585.56000000006</v>
      </c>
      <c r="AC268" s="147">
        <f t="shared" si="51"/>
        <v>0</v>
      </c>
      <c r="AD268" s="137">
        <v>475788.55746640998</v>
      </c>
      <c r="AE268" s="138">
        <v>0.17647058823529399</v>
      </c>
      <c r="AF268" s="137">
        <f t="shared" si="46"/>
        <v>83962.686611719342</v>
      </c>
      <c r="AG268" s="137">
        <f t="shared" si="47"/>
        <v>83962.686611719342</v>
      </c>
      <c r="AH268" s="154"/>
      <c r="AI268" s="154"/>
      <c r="AJ268" s="135" t="s">
        <v>47</v>
      </c>
      <c r="AK268" s="119" t="s">
        <v>47</v>
      </c>
      <c r="AM268" s="131"/>
    </row>
    <row r="269" spans="1:39" s="119" customFormat="1" ht="15" customHeight="1" x14ac:dyDescent="0.3">
      <c r="A269" s="119">
        <v>2017</v>
      </c>
      <c r="B269" s="119" t="s">
        <v>38</v>
      </c>
      <c r="C269" s="119" t="s">
        <v>59</v>
      </c>
      <c r="D269" s="119" t="s">
        <v>210</v>
      </c>
      <c r="E269" s="119" t="s">
        <v>131</v>
      </c>
      <c r="F269" s="119" t="s">
        <v>485</v>
      </c>
      <c r="G269" s="119" t="s">
        <v>485</v>
      </c>
      <c r="H269" s="119" t="s">
        <v>485</v>
      </c>
      <c r="I269" s="131" t="s">
        <v>243</v>
      </c>
      <c r="J269" s="119" t="s">
        <v>244</v>
      </c>
      <c r="K269" s="119" t="s">
        <v>245</v>
      </c>
      <c r="L269" s="119" t="s">
        <v>1644</v>
      </c>
      <c r="M269" s="119" t="s">
        <v>46</v>
      </c>
      <c r="N269" s="135">
        <v>0.02</v>
      </c>
      <c r="O269" s="135" t="s">
        <v>1643</v>
      </c>
      <c r="P269" s="135"/>
      <c r="Q269" s="137">
        <v>0</v>
      </c>
      <c r="R269" s="137">
        <v>0</v>
      </c>
      <c r="S269" s="137">
        <v>116858.5</v>
      </c>
      <c r="T269" s="137">
        <f t="shared" si="48"/>
        <v>2337.17</v>
      </c>
      <c r="U269" s="137">
        <f t="shared" si="52"/>
        <v>119195.67</v>
      </c>
      <c r="V269" s="137">
        <v>65000</v>
      </c>
      <c r="W269" s="137">
        <f t="shared" si="53"/>
        <v>54195.67</v>
      </c>
      <c r="X269" s="137">
        <f t="shared" si="49"/>
        <v>53133.009803921566</v>
      </c>
      <c r="Y269" s="137">
        <f t="shared" si="54"/>
        <v>1062.6601960784319</v>
      </c>
      <c r="Z269" s="137">
        <v>54366.16</v>
      </c>
      <c r="AA269" s="137">
        <f t="shared" si="50"/>
        <v>10633.839999999997</v>
      </c>
      <c r="AB269" s="146">
        <f t="shared" si="44"/>
        <v>53300.156862745098</v>
      </c>
      <c r="AC269" s="147">
        <f t="shared" si="51"/>
        <v>1066.0031372549056</v>
      </c>
      <c r="AD269" s="137">
        <v>48774.128035588001</v>
      </c>
      <c r="AE269" s="138">
        <v>0.17647058823529399</v>
      </c>
      <c r="AF269" s="137">
        <f t="shared" si="46"/>
        <v>8607.1990651037595</v>
      </c>
      <c r="AG269" s="137">
        <f t="shared" si="47"/>
        <v>7541.1959278488539</v>
      </c>
      <c r="AH269" s="154"/>
      <c r="AI269" s="154"/>
      <c r="AJ269" s="135" t="s">
        <v>47</v>
      </c>
      <c r="AK269" s="119" t="s">
        <v>47</v>
      </c>
      <c r="AM269" s="131"/>
    </row>
    <row r="270" spans="1:39" s="119" customFormat="1" ht="15" customHeight="1" x14ac:dyDescent="0.3">
      <c r="A270" s="119">
        <v>2017</v>
      </c>
      <c r="B270" s="119" t="s">
        <v>38</v>
      </c>
      <c r="C270" s="119" t="s">
        <v>59</v>
      </c>
      <c r="D270" s="119" t="s">
        <v>210</v>
      </c>
      <c r="E270" s="119" t="s">
        <v>131</v>
      </c>
      <c r="F270" s="119" t="s">
        <v>364</v>
      </c>
      <c r="G270" s="119" t="s">
        <v>364</v>
      </c>
      <c r="H270" s="119" t="s">
        <v>364</v>
      </c>
      <c r="I270" s="131" t="s">
        <v>243</v>
      </c>
      <c r="J270" s="119" t="s">
        <v>244</v>
      </c>
      <c r="K270" s="119" t="s">
        <v>245</v>
      </c>
      <c r="L270" s="119" t="s">
        <v>486</v>
      </c>
      <c r="M270" s="119" t="s">
        <v>46</v>
      </c>
      <c r="N270" s="135">
        <v>0</v>
      </c>
      <c r="O270" s="135" t="s">
        <v>47</v>
      </c>
      <c r="P270" s="135"/>
      <c r="Q270" s="137">
        <v>0</v>
      </c>
      <c r="R270" s="137">
        <v>0</v>
      </c>
      <c r="S270" s="137">
        <v>60000</v>
      </c>
      <c r="T270" s="137">
        <f t="shared" si="48"/>
        <v>0</v>
      </c>
      <c r="U270" s="137">
        <f t="shared" si="52"/>
        <v>60000</v>
      </c>
      <c r="V270" s="137">
        <v>72000</v>
      </c>
      <c r="W270" s="137">
        <f t="shared" si="53"/>
        <v>-12000</v>
      </c>
      <c r="X270" s="137">
        <f t="shared" si="49"/>
        <v>-12000</v>
      </c>
      <c r="Y270" s="137">
        <f t="shared" si="54"/>
        <v>0</v>
      </c>
      <c r="Z270" s="137">
        <v>0</v>
      </c>
      <c r="AA270" s="137">
        <f t="shared" si="50"/>
        <v>72000</v>
      </c>
      <c r="AB270" s="146">
        <f t="shared" si="44"/>
        <v>0</v>
      </c>
      <c r="AC270" s="147">
        <f t="shared" si="51"/>
        <v>0</v>
      </c>
      <c r="AD270" s="137">
        <v>52472.958457143803</v>
      </c>
      <c r="AE270" s="138">
        <v>0.17647058823529399</v>
      </c>
      <c r="AF270" s="137">
        <f t="shared" si="46"/>
        <v>9259.9338453783112</v>
      </c>
      <c r="AG270" s="137">
        <f t="shared" si="47"/>
        <v>9259.9338453783112</v>
      </c>
      <c r="AH270" s="154"/>
      <c r="AI270" s="154"/>
      <c r="AJ270" s="135" t="s">
        <v>173</v>
      </c>
      <c r="AK270" s="119" t="s">
        <v>173</v>
      </c>
      <c r="AM270" s="131"/>
    </row>
    <row r="271" spans="1:39" s="119" customFormat="1" ht="15" customHeight="1" x14ac:dyDescent="0.3">
      <c r="A271" s="119">
        <v>2017</v>
      </c>
      <c r="B271" s="119" t="s">
        <v>38</v>
      </c>
      <c r="C271" s="119" t="s">
        <v>54</v>
      </c>
      <c r="D271" s="119" t="s">
        <v>55</v>
      </c>
      <c r="E271" s="119" t="s">
        <v>56</v>
      </c>
      <c r="F271" s="119" t="s">
        <v>366</v>
      </c>
      <c r="G271" s="119" t="s">
        <v>366</v>
      </c>
      <c r="H271" s="119" t="s">
        <v>366</v>
      </c>
      <c r="I271" s="131" t="s">
        <v>243</v>
      </c>
      <c r="J271" s="119" t="s">
        <v>244</v>
      </c>
      <c r="K271" s="119" t="s">
        <v>245</v>
      </c>
      <c r="L271" s="119" t="s">
        <v>366</v>
      </c>
      <c r="M271" s="119" t="s">
        <v>46</v>
      </c>
      <c r="N271" s="135">
        <v>0</v>
      </c>
      <c r="O271" s="135" t="s">
        <v>47</v>
      </c>
      <c r="P271" s="135"/>
      <c r="Q271" s="137">
        <v>0</v>
      </c>
      <c r="R271" s="137">
        <v>0</v>
      </c>
      <c r="S271" s="137">
        <v>17886</v>
      </c>
      <c r="T271" s="137">
        <f t="shared" si="48"/>
        <v>0</v>
      </c>
      <c r="U271" s="137">
        <f t="shared" si="52"/>
        <v>17886</v>
      </c>
      <c r="V271" s="137">
        <v>25000</v>
      </c>
      <c r="W271" s="137">
        <f t="shared" si="53"/>
        <v>-7114</v>
      </c>
      <c r="X271" s="137">
        <f t="shared" si="49"/>
        <v>-7114</v>
      </c>
      <c r="Y271" s="137">
        <f t="shared" si="54"/>
        <v>0</v>
      </c>
      <c r="Z271" s="137">
        <v>24601.3</v>
      </c>
      <c r="AA271" s="137">
        <f t="shared" si="50"/>
        <v>398.70000000000073</v>
      </c>
      <c r="AB271" s="146">
        <f t="shared" si="44"/>
        <v>24601.3</v>
      </c>
      <c r="AC271" s="147">
        <f t="shared" si="51"/>
        <v>0</v>
      </c>
      <c r="AD271" s="137">
        <v>20622.471506848098</v>
      </c>
      <c r="AE271" s="138">
        <v>0.17647058823529399</v>
      </c>
      <c r="AF271" s="137">
        <f t="shared" si="46"/>
        <v>3639.2596776790733</v>
      </c>
      <c r="AG271" s="137">
        <f t="shared" si="47"/>
        <v>3639.2596776790733</v>
      </c>
      <c r="AH271" s="154"/>
      <c r="AI271" s="154"/>
      <c r="AJ271" s="135" t="s">
        <v>47</v>
      </c>
      <c r="AK271" s="119" t="s">
        <v>47</v>
      </c>
      <c r="AM271" s="131"/>
    </row>
    <row r="272" spans="1:39" s="119" customFormat="1" ht="15" customHeight="1" x14ac:dyDescent="0.3">
      <c r="A272" s="119">
        <v>2017</v>
      </c>
      <c r="B272" s="119" t="s">
        <v>38</v>
      </c>
      <c r="C272" s="119" t="s">
        <v>54</v>
      </c>
      <c r="D272" s="119" t="s">
        <v>55</v>
      </c>
      <c r="E272" s="119" t="s">
        <v>368</v>
      </c>
      <c r="F272" s="119" t="s">
        <v>487</v>
      </c>
      <c r="G272" s="119" t="s">
        <v>487</v>
      </c>
      <c r="H272" s="119" t="s">
        <v>487</v>
      </c>
      <c r="I272" s="131" t="s">
        <v>243</v>
      </c>
      <c r="J272" s="119" t="s">
        <v>244</v>
      </c>
      <c r="K272" s="119" t="s">
        <v>245</v>
      </c>
      <c r="L272" s="119" t="s">
        <v>487</v>
      </c>
      <c r="M272" s="119" t="s">
        <v>46</v>
      </c>
      <c r="N272" s="135">
        <v>0</v>
      </c>
      <c r="O272" s="135" t="s">
        <v>47</v>
      </c>
      <c r="P272" s="135"/>
      <c r="Q272" s="137">
        <v>0</v>
      </c>
      <c r="R272" s="137">
        <v>0</v>
      </c>
      <c r="S272" s="137">
        <v>10000</v>
      </c>
      <c r="T272" s="137">
        <f t="shared" si="48"/>
        <v>0</v>
      </c>
      <c r="U272" s="137">
        <f t="shared" si="52"/>
        <v>10000</v>
      </c>
      <c r="V272" s="137">
        <v>10000</v>
      </c>
      <c r="W272" s="137">
        <f t="shared" si="53"/>
        <v>0</v>
      </c>
      <c r="X272" s="137">
        <f t="shared" si="49"/>
        <v>0</v>
      </c>
      <c r="Y272" s="137">
        <f t="shared" si="54"/>
        <v>0</v>
      </c>
      <c r="Z272" s="137">
        <v>2156.5</v>
      </c>
      <c r="AA272" s="137">
        <f t="shared" si="50"/>
        <v>7843.5</v>
      </c>
      <c r="AB272" s="146">
        <f t="shared" si="44"/>
        <v>2156.5</v>
      </c>
      <c r="AC272" s="147">
        <f t="shared" si="51"/>
        <v>0</v>
      </c>
      <c r="AD272" s="137">
        <v>1807.7239741199801</v>
      </c>
      <c r="AE272" s="138">
        <v>0.17647058823529399</v>
      </c>
      <c r="AF272" s="137">
        <f t="shared" si="46"/>
        <v>319.01011307999624</v>
      </c>
      <c r="AG272" s="137">
        <f t="shared" si="47"/>
        <v>319.01011307999624</v>
      </c>
      <c r="AH272" s="154"/>
      <c r="AI272" s="154"/>
      <c r="AJ272" s="135" t="s">
        <v>47</v>
      </c>
      <c r="AK272" s="119" t="s">
        <v>47</v>
      </c>
      <c r="AM272" s="131"/>
    </row>
    <row r="273" spans="1:39" s="119" customFormat="1" ht="15" customHeight="1" x14ac:dyDescent="0.3">
      <c r="A273" s="119">
        <v>2017</v>
      </c>
      <c r="B273" s="119" t="s">
        <v>38</v>
      </c>
      <c r="C273" s="119" t="s">
        <v>54</v>
      </c>
      <c r="D273" s="119" t="s">
        <v>55</v>
      </c>
      <c r="E273" s="119" t="s">
        <v>368</v>
      </c>
      <c r="F273" s="119" t="s">
        <v>369</v>
      </c>
      <c r="G273" s="119" t="s">
        <v>369</v>
      </c>
      <c r="H273" s="119" t="s">
        <v>369</v>
      </c>
      <c r="I273" s="131" t="s">
        <v>243</v>
      </c>
      <c r="J273" s="119" t="s">
        <v>244</v>
      </c>
      <c r="K273" s="119" t="s">
        <v>245</v>
      </c>
      <c r="L273" s="119" t="s">
        <v>369</v>
      </c>
      <c r="M273" s="119" t="s">
        <v>46</v>
      </c>
      <c r="N273" s="135">
        <v>0</v>
      </c>
      <c r="O273" s="135" t="s">
        <v>47</v>
      </c>
      <c r="P273" s="135"/>
      <c r="Q273" s="137">
        <v>0</v>
      </c>
      <c r="R273" s="137">
        <v>0</v>
      </c>
      <c r="S273" s="137">
        <v>6175.5</v>
      </c>
      <c r="T273" s="137">
        <f t="shared" si="48"/>
        <v>0</v>
      </c>
      <c r="U273" s="137">
        <f t="shared" si="52"/>
        <v>6175.5</v>
      </c>
      <c r="V273" s="137">
        <v>15000</v>
      </c>
      <c r="W273" s="137">
        <f t="shared" si="53"/>
        <v>-8824.5</v>
      </c>
      <c r="X273" s="137">
        <f t="shared" si="49"/>
        <v>-8824.5</v>
      </c>
      <c r="Y273" s="137">
        <f t="shared" si="54"/>
        <v>0</v>
      </c>
      <c r="Z273" s="137">
        <v>156</v>
      </c>
      <c r="AA273" s="137">
        <f t="shared" si="50"/>
        <v>14844</v>
      </c>
      <c r="AB273" s="146">
        <f t="shared" si="44"/>
        <v>156</v>
      </c>
      <c r="AC273" s="147">
        <f t="shared" si="51"/>
        <v>0</v>
      </c>
      <c r="AD273" s="137">
        <v>130.76973798410199</v>
      </c>
      <c r="AE273" s="138">
        <v>0.17647058823529399</v>
      </c>
      <c r="AF273" s="137">
        <f t="shared" si="46"/>
        <v>23.077012585429745</v>
      </c>
      <c r="AG273" s="137">
        <f t="shared" si="47"/>
        <v>23.077012585429745</v>
      </c>
      <c r="AH273" s="154"/>
      <c r="AI273" s="154"/>
      <c r="AJ273" s="136">
        <v>0</v>
      </c>
      <c r="AK273" s="119" t="s">
        <v>120</v>
      </c>
      <c r="AM273" s="131"/>
    </row>
    <row r="274" spans="1:39" s="119" customFormat="1" ht="15" customHeight="1" x14ac:dyDescent="0.3">
      <c r="A274" s="119">
        <v>2017</v>
      </c>
      <c r="B274" s="119" t="s">
        <v>38</v>
      </c>
      <c r="C274" s="119" t="s">
        <v>54</v>
      </c>
      <c r="D274" s="119" t="s">
        <v>55</v>
      </c>
      <c r="E274" s="119" t="s">
        <v>368</v>
      </c>
      <c r="F274" s="119" t="s">
        <v>488</v>
      </c>
      <c r="G274" s="119" t="s">
        <v>488</v>
      </c>
      <c r="H274" s="119" t="s">
        <v>488</v>
      </c>
      <c r="I274" s="131" t="s">
        <v>243</v>
      </c>
      <c r="J274" s="119" t="s">
        <v>244</v>
      </c>
      <c r="K274" s="119" t="s">
        <v>245</v>
      </c>
      <c r="L274" s="119" t="s">
        <v>488</v>
      </c>
      <c r="M274" s="119" t="s">
        <v>46</v>
      </c>
      <c r="N274" s="135">
        <v>0</v>
      </c>
      <c r="O274" s="135" t="s">
        <v>47</v>
      </c>
      <c r="P274" s="135"/>
      <c r="Q274" s="137">
        <v>0</v>
      </c>
      <c r="R274" s="137">
        <v>0</v>
      </c>
      <c r="S274" s="137">
        <v>20000</v>
      </c>
      <c r="T274" s="137">
        <f t="shared" si="48"/>
        <v>0</v>
      </c>
      <c r="U274" s="137">
        <f t="shared" si="52"/>
        <v>20000</v>
      </c>
      <c r="V274" s="137">
        <v>20000</v>
      </c>
      <c r="W274" s="137">
        <f t="shared" si="53"/>
        <v>0</v>
      </c>
      <c r="X274" s="137">
        <f t="shared" si="49"/>
        <v>0</v>
      </c>
      <c r="Y274" s="137">
        <f t="shared" si="54"/>
        <v>0</v>
      </c>
      <c r="Z274" s="137">
        <v>2837.4</v>
      </c>
      <c r="AA274" s="137">
        <f t="shared" si="50"/>
        <v>17162.599999999999</v>
      </c>
      <c r="AB274" s="146">
        <f t="shared" si="44"/>
        <v>2837.4</v>
      </c>
      <c r="AC274" s="147">
        <f t="shared" si="51"/>
        <v>0</v>
      </c>
      <c r="AD274" s="137">
        <v>2378.5003497185398</v>
      </c>
      <c r="AE274" s="138">
        <v>0.17647058823529399</v>
      </c>
      <c r="AF274" s="137">
        <f t="shared" si="46"/>
        <v>419.73535583268318</v>
      </c>
      <c r="AG274" s="137">
        <f t="shared" si="47"/>
        <v>419.73535583268318</v>
      </c>
      <c r="AH274" s="154"/>
      <c r="AI274" s="154"/>
      <c r="AJ274" s="135" t="s">
        <v>47</v>
      </c>
      <c r="AK274" s="119" t="s">
        <v>47</v>
      </c>
      <c r="AM274" s="131"/>
    </row>
    <row r="275" spans="1:39" s="119" customFormat="1" ht="15" customHeight="1" x14ac:dyDescent="0.3">
      <c r="A275" s="119">
        <v>2017</v>
      </c>
      <c r="B275" s="119" t="s">
        <v>38</v>
      </c>
      <c r="C275" s="119" t="s">
        <v>54</v>
      </c>
      <c r="D275" s="119" t="s">
        <v>55</v>
      </c>
      <c r="E275" s="119" t="s">
        <v>368</v>
      </c>
      <c r="F275" s="119" t="s">
        <v>65</v>
      </c>
      <c r="G275" s="119" t="s">
        <v>66</v>
      </c>
      <c r="H275" s="119" t="s">
        <v>65</v>
      </c>
      <c r="I275" s="131" t="s">
        <v>243</v>
      </c>
      <c r="J275" s="119" t="s">
        <v>244</v>
      </c>
      <c r="K275" s="119" t="s">
        <v>245</v>
      </c>
      <c r="L275" s="119" t="s">
        <v>65</v>
      </c>
      <c r="M275" s="119" t="s">
        <v>46</v>
      </c>
      <c r="N275" s="135">
        <v>0</v>
      </c>
      <c r="O275" s="135" t="s">
        <v>47</v>
      </c>
      <c r="P275" s="135"/>
      <c r="Q275" s="137">
        <v>0</v>
      </c>
      <c r="R275" s="137">
        <v>0</v>
      </c>
      <c r="S275" s="137">
        <v>639736</v>
      </c>
      <c r="T275" s="137">
        <f t="shared" si="48"/>
        <v>0</v>
      </c>
      <c r="U275" s="137">
        <f t="shared" si="52"/>
        <v>639736</v>
      </c>
      <c r="V275" s="137">
        <v>35001</v>
      </c>
      <c r="W275" s="137">
        <f t="shared" si="53"/>
        <v>604735</v>
      </c>
      <c r="X275" s="137">
        <f t="shared" si="49"/>
        <v>604735</v>
      </c>
      <c r="Y275" s="137">
        <f t="shared" si="54"/>
        <v>0</v>
      </c>
      <c r="Z275" s="137">
        <v>30560.5</v>
      </c>
      <c r="AA275" s="137">
        <f t="shared" si="50"/>
        <v>4440.5</v>
      </c>
      <c r="AB275" s="146">
        <f>IF(O275="返货",Z275/(1+N275),IF(O275="返现",Z275,IF(O275="折扣",Z275*N275,IF(O275="无",Z275))))+4439.5</f>
        <v>35000</v>
      </c>
      <c r="AC275" s="147">
        <f t="shared" si="51"/>
        <v>-4439.5</v>
      </c>
      <c r="AD275" s="137">
        <v>29341.040826407399</v>
      </c>
      <c r="AE275" s="138">
        <v>0.17647058823529399</v>
      </c>
      <c r="AF275" s="137">
        <f t="shared" si="46"/>
        <v>5177.8307340718902</v>
      </c>
      <c r="AG275" s="137">
        <f t="shared" si="47"/>
        <v>9617.3307340718893</v>
      </c>
      <c r="AH275" s="154"/>
      <c r="AI275" s="154"/>
      <c r="AJ275" s="135" t="s">
        <v>47</v>
      </c>
      <c r="AK275" s="119" t="s">
        <v>47</v>
      </c>
      <c r="AM275" s="131"/>
    </row>
    <row r="276" spans="1:39" s="119" customFormat="1" ht="15" customHeight="1" x14ac:dyDescent="0.3">
      <c r="A276" s="119">
        <v>2017</v>
      </c>
      <c r="B276" s="119" t="s">
        <v>38</v>
      </c>
      <c r="C276" s="119" t="s">
        <v>54</v>
      </c>
      <c r="D276" s="119" t="s">
        <v>55</v>
      </c>
      <c r="E276" s="119" t="s">
        <v>368</v>
      </c>
      <c r="F276" s="119" t="s">
        <v>489</v>
      </c>
      <c r="G276" s="119" t="s">
        <v>489</v>
      </c>
      <c r="H276" s="119" t="s">
        <v>489</v>
      </c>
      <c r="I276" s="131" t="s">
        <v>243</v>
      </c>
      <c r="J276" s="119" t="s">
        <v>244</v>
      </c>
      <c r="K276" s="119" t="s">
        <v>245</v>
      </c>
      <c r="L276" s="119" t="s">
        <v>490</v>
      </c>
      <c r="M276" s="119" t="s">
        <v>46</v>
      </c>
      <c r="N276" s="136">
        <v>0.02</v>
      </c>
      <c r="O276" s="135" t="s">
        <v>51</v>
      </c>
      <c r="P276" s="135"/>
      <c r="Q276" s="137">
        <v>0</v>
      </c>
      <c r="R276" s="137">
        <v>0</v>
      </c>
      <c r="S276" s="137">
        <v>34699.800000000003</v>
      </c>
      <c r="T276" s="137">
        <f t="shared" si="48"/>
        <v>693.99600000000009</v>
      </c>
      <c r="U276" s="137">
        <f t="shared" si="52"/>
        <v>35393.796000000002</v>
      </c>
      <c r="V276" s="137">
        <v>70000</v>
      </c>
      <c r="W276" s="137">
        <f t="shared" si="53"/>
        <v>-34606.203999999998</v>
      </c>
      <c r="X276" s="137">
        <f t="shared" si="49"/>
        <v>-33927.650980392151</v>
      </c>
      <c r="Y276" s="137">
        <f t="shared" si="54"/>
        <v>-678.55301960784709</v>
      </c>
      <c r="Z276" s="137">
        <v>34699.800000000003</v>
      </c>
      <c r="AA276" s="137">
        <f t="shared" si="50"/>
        <v>35300.199999999997</v>
      </c>
      <c r="AB276" s="146">
        <f t="shared" si="44"/>
        <v>34019.411764705881</v>
      </c>
      <c r="AC276" s="147">
        <f t="shared" si="51"/>
        <v>680.38823529412184</v>
      </c>
      <c r="AD276" s="137">
        <v>29087.7163724407</v>
      </c>
      <c r="AE276" s="138">
        <v>0.17647058823529399</v>
      </c>
      <c r="AF276" s="137">
        <f t="shared" si="46"/>
        <v>5133.1264186660019</v>
      </c>
      <c r="AG276" s="137">
        <f t="shared" si="47"/>
        <v>4452.73818337188</v>
      </c>
      <c r="AH276" s="154"/>
      <c r="AI276" s="154"/>
      <c r="AJ276" s="136">
        <v>0.02</v>
      </c>
      <c r="AK276" s="156">
        <v>0.02</v>
      </c>
      <c r="AM276" s="131"/>
    </row>
    <row r="277" spans="1:39" s="119" customFormat="1" ht="15" customHeight="1" x14ac:dyDescent="0.3">
      <c r="A277" s="119">
        <v>2017</v>
      </c>
      <c r="B277" s="119" t="s">
        <v>333</v>
      </c>
      <c r="C277" s="119" t="s">
        <v>54</v>
      </c>
      <c r="D277" s="119" t="s">
        <v>55</v>
      </c>
      <c r="E277" s="119" t="s">
        <v>368</v>
      </c>
      <c r="F277" s="119" t="s">
        <v>491</v>
      </c>
      <c r="G277" s="119" t="s">
        <v>492</v>
      </c>
      <c r="H277" s="119" t="s">
        <v>492</v>
      </c>
      <c r="I277" s="131" t="s">
        <v>243</v>
      </c>
      <c r="J277" s="119" t="s">
        <v>244</v>
      </c>
      <c r="K277" s="119" t="s">
        <v>245</v>
      </c>
      <c r="L277" s="119" t="s">
        <v>491</v>
      </c>
      <c r="M277" s="119" t="s">
        <v>46</v>
      </c>
      <c r="N277" s="135">
        <v>0</v>
      </c>
      <c r="O277" s="135" t="s">
        <v>47</v>
      </c>
      <c r="P277" s="135"/>
      <c r="Q277" s="137">
        <v>0</v>
      </c>
      <c r="R277" s="137">
        <v>0</v>
      </c>
      <c r="S277" s="137">
        <v>10000</v>
      </c>
      <c r="T277" s="137">
        <f t="shared" si="48"/>
        <v>0</v>
      </c>
      <c r="U277" s="137">
        <f t="shared" si="52"/>
        <v>10000</v>
      </c>
      <c r="V277" s="137">
        <v>0</v>
      </c>
      <c r="W277" s="137">
        <f t="shared" si="53"/>
        <v>10000</v>
      </c>
      <c r="X277" s="137">
        <f t="shared" si="49"/>
        <v>10000</v>
      </c>
      <c r="Y277" s="137">
        <f t="shared" si="54"/>
        <v>0</v>
      </c>
      <c r="Z277" s="137"/>
      <c r="AA277" s="137">
        <f t="shared" si="50"/>
        <v>0</v>
      </c>
      <c r="AB277" s="146">
        <f t="shared" si="44"/>
        <v>0</v>
      </c>
      <c r="AC277" s="147">
        <f t="shared" si="51"/>
        <v>0</v>
      </c>
      <c r="AD277" s="137">
        <v>0</v>
      </c>
      <c r="AE277" s="138">
        <v>0.17647058823529399</v>
      </c>
      <c r="AF277" s="137">
        <f t="shared" si="46"/>
        <v>0</v>
      </c>
      <c r="AG277" s="137">
        <f t="shared" si="47"/>
        <v>0</v>
      </c>
      <c r="AH277" s="154"/>
      <c r="AI277" s="154"/>
      <c r="AJ277" s="135" t="s">
        <v>47</v>
      </c>
      <c r="AK277" s="119" t="s">
        <v>47</v>
      </c>
      <c r="AM277" s="131"/>
    </row>
    <row r="278" spans="1:39" s="119" customFormat="1" ht="15" customHeight="1" x14ac:dyDescent="0.3">
      <c r="A278" s="119">
        <v>2017</v>
      </c>
      <c r="B278" s="119" t="s">
        <v>38</v>
      </c>
      <c r="C278" s="119" t="s">
        <v>54</v>
      </c>
      <c r="D278" s="119" t="s">
        <v>55</v>
      </c>
      <c r="E278" s="119" t="s">
        <v>368</v>
      </c>
      <c r="F278" s="119" t="s">
        <v>493</v>
      </c>
      <c r="G278" s="119" t="s">
        <v>493</v>
      </c>
      <c r="H278" s="119" t="s">
        <v>493</v>
      </c>
      <c r="I278" s="131" t="s">
        <v>243</v>
      </c>
      <c r="J278" s="119" t="s">
        <v>244</v>
      </c>
      <c r="K278" s="119" t="s">
        <v>245</v>
      </c>
      <c r="L278" s="119" t="s">
        <v>494</v>
      </c>
      <c r="M278" s="119" t="s">
        <v>46</v>
      </c>
      <c r="N278" s="136">
        <v>0.02</v>
      </c>
      <c r="O278" s="135" t="s">
        <v>495</v>
      </c>
      <c r="P278" s="135"/>
      <c r="Q278" s="137">
        <v>0</v>
      </c>
      <c r="R278" s="137">
        <v>0</v>
      </c>
      <c r="S278" s="137">
        <v>160000</v>
      </c>
      <c r="T278" s="137">
        <f t="shared" si="48"/>
        <v>3200</v>
      </c>
      <c r="U278" s="137">
        <f t="shared" si="52"/>
        <v>163200</v>
      </c>
      <c r="V278" s="137">
        <v>160000</v>
      </c>
      <c r="W278" s="137">
        <f t="shared" si="53"/>
        <v>3200</v>
      </c>
      <c r="X278" s="137">
        <f t="shared" si="49"/>
        <v>3137.2549019607841</v>
      </c>
      <c r="Y278" s="137">
        <f t="shared" si="54"/>
        <v>62.745098039215918</v>
      </c>
      <c r="Z278" s="137">
        <v>129985.2</v>
      </c>
      <c r="AA278" s="137">
        <f t="shared" si="50"/>
        <v>30014.800000000003</v>
      </c>
      <c r="AB278" s="146">
        <f t="shared" si="44"/>
        <v>129985.2</v>
      </c>
      <c r="AC278" s="147">
        <f t="shared" si="51"/>
        <v>2599.7040000000002</v>
      </c>
      <c r="AD278" s="137">
        <v>108962.375293661</v>
      </c>
      <c r="AE278" s="138">
        <v>0.17647058823529399</v>
      </c>
      <c r="AF278" s="137">
        <f t="shared" si="46"/>
        <v>19228.65446358722</v>
      </c>
      <c r="AG278" s="137">
        <f t="shared" si="47"/>
        <v>19228.65446358722</v>
      </c>
      <c r="AH278" s="154"/>
      <c r="AI278" s="154"/>
      <c r="AJ278" s="136">
        <v>0.02</v>
      </c>
      <c r="AK278" s="119" t="s">
        <v>173</v>
      </c>
      <c r="AM278" s="131"/>
    </row>
    <row r="279" spans="1:39" s="119" customFormat="1" ht="15" customHeight="1" x14ac:dyDescent="0.3">
      <c r="A279" s="119">
        <v>2017</v>
      </c>
      <c r="B279" s="119" t="s">
        <v>38</v>
      </c>
      <c r="C279" s="119" t="s">
        <v>59</v>
      </c>
      <c r="D279" s="119" t="s">
        <v>106</v>
      </c>
      <c r="E279" s="119" t="s">
        <v>190</v>
      </c>
      <c r="F279" s="119" t="s">
        <v>191</v>
      </c>
      <c r="G279" s="119" t="s">
        <v>191</v>
      </c>
      <c r="H279" s="119" t="s">
        <v>191</v>
      </c>
      <c r="I279" s="119" t="s">
        <v>170</v>
      </c>
      <c r="J279" s="119" t="s">
        <v>171</v>
      </c>
      <c r="K279" s="119" t="s">
        <v>172</v>
      </c>
      <c r="L279" s="119" t="s">
        <v>191</v>
      </c>
      <c r="M279" s="119" t="s">
        <v>46</v>
      </c>
      <c r="N279" s="136">
        <v>0.02</v>
      </c>
      <c r="O279" s="135" t="s">
        <v>51</v>
      </c>
      <c r="P279" s="135"/>
      <c r="Q279" s="142">
        <v>486308.5</v>
      </c>
      <c r="R279" s="137">
        <v>0</v>
      </c>
      <c r="S279" s="137">
        <v>6100000</v>
      </c>
      <c r="T279" s="137">
        <f t="shared" si="48"/>
        <v>122000</v>
      </c>
      <c r="U279" s="137">
        <f t="shared" si="52"/>
        <v>6222000</v>
      </c>
      <c r="V279" s="137">
        <v>6338000</v>
      </c>
      <c r="W279" s="137">
        <f t="shared" si="53"/>
        <v>-116000</v>
      </c>
      <c r="X279" s="137">
        <f t="shared" si="49"/>
        <v>-113725.49019607843</v>
      </c>
      <c r="Y279" s="137">
        <f t="shared" si="54"/>
        <v>-2274.5098039215663</v>
      </c>
      <c r="Z279" s="137">
        <v>6557885</v>
      </c>
      <c r="AA279" s="137">
        <f t="shared" si="50"/>
        <v>266423.5</v>
      </c>
      <c r="AB279" s="146">
        <f>IF(O279="返货",(Z279-Q279)/(1+N279),IF(O279="返现",(Z279-Q279),IF(O279="折扣",(Z279-Q279)*N279,IF(O279="无",(Z279-Q279)))))</f>
        <v>5952525.9803921571</v>
      </c>
      <c r="AC279" s="147">
        <f t="shared" si="51"/>
        <v>605359.0196078429</v>
      </c>
      <c r="AD279" s="137">
        <f>(Z279-Q279)*0.89807640489087</f>
        <v>5452739.5951398918</v>
      </c>
      <c r="AE279" s="138">
        <v>0.11269173273981201</v>
      </c>
      <c r="AF279" s="137">
        <f t="shared" si="46"/>
        <v>614478.67315529543</v>
      </c>
      <c r="AG279" s="137">
        <v>458146.111447556</v>
      </c>
      <c r="AH279" s="154"/>
      <c r="AI279" s="154"/>
      <c r="AJ279" s="135" t="s">
        <v>173</v>
      </c>
      <c r="AK279" s="119" t="s">
        <v>173</v>
      </c>
    </row>
    <row r="280" spans="1:39" s="119" customFormat="1" ht="15" customHeight="1" x14ac:dyDescent="0.3">
      <c r="A280" s="119">
        <v>2017</v>
      </c>
      <c r="B280" s="119" t="s">
        <v>38</v>
      </c>
      <c r="C280" s="119" t="s">
        <v>54</v>
      </c>
      <c r="D280" s="119" t="s">
        <v>55</v>
      </c>
      <c r="E280" s="119" t="s">
        <v>64</v>
      </c>
      <c r="F280" s="119" t="s">
        <v>374</v>
      </c>
      <c r="G280" s="119" t="s">
        <v>374</v>
      </c>
      <c r="H280" s="119" t="s">
        <v>374</v>
      </c>
      <c r="I280" s="131" t="s">
        <v>243</v>
      </c>
      <c r="J280" s="119" t="s">
        <v>244</v>
      </c>
      <c r="K280" s="119" t="s">
        <v>245</v>
      </c>
      <c r="L280" s="119" t="s">
        <v>375</v>
      </c>
      <c r="M280" s="119" t="s">
        <v>46</v>
      </c>
      <c r="N280" s="135">
        <v>0</v>
      </c>
      <c r="O280" s="135" t="s">
        <v>47</v>
      </c>
      <c r="P280" s="135"/>
      <c r="Q280" s="137">
        <v>0</v>
      </c>
      <c r="R280" s="137">
        <v>0</v>
      </c>
      <c r="S280" s="137">
        <v>120000</v>
      </c>
      <c r="T280" s="137">
        <f t="shared" si="48"/>
        <v>0</v>
      </c>
      <c r="U280" s="137">
        <f t="shared" si="52"/>
        <v>120000</v>
      </c>
      <c r="V280" s="137">
        <v>130024</v>
      </c>
      <c r="W280" s="137">
        <f t="shared" si="53"/>
        <v>-10024</v>
      </c>
      <c r="X280" s="137">
        <f t="shared" si="49"/>
        <v>-10024</v>
      </c>
      <c r="Y280" s="137">
        <f t="shared" si="54"/>
        <v>0</v>
      </c>
      <c r="Z280" s="137">
        <v>68900.899999999994</v>
      </c>
      <c r="AA280" s="137">
        <f t="shared" si="50"/>
        <v>61123.100000000006</v>
      </c>
      <c r="AB280" s="146">
        <f t="shared" si="44"/>
        <v>68900.899999999994</v>
      </c>
      <c r="AC280" s="147">
        <f t="shared" si="51"/>
        <v>0</v>
      </c>
      <c r="AD280" s="137">
        <v>57757.388717107897</v>
      </c>
      <c r="AE280" s="138">
        <v>0.17647058823529399</v>
      </c>
      <c r="AF280" s="137">
        <f t="shared" si="46"/>
        <v>10192.480361842563</v>
      </c>
      <c r="AG280" s="137">
        <f t="shared" ref="AG280:AG292" si="55">AB280-Z280+AF280</f>
        <v>10192.480361842563</v>
      </c>
      <c r="AH280" s="154"/>
      <c r="AI280" s="154"/>
      <c r="AJ280" s="135" t="s">
        <v>47</v>
      </c>
      <c r="AK280" s="119" t="s">
        <v>47</v>
      </c>
      <c r="AM280" s="131"/>
    </row>
    <row r="281" spans="1:39" s="119" customFormat="1" ht="15" customHeight="1" x14ac:dyDescent="0.3">
      <c r="A281" s="119">
        <v>2017</v>
      </c>
      <c r="B281" s="119" t="s">
        <v>199</v>
      </c>
      <c r="C281" s="119" t="s">
        <v>54</v>
      </c>
      <c r="D281" s="119" t="s">
        <v>55</v>
      </c>
      <c r="E281" s="119" t="s">
        <v>64</v>
      </c>
      <c r="F281" s="119" t="s">
        <v>496</v>
      </c>
      <c r="G281" s="119" t="s">
        <v>497</v>
      </c>
      <c r="H281" s="157" t="s">
        <v>498</v>
      </c>
      <c r="I281" s="131" t="s">
        <v>243</v>
      </c>
      <c r="J281" s="119" t="s">
        <v>244</v>
      </c>
      <c r="K281" s="119" t="s">
        <v>245</v>
      </c>
      <c r="L281" s="119" t="s">
        <v>499</v>
      </c>
      <c r="M281" s="119" t="s">
        <v>46</v>
      </c>
      <c r="N281" s="135">
        <v>0</v>
      </c>
      <c r="O281" s="135" t="s">
        <v>47</v>
      </c>
      <c r="P281" s="135"/>
      <c r="Q281" s="137">
        <v>0</v>
      </c>
      <c r="R281" s="137">
        <v>0</v>
      </c>
      <c r="S281" s="137">
        <v>20000</v>
      </c>
      <c r="T281" s="137">
        <f t="shared" si="48"/>
        <v>0</v>
      </c>
      <c r="U281" s="137">
        <f t="shared" si="52"/>
        <v>20000</v>
      </c>
      <c r="V281" s="137">
        <v>20000</v>
      </c>
      <c r="W281" s="137">
        <f t="shared" si="53"/>
        <v>0</v>
      </c>
      <c r="X281" s="137">
        <f t="shared" si="49"/>
        <v>0</v>
      </c>
      <c r="Y281" s="137">
        <f t="shared" si="54"/>
        <v>0</v>
      </c>
      <c r="Z281" s="137">
        <v>4161</v>
      </c>
      <c r="AA281" s="137">
        <f t="shared" si="50"/>
        <v>15839</v>
      </c>
      <c r="AB281" s="146">
        <f t="shared" si="44"/>
        <v>4161</v>
      </c>
      <c r="AC281" s="147">
        <f t="shared" si="51"/>
        <v>0</v>
      </c>
      <c r="AD281" s="137">
        <v>3488.0312804605701</v>
      </c>
      <c r="AE281" s="138">
        <v>0.17647058823529399</v>
      </c>
      <c r="AF281" s="137">
        <f t="shared" si="46"/>
        <v>615.53493184598256</v>
      </c>
      <c r="AG281" s="137">
        <f t="shared" si="55"/>
        <v>615.53493184598256</v>
      </c>
      <c r="AH281" s="154"/>
      <c r="AI281" s="154"/>
      <c r="AJ281" s="135" t="s">
        <v>47</v>
      </c>
      <c r="AK281" s="119" t="s">
        <v>47</v>
      </c>
      <c r="AM281" s="131"/>
    </row>
    <row r="282" spans="1:39" s="119" customFormat="1" ht="15" customHeight="1" x14ac:dyDescent="0.3">
      <c r="A282" s="119">
        <v>2017</v>
      </c>
      <c r="B282" s="119" t="s">
        <v>1660</v>
      </c>
      <c r="C282" s="119" t="s">
        <v>54</v>
      </c>
      <c r="D282" s="119" t="s">
        <v>55</v>
      </c>
      <c r="E282" s="119" t="s">
        <v>64</v>
      </c>
      <c r="F282" s="119" t="s">
        <v>65</v>
      </c>
      <c r="G282" s="119" t="s">
        <v>66</v>
      </c>
      <c r="H282" s="119" t="s">
        <v>66</v>
      </c>
      <c r="I282" s="131" t="s">
        <v>243</v>
      </c>
      <c r="J282" s="119" t="s">
        <v>244</v>
      </c>
      <c r="K282" s="119" t="s">
        <v>266</v>
      </c>
      <c r="L282" s="119" t="s">
        <v>65</v>
      </c>
      <c r="M282" s="119" t="s">
        <v>46</v>
      </c>
      <c r="N282" s="135">
        <v>0</v>
      </c>
      <c r="O282" s="135" t="s">
        <v>47</v>
      </c>
      <c r="P282" s="135"/>
      <c r="Q282" s="137">
        <v>0</v>
      </c>
      <c r="R282" s="137">
        <v>0</v>
      </c>
      <c r="S282" s="137">
        <v>35000</v>
      </c>
      <c r="T282" s="137">
        <f t="shared" si="48"/>
        <v>0</v>
      </c>
      <c r="U282" s="137">
        <f t="shared" si="52"/>
        <v>35000</v>
      </c>
      <c r="V282" s="137">
        <v>5581.77</v>
      </c>
      <c r="W282" s="137">
        <f t="shared" si="53"/>
        <v>29418.23</v>
      </c>
      <c r="X282" s="137">
        <f t="shared" si="49"/>
        <v>29418.23</v>
      </c>
      <c r="Y282" s="137">
        <f t="shared" si="54"/>
        <v>0</v>
      </c>
      <c r="Z282" s="137">
        <v>5581.77</v>
      </c>
      <c r="AA282" s="137">
        <f t="shared" si="50"/>
        <v>0</v>
      </c>
      <c r="AB282" s="146">
        <f t="shared" si="44"/>
        <v>5581.77</v>
      </c>
      <c r="AC282" s="147">
        <f t="shared" si="51"/>
        <v>0</v>
      </c>
      <c r="AD282" s="137">
        <v>0</v>
      </c>
      <c r="AE282" s="138">
        <v>0.17647058823529399</v>
      </c>
      <c r="AF282" s="137">
        <f t="shared" si="46"/>
        <v>0</v>
      </c>
      <c r="AG282" s="137">
        <f t="shared" si="55"/>
        <v>0</v>
      </c>
      <c r="AH282" s="154"/>
      <c r="AI282" s="154"/>
      <c r="AJ282" s="135" t="s">
        <v>47</v>
      </c>
      <c r="AK282" s="119" t="s">
        <v>47</v>
      </c>
      <c r="AM282" s="131" t="s">
        <v>449</v>
      </c>
    </row>
    <row r="283" spans="1:39" s="119" customFormat="1" ht="15" customHeight="1" x14ac:dyDescent="0.3">
      <c r="A283" s="119">
        <v>2017</v>
      </c>
      <c r="B283" s="119" t="s">
        <v>38</v>
      </c>
      <c r="C283" s="119" t="s">
        <v>54</v>
      </c>
      <c r="D283" s="119" t="s">
        <v>55</v>
      </c>
      <c r="E283" s="119" t="s">
        <v>64</v>
      </c>
      <c r="F283" s="119" t="s">
        <v>500</v>
      </c>
      <c r="G283" s="119" t="s">
        <v>500</v>
      </c>
      <c r="H283" s="119" t="s">
        <v>500</v>
      </c>
      <c r="I283" s="131" t="s">
        <v>243</v>
      </c>
      <c r="J283" s="119" t="s">
        <v>244</v>
      </c>
      <c r="K283" s="119" t="s">
        <v>245</v>
      </c>
      <c r="L283" s="119" t="s">
        <v>500</v>
      </c>
      <c r="M283" s="119" t="s">
        <v>46</v>
      </c>
      <c r="N283" s="135">
        <v>0</v>
      </c>
      <c r="O283" s="135" t="s">
        <v>47</v>
      </c>
      <c r="P283" s="135"/>
      <c r="Q283" s="137">
        <v>0</v>
      </c>
      <c r="R283" s="137">
        <v>0</v>
      </c>
      <c r="S283" s="137">
        <v>20000</v>
      </c>
      <c r="T283" s="137">
        <f t="shared" si="48"/>
        <v>0</v>
      </c>
      <c r="U283" s="137">
        <f t="shared" si="52"/>
        <v>20000</v>
      </c>
      <c r="V283" s="137">
        <v>20000</v>
      </c>
      <c r="W283" s="137">
        <f t="shared" si="53"/>
        <v>0</v>
      </c>
      <c r="X283" s="137">
        <f t="shared" si="49"/>
        <v>0</v>
      </c>
      <c r="Y283" s="137">
        <f t="shared" si="54"/>
        <v>0</v>
      </c>
      <c r="Z283" s="137">
        <v>4640.5</v>
      </c>
      <c r="AA283" s="137">
        <f t="shared" si="50"/>
        <v>15359.5</v>
      </c>
      <c r="AB283" s="146">
        <f t="shared" si="44"/>
        <v>4640.5</v>
      </c>
      <c r="AC283" s="147">
        <f t="shared" si="51"/>
        <v>0</v>
      </c>
      <c r="AD283" s="137">
        <v>3889.9805712514499</v>
      </c>
      <c r="AE283" s="138">
        <v>0.17647058823529399</v>
      </c>
      <c r="AF283" s="137">
        <f t="shared" si="46"/>
        <v>686.46715963260829</v>
      </c>
      <c r="AG283" s="137">
        <f t="shared" si="55"/>
        <v>686.46715963260829</v>
      </c>
      <c r="AH283" s="154"/>
      <c r="AI283" s="154"/>
      <c r="AJ283" s="135" t="s">
        <v>47</v>
      </c>
      <c r="AK283" s="119" t="s">
        <v>47</v>
      </c>
      <c r="AM283" s="131"/>
    </row>
    <row r="284" spans="1:39" s="119" customFormat="1" ht="15" customHeight="1" x14ac:dyDescent="0.3">
      <c r="A284" s="119">
        <v>2017</v>
      </c>
      <c r="B284" s="119" t="s">
        <v>38</v>
      </c>
      <c r="C284" s="119" t="s">
        <v>54</v>
      </c>
      <c r="D284" s="119" t="s">
        <v>55</v>
      </c>
      <c r="E284" s="119" t="s">
        <v>64</v>
      </c>
      <c r="F284" s="119" t="s">
        <v>224</v>
      </c>
      <c r="G284" s="119" t="s">
        <v>224</v>
      </c>
      <c r="H284" s="119" t="s">
        <v>224</v>
      </c>
      <c r="I284" s="131" t="s">
        <v>243</v>
      </c>
      <c r="J284" s="119" t="s">
        <v>244</v>
      </c>
      <c r="K284" s="119" t="s">
        <v>245</v>
      </c>
      <c r="L284" s="119" t="s">
        <v>224</v>
      </c>
      <c r="M284" s="119" t="s">
        <v>46</v>
      </c>
      <c r="N284" s="135">
        <v>0</v>
      </c>
      <c r="O284" s="135" t="s">
        <v>47</v>
      </c>
      <c r="P284" s="135"/>
      <c r="Q284" s="137">
        <v>0</v>
      </c>
      <c r="R284" s="137">
        <v>0</v>
      </c>
      <c r="S284" s="137">
        <v>60000</v>
      </c>
      <c r="T284" s="137">
        <f t="shared" si="48"/>
        <v>0</v>
      </c>
      <c r="U284" s="137">
        <f t="shared" si="52"/>
        <v>60000</v>
      </c>
      <c r="V284" s="137">
        <v>60000</v>
      </c>
      <c r="W284" s="137">
        <f t="shared" si="53"/>
        <v>0</v>
      </c>
      <c r="X284" s="137">
        <f t="shared" si="49"/>
        <v>0</v>
      </c>
      <c r="Y284" s="137">
        <f t="shared" si="54"/>
        <v>0</v>
      </c>
      <c r="Z284" s="137">
        <v>29887.5</v>
      </c>
      <c r="AA284" s="137">
        <f t="shared" si="50"/>
        <v>30112.5</v>
      </c>
      <c r="AB284" s="146">
        <f t="shared" si="44"/>
        <v>29887.5</v>
      </c>
      <c r="AC284" s="147">
        <f t="shared" si="51"/>
        <v>0</v>
      </c>
      <c r="AD284" s="137">
        <v>25053.721435896499</v>
      </c>
      <c r="AE284" s="138">
        <v>0.17647058823529399</v>
      </c>
      <c r="AF284" s="137">
        <f t="shared" si="46"/>
        <v>4421.2449592758494</v>
      </c>
      <c r="AG284" s="137">
        <f t="shared" si="55"/>
        <v>4421.2449592758494</v>
      </c>
      <c r="AH284" s="154"/>
      <c r="AI284" s="154"/>
      <c r="AJ284" s="135" t="s">
        <v>47</v>
      </c>
      <c r="AK284" s="119" t="s">
        <v>47</v>
      </c>
      <c r="AM284" s="131"/>
    </row>
    <row r="285" spans="1:39" s="119" customFormat="1" ht="15" customHeight="1" x14ac:dyDescent="0.3">
      <c r="A285" s="119">
        <v>2017</v>
      </c>
      <c r="B285" s="119" t="s">
        <v>38</v>
      </c>
      <c r="C285" s="119" t="s">
        <v>54</v>
      </c>
      <c r="D285" s="119" t="s">
        <v>102</v>
      </c>
      <c r="E285" s="119" t="s">
        <v>115</v>
      </c>
      <c r="F285" s="119" t="s">
        <v>379</v>
      </c>
      <c r="G285" s="119" t="s">
        <v>379</v>
      </c>
      <c r="H285" s="119" t="s">
        <v>379</v>
      </c>
      <c r="I285" s="131" t="s">
        <v>243</v>
      </c>
      <c r="J285" s="119" t="s">
        <v>244</v>
      </c>
      <c r="K285" s="119" t="s">
        <v>245</v>
      </c>
      <c r="L285" s="119" t="s">
        <v>379</v>
      </c>
      <c r="M285" s="119" t="s">
        <v>46</v>
      </c>
      <c r="N285" s="135">
        <v>0</v>
      </c>
      <c r="O285" s="135" t="s">
        <v>47</v>
      </c>
      <c r="P285" s="135"/>
      <c r="Q285" s="137">
        <v>0</v>
      </c>
      <c r="R285" s="137">
        <v>0</v>
      </c>
      <c r="S285" s="137">
        <v>83398.5</v>
      </c>
      <c r="T285" s="137">
        <f t="shared" si="48"/>
        <v>0</v>
      </c>
      <c r="U285" s="137">
        <f t="shared" si="52"/>
        <v>83398.5</v>
      </c>
      <c r="V285" s="137">
        <v>0</v>
      </c>
      <c r="W285" s="137">
        <f t="shared" si="53"/>
        <v>83398.5</v>
      </c>
      <c r="X285" s="137">
        <f t="shared" si="49"/>
        <v>83398.5</v>
      </c>
      <c r="Y285" s="137">
        <f t="shared" si="54"/>
        <v>0</v>
      </c>
      <c r="Z285" s="137">
        <v>114226.5</v>
      </c>
      <c r="AA285" s="137">
        <f t="shared" si="50"/>
        <v>-114226.5</v>
      </c>
      <c r="AB285" s="146">
        <v>80625</v>
      </c>
      <c r="AC285" s="147">
        <f t="shared" si="51"/>
        <v>33601.5</v>
      </c>
      <c r="AD285" s="137">
        <v>0</v>
      </c>
      <c r="AE285" s="138">
        <v>0.17647058823529399</v>
      </c>
      <c r="AF285" s="137">
        <f t="shared" si="46"/>
        <v>0</v>
      </c>
      <c r="AG285" s="137">
        <f t="shared" si="55"/>
        <v>-33601.5</v>
      </c>
      <c r="AH285" s="154"/>
      <c r="AI285" s="154"/>
      <c r="AJ285" s="135" t="s">
        <v>47</v>
      </c>
      <c r="AK285" s="119" t="s">
        <v>47</v>
      </c>
      <c r="AM285" s="131"/>
    </row>
    <row r="286" spans="1:39" s="119" customFormat="1" ht="15" customHeight="1" x14ac:dyDescent="0.3">
      <c r="A286" s="119">
        <v>2017</v>
      </c>
      <c r="B286" s="119" t="s">
        <v>38</v>
      </c>
      <c r="C286" s="119" t="s">
        <v>54</v>
      </c>
      <c r="D286" s="119" t="s">
        <v>102</v>
      </c>
      <c r="E286" s="119" t="s">
        <v>115</v>
      </c>
      <c r="F286" s="119" t="s">
        <v>380</v>
      </c>
      <c r="G286" s="119" t="s">
        <v>380</v>
      </c>
      <c r="H286" s="119" t="s">
        <v>380</v>
      </c>
      <c r="I286" s="131" t="s">
        <v>243</v>
      </c>
      <c r="J286" s="119" t="s">
        <v>244</v>
      </c>
      <c r="K286" s="119" t="s">
        <v>245</v>
      </c>
      <c r="L286" s="119" t="s">
        <v>380</v>
      </c>
      <c r="M286" s="119" t="s">
        <v>46</v>
      </c>
      <c r="N286" s="135">
        <v>0</v>
      </c>
      <c r="O286" s="135" t="s">
        <v>47</v>
      </c>
      <c r="P286" s="135"/>
      <c r="Q286" s="137">
        <v>0</v>
      </c>
      <c r="R286" s="137">
        <v>0</v>
      </c>
      <c r="S286" s="137">
        <v>57303</v>
      </c>
      <c r="T286" s="137">
        <f t="shared" si="48"/>
        <v>0</v>
      </c>
      <c r="U286" s="137">
        <f t="shared" si="52"/>
        <v>57303</v>
      </c>
      <c r="V286" s="137">
        <v>75000</v>
      </c>
      <c r="W286" s="137">
        <f t="shared" si="53"/>
        <v>-17697</v>
      </c>
      <c r="X286" s="137">
        <f t="shared" si="49"/>
        <v>-17697</v>
      </c>
      <c r="Y286" s="137">
        <f t="shared" si="54"/>
        <v>0</v>
      </c>
      <c r="Z286" s="137">
        <v>26284.59</v>
      </c>
      <c r="AA286" s="137">
        <f t="shared" si="50"/>
        <v>48715.41</v>
      </c>
      <c r="AB286" s="146">
        <f t="shared" si="44"/>
        <v>26284.59</v>
      </c>
      <c r="AC286" s="147">
        <f t="shared" si="51"/>
        <v>0</v>
      </c>
      <c r="AD286" s="137">
        <v>22033.518893074099</v>
      </c>
      <c r="AE286" s="138">
        <v>0.17647058823529399</v>
      </c>
      <c r="AF286" s="137">
        <f t="shared" si="46"/>
        <v>3888.2680399542501</v>
      </c>
      <c r="AG286" s="137">
        <f t="shared" si="55"/>
        <v>3888.2680399542501</v>
      </c>
      <c r="AH286" s="154"/>
      <c r="AI286" s="154"/>
      <c r="AJ286" s="135" t="s">
        <v>47</v>
      </c>
      <c r="AK286" s="119" t="s">
        <v>47</v>
      </c>
      <c r="AM286" s="131"/>
    </row>
    <row r="287" spans="1:39" s="119" customFormat="1" ht="15" customHeight="1" x14ac:dyDescent="0.3">
      <c r="A287" s="119">
        <v>2017</v>
      </c>
      <c r="B287" s="119" t="s">
        <v>38</v>
      </c>
      <c r="C287" s="119" t="s">
        <v>54</v>
      </c>
      <c r="D287" s="119" t="s">
        <v>102</v>
      </c>
      <c r="E287" s="119" t="s">
        <v>115</v>
      </c>
      <c r="F287" s="119" t="s">
        <v>501</v>
      </c>
      <c r="G287" s="119" t="s">
        <v>501</v>
      </c>
      <c r="H287" s="119" t="s">
        <v>501</v>
      </c>
      <c r="I287" s="131" t="s">
        <v>243</v>
      </c>
      <c r="J287" s="119" t="s">
        <v>244</v>
      </c>
      <c r="K287" s="119" t="s">
        <v>245</v>
      </c>
      <c r="L287" s="119" t="s">
        <v>501</v>
      </c>
      <c r="M287" s="119" t="s">
        <v>46</v>
      </c>
      <c r="N287" s="135">
        <v>0</v>
      </c>
      <c r="O287" s="135" t="s">
        <v>47</v>
      </c>
      <c r="P287" s="135"/>
      <c r="Q287" s="137">
        <v>0</v>
      </c>
      <c r="R287" s="137">
        <v>0</v>
      </c>
      <c r="S287" s="137">
        <v>10000</v>
      </c>
      <c r="T287" s="137">
        <f t="shared" si="48"/>
        <v>0</v>
      </c>
      <c r="U287" s="137">
        <f t="shared" si="52"/>
        <v>10000</v>
      </c>
      <c r="V287" s="137">
        <v>10000</v>
      </c>
      <c r="W287" s="137">
        <f t="shared" si="53"/>
        <v>0</v>
      </c>
      <c r="X287" s="137">
        <f t="shared" si="49"/>
        <v>0</v>
      </c>
      <c r="Y287" s="137">
        <f t="shared" si="54"/>
        <v>0</v>
      </c>
      <c r="Z287" s="137"/>
      <c r="AA287" s="137">
        <f t="shared" si="50"/>
        <v>10000</v>
      </c>
      <c r="AB287" s="146">
        <f t="shared" si="44"/>
        <v>0</v>
      </c>
      <c r="AC287" s="147">
        <f t="shared" si="51"/>
        <v>0</v>
      </c>
      <c r="AD287" s="137">
        <v>0</v>
      </c>
      <c r="AE287" s="138">
        <v>0.17647058823529399</v>
      </c>
      <c r="AF287" s="137">
        <f t="shared" si="46"/>
        <v>0</v>
      </c>
      <c r="AG287" s="137">
        <f t="shared" si="55"/>
        <v>0</v>
      </c>
      <c r="AH287" s="154"/>
      <c r="AI287" s="154"/>
      <c r="AJ287" s="135" t="s">
        <v>47</v>
      </c>
      <c r="AK287" s="119" t="s">
        <v>47</v>
      </c>
      <c r="AM287" s="131"/>
    </row>
    <row r="288" spans="1:39" s="119" customFormat="1" ht="15" customHeight="1" x14ac:dyDescent="0.3">
      <c r="A288" s="119">
        <v>2017</v>
      </c>
      <c r="B288" s="119" t="s">
        <v>38</v>
      </c>
      <c r="C288" s="119" t="s">
        <v>54</v>
      </c>
      <c r="D288" s="119" t="s">
        <v>102</v>
      </c>
      <c r="E288" s="119" t="s">
        <v>115</v>
      </c>
      <c r="F288" s="119" t="s">
        <v>502</v>
      </c>
      <c r="G288" s="119" t="s">
        <v>502</v>
      </c>
      <c r="H288" s="119" t="s">
        <v>502</v>
      </c>
      <c r="I288" s="131" t="s">
        <v>243</v>
      </c>
      <c r="J288" s="119" t="s">
        <v>244</v>
      </c>
      <c r="K288" s="119" t="s">
        <v>245</v>
      </c>
      <c r="L288" s="119" t="s">
        <v>503</v>
      </c>
      <c r="M288" s="119" t="s">
        <v>46</v>
      </c>
      <c r="N288" s="136">
        <v>0.02</v>
      </c>
      <c r="O288" s="135" t="s">
        <v>495</v>
      </c>
      <c r="P288" s="135" t="s">
        <v>440</v>
      </c>
      <c r="Q288" s="137">
        <v>0</v>
      </c>
      <c r="R288" s="137">
        <v>0</v>
      </c>
      <c r="S288" s="137">
        <v>223018</v>
      </c>
      <c r="T288" s="137">
        <f t="shared" si="48"/>
        <v>4460.3599999999997</v>
      </c>
      <c r="U288" s="137">
        <f t="shared" si="52"/>
        <v>227478.36</v>
      </c>
      <c r="V288" s="137">
        <v>225000</v>
      </c>
      <c r="W288" s="137">
        <f t="shared" si="53"/>
        <v>2478.359999999986</v>
      </c>
      <c r="X288" s="137">
        <f t="shared" si="49"/>
        <v>2429.7647058823391</v>
      </c>
      <c r="Y288" s="137">
        <f t="shared" si="54"/>
        <v>48.595294117646972</v>
      </c>
      <c r="Z288" s="137">
        <f>191385.9-Z1167</f>
        <v>170385.9</v>
      </c>
      <c r="AA288" s="137">
        <f t="shared" si="50"/>
        <v>54614.100000000006</v>
      </c>
      <c r="AB288" s="146">
        <f t="shared" si="44"/>
        <v>170385.9</v>
      </c>
      <c r="AC288" s="147">
        <f t="shared" si="51"/>
        <v>3407.7179999999998</v>
      </c>
      <c r="AD288" s="137">
        <v>160432.58972340799</v>
      </c>
      <c r="AE288" s="138">
        <v>0.17647058823529399</v>
      </c>
      <c r="AF288" s="137">
        <f t="shared" si="46"/>
        <v>28311.633480601391</v>
      </c>
      <c r="AG288" s="137">
        <f t="shared" si="55"/>
        <v>28311.633480601391</v>
      </c>
      <c r="AH288" s="154"/>
      <c r="AI288" s="154"/>
      <c r="AJ288" s="136">
        <v>0.02</v>
      </c>
      <c r="AK288" s="156">
        <v>0.02</v>
      </c>
      <c r="AM288" s="131"/>
    </row>
    <row r="289" spans="1:39" s="119" customFormat="1" ht="15" customHeight="1" x14ac:dyDescent="0.3">
      <c r="A289" s="119">
        <v>2017</v>
      </c>
      <c r="B289" s="119" t="s">
        <v>38</v>
      </c>
      <c r="C289" s="119" t="s">
        <v>54</v>
      </c>
      <c r="D289" s="119" t="s">
        <v>102</v>
      </c>
      <c r="E289" s="119" t="s">
        <v>115</v>
      </c>
      <c r="F289" s="119" t="s">
        <v>116</v>
      </c>
      <c r="G289" s="119" t="s">
        <v>116</v>
      </c>
      <c r="H289" s="119" t="s">
        <v>116</v>
      </c>
      <c r="I289" s="131" t="s">
        <v>243</v>
      </c>
      <c r="J289" s="119" t="s">
        <v>244</v>
      </c>
      <c r="K289" s="119" t="s">
        <v>245</v>
      </c>
      <c r="L289" s="119" t="s">
        <v>504</v>
      </c>
      <c r="M289" s="119" t="s">
        <v>46</v>
      </c>
      <c r="N289" s="136">
        <v>0.02</v>
      </c>
      <c r="O289" s="135" t="s">
        <v>495</v>
      </c>
      <c r="P289" s="135"/>
      <c r="Q289" s="137">
        <v>0</v>
      </c>
      <c r="R289" s="137">
        <v>0</v>
      </c>
      <c r="S289" s="137">
        <v>600000</v>
      </c>
      <c r="T289" s="137">
        <f t="shared" si="48"/>
        <v>12000</v>
      </c>
      <c r="U289" s="137">
        <f t="shared" si="52"/>
        <v>612000</v>
      </c>
      <c r="V289" s="137">
        <v>600000</v>
      </c>
      <c r="W289" s="137">
        <f t="shared" si="53"/>
        <v>12000</v>
      </c>
      <c r="X289" s="137">
        <f t="shared" si="49"/>
        <v>11764.705882352941</v>
      </c>
      <c r="Y289" s="137">
        <f t="shared" si="54"/>
        <v>235.29411764705947</v>
      </c>
      <c r="Z289" s="137">
        <v>562926.96</v>
      </c>
      <c r="AA289" s="137">
        <f t="shared" si="50"/>
        <v>37073.040000000037</v>
      </c>
      <c r="AB289" s="146">
        <f t="shared" si="44"/>
        <v>562926.96</v>
      </c>
      <c r="AC289" s="147">
        <f t="shared" si="51"/>
        <v>11258.539199999999</v>
      </c>
      <c r="AD289" s="137">
        <v>471883.404252482</v>
      </c>
      <c r="AE289" s="138">
        <v>0.17647058823529399</v>
      </c>
      <c r="AF289" s="137">
        <f t="shared" si="46"/>
        <v>83273.541926908525</v>
      </c>
      <c r="AG289" s="137">
        <f t="shared" si="55"/>
        <v>83273.541926908525</v>
      </c>
      <c r="AH289" s="154"/>
      <c r="AI289" s="154"/>
      <c r="AJ289" s="135" t="s">
        <v>173</v>
      </c>
      <c r="AK289" s="119" t="s">
        <v>173</v>
      </c>
      <c r="AM289" s="131"/>
    </row>
    <row r="290" spans="1:39" s="119" customFormat="1" ht="15" customHeight="1" x14ac:dyDescent="0.3">
      <c r="A290" s="119">
        <v>2017</v>
      </c>
      <c r="B290" s="119" t="s">
        <v>38</v>
      </c>
      <c r="C290" s="119" t="s">
        <v>54</v>
      </c>
      <c r="D290" s="119" t="s">
        <v>102</v>
      </c>
      <c r="E290" s="119" t="s">
        <v>115</v>
      </c>
      <c r="F290" s="119" t="s">
        <v>382</v>
      </c>
      <c r="G290" s="119" t="s">
        <v>382</v>
      </c>
      <c r="H290" s="119" t="s">
        <v>382</v>
      </c>
      <c r="I290" s="131" t="s">
        <v>243</v>
      </c>
      <c r="J290" s="119" t="s">
        <v>244</v>
      </c>
      <c r="K290" s="119" t="s">
        <v>245</v>
      </c>
      <c r="L290" s="119" t="s">
        <v>382</v>
      </c>
      <c r="M290" s="119" t="s">
        <v>46</v>
      </c>
      <c r="N290" s="135">
        <v>0</v>
      </c>
      <c r="O290" s="135" t="s">
        <v>47</v>
      </c>
      <c r="P290" s="135"/>
      <c r="Q290" s="137">
        <v>0</v>
      </c>
      <c r="R290" s="137">
        <v>0</v>
      </c>
      <c r="S290" s="137">
        <v>7896.1</v>
      </c>
      <c r="T290" s="137">
        <f t="shared" si="48"/>
        <v>0</v>
      </c>
      <c r="U290" s="137">
        <f t="shared" si="52"/>
        <v>7896.1</v>
      </c>
      <c r="V290" s="137">
        <v>15000</v>
      </c>
      <c r="W290" s="137">
        <f t="shared" si="53"/>
        <v>-7103.9</v>
      </c>
      <c r="X290" s="137">
        <f t="shared" si="49"/>
        <v>-7103.9</v>
      </c>
      <c r="Y290" s="137">
        <f t="shared" si="54"/>
        <v>0</v>
      </c>
      <c r="Z290" s="137">
        <v>7896.1</v>
      </c>
      <c r="AA290" s="137">
        <f t="shared" si="50"/>
        <v>7103.9</v>
      </c>
      <c r="AB290" s="146">
        <f t="shared" si="44"/>
        <v>7896.1</v>
      </c>
      <c r="AC290" s="147">
        <f t="shared" si="51"/>
        <v>0</v>
      </c>
      <c r="AD290" s="137">
        <v>6619.0444108735301</v>
      </c>
      <c r="AE290" s="138">
        <v>0.17647058823529399</v>
      </c>
      <c r="AF290" s="137">
        <f t="shared" si="46"/>
        <v>1168.0666607423868</v>
      </c>
      <c r="AG290" s="137">
        <f t="shared" si="55"/>
        <v>1168.0666607423868</v>
      </c>
      <c r="AH290" s="154"/>
      <c r="AI290" s="154"/>
      <c r="AJ290" s="135" t="s">
        <v>47</v>
      </c>
      <c r="AK290" s="119" t="s">
        <v>47</v>
      </c>
      <c r="AM290" s="131"/>
    </row>
    <row r="291" spans="1:39" s="119" customFormat="1" ht="15" customHeight="1" x14ac:dyDescent="0.3">
      <c r="A291" s="119">
        <v>2017</v>
      </c>
      <c r="B291" s="119" t="s">
        <v>38</v>
      </c>
      <c r="C291" s="119" t="s">
        <v>54</v>
      </c>
      <c r="D291" s="119" t="s">
        <v>102</v>
      </c>
      <c r="E291" s="119" t="s">
        <v>115</v>
      </c>
      <c r="F291" s="119" t="s">
        <v>383</v>
      </c>
      <c r="G291" s="119" t="s">
        <v>383</v>
      </c>
      <c r="H291" s="119" t="s">
        <v>383</v>
      </c>
      <c r="I291" s="131" t="s">
        <v>243</v>
      </c>
      <c r="J291" s="119" t="s">
        <v>244</v>
      </c>
      <c r="K291" s="119" t="s">
        <v>245</v>
      </c>
      <c r="L291" s="119" t="s">
        <v>384</v>
      </c>
      <c r="M291" s="119" t="s">
        <v>46</v>
      </c>
      <c r="N291" s="135">
        <v>0</v>
      </c>
      <c r="O291" s="135" t="s">
        <v>47</v>
      </c>
      <c r="P291" s="135"/>
      <c r="Q291" s="137">
        <v>0</v>
      </c>
      <c r="R291" s="137">
        <v>0</v>
      </c>
      <c r="S291" s="137">
        <v>2920</v>
      </c>
      <c r="T291" s="137">
        <f t="shared" si="48"/>
        <v>0</v>
      </c>
      <c r="U291" s="137">
        <f t="shared" si="52"/>
        <v>2920</v>
      </c>
      <c r="V291" s="137">
        <v>69171.199999999997</v>
      </c>
      <c r="W291" s="137">
        <f t="shared" si="53"/>
        <v>-66251.199999999997</v>
      </c>
      <c r="X291" s="137">
        <f t="shared" si="49"/>
        <v>-66251.199999999997</v>
      </c>
      <c r="Y291" s="137">
        <f t="shared" si="54"/>
        <v>0</v>
      </c>
      <c r="Z291" s="137">
        <v>2920</v>
      </c>
      <c r="AA291" s="137">
        <f t="shared" si="50"/>
        <v>66251.199999999997</v>
      </c>
      <c r="AB291" s="146">
        <f t="shared" si="44"/>
        <v>2920</v>
      </c>
      <c r="AC291" s="147">
        <f t="shared" si="51"/>
        <v>0</v>
      </c>
      <c r="AD291" s="137">
        <v>47940.772732257697</v>
      </c>
      <c r="AE291" s="138">
        <v>0.17647058823529399</v>
      </c>
      <c r="AF291" s="137">
        <f t="shared" si="46"/>
        <v>8460.1363645160582</v>
      </c>
      <c r="AG291" s="137">
        <f t="shared" si="55"/>
        <v>8460.1363645160582</v>
      </c>
      <c r="AH291" s="154"/>
      <c r="AI291" s="154"/>
      <c r="AJ291" s="135" t="s">
        <v>47</v>
      </c>
      <c r="AK291" s="119" t="s">
        <v>47</v>
      </c>
      <c r="AM291" s="131"/>
    </row>
    <row r="292" spans="1:39" s="119" customFormat="1" ht="15" customHeight="1" x14ac:dyDescent="0.3">
      <c r="A292" s="119">
        <v>2017</v>
      </c>
      <c r="B292" s="119" t="s">
        <v>38</v>
      </c>
      <c r="C292" s="119" t="s">
        <v>54</v>
      </c>
      <c r="D292" s="119" t="s">
        <v>102</v>
      </c>
      <c r="E292" s="119" t="s">
        <v>505</v>
      </c>
      <c r="F292" s="119" t="s">
        <v>506</v>
      </c>
      <c r="G292" s="119" t="s">
        <v>506</v>
      </c>
      <c r="H292" s="119" t="s">
        <v>506</v>
      </c>
      <c r="I292" s="131" t="s">
        <v>243</v>
      </c>
      <c r="J292" s="119" t="s">
        <v>244</v>
      </c>
      <c r="K292" s="119" t="s">
        <v>245</v>
      </c>
      <c r="L292" s="119" t="s">
        <v>506</v>
      </c>
      <c r="M292" s="119" t="s">
        <v>46</v>
      </c>
      <c r="N292" s="135">
        <v>0</v>
      </c>
      <c r="O292" s="135" t="s">
        <v>47</v>
      </c>
      <c r="P292" s="135"/>
      <c r="Q292" s="137">
        <v>0</v>
      </c>
      <c r="R292" s="137">
        <v>0</v>
      </c>
      <c r="S292" s="137">
        <v>60000</v>
      </c>
      <c r="T292" s="137">
        <f t="shared" si="48"/>
        <v>0</v>
      </c>
      <c r="U292" s="137">
        <f t="shared" si="52"/>
        <v>60000</v>
      </c>
      <c r="V292" s="137">
        <v>60001</v>
      </c>
      <c r="W292" s="137">
        <f t="shared" si="53"/>
        <v>-1</v>
      </c>
      <c r="X292" s="137">
        <f t="shared" si="49"/>
        <v>-1</v>
      </c>
      <c r="Y292" s="137">
        <f t="shared" si="54"/>
        <v>0</v>
      </c>
      <c r="Z292" s="137">
        <v>36010.400000000001</v>
      </c>
      <c r="AA292" s="137">
        <f t="shared" si="50"/>
        <v>23990.6</v>
      </c>
      <c r="AB292" s="146">
        <f t="shared" si="44"/>
        <v>36010.400000000001</v>
      </c>
      <c r="AC292" s="147">
        <f t="shared" si="51"/>
        <v>0</v>
      </c>
      <c r="AD292" s="137">
        <v>30186.349825017402</v>
      </c>
      <c r="AE292" s="138">
        <v>0.17647058823529399</v>
      </c>
      <c r="AF292" s="137">
        <f t="shared" si="46"/>
        <v>5327.0029102971848</v>
      </c>
      <c r="AG292" s="137">
        <f t="shared" si="55"/>
        <v>5327.0029102971848</v>
      </c>
      <c r="AH292" s="154"/>
      <c r="AI292" s="154"/>
      <c r="AJ292" s="135" t="s">
        <v>47</v>
      </c>
      <c r="AK292" s="119" t="s">
        <v>47</v>
      </c>
      <c r="AM292" s="131"/>
    </row>
    <row r="293" spans="1:39" s="119" customFormat="1" ht="15" customHeight="1" x14ac:dyDescent="0.3">
      <c r="A293" s="119">
        <v>2017</v>
      </c>
      <c r="B293" s="119" t="s">
        <v>38</v>
      </c>
      <c r="C293" s="119" t="s">
        <v>59</v>
      </c>
      <c r="D293" s="119" t="s">
        <v>210</v>
      </c>
      <c r="E293" s="119" t="s">
        <v>190</v>
      </c>
      <c r="F293" s="119" t="s">
        <v>507</v>
      </c>
      <c r="G293" s="119" t="s">
        <v>507</v>
      </c>
      <c r="H293" s="119" t="s">
        <v>507</v>
      </c>
      <c r="I293" s="119" t="s">
        <v>170</v>
      </c>
      <c r="J293" s="119" t="s">
        <v>171</v>
      </c>
      <c r="K293" s="119" t="s">
        <v>172</v>
      </c>
      <c r="L293" s="119" t="s">
        <v>507</v>
      </c>
      <c r="M293" s="119" t="s">
        <v>46</v>
      </c>
      <c r="N293" s="136">
        <v>0.04</v>
      </c>
      <c r="O293" s="135" t="s">
        <v>51</v>
      </c>
      <c r="P293" s="135"/>
      <c r="Q293" s="137">
        <v>0</v>
      </c>
      <c r="R293" s="137">
        <v>0</v>
      </c>
      <c r="S293" s="137">
        <v>6230000</v>
      </c>
      <c r="T293" s="137">
        <f t="shared" si="48"/>
        <v>249200</v>
      </c>
      <c r="U293" s="137">
        <f t="shared" si="52"/>
        <v>6479200</v>
      </c>
      <c r="V293" s="137">
        <v>6217703.0999999996</v>
      </c>
      <c r="W293" s="137">
        <f t="shared" si="53"/>
        <v>261496.90000000037</v>
      </c>
      <c r="X293" s="137">
        <f t="shared" si="49"/>
        <v>251439.32692307729</v>
      </c>
      <c r="Y293" s="137">
        <f t="shared" si="54"/>
        <v>10057.573076923087</v>
      </c>
      <c r="Z293" s="137">
        <v>6435600.9000000004</v>
      </c>
      <c r="AA293" s="137">
        <f t="shared" si="50"/>
        <v>-217897.80000000075</v>
      </c>
      <c r="AB293" s="146">
        <f t="shared" ref="AB293:AB331" si="56">IF(O293="返货",Z293/(1+N293),IF(O293="返现",Z293,IF(O293="折扣",Z293*N293,IF(O293="无",Z293))))</f>
        <v>6188077.788461539</v>
      </c>
      <c r="AC293" s="147">
        <f t="shared" si="51"/>
        <v>247523.11153846141</v>
      </c>
      <c r="AD293" s="137">
        <f>(Z293-Q293)*0.89807640489087</f>
        <v>5779661.3195844479</v>
      </c>
      <c r="AE293" s="138">
        <v>0.11269173273981201</v>
      </c>
      <c r="AF293" s="137">
        <f t="shared" si="46"/>
        <v>651320.0487532398</v>
      </c>
      <c r="AG293" s="137">
        <v>328268.256913797</v>
      </c>
      <c r="AH293" s="154"/>
      <c r="AI293" s="154"/>
      <c r="AJ293" s="135" t="s">
        <v>186</v>
      </c>
      <c r="AK293" s="119" t="s">
        <v>186</v>
      </c>
    </row>
    <row r="294" spans="1:39" s="119" customFormat="1" ht="15" customHeight="1" x14ac:dyDescent="0.3">
      <c r="A294" s="119">
        <v>2017</v>
      </c>
      <c r="B294" s="119" t="s">
        <v>38</v>
      </c>
      <c r="C294" s="119" t="s">
        <v>54</v>
      </c>
      <c r="D294" s="119" t="s">
        <v>102</v>
      </c>
      <c r="E294" s="119" t="s">
        <v>187</v>
      </c>
      <c r="F294" s="119" t="s">
        <v>392</v>
      </c>
      <c r="G294" s="119" t="s">
        <v>508</v>
      </c>
      <c r="H294" s="119" t="s">
        <v>508</v>
      </c>
      <c r="I294" s="131" t="s">
        <v>243</v>
      </c>
      <c r="J294" s="119" t="s">
        <v>244</v>
      </c>
      <c r="K294" s="119" t="s">
        <v>245</v>
      </c>
      <c r="L294" s="119" t="s">
        <v>392</v>
      </c>
      <c r="M294" s="119" t="s">
        <v>46</v>
      </c>
      <c r="N294" s="135">
        <v>0</v>
      </c>
      <c r="O294" s="135" t="s">
        <v>47</v>
      </c>
      <c r="P294" s="135"/>
      <c r="Q294" s="137">
        <v>0</v>
      </c>
      <c r="R294" s="137">
        <v>0</v>
      </c>
      <c r="S294" s="137">
        <v>520000</v>
      </c>
      <c r="T294" s="137">
        <f t="shared" si="48"/>
        <v>0</v>
      </c>
      <c r="U294" s="137">
        <f t="shared" si="52"/>
        <v>520000</v>
      </c>
      <c r="V294" s="137">
        <v>0</v>
      </c>
      <c r="W294" s="137">
        <f t="shared" si="53"/>
        <v>520000</v>
      </c>
      <c r="X294" s="137">
        <f t="shared" si="49"/>
        <v>520000</v>
      </c>
      <c r="Y294" s="137">
        <f t="shared" si="54"/>
        <v>0</v>
      </c>
      <c r="Z294" s="137">
        <v>0</v>
      </c>
      <c r="AA294" s="137">
        <f t="shared" si="50"/>
        <v>0</v>
      </c>
      <c r="AB294" s="146">
        <f t="shared" si="56"/>
        <v>0</v>
      </c>
      <c r="AC294" s="147">
        <f t="shared" si="51"/>
        <v>0</v>
      </c>
      <c r="AD294" s="137">
        <v>0</v>
      </c>
      <c r="AE294" s="138">
        <v>0.17647058823529399</v>
      </c>
      <c r="AF294" s="137">
        <f t="shared" si="46"/>
        <v>0</v>
      </c>
      <c r="AG294" s="137">
        <f>AB294-Z294+AF294</f>
        <v>0</v>
      </c>
      <c r="AH294" s="154"/>
      <c r="AI294" s="154"/>
      <c r="AJ294" s="135" t="s">
        <v>47</v>
      </c>
      <c r="AK294" s="119" t="s">
        <v>47</v>
      </c>
      <c r="AM294" s="131"/>
    </row>
    <row r="295" spans="1:39" s="119" customFormat="1" ht="15" customHeight="1" x14ac:dyDescent="0.3">
      <c r="A295" s="119">
        <v>2017</v>
      </c>
      <c r="B295" s="119" t="s">
        <v>38</v>
      </c>
      <c r="C295" s="119" t="s">
        <v>59</v>
      </c>
      <c r="D295" s="119" t="s">
        <v>106</v>
      </c>
      <c r="E295" s="119" t="s">
        <v>107</v>
      </c>
      <c r="F295" s="119" t="s">
        <v>108</v>
      </c>
      <c r="G295" s="119" t="s">
        <v>108</v>
      </c>
      <c r="H295" s="119" t="s">
        <v>108</v>
      </c>
      <c r="I295" s="119" t="s">
        <v>227</v>
      </c>
      <c r="J295" s="119" t="s">
        <v>228</v>
      </c>
      <c r="K295" s="119" t="s">
        <v>229</v>
      </c>
      <c r="L295" s="119" t="s">
        <v>109</v>
      </c>
      <c r="M295" s="137" t="s">
        <v>185</v>
      </c>
      <c r="N295" s="135">
        <v>6.66668965517241E-2</v>
      </c>
      <c r="O295" s="135" t="s">
        <v>51</v>
      </c>
      <c r="P295" s="135"/>
      <c r="Q295" s="137">
        <v>193632.38</v>
      </c>
      <c r="R295" s="137">
        <v>0</v>
      </c>
      <c r="S295" s="137">
        <v>1450000</v>
      </c>
      <c r="T295" s="137">
        <f t="shared" si="48"/>
        <v>96666.999999999942</v>
      </c>
      <c r="U295" s="137">
        <f t="shared" si="52"/>
        <v>1546667</v>
      </c>
      <c r="V295" s="137">
        <v>1546667</v>
      </c>
      <c r="W295" s="137">
        <f t="shared" si="53"/>
        <v>0</v>
      </c>
      <c r="X295" s="137">
        <f t="shared" si="49"/>
        <v>0</v>
      </c>
      <c r="Y295" s="137">
        <f t="shared" si="54"/>
        <v>0</v>
      </c>
      <c r="Z295" s="137">
        <v>1740299.38</v>
      </c>
      <c r="AA295" s="137">
        <f t="shared" si="50"/>
        <v>0</v>
      </c>
      <c r="AB295" s="146">
        <f t="shared" si="56"/>
        <v>1631530.3171270867</v>
      </c>
      <c r="AC295" s="147">
        <f t="shared" si="51"/>
        <v>108769.0628729132</v>
      </c>
      <c r="AD295" s="137">
        <v>1740299.38</v>
      </c>
      <c r="AE295" s="135">
        <v>0.09</v>
      </c>
      <c r="AF295" s="137">
        <f t="shared" si="46"/>
        <v>156626.9442</v>
      </c>
      <c r="AG295" s="137">
        <v>156626.9442</v>
      </c>
      <c r="AH295" s="137"/>
      <c r="AI295" s="137"/>
      <c r="AJ295" s="135" t="s">
        <v>509</v>
      </c>
      <c r="AK295" s="153" t="s">
        <v>509</v>
      </c>
    </row>
    <row r="296" spans="1:39" s="119" customFormat="1" ht="15" customHeight="1" x14ac:dyDescent="0.3">
      <c r="A296" s="119">
        <v>2017</v>
      </c>
      <c r="B296" s="119" t="s">
        <v>38</v>
      </c>
      <c r="C296" s="119" t="s">
        <v>54</v>
      </c>
      <c r="D296" s="119" t="s">
        <v>102</v>
      </c>
      <c r="E296" s="119" t="s">
        <v>187</v>
      </c>
      <c r="F296" s="119" t="s">
        <v>385</v>
      </c>
      <c r="G296" s="119" t="s">
        <v>385</v>
      </c>
      <c r="H296" s="119" t="s">
        <v>385</v>
      </c>
      <c r="I296" s="131" t="s">
        <v>243</v>
      </c>
      <c r="J296" s="119" t="s">
        <v>244</v>
      </c>
      <c r="K296" s="119" t="s">
        <v>245</v>
      </c>
      <c r="L296" s="119" t="s">
        <v>386</v>
      </c>
      <c r="M296" s="119" t="s">
        <v>46</v>
      </c>
      <c r="N296" s="135">
        <v>0</v>
      </c>
      <c r="O296" s="135" t="s">
        <v>47</v>
      </c>
      <c r="P296" s="135"/>
      <c r="Q296" s="137">
        <v>0</v>
      </c>
      <c r="R296" s="137">
        <v>0</v>
      </c>
      <c r="S296" s="137">
        <v>179065</v>
      </c>
      <c r="T296" s="137">
        <f t="shared" si="48"/>
        <v>0</v>
      </c>
      <c r="U296" s="137">
        <f t="shared" si="52"/>
        <v>179065</v>
      </c>
      <c r="V296" s="137">
        <v>20000</v>
      </c>
      <c r="W296" s="137">
        <f t="shared" si="53"/>
        <v>159065</v>
      </c>
      <c r="X296" s="137">
        <f t="shared" si="49"/>
        <v>159065</v>
      </c>
      <c r="Y296" s="137">
        <f t="shared" si="54"/>
        <v>0</v>
      </c>
      <c r="Z296" s="137">
        <v>16653.5</v>
      </c>
      <c r="AA296" s="137">
        <f t="shared" si="50"/>
        <v>3346.5</v>
      </c>
      <c r="AB296" s="146">
        <f t="shared" si="56"/>
        <v>16653.5</v>
      </c>
      <c r="AC296" s="147">
        <f t="shared" si="51"/>
        <v>0</v>
      </c>
      <c r="AD296" s="137">
        <v>13960.088663578499</v>
      </c>
      <c r="AE296" s="138">
        <v>0.17647058823529399</v>
      </c>
      <c r="AF296" s="137">
        <f t="shared" si="46"/>
        <v>2463.545058278557</v>
      </c>
      <c r="AG296" s="137">
        <f t="shared" ref="AG296:AG304" si="57">AB296-Z296+AF296</f>
        <v>2463.545058278557</v>
      </c>
      <c r="AH296" s="154"/>
      <c r="AI296" s="154"/>
      <c r="AJ296" s="135" t="s">
        <v>47</v>
      </c>
      <c r="AK296" s="119" t="s">
        <v>47</v>
      </c>
      <c r="AM296" s="131"/>
    </row>
    <row r="297" spans="1:39" s="119" customFormat="1" ht="15" customHeight="1" x14ac:dyDescent="0.3">
      <c r="A297" s="119">
        <v>2017</v>
      </c>
      <c r="B297" s="119" t="s">
        <v>38</v>
      </c>
      <c r="C297" s="119" t="s">
        <v>54</v>
      </c>
      <c r="D297" s="119" t="s">
        <v>102</v>
      </c>
      <c r="E297" s="119" t="s">
        <v>187</v>
      </c>
      <c r="F297" s="119" t="s">
        <v>510</v>
      </c>
      <c r="G297" s="119" t="s">
        <v>510</v>
      </c>
      <c r="H297" s="119" t="s">
        <v>510</v>
      </c>
      <c r="I297" s="131" t="s">
        <v>243</v>
      </c>
      <c r="J297" s="119" t="s">
        <v>244</v>
      </c>
      <c r="K297" s="119" t="s">
        <v>245</v>
      </c>
      <c r="L297" s="119" t="s">
        <v>511</v>
      </c>
      <c r="M297" s="119" t="s">
        <v>46</v>
      </c>
      <c r="N297" s="136">
        <v>0.02</v>
      </c>
      <c r="O297" s="135" t="s">
        <v>495</v>
      </c>
      <c r="P297" s="135"/>
      <c r="Q297" s="137">
        <v>0</v>
      </c>
      <c r="R297" s="137">
        <v>0</v>
      </c>
      <c r="S297" s="137">
        <v>2756.74</v>
      </c>
      <c r="T297" s="137">
        <f t="shared" si="48"/>
        <v>55.134799999999998</v>
      </c>
      <c r="U297" s="137">
        <f t="shared" si="52"/>
        <v>2811.8747999999996</v>
      </c>
      <c r="V297" s="137">
        <v>2814</v>
      </c>
      <c r="W297" s="137">
        <f t="shared" si="53"/>
        <v>-2.1252000000004045</v>
      </c>
      <c r="X297" s="137">
        <f t="shared" si="49"/>
        <v>-2.0835294117651024</v>
      </c>
      <c r="Y297" s="137">
        <f t="shared" si="54"/>
        <v>-4.167058823530212E-2</v>
      </c>
      <c r="Z297" s="137">
        <v>2813</v>
      </c>
      <c r="AA297" s="137">
        <f t="shared" si="50"/>
        <v>1</v>
      </c>
      <c r="AB297" s="146">
        <f t="shared" si="56"/>
        <v>2813</v>
      </c>
      <c r="AC297" s="147">
        <f t="shared" si="51"/>
        <v>56.26</v>
      </c>
      <c r="AD297" s="137">
        <v>2358.0466214697399</v>
      </c>
      <c r="AE297" s="138">
        <v>0.17647058823529399</v>
      </c>
      <c r="AF297" s="137">
        <f t="shared" si="46"/>
        <v>416.12587437701262</v>
      </c>
      <c r="AG297" s="137">
        <f t="shared" si="57"/>
        <v>416.12587437701262</v>
      </c>
      <c r="AH297" s="154"/>
      <c r="AI297" s="154"/>
      <c r="AJ297" s="136">
        <v>0.02</v>
      </c>
      <c r="AK297" s="156">
        <v>0.02</v>
      </c>
      <c r="AM297" s="131"/>
    </row>
    <row r="298" spans="1:39" s="119" customFormat="1" ht="15" customHeight="1" x14ac:dyDescent="0.3">
      <c r="A298" s="119">
        <v>2017</v>
      </c>
      <c r="B298" s="119" t="s">
        <v>38</v>
      </c>
      <c r="C298" s="119" t="s">
        <v>54</v>
      </c>
      <c r="D298" s="119" t="s">
        <v>102</v>
      </c>
      <c r="E298" s="119" t="s">
        <v>187</v>
      </c>
      <c r="F298" s="119" t="s">
        <v>512</v>
      </c>
      <c r="G298" s="119" t="s">
        <v>512</v>
      </c>
      <c r="H298" s="119" t="s">
        <v>512</v>
      </c>
      <c r="I298" s="131" t="s">
        <v>243</v>
      </c>
      <c r="J298" s="119" t="s">
        <v>244</v>
      </c>
      <c r="K298" s="119" t="s">
        <v>245</v>
      </c>
      <c r="L298" s="119" t="s">
        <v>512</v>
      </c>
      <c r="M298" s="119" t="s">
        <v>46</v>
      </c>
      <c r="N298" s="135">
        <v>0</v>
      </c>
      <c r="O298" s="135" t="s">
        <v>47</v>
      </c>
      <c r="P298" s="135"/>
      <c r="Q298" s="137">
        <v>0</v>
      </c>
      <c r="R298" s="137">
        <v>0</v>
      </c>
      <c r="S298" s="137">
        <v>200000</v>
      </c>
      <c r="T298" s="137">
        <f t="shared" si="48"/>
        <v>0</v>
      </c>
      <c r="U298" s="137">
        <f t="shared" si="52"/>
        <v>200000</v>
      </c>
      <c r="V298" s="137">
        <v>197000</v>
      </c>
      <c r="W298" s="137">
        <f t="shared" si="53"/>
        <v>3000</v>
      </c>
      <c r="X298" s="137">
        <f t="shared" si="49"/>
        <v>3000</v>
      </c>
      <c r="Y298" s="137">
        <f t="shared" si="54"/>
        <v>0</v>
      </c>
      <c r="Z298" s="137">
        <v>176628.2</v>
      </c>
      <c r="AA298" s="137">
        <f t="shared" si="50"/>
        <v>20371.799999999988</v>
      </c>
      <c r="AB298" s="146">
        <f t="shared" si="56"/>
        <v>176628.2</v>
      </c>
      <c r="AC298" s="147">
        <f t="shared" si="51"/>
        <v>0</v>
      </c>
      <c r="AD298" s="137">
        <v>148061.688683357</v>
      </c>
      <c r="AE298" s="138">
        <v>0.17647058823529399</v>
      </c>
      <c r="AF298" s="137">
        <f t="shared" si="46"/>
        <v>26128.533297062982</v>
      </c>
      <c r="AG298" s="137">
        <f t="shared" si="57"/>
        <v>26128.533297062982</v>
      </c>
      <c r="AH298" s="154"/>
      <c r="AI298" s="154"/>
      <c r="AJ298" s="135" t="s">
        <v>47</v>
      </c>
      <c r="AK298" s="119" t="s">
        <v>47</v>
      </c>
      <c r="AM298" s="131"/>
    </row>
    <row r="299" spans="1:39" s="119" customFormat="1" ht="15" customHeight="1" x14ac:dyDescent="0.3">
      <c r="A299" s="119">
        <v>2017</v>
      </c>
      <c r="B299" s="119" t="s">
        <v>38</v>
      </c>
      <c r="C299" s="119" t="s">
        <v>54</v>
      </c>
      <c r="D299" s="119" t="s">
        <v>102</v>
      </c>
      <c r="E299" s="119" t="s">
        <v>103</v>
      </c>
      <c r="F299" s="119" t="s">
        <v>513</v>
      </c>
      <c r="G299" s="119" t="s">
        <v>513</v>
      </c>
      <c r="H299" s="119" t="s">
        <v>513</v>
      </c>
      <c r="I299" s="131" t="s">
        <v>243</v>
      </c>
      <c r="J299" s="119" t="s">
        <v>244</v>
      </c>
      <c r="K299" s="119" t="s">
        <v>245</v>
      </c>
      <c r="L299" s="119" t="s">
        <v>513</v>
      </c>
      <c r="M299" s="119" t="s">
        <v>46</v>
      </c>
      <c r="N299" s="135">
        <v>0</v>
      </c>
      <c r="O299" s="135" t="s">
        <v>47</v>
      </c>
      <c r="P299" s="135"/>
      <c r="Q299" s="137">
        <v>0</v>
      </c>
      <c r="R299" s="137">
        <v>0</v>
      </c>
      <c r="S299" s="137">
        <v>480000</v>
      </c>
      <c r="T299" s="137">
        <f t="shared" si="48"/>
        <v>0</v>
      </c>
      <c r="U299" s="137">
        <f t="shared" si="52"/>
        <v>480000</v>
      </c>
      <c r="V299" s="137">
        <v>540626</v>
      </c>
      <c r="W299" s="137">
        <f t="shared" si="53"/>
        <v>-60626</v>
      </c>
      <c r="X299" s="137">
        <f t="shared" si="49"/>
        <v>-60626</v>
      </c>
      <c r="Y299" s="137">
        <f t="shared" si="54"/>
        <v>0</v>
      </c>
      <c r="Z299" s="137">
        <v>523634.25</v>
      </c>
      <c r="AA299" s="137">
        <f t="shared" si="50"/>
        <v>16991.75</v>
      </c>
      <c r="AB299" s="146">
        <f t="shared" si="56"/>
        <v>523634.25</v>
      </c>
      <c r="AC299" s="147">
        <f t="shared" si="51"/>
        <v>0</v>
      </c>
      <c r="AD299" s="137">
        <v>438945.60046155099</v>
      </c>
      <c r="AE299" s="138">
        <v>0.17647058823529399</v>
      </c>
      <c r="AF299" s="137">
        <f t="shared" si="46"/>
        <v>77460.988316744231</v>
      </c>
      <c r="AG299" s="137">
        <f t="shared" si="57"/>
        <v>77460.988316744231</v>
      </c>
      <c r="AH299" s="154"/>
      <c r="AI299" s="154"/>
      <c r="AJ299" s="135" t="s">
        <v>47</v>
      </c>
      <c r="AK299" s="119" t="s">
        <v>47</v>
      </c>
      <c r="AM299" s="131"/>
    </row>
    <row r="300" spans="1:39" s="119" customFormat="1" ht="15" customHeight="1" x14ac:dyDescent="0.3">
      <c r="A300" s="119">
        <v>2017</v>
      </c>
      <c r="B300" s="119" t="s">
        <v>199</v>
      </c>
      <c r="C300" s="119" t="s">
        <v>54</v>
      </c>
      <c r="D300" s="119" t="s">
        <v>102</v>
      </c>
      <c r="E300" s="119" t="s">
        <v>103</v>
      </c>
      <c r="F300" s="119" t="s">
        <v>514</v>
      </c>
      <c r="G300" s="119" t="s">
        <v>515</v>
      </c>
      <c r="H300" s="119" t="s">
        <v>516</v>
      </c>
      <c r="I300" s="131" t="s">
        <v>243</v>
      </c>
      <c r="J300" s="119" t="s">
        <v>244</v>
      </c>
      <c r="K300" s="119" t="s">
        <v>245</v>
      </c>
      <c r="L300" s="119" t="s">
        <v>514</v>
      </c>
      <c r="M300" s="119" t="s">
        <v>46</v>
      </c>
      <c r="N300" s="135">
        <v>0</v>
      </c>
      <c r="O300" s="135" t="s">
        <v>47</v>
      </c>
      <c r="P300" s="135"/>
      <c r="Q300" s="137">
        <v>0</v>
      </c>
      <c r="R300" s="137">
        <v>0</v>
      </c>
      <c r="S300" s="137">
        <v>20000</v>
      </c>
      <c r="T300" s="137">
        <f t="shared" si="48"/>
        <v>0</v>
      </c>
      <c r="U300" s="137">
        <f t="shared" si="52"/>
        <v>20000</v>
      </c>
      <c r="V300" s="137">
        <v>20000</v>
      </c>
      <c r="W300" s="137">
        <f t="shared" si="53"/>
        <v>0</v>
      </c>
      <c r="X300" s="137">
        <f t="shared" si="49"/>
        <v>0</v>
      </c>
      <c r="Y300" s="137">
        <f t="shared" si="54"/>
        <v>0</v>
      </c>
      <c r="Z300" s="137">
        <v>18</v>
      </c>
      <c r="AA300" s="137">
        <f t="shared" si="50"/>
        <v>19982</v>
      </c>
      <c r="AB300" s="146">
        <f t="shared" si="56"/>
        <v>18</v>
      </c>
      <c r="AC300" s="147">
        <f t="shared" si="51"/>
        <v>0</v>
      </c>
      <c r="AD300" s="137">
        <v>15.088815921242601</v>
      </c>
      <c r="AE300" s="138">
        <v>0.17647058823529399</v>
      </c>
      <c r="AF300" s="137">
        <f t="shared" si="46"/>
        <v>2.6627322213957512</v>
      </c>
      <c r="AG300" s="137">
        <f t="shared" si="57"/>
        <v>2.6627322213957512</v>
      </c>
      <c r="AH300" s="154"/>
      <c r="AI300" s="154"/>
      <c r="AJ300" s="135" t="s">
        <v>47</v>
      </c>
      <c r="AK300" s="119" t="s">
        <v>47</v>
      </c>
      <c r="AM300" s="131"/>
    </row>
    <row r="301" spans="1:39" s="119" customFormat="1" ht="15" customHeight="1" x14ac:dyDescent="0.3">
      <c r="A301" s="119">
        <v>2017</v>
      </c>
      <c r="B301" s="119" t="s">
        <v>199</v>
      </c>
      <c r="C301" s="119" t="s">
        <v>54</v>
      </c>
      <c r="D301" s="119" t="s">
        <v>102</v>
      </c>
      <c r="E301" s="119" t="s">
        <v>103</v>
      </c>
      <c r="F301" s="119" t="s">
        <v>389</v>
      </c>
      <c r="G301" s="119" t="s">
        <v>390</v>
      </c>
      <c r="H301" s="119" t="s">
        <v>391</v>
      </c>
      <c r="I301" s="131" t="s">
        <v>243</v>
      </c>
      <c r="J301" s="119" t="s">
        <v>244</v>
      </c>
      <c r="K301" s="119" t="s">
        <v>245</v>
      </c>
      <c r="L301" s="119" t="s">
        <v>392</v>
      </c>
      <c r="M301" s="119" t="s">
        <v>46</v>
      </c>
      <c r="N301" s="135">
        <v>0</v>
      </c>
      <c r="O301" s="135" t="s">
        <v>47</v>
      </c>
      <c r="P301" s="135"/>
      <c r="Q301" s="137">
        <v>0</v>
      </c>
      <c r="R301" s="137">
        <v>0</v>
      </c>
      <c r="S301" s="137">
        <v>618837.5</v>
      </c>
      <c r="T301" s="137">
        <f t="shared" si="48"/>
        <v>0</v>
      </c>
      <c r="U301" s="137">
        <f t="shared" si="52"/>
        <v>618837.5</v>
      </c>
      <c r="V301" s="137">
        <v>420000</v>
      </c>
      <c r="W301" s="137">
        <f t="shared" si="53"/>
        <v>198837.5</v>
      </c>
      <c r="X301" s="137">
        <f t="shared" si="49"/>
        <v>198837.5</v>
      </c>
      <c r="Y301" s="137">
        <f t="shared" si="54"/>
        <v>0</v>
      </c>
      <c r="Z301" s="137">
        <v>475496.5</v>
      </c>
      <c r="AA301" s="137">
        <f t="shared" si="50"/>
        <v>-55496.5</v>
      </c>
      <c r="AB301" s="146">
        <f t="shared" si="56"/>
        <v>475496.5</v>
      </c>
      <c r="AC301" s="147">
        <f t="shared" si="51"/>
        <v>0</v>
      </c>
      <c r="AD301" s="137">
        <v>398593.28664972901</v>
      </c>
      <c r="AE301" s="138">
        <v>0.17647058823529399</v>
      </c>
      <c r="AF301" s="137">
        <f t="shared" si="46"/>
        <v>70339.991761716839</v>
      </c>
      <c r="AG301" s="137">
        <f t="shared" si="57"/>
        <v>70339.991761716839</v>
      </c>
      <c r="AH301" s="154"/>
      <c r="AI301" s="154"/>
      <c r="AJ301" s="135" t="s">
        <v>47</v>
      </c>
      <c r="AK301" s="119" t="s">
        <v>47</v>
      </c>
      <c r="AM301" s="131"/>
    </row>
    <row r="302" spans="1:39" s="119" customFormat="1" ht="15" customHeight="1" x14ac:dyDescent="0.3">
      <c r="A302" s="119">
        <v>2017</v>
      </c>
      <c r="B302" s="119" t="s">
        <v>38</v>
      </c>
      <c r="C302" s="119" t="s">
        <v>54</v>
      </c>
      <c r="D302" s="119" t="s">
        <v>102</v>
      </c>
      <c r="E302" s="119" t="s">
        <v>103</v>
      </c>
      <c r="F302" s="119" t="s">
        <v>393</v>
      </c>
      <c r="G302" s="119" t="s">
        <v>393</v>
      </c>
      <c r="H302" s="119" t="s">
        <v>393</v>
      </c>
      <c r="I302" s="131" t="s">
        <v>243</v>
      </c>
      <c r="J302" s="119" t="s">
        <v>244</v>
      </c>
      <c r="K302" s="119" t="s">
        <v>245</v>
      </c>
      <c r="L302" s="119" t="s">
        <v>394</v>
      </c>
      <c r="M302" s="119" t="s">
        <v>46</v>
      </c>
      <c r="N302" s="135">
        <v>0</v>
      </c>
      <c r="O302" s="135" t="s">
        <v>47</v>
      </c>
      <c r="P302" s="135"/>
      <c r="Q302" s="137">
        <v>0</v>
      </c>
      <c r="R302" s="137">
        <v>0</v>
      </c>
      <c r="S302" s="137">
        <v>712010</v>
      </c>
      <c r="T302" s="137">
        <f t="shared" si="48"/>
        <v>0</v>
      </c>
      <c r="U302" s="137">
        <f t="shared" si="52"/>
        <v>712010</v>
      </c>
      <c r="V302" s="137">
        <v>678580</v>
      </c>
      <c r="W302" s="137">
        <f t="shared" si="53"/>
        <v>33430</v>
      </c>
      <c r="X302" s="137">
        <f t="shared" si="49"/>
        <v>33430</v>
      </c>
      <c r="Y302" s="137">
        <f t="shared" si="54"/>
        <v>0</v>
      </c>
      <c r="Z302" s="137">
        <v>636927.02</v>
      </c>
      <c r="AA302" s="137">
        <f t="shared" si="50"/>
        <v>41652.979999999981</v>
      </c>
      <c r="AB302" s="146">
        <f t="shared" si="56"/>
        <v>636927.02</v>
      </c>
      <c r="AC302" s="147">
        <f t="shared" si="51"/>
        <v>0</v>
      </c>
      <c r="AD302" s="137">
        <v>533915.25333586603</v>
      </c>
      <c r="AE302" s="138">
        <v>0.17647058823529399</v>
      </c>
      <c r="AF302" s="137">
        <f t="shared" si="46"/>
        <v>94220.338823976286</v>
      </c>
      <c r="AG302" s="137">
        <f t="shared" si="57"/>
        <v>94220.338823976286</v>
      </c>
      <c r="AH302" s="154"/>
      <c r="AI302" s="154"/>
      <c r="AJ302" s="135" t="s">
        <v>47</v>
      </c>
      <c r="AK302" s="119" t="s">
        <v>47</v>
      </c>
      <c r="AM302" s="131"/>
    </row>
    <row r="303" spans="1:39" s="119" customFormat="1" ht="15" customHeight="1" x14ac:dyDescent="0.3">
      <c r="A303" s="119">
        <v>2017</v>
      </c>
      <c r="B303" s="119" t="s">
        <v>38</v>
      </c>
      <c r="C303" s="119" t="s">
        <v>54</v>
      </c>
      <c r="D303" s="119" t="s">
        <v>102</v>
      </c>
      <c r="E303" s="119" t="s">
        <v>103</v>
      </c>
      <c r="F303" s="119" t="s">
        <v>395</v>
      </c>
      <c r="G303" s="119" t="s">
        <v>395</v>
      </c>
      <c r="H303" s="119" t="s">
        <v>395</v>
      </c>
      <c r="I303" s="131" t="s">
        <v>243</v>
      </c>
      <c r="J303" s="119" t="s">
        <v>244</v>
      </c>
      <c r="K303" s="119" t="s">
        <v>245</v>
      </c>
      <c r="L303" s="119" t="s">
        <v>395</v>
      </c>
      <c r="M303" s="119" t="s">
        <v>46</v>
      </c>
      <c r="N303" s="135">
        <v>0</v>
      </c>
      <c r="O303" s="135" t="s">
        <v>47</v>
      </c>
      <c r="P303" s="135"/>
      <c r="Q303" s="137">
        <v>0</v>
      </c>
      <c r="R303" s="137">
        <v>0</v>
      </c>
      <c r="S303" s="137">
        <v>300000</v>
      </c>
      <c r="T303" s="137">
        <f t="shared" si="48"/>
        <v>0</v>
      </c>
      <c r="U303" s="137">
        <f t="shared" si="52"/>
        <v>300000</v>
      </c>
      <c r="V303" s="137">
        <v>362500</v>
      </c>
      <c r="W303" s="137">
        <f t="shared" si="53"/>
        <v>-62500</v>
      </c>
      <c r="X303" s="137">
        <f t="shared" si="49"/>
        <v>-62500</v>
      </c>
      <c r="Y303" s="137">
        <f t="shared" si="54"/>
        <v>0</v>
      </c>
      <c r="Z303" s="137">
        <v>256002.78</v>
      </c>
      <c r="AA303" s="137">
        <f t="shared" si="50"/>
        <v>106497.22</v>
      </c>
      <c r="AB303" s="146">
        <f t="shared" si="56"/>
        <v>256002.78</v>
      </c>
      <c r="AC303" s="147">
        <f t="shared" si="51"/>
        <v>0</v>
      </c>
      <c r="AD303" s="137">
        <v>214598.823485909</v>
      </c>
      <c r="AE303" s="138">
        <v>0.17647058823529399</v>
      </c>
      <c r="AF303" s="137">
        <f t="shared" ref="AF303:AF366" si="58">AD303*AE303</f>
        <v>37870.380615160386</v>
      </c>
      <c r="AG303" s="137">
        <f t="shared" si="57"/>
        <v>37870.380615160386</v>
      </c>
      <c r="AH303" s="154"/>
      <c r="AI303" s="154"/>
      <c r="AJ303" s="135" t="s">
        <v>47</v>
      </c>
      <c r="AK303" s="119" t="s">
        <v>47</v>
      </c>
      <c r="AM303" s="131"/>
    </row>
    <row r="304" spans="1:39" s="119" customFormat="1" ht="15" customHeight="1" x14ac:dyDescent="0.3">
      <c r="A304" s="119">
        <v>2017</v>
      </c>
      <c r="B304" s="119" t="s">
        <v>38</v>
      </c>
      <c r="C304" s="119" t="s">
        <v>54</v>
      </c>
      <c r="D304" s="119" t="s">
        <v>102</v>
      </c>
      <c r="E304" s="119" t="s">
        <v>103</v>
      </c>
      <c r="F304" s="119" t="s">
        <v>517</v>
      </c>
      <c r="G304" s="119" t="s">
        <v>517</v>
      </c>
      <c r="H304" s="119" t="s">
        <v>517</v>
      </c>
      <c r="I304" s="131" t="s">
        <v>243</v>
      </c>
      <c r="J304" s="119" t="s">
        <v>244</v>
      </c>
      <c r="K304" s="119" t="s">
        <v>245</v>
      </c>
      <c r="L304" s="119" t="s">
        <v>517</v>
      </c>
      <c r="M304" s="119" t="s">
        <v>46</v>
      </c>
      <c r="N304" s="135">
        <v>0</v>
      </c>
      <c r="O304" s="135" t="s">
        <v>47</v>
      </c>
      <c r="P304" s="135"/>
      <c r="Q304" s="137">
        <v>0</v>
      </c>
      <c r="R304" s="137">
        <v>0</v>
      </c>
      <c r="S304" s="137">
        <v>710000</v>
      </c>
      <c r="T304" s="137">
        <f t="shared" si="48"/>
        <v>0</v>
      </c>
      <c r="U304" s="137">
        <f t="shared" si="52"/>
        <v>710000</v>
      </c>
      <c r="V304" s="137">
        <v>534000</v>
      </c>
      <c r="W304" s="137">
        <f t="shared" si="53"/>
        <v>176000</v>
      </c>
      <c r="X304" s="137">
        <f t="shared" si="49"/>
        <v>176000</v>
      </c>
      <c r="Y304" s="137">
        <f t="shared" si="54"/>
        <v>0</v>
      </c>
      <c r="Z304" s="137">
        <v>571542.06000000006</v>
      </c>
      <c r="AA304" s="137">
        <f t="shared" si="50"/>
        <v>-37542.060000000056</v>
      </c>
      <c r="AB304" s="146">
        <f t="shared" si="56"/>
        <v>571542.06000000006</v>
      </c>
      <c r="AC304" s="147">
        <f t="shared" si="51"/>
        <v>0</v>
      </c>
      <c r="AD304" s="137">
        <v>479105.16303265397</v>
      </c>
      <c r="AE304" s="138">
        <v>0.17647058823529399</v>
      </c>
      <c r="AF304" s="137">
        <f t="shared" si="58"/>
        <v>84547.969946938872</v>
      </c>
      <c r="AG304" s="137">
        <f t="shared" si="57"/>
        <v>84547.969946938872</v>
      </c>
      <c r="AH304" s="154"/>
      <c r="AI304" s="154"/>
      <c r="AJ304" s="135" t="s">
        <v>47</v>
      </c>
      <c r="AK304" s="119" t="s">
        <v>47</v>
      </c>
      <c r="AM304" s="131"/>
    </row>
    <row r="305" spans="1:39" s="119" customFormat="1" ht="15" customHeight="1" x14ac:dyDescent="0.3">
      <c r="A305" s="119">
        <v>2017</v>
      </c>
      <c r="B305" s="119" t="s">
        <v>252</v>
      </c>
      <c r="C305" s="119" t="s">
        <v>75</v>
      </c>
      <c r="D305" s="119" t="s">
        <v>518</v>
      </c>
      <c r="F305" s="131" t="s">
        <v>519</v>
      </c>
      <c r="G305" s="131" t="s">
        <v>520</v>
      </c>
      <c r="H305" s="131" t="s">
        <v>521</v>
      </c>
      <c r="I305" s="131" t="s">
        <v>204</v>
      </c>
      <c r="J305" s="119" t="s">
        <v>205</v>
      </c>
      <c r="K305" s="119" t="s">
        <v>206</v>
      </c>
      <c r="L305" s="119" t="s">
        <v>519</v>
      </c>
      <c r="M305" s="119" t="s">
        <v>185</v>
      </c>
      <c r="N305" s="135">
        <v>0.08</v>
      </c>
      <c r="O305" s="135" t="s">
        <v>51</v>
      </c>
      <c r="P305" s="135"/>
      <c r="Q305" s="137">
        <v>0</v>
      </c>
      <c r="R305" s="137">
        <v>0</v>
      </c>
      <c r="S305" s="137"/>
      <c r="T305" s="137">
        <f t="shared" si="48"/>
        <v>0</v>
      </c>
      <c r="U305" s="137">
        <f t="shared" si="52"/>
        <v>0</v>
      </c>
      <c r="V305" s="137">
        <v>0</v>
      </c>
      <c r="W305" s="137">
        <f t="shared" si="53"/>
        <v>0</v>
      </c>
      <c r="X305" s="137">
        <f t="shared" si="49"/>
        <v>0</v>
      </c>
      <c r="Y305" s="137">
        <f t="shared" si="54"/>
        <v>0</v>
      </c>
      <c r="Z305" s="137">
        <v>191616.96</v>
      </c>
      <c r="AA305" s="137">
        <f t="shared" si="50"/>
        <v>-191616.96</v>
      </c>
      <c r="AB305" s="146">
        <f t="shared" si="56"/>
        <v>177423.11111111109</v>
      </c>
      <c r="AC305" s="147">
        <f t="shared" si="51"/>
        <v>14193.848888888897</v>
      </c>
      <c r="AD305" s="137">
        <v>191616.96</v>
      </c>
      <c r="AE305" s="138">
        <v>0.2</v>
      </c>
      <c r="AF305" s="137">
        <f t="shared" si="58"/>
        <v>38323.392</v>
      </c>
      <c r="AG305" s="137">
        <v>38323.392</v>
      </c>
      <c r="AH305" s="154"/>
      <c r="AI305" s="154"/>
      <c r="AJ305" s="135" t="s">
        <v>53</v>
      </c>
      <c r="AM305" s="131" t="s">
        <v>208</v>
      </c>
    </row>
    <row r="306" spans="1:39" s="119" customFormat="1" ht="15" customHeight="1" x14ac:dyDescent="0.3">
      <c r="A306" s="119">
        <v>2017</v>
      </c>
      <c r="B306" s="119" t="s">
        <v>38</v>
      </c>
      <c r="C306" s="119" t="s">
        <v>54</v>
      </c>
      <c r="D306" s="119" t="s">
        <v>396</v>
      </c>
      <c r="E306" s="119" t="s">
        <v>370</v>
      </c>
      <c r="F306" s="119" t="s">
        <v>242</v>
      </c>
      <c r="G306" s="119" t="s">
        <v>242</v>
      </c>
      <c r="H306" s="119" t="s">
        <v>242</v>
      </c>
      <c r="I306" s="131" t="s">
        <v>243</v>
      </c>
      <c r="J306" s="119" t="s">
        <v>244</v>
      </c>
      <c r="K306" s="119" t="s">
        <v>245</v>
      </c>
      <c r="L306" s="119" t="s">
        <v>242</v>
      </c>
      <c r="M306" s="119" t="s">
        <v>46</v>
      </c>
      <c r="N306" s="135">
        <v>0.05</v>
      </c>
      <c r="O306" s="135" t="s">
        <v>51</v>
      </c>
      <c r="P306" s="135"/>
      <c r="Q306" s="137">
        <v>0</v>
      </c>
      <c r="R306" s="137">
        <v>0</v>
      </c>
      <c r="S306" s="137">
        <v>1275000</v>
      </c>
      <c r="T306" s="137">
        <f t="shared" si="48"/>
        <v>63750</v>
      </c>
      <c r="U306" s="137">
        <f t="shared" si="52"/>
        <v>1338750</v>
      </c>
      <c r="V306" s="137">
        <v>205000</v>
      </c>
      <c r="W306" s="137">
        <f t="shared" si="53"/>
        <v>1133750</v>
      </c>
      <c r="X306" s="137">
        <f t="shared" si="49"/>
        <v>1079761.9047619046</v>
      </c>
      <c r="Y306" s="137">
        <f t="shared" si="54"/>
        <v>53988.095238095382</v>
      </c>
      <c r="Z306" s="137">
        <v>188828</v>
      </c>
      <c r="AA306" s="137">
        <f t="shared" si="50"/>
        <v>16172</v>
      </c>
      <c r="AB306" s="146">
        <f t="shared" si="56"/>
        <v>179836.19047619047</v>
      </c>
      <c r="AC306" s="147">
        <f t="shared" si="51"/>
        <v>8991.8095238095266</v>
      </c>
      <c r="AD306" s="137">
        <v>0</v>
      </c>
      <c r="AE306" s="138">
        <v>0.17647058823529399</v>
      </c>
      <c r="AF306" s="137">
        <f t="shared" si="58"/>
        <v>0</v>
      </c>
      <c r="AG306" s="137">
        <f t="shared" ref="AG306:AG324" si="59">AB306-Z306+AF306</f>
        <v>-8991.8095238095266</v>
      </c>
      <c r="AH306" s="154"/>
      <c r="AI306" s="154"/>
      <c r="AJ306" s="135" t="s">
        <v>63</v>
      </c>
      <c r="AK306" s="119" t="s">
        <v>63</v>
      </c>
      <c r="AM306" s="131"/>
    </row>
    <row r="307" spans="1:39" s="119" customFormat="1" ht="15" customHeight="1" x14ac:dyDescent="0.3">
      <c r="A307" s="119">
        <v>2017</v>
      </c>
      <c r="B307" s="119" t="s">
        <v>38</v>
      </c>
      <c r="C307" s="119" t="s">
        <v>54</v>
      </c>
      <c r="D307" s="119" t="s">
        <v>396</v>
      </c>
      <c r="E307" s="119" t="s">
        <v>64</v>
      </c>
      <c r="F307" s="119" t="s">
        <v>397</v>
      </c>
      <c r="G307" s="119" t="s">
        <v>397</v>
      </c>
      <c r="H307" s="119" t="s">
        <v>397</v>
      </c>
      <c r="I307" s="131" t="s">
        <v>243</v>
      </c>
      <c r="J307" s="119" t="s">
        <v>244</v>
      </c>
      <c r="K307" s="119" t="s">
        <v>245</v>
      </c>
      <c r="L307" s="119" t="s">
        <v>398</v>
      </c>
      <c r="M307" s="119" t="s">
        <v>46</v>
      </c>
      <c r="N307" s="135">
        <v>0</v>
      </c>
      <c r="O307" s="135" t="s">
        <v>47</v>
      </c>
      <c r="P307" s="135"/>
      <c r="Q307" s="137">
        <v>0</v>
      </c>
      <c r="R307" s="137">
        <v>0</v>
      </c>
      <c r="S307" s="137">
        <v>20000</v>
      </c>
      <c r="T307" s="137">
        <f t="shared" si="48"/>
        <v>0</v>
      </c>
      <c r="U307" s="137">
        <f t="shared" si="52"/>
        <v>20000</v>
      </c>
      <c r="V307" s="137">
        <v>33042.5</v>
      </c>
      <c r="W307" s="137">
        <f t="shared" si="53"/>
        <v>-13042.5</v>
      </c>
      <c r="X307" s="137">
        <f t="shared" si="49"/>
        <v>-13042.5</v>
      </c>
      <c r="Y307" s="137">
        <f t="shared" si="54"/>
        <v>0</v>
      </c>
      <c r="Z307" s="137">
        <v>20020.5</v>
      </c>
      <c r="AA307" s="137">
        <f t="shared" si="50"/>
        <v>13022</v>
      </c>
      <c r="AB307" s="146">
        <f t="shared" si="56"/>
        <v>20020.5</v>
      </c>
      <c r="AC307" s="147">
        <f t="shared" si="51"/>
        <v>0</v>
      </c>
      <c r="AD307" s="137">
        <v>16782.535508402099</v>
      </c>
      <c r="AE307" s="138">
        <v>0.17647058823529399</v>
      </c>
      <c r="AF307" s="137">
        <f t="shared" si="58"/>
        <v>2961.623913247427</v>
      </c>
      <c r="AG307" s="137">
        <f t="shared" si="59"/>
        <v>2961.623913247427</v>
      </c>
      <c r="AH307" s="154"/>
      <c r="AI307" s="154"/>
      <c r="AJ307" s="135" t="s">
        <v>47</v>
      </c>
      <c r="AK307" s="119" t="s">
        <v>47</v>
      </c>
      <c r="AM307" s="131"/>
    </row>
    <row r="308" spans="1:39" s="119" customFormat="1" ht="15" customHeight="1" x14ac:dyDescent="0.3">
      <c r="A308" s="119">
        <v>2017</v>
      </c>
      <c r="B308" s="119" t="s">
        <v>38</v>
      </c>
      <c r="C308" s="119" t="s">
        <v>88</v>
      </c>
      <c r="D308" s="119" t="s">
        <v>128</v>
      </c>
      <c r="E308" s="119" t="s">
        <v>124</v>
      </c>
      <c r="F308" s="119" t="s">
        <v>169</v>
      </c>
      <c r="G308" s="119" t="s">
        <v>169</v>
      </c>
      <c r="H308" s="119" t="s">
        <v>169</v>
      </c>
      <c r="I308" s="131" t="s">
        <v>243</v>
      </c>
      <c r="J308" s="119" t="s">
        <v>244</v>
      </c>
      <c r="K308" s="119" t="s">
        <v>245</v>
      </c>
      <c r="L308" s="119" t="s">
        <v>169</v>
      </c>
      <c r="M308" s="119" t="s">
        <v>160</v>
      </c>
      <c r="N308" s="136">
        <v>0</v>
      </c>
      <c r="O308" s="135" t="s">
        <v>47</v>
      </c>
      <c r="P308" s="135" t="s">
        <v>179</v>
      </c>
      <c r="Q308" s="137">
        <v>0</v>
      </c>
      <c r="R308" s="137">
        <v>0</v>
      </c>
      <c r="S308" s="137">
        <v>28800</v>
      </c>
      <c r="T308" s="137">
        <f t="shared" si="48"/>
        <v>0</v>
      </c>
      <c r="U308" s="137">
        <f t="shared" si="52"/>
        <v>28800</v>
      </c>
      <c r="V308" s="137">
        <v>0</v>
      </c>
      <c r="W308" s="137">
        <f t="shared" si="53"/>
        <v>28800</v>
      </c>
      <c r="X308" s="137">
        <f t="shared" si="49"/>
        <v>28800</v>
      </c>
      <c r="Y308" s="137">
        <f t="shared" si="54"/>
        <v>0</v>
      </c>
      <c r="Z308" s="137">
        <f t="shared" ref="Z308:Z324" si="60">S308</f>
        <v>28800</v>
      </c>
      <c r="AA308" s="137">
        <f t="shared" si="50"/>
        <v>-28800</v>
      </c>
      <c r="AB308" s="146">
        <f t="shared" si="56"/>
        <v>28800</v>
      </c>
      <c r="AC308" s="147">
        <f t="shared" si="51"/>
        <v>0</v>
      </c>
      <c r="AD308" s="137">
        <v>24000</v>
      </c>
      <c r="AE308" s="138">
        <v>0</v>
      </c>
      <c r="AF308" s="137">
        <f t="shared" si="58"/>
        <v>0</v>
      </c>
      <c r="AG308" s="137">
        <f t="shared" si="59"/>
        <v>0</v>
      </c>
      <c r="AH308" s="154"/>
      <c r="AI308" s="154"/>
      <c r="AJ308" s="135" t="s">
        <v>522</v>
      </c>
      <c r="AK308" s="119" t="s">
        <v>522</v>
      </c>
      <c r="AL308" s="119" t="s">
        <v>523</v>
      </c>
      <c r="AM308" s="131"/>
    </row>
    <row r="309" spans="1:39" s="119" customFormat="1" ht="15" customHeight="1" x14ac:dyDescent="0.3">
      <c r="A309" s="119">
        <v>2017</v>
      </c>
      <c r="B309" s="119" t="s">
        <v>38</v>
      </c>
      <c r="C309" s="119" t="s">
        <v>110</v>
      </c>
      <c r="D309" s="119" t="s">
        <v>280</v>
      </c>
      <c r="E309" s="119" t="s">
        <v>281</v>
      </c>
      <c r="F309" s="119" t="s">
        <v>282</v>
      </c>
      <c r="G309" s="119" t="s">
        <v>282</v>
      </c>
      <c r="H309" s="119" t="s">
        <v>282</v>
      </c>
      <c r="I309" s="131" t="s">
        <v>243</v>
      </c>
      <c r="J309" s="119" t="s">
        <v>244</v>
      </c>
      <c r="K309" s="119" t="s">
        <v>245</v>
      </c>
      <c r="L309" s="119" t="s">
        <v>283</v>
      </c>
      <c r="M309" s="119" t="s">
        <v>160</v>
      </c>
      <c r="N309" s="135">
        <v>0</v>
      </c>
      <c r="O309" s="135" t="s">
        <v>47</v>
      </c>
      <c r="P309" s="135" t="s">
        <v>179</v>
      </c>
      <c r="Q309" s="137">
        <v>0</v>
      </c>
      <c r="R309" s="137">
        <v>0</v>
      </c>
      <c r="S309" s="137">
        <v>215900</v>
      </c>
      <c r="T309" s="137">
        <f t="shared" si="48"/>
        <v>0</v>
      </c>
      <c r="U309" s="137">
        <f t="shared" si="52"/>
        <v>215900</v>
      </c>
      <c r="V309" s="137">
        <v>0</v>
      </c>
      <c r="W309" s="137">
        <f t="shared" si="53"/>
        <v>215900</v>
      </c>
      <c r="X309" s="137">
        <f t="shared" si="49"/>
        <v>215900</v>
      </c>
      <c r="Y309" s="137">
        <f t="shared" si="54"/>
        <v>0</v>
      </c>
      <c r="Z309" s="137">
        <f t="shared" si="60"/>
        <v>215900</v>
      </c>
      <c r="AA309" s="137">
        <f t="shared" si="50"/>
        <v>-215900</v>
      </c>
      <c r="AB309" s="146">
        <f t="shared" si="56"/>
        <v>215900</v>
      </c>
      <c r="AC309" s="147">
        <f t="shared" si="51"/>
        <v>0</v>
      </c>
      <c r="AD309" s="137">
        <v>185000</v>
      </c>
      <c r="AE309" s="138">
        <v>0</v>
      </c>
      <c r="AF309" s="137">
        <f t="shared" si="58"/>
        <v>0</v>
      </c>
      <c r="AG309" s="137">
        <f t="shared" si="59"/>
        <v>0</v>
      </c>
      <c r="AH309" s="154"/>
      <c r="AI309" s="154"/>
      <c r="AJ309" s="135" t="s">
        <v>47</v>
      </c>
      <c r="AK309" s="119" t="s">
        <v>47</v>
      </c>
      <c r="AL309" s="119" t="s">
        <v>523</v>
      </c>
      <c r="AM309" s="131"/>
    </row>
    <row r="310" spans="1:39" s="119" customFormat="1" ht="15" customHeight="1" x14ac:dyDescent="0.3">
      <c r="A310" s="119">
        <v>2017</v>
      </c>
      <c r="B310" s="119" t="s">
        <v>38</v>
      </c>
      <c r="C310" s="119" t="s">
        <v>75</v>
      </c>
      <c r="D310" s="119" t="s">
        <v>76</v>
      </c>
      <c r="E310" s="119" t="s">
        <v>150</v>
      </c>
      <c r="F310" s="119" t="s">
        <v>300</v>
      </c>
      <c r="G310" s="119" t="s">
        <v>301</v>
      </c>
      <c r="H310" s="119" t="s">
        <v>301</v>
      </c>
      <c r="I310" s="131" t="s">
        <v>243</v>
      </c>
      <c r="J310" s="119" t="s">
        <v>244</v>
      </c>
      <c r="K310" s="119" t="s">
        <v>245</v>
      </c>
      <c r="L310" s="119" t="s">
        <v>300</v>
      </c>
      <c r="M310" s="119" t="s">
        <v>160</v>
      </c>
      <c r="N310" s="135">
        <v>0</v>
      </c>
      <c r="O310" s="135" t="s">
        <v>47</v>
      </c>
      <c r="P310" s="135" t="s">
        <v>179</v>
      </c>
      <c r="Q310" s="137">
        <v>0</v>
      </c>
      <c r="R310" s="137">
        <v>0</v>
      </c>
      <c r="S310" s="137">
        <v>292400</v>
      </c>
      <c r="T310" s="137">
        <f t="shared" si="48"/>
        <v>0</v>
      </c>
      <c r="U310" s="137">
        <f t="shared" si="52"/>
        <v>292400</v>
      </c>
      <c r="V310" s="137">
        <v>0</v>
      </c>
      <c r="W310" s="137">
        <f t="shared" si="53"/>
        <v>292400</v>
      </c>
      <c r="X310" s="137">
        <f t="shared" si="49"/>
        <v>292400</v>
      </c>
      <c r="Y310" s="137">
        <f t="shared" si="54"/>
        <v>0</v>
      </c>
      <c r="Z310" s="137">
        <f t="shared" si="60"/>
        <v>292400</v>
      </c>
      <c r="AA310" s="137">
        <f t="shared" si="50"/>
        <v>-292400</v>
      </c>
      <c r="AB310" s="146">
        <f t="shared" si="56"/>
        <v>292400</v>
      </c>
      <c r="AC310" s="147">
        <f t="shared" si="51"/>
        <v>0</v>
      </c>
      <c r="AD310" s="137">
        <v>0</v>
      </c>
      <c r="AE310" s="138">
        <v>0</v>
      </c>
      <c r="AF310" s="137">
        <f t="shared" si="58"/>
        <v>0</v>
      </c>
      <c r="AG310" s="137">
        <f t="shared" si="59"/>
        <v>0</v>
      </c>
      <c r="AH310" s="154"/>
      <c r="AI310" s="154"/>
      <c r="AJ310" s="135" t="s">
        <v>47</v>
      </c>
      <c r="AK310" s="119" t="s">
        <v>47</v>
      </c>
      <c r="AL310" s="119" t="s">
        <v>523</v>
      </c>
      <c r="AM310" s="131"/>
    </row>
    <row r="311" spans="1:39" s="119" customFormat="1" ht="15" customHeight="1" x14ac:dyDescent="0.3">
      <c r="A311" s="119">
        <v>2017</v>
      </c>
      <c r="B311" s="119" t="s">
        <v>38</v>
      </c>
      <c r="C311" s="119" t="s">
        <v>75</v>
      </c>
      <c r="D311" s="119" t="s">
        <v>76</v>
      </c>
      <c r="E311" s="119" t="s">
        <v>304</v>
      </c>
      <c r="F311" s="119" t="s">
        <v>237</v>
      </c>
      <c r="G311" s="119" t="s">
        <v>237</v>
      </c>
      <c r="H311" s="119" t="s">
        <v>237</v>
      </c>
      <c r="I311" s="131" t="s">
        <v>243</v>
      </c>
      <c r="J311" s="119" t="s">
        <v>244</v>
      </c>
      <c r="K311" s="119" t="s">
        <v>245</v>
      </c>
      <c r="L311" s="119" t="s">
        <v>442</v>
      </c>
      <c r="M311" s="119" t="s">
        <v>160</v>
      </c>
      <c r="N311" s="135">
        <v>0</v>
      </c>
      <c r="O311" s="135" t="s">
        <v>47</v>
      </c>
      <c r="P311" s="135" t="s">
        <v>179</v>
      </c>
      <c r="Q311" s="137">
        <v>0</v>
      </c>
      <c r="R311" s="137">
        <v>0</v>
      </c>
      <c r="S311" s="137">
        <v>240000</v>
      </c>
      <c r="T311" s="137">
        <f t="shared" si="48"/>
        <v>0</v>
      </c>
      <c r="U311" s="137">
        <f t="shared" si="52"/>
        <v>240000</v>
      </c>
      <c r="V311" s="137">
        <v>0</v>
      </c>
      <c r="W311" s="137">
        <f t="shared" si="53"/>
        <v>240000</v>
      </c>
      <c r="X311" s="137">
        <f t="shared" si="49"/>
        <v>240000</v>
      </c>
      <c r="Y311" s="137">
        <f t="shared" si="54"/>
        <v>0</v>
      </c>
      <c r="Z311" s="137">
        <f t="shared" si="60"/>
        <v>240000</v>
      </c>
      <c r="AA311" s="137">
        <f t="shared" si="50"/>
        <v>-240000</v>
      </c>
      <c r="AB311" s="146">
        <f t="shared" si="56"/>
        <v>240000</v>
      </c>
      <c r="AC311" s="147">
        <f t="shared" si="51"/>
        <v>0</v>
      </c>
      <c r="AD311" s="137">
        <v>202500</v>
      </c>
      <c r="AE311" s="138">
        <v>0</v>
      </c>
      <c r="AF311" s="137">
        <f t="shared" si="58"/>
        <v>0</v>
      </c>
      <c r="AG311" s="137">
        <f t="shared" si="59"/>
        <v>0</v>
      </c>
      <c r="AH311" s="154"/>
      <c r="AI311" s="154"/>
      <c r="AJ311" s="135" t="s">
        <v>47</v>
      </c>
      <c r="AK311" s="119" t="s">
        <v>47</v>
      </c>
      <c r="AL311" s="119" t="s">
        <v>523</v>
      </c>
      <c r="AM311" s="131"/>
    </row>
    <row r="312" spans="1:39" s="119" customFormat="1" ht="15" customHeight="1" x14ac:dyDescent="0.3">
      <c r="A312" s="119">
        <v>2017</v>
      </c>
      <c r="B312" s="119" t="s">
        <v>38</v>
      </c>
      <c r="C312" s="119" t="s">
        <v>75</v>
      </c>
      <c r="D312" s="119" t="s">
        <v>76</v>
      </c>
      <c r="E312" s="119" t="s">
        <v>304</v>
      </c>
      <c r="F312" s="119" t="s">
        <v>159</v>
      </c>
      <c r="G312" s="119" t="s">
        <v>159</v>
      </c>
      <c r="H312" s="119" t="s">
        <v>159</v>
      </c>
      <c r="I312" s="131" t="s">
        <v>243</v>
      </c>
      <c r="J312" s="119" t="s">
        <v>244</v>
      </c>
      <c r="K312" s="119" t="s">
        <v>245</v>
      </c>
      <c r="L312" s="119" t="s">
        <v>159</v>
      </c>
      <c r="M312" s="119" t="s">
        <v>160</v>
      </c>
      <c r="N312" s="135">
        <v>0</v>
      </c>
      <c r="O312" s="135" t="s">
        <v>47</v>
      </c>
      <c r="P312" s="135" t="s">
        <v>179</v>
      </c>
      <c r="Q312" s="137">
        <v>0</v>
      </c>
      <c r="R312" s="137">
        <v>0</v>
      </c>
      <c r="S312" s="137">
        <v>155000</v>
      </c>
      <c r="T312" s="137">
        <f t="shared" si="48"/>
        <v>0</v>
      </c>
      <c r="U312" s="137">
        <f t="shared" si="52"/>
        <v>155000</v>
      </c>
      <c r="V312" s="137">
        <v>0</v>
      </c>
      <c r="W312" s="137">
        <f t="shared" si="53"/>
        <v>155000</v>
      </c>
      <c r="X312" s="137">
        <f t="shared" si="49"/>
        <v>155000</v>
      </c>
      <c r="Y312" s="137">
        <f t="shared" si="54"/>
        <v>0</v>
      </c>
      <c r="Z312" s="137">
        <f t="shared" si="60"/>
        <v>155000</v>
      </c>
      <c r="AA312" s="137">
        <f t="shared" si="50"/>
        <v>-155000</v>
      </c>
      <c r="AB312" s="146">
        <f t="shared" si="56"/>
        <v>155000</v>
      </c>
      <c r="AC312" s="147">
        <f t="shared" si="51"/>
        <v>0</v>
      </c>
      <c r="AD312" s="137">
        <v>133750</v>
      </c>
      <c r="AE312" s="138">
        <v>0</v>
      </c>
      <c r="AF312" s="137">
        <f t="shared" si="58"/>
        <v>0</v>
      </c>
      <c r="AG312" s="137">
        <f t="shared" si="59"/>
        <v>0</v>
      </c>
      <c r="AH312" s="154"/>
      <c r="AI312" s="154"/>
      <c r="AJ312" s="135" t="s">
        <v>47</v>
      </c>
      <c r="AK312" s="119" t="s">
        <v>47</v>
      </c>
      <c r="AL312" s="119" t="s">
        <v>523</v>
      </c>
      <c r="AM312" s="131"/>
    </row>
    <row r="313" spans="1:39" s="119" customFormat="1" ht="15" customHeight="1" x14ac:dyDescent="0.3">
      <c r="A313" s="119">
        <v>2017</v>
      </c>
      <c r="B313" s="119" t="s">
        <v>38</v>
      </c>
      <c r="C313" s="119" t="s">
        <v>59</v>
      </c>
      <c r="D313" s="119" t="s">
        <v>154</v>
      </c>
      <c r="E313" s="119" t="s">
        <v>67</v>
      </c>
      <c r="F313" s="119" t="s">
        <v>345</v>
      </c>
      <c r="G313" s="119" t="s">
        <v>524</v>
      </c>
      <c r="H313" s="119" t="s">
        <v>524</v>
      </c>
      <c r="I313" s="131" t="s">
        <v>243</v>
      </c>
      <c r="J313" s="119" t="s">
        <v>244</v>
      </c>
      <c r="K313" s="119" t="s">
        <v>245</v>
      </c>
      <c r="L313" s="119" t="s">
        <v>345</v>
      </c>
      <c r="M313" s="119" t="s">
        <v>160</v>
      </c>
      <c r="N313" s="136">
        <v>0</v>
      </c>
      <c r="O313" s="135" t="s">
        <v>47</v>
      </c>
      <c r="P313" s="135" t="s">
        <v>179</v>
      </c>
      <c r="Q313" s="137">
        <v>0</v>
      </c>
      <c r="R313" s="137">
        <v>0</v>
      </c>
      <c r="S313" s="137">
        <v>149000</v>
      </c>
      <c r="T313" s="137">
        <f t="shared" si="48"/>
        <v>0</v>
      </c>
      <c r="U313" s="137">
        <f t="shared" si="52"/>
        <v>149000</v>
      </c>
      <c r="V313" s="137">
        <v>0</v>
      </c>
      <c r="W313" s="137">
        <f t="shared" si="53"/>
        <v>149000</v>
      </c>
      <c r="X313" s="137">
        <f t="shared" si="49"/>
        <v>149000</v>
      </c>
      <c r="Y313" s="137">
        <f t="shared" si="54"/>
        <v>0</v>
      </c>
      <c r="Z313" s="137">
        <f t="shared" si="60"/>
        <v>149000</v>
      </c>
      <c r="AA313" s="137">
        <f t="shared" si="50"/>
        <v>-149000</v>
      </c>
      <c r="AB313" s="146">
        <f t="shared" si="56"/>
        <v>149000</v>
      </c>
      <c r="AC313" s="147">
        <f t="shared" si="51"/>
        <v>0</v>
      </c>
      <c r="AD313" s="137">
        <v>135000</v>
      </c>
      <c r="AE313" s="138">
        <v>0</v>
      </c>
      <c r="AF313" s="137">
        <f t="shared" si="58"/>
        <v>0</v>
      </c>
      <c r="AG313" s="137">
        <f t="shared" si="59"/>
        <v>0</v>
      </c>
      <c r="AH313" s="154"/>
      <c r="AI313" s="154"/>
      <c r="AJ313" s="136">
        <v>0.6</v>
      </c>
      <c r="AK313" s="156">
        <v>0.6</v>
      </c>
      <c r="AL313" s="119" t="s">
        <v>523</v>
      </c>
      <c r="AM313" s="131"/>
    </row>
    <row r="314" spans="1:39" s="119" customFormat="1" ht="15" customHeight="1" x14ac:dyDescent="0.3">
      <c r="A314" s="119">
        <v>2017</v>
      </c>
      <c r="B314" s="119" t="s">
        <v>38</v>
      </c>
      <c r="C314" s="119" t="s">
        <v>59</v>
      </c>
      <c r="D314" s="119" t="s">
        <v>106</v>
      </c>
      <c r="E314" s="119" t="s">
        <v>239</v>
      </c>
      <c r="F314" s="119" t="s">
        <v>240</v>
      </c>
      <c r="G314" s="119" t="s">
        <v>240</v>
      </c>
      <c r="H314" s="119" t="s">
        <v>240</v>
      </c>
      <c r="I314" s="131" t="s">
        <v>243</v>
      </c>
      <c r="J314" s="119" t="s">
        <v>244</v>
      </c>
      <c r="K314" s="119" t="s">
        <v>245</v>
      </c>
      <c r="L314" s="119" t="s">
        <v>240</v>
      </c>
      <c r="M314" s="119" t="s">
        <v>160</v>
      </c>
      <c r="N314" s="136">
        <v>0</v>
      </c>
      <c r="O314" s="135" t="s">
        <v>47</v>
      </c>
      <c r="P314" s="135" t="s">
        <v>179</v>
      </c>
      <c r="Q314" s="137">
        <v>0</v>
      </c>
      <c r="R314" s="137">
        <v>0</v>
      </c>
      <c r="S314" s="137">
        <v>19200</v>
      </c>
      <c r="T314" s="137">
        <f t="shared" si="48"/>
        <v>0</v>
      </c>
      <c r="U314" s="137">
        <f t="shared" si="52"/>
        <v>19200</v>
      </c>
      <c r="V314" s="137">
        <v>0</v>
      </c>
      <c r="W314" s="137">
        <f t="shared" si="53"/>
        <v>19200</v>
      </c>
      <c r="X314" s="137">
        <f t="shared" si="49"/>
        <v>19200</v>
      </c>
      <c r="Y314" s="137">
        <f t="shared" si="54"/>
        <v>0</v>
      </c>
      <c r="Z314" s="137">
        <f t="shared" si="60"/>
        <v>19200</v>
      </c>
      <c r="AA314" s="137">
        <f t="shared" si="50"/>
        <v>-19200</v>
      </c>
      <c r="AB314" s="146">
        <f t="shared" si="56"/>
        <v>19200</v>
      </c>
      <c r="AC314" s="147">
        <f t="shared" si="51"/>
        <v>0</v>
      </c>
      <c r="AD314" s="137">
        <v>12000</v>
      </c>
      <c r="AE314" s="138">
        <v>0</v>
      </c>
      <c r="AF314" s="137">
        <f t="shared" si="58"/>
        <v>0</v>
      </c>
      <c r="AG314" s="137">
        <f t="shared" si="59"/>
        <v>0</v>
      </c>
      <c r="AH314" s="154"/>
      <c r="AI314" s="154"/>
      <c r="AJ314" s="135" t="s">
        <v>525</v>
      </c>
      <c r="AK314" s="119" t="s">
        <v>525</v>
      </c>
      <c r="AL314" s="119" t="s">
        <v>523</v>
      </c>
      <c r="AM314" s="131"/>
    </row>
    <row r="315" spans="1:39" s="119" customFormat="1" ht="15" customHeight="1" x14ac:dyDescent="0.3">
      <c r="A315" s="119">
        <v>2017</v>
      </c>
      <c r="B315" s="119" t="s">
        <v>252</v>
      </c>
      <c r="C315" s="119" t="s">
        <v>59</v>
      </c>
      <c r="D315" s="119" t="s">
        <v>106</v>
      </c>
      <c r="E315" s="119" t="s">
        <v>61</v>
      </c>
      <c r="F315" s="119" t="s">
        <v>297</v>
      </c>
      <c r="G315" s="119" t="s">
        <v>474</v>
      </c>
      <c r="H315" s="119" t="s">
        <v>299</v>
      </c>
      <c r="I315" s="131" t="s">
        <v>243</v>
      </c>
      <c r="J315" s="119" t="s">
        <v>244</v>
      </c>
      <c r="K315" s="119" t="s">
        <v>245</v>
      </c>
      <c r="L315" s="119" t="s">
        <v>300</v>
      </c>
      <c r="M315" s="119" t="s">
        <v>160</v>
      </c>
      <c r="N315" s="136">
        <v>0</v>
      </c>
      <c r="O315" s="135" t="s">
        <v>47</v>
      </c>
      <c r="P315" s="135" t="s">
        <v>179</v>
      </c>
      <c r="Q315" s="137">
        <v>0</v>
      </c>
      <c r="R315" s="137">
        <v>0</v>
      </c>
      <c r="S315" s="137">
        <v>240000</v>
      </c>
      <c r="T315" s="137">
        <f t="shared" si="48"/>
        <v>0</v>
      </c>
      <c r="U315" s="137">
        <f t="shared" si="52"/>
        <v>240000</v>
      </c>
      <c r="V315" s="137">
        <v>532400</v>
      </c>
      <c r="W315" s="137">
        <f t="shared" si="53"/>
        <v>-292400</v>
      </c>
      <c r="X315" s="137">
        <f t="shared" si="49"/>
        <v>-292400</v>
      </c>
      <c r="Y315" s="137">
        <f t="shared" si="54"/>
        <v>0</v>
      </c>
      <c r="Z315" s="137">
        <f t="shared" si="60"/>
        <v>240000</v>
      </c>
      <c r="AA315" s="137">
        <f t="shared" si="50"/>
        <v>292400</v>
      </c>
      <c r="AB315" s="146">
        <f t="shared" si="56"/>
        <v>240000</v>
      </c>
      <c r="AC315" s="147">
        <f t="shared" si="51"/>
        <v>0</v>
      </c>
      <c r="AD315" s="137">
        <v>437000</v>
      </c>
      <c r="AE315" s="138">
        <v>0</v>
      </c>
      <c r="AF315" s="137">
        <f t="shared" si="58"/>
        <v>0</v>
      </c>
      <c r="AG315" s="137">
        <f t="shared" si="59"/>
        <v>0</v>
      </c>
      <c r="AH315" s="154"/>
      <c r="AI315" s="154"/>
      <c r="AJ315" s="136">
        <v>0.6</v>
      </c>
      <c r="AK315" s="156">
        <v>0.6</v>
      </c>
      <c r="AL315" s="119" t="s">
        <v>523</v>
      </c>
      <c r="AM315" s="131"/>
    </row>
    <row r="316" spans="1:39" s="119" customFormat="1" ht="15" customHeight="1" x14ac:dyDescent="0.3">
      <c r="A316" s="119">
        <v>2017</v>
      </c>
      <c r="B316" s="119" t="s">
        <v>38</v>
      </c>
      <c r="C316" s="119" t="s">
        <v>59</v>
      </c>
      <c r="D316" s="119" t="s">
        <v>106</v>
      </c>
      <c r="E316" s="119" t="s">
        <v>61</v>
      </c>
      <c r="F316" s="119" t="s">
        <v>353</v>
      </c>
      <c r="G316" s="119" t="s">
        <v>353</v>
      </c>
      <c r="H316" s="119" t="s">
        <v>353</v>
      </c>
      <c r="I316" s="131" t="s">
        <v>243</v>
      </c>
      <c r="J316" s="119" t="s">
        <v>244</v>
      </c>
      <c r="K316" s="119" t="s">
        <v>245</v>
      </c>
      <c r="L316" s="119" t="s">
        <v>354</v>
      </c>
      <c r="M316" s="119" t="s">
        <v>160</v>
      </c>
      <c r="N316" s="135">
        <v>0</v>
      </c>
      <c r="O316" s="135" t="s">
        <v>47</v>
      </c>
      <c r="P316" s="135" t="s">
        <v>179</v>
      </c>
      <c r="Q316" s="137">
        <v>0</v>
      </c>
      <c r="R316" s="137">
        <v>0</v>
      </c>
      <c r="S316" s="137">
        <v>105000</v>
      </c>
      <c r="T316" s="137">
        <f t="shared" si="48"/>
        <v>0</v>
      </c>
      <c r="U316" s="137">
        <f t="shared" si="52"/>
        <v>105000</v>
      </c>
      <c r="V316" s="137">
        <v>0</v>
      </c>
      <c r="W316" s="137">
        <f t="shared" si="53"/>
        <v>105000</v>
      </c>
      <c r="X316" s="137">
        <f t="shared" si="49"/>
        <v>105000</v>
      </c>
      <c r="Y316" s="137">
        <f t="shared" si="54"/>
        <v>0</v>
      </c>
      <c r="Z316" s="137">
        <f t="shared" si="60"/>
        <v>105000</v>
      </c>
      <c r="AA316" s="137">
        <f t="shared" si="50"/>
        <v>-105000</v>
      </c>
      <c r="AB316" s="146">
        <f t="shared" si="56"/>
        <v>105000</v>
      </c>
      <c r="AC316" s="147">
        <f t="shared" si="51"/>
        <v>0</v>
      </c>
      <c r="AD316" s="137">
        <v>78750</v>
      </c>
      <c r="AE316" s="138">
        <v>0</v>
      </c>
      <c r="AF316" s="137">
        <f t="shared" si="58"/>
        <v>0</v>
      </c>
      <c r="AG316" s="137">
        <f t="shared" si="59"/>
        <v>0</v>
      </c>
      <c r="AH316" s="154"/>
      <c r="AI316" s="154"/>
      <c r="AJ316" s="136">
        <v>0</v>
      </c>
      <c r="AK316" s="119">
        <v>0</v>
      </c>
      <c r="AL316" s="119" t="s">
        <v>523</v>
      </c>
      <c r="AM316" s="131"/>
    </row>
    <row r="317" spans="1:39" s="119" customFormat="1" ht="15" customHeight="1" x14ac:dyDescent="0.3">
      <c r="A317" s="119">
        <v>2017</v>
      </c>
      <c r="B317" s="119" t="s">
        <v>38</v>
      </c>
      <c r="C317" s="119" t="s">
        <v>54</v>
      </c>
      <c r="D317" s="119" t="s">
        <v>55</v>
      </c>
      <c r="E317" s="119" t="s">
        <v>368</v>
      </c>
      <c r="F317" s="119" t="s">
        <v>526</v>
      </c>
      <c r="G317" s="119" t="s">
        <v>526</v>
      </c>
      <c r="H317" s="119" t="s">
        <v>526</v>
      </c>
      <c r="I317" s="131" t="s">
        <v>243</v>
      </c>
      <c r="J317" s="119" t="s">
        <v>244</v>
      </c>
      <c r="K317" s="119" t="s">
        <v>245</v>
      </c>
      <c r="L317" s="119" t="s">
        <v>526</v>
      </c>
      <c r="M317" s="119" t="s">
        <v>160</v>
      </c>
      <c r="N317" s="136">
        <v>0</v>
      </c>
      <c r="O317" s="135" t="s">
        <v>47</v>
      </c>
      <c r="P317" s="135" t="s">
        <v>179</v>
      </c>
      <c r="Q317" s="137">
        <v>0</v>
      </c>
      <c r="R317" s="137">
        <v>0</v>
      </c>
      <c r="S317" s="137">
        <v>99000</v>
      </c>
      <c r="T317" s="137">
        <f t="shared" si="48"/>
        <v>0</v>
      </c>
      <c r="U317" s="137">
        <f t="shared" si="52"/>
        <v>99000</v>
      </c>
      <c r="V317" s="137">
        <v>0</v>
      </c>
      <c r="W317" s="137">
        <f t="shared" si="53"/>
        <v>99000</v>
      </c>
      <c r="X317" s="137">
        <f t="shared" si="49"/>
        <v>99000</v>
      </c>
      <c r="Y317" s="137">
        <f t="shared" si="54"/>
        <v>0</v>
      </c>
      <c r="Z317" s="137">
        <f t="shared" si="60"/>
        <v>99000</v>
      </c>
      <c r="AA317" s="137">
        <f t="shared" si="50"/>
        <v>-99000</v>
      </c>
      <c r="AB317" s="146">
        <f t="shared" si="56"/>
        <v>99000</v>
      </c>
      <c r="AC317" s="147">
        <f t="shared" si="51"/>
        <v>0</v>
      </c>
      <c r="AD317" s="137">
        <v>90000</v>
      </c>
      <c r="AE317" s="138">
        <v>0</v>
      </c>
      <c r="AF317" s="137">
        <f t="shared" si="58"/>
        <v>0</v>
      </c>
      <c r="AG317" s="137">
        <f t="shared" si="59"/>
        <v>0</v>
      </c>
      <c r="AH317" s="154"/>
      <c r="AI317" s="154"/>
      <c r="AJ317" s="136">
        <v>0.6</v>
      </c>
      <c r="AK317" s="156">
        <v>0.6</v>
      </c>
      <c r="AL317" s="119" t="s">
        <v>523</v>
      </c>
      <c r="AM317" s="131"/>
    </row>
    <row r="318" spans="1:39" s="119" customFormat="1" ht="15" customHeight="1" x14ac:dyDescent="0.3">
      <c r="A318" s="119">
        <v>2017</v>
      </c>
      <c r="B318" s="119" t="s">
        <v>38</v>
      </c>
      <c r="C318" s="119" t="s">
        <v>54</v>
      </c>
      <c r="D318" s="119" t="s">
        <v>55</v>
      </c>
      <c r="E318" s="119" t="s">
        <v>64</v>
      </c>
      <c r="F318" s="119" t="s">
        <v>374</v>
      </c>
      <c r="G318" s="119" t="s">
        <v>374</v>
      </c>
      <c r="H318" s="119" t="s">
        <v>374</v>
      </c>
      <c r="I318" s="131" t="s">
        <v>243</v>
      </c>
      <c r="J318" s="119" t="s">
        <v>244</v>
      </c>
      <c r="K318" s="119" t="s">
        <v>245</v>
      </c>
      <c r="L318" s="119" t="s">
        <v>375</v>
      </c>
      <c r="M318" s="119" t="s">
        <v>160</v>
      </c>
      <c r="N318" s="135">
        <v>0</v>
      </c>
      <c r="O318" s="135" t="s">
        <v>47</v>
      </c>
      <c r="P318" s="135" t="s">
        <v>179</v>
      </c>
      <c r="Q318" s="137">
        <v>0</v>
      </c>
      <c r="R318" s="137">
        <v>0</v>
      </c>
      <c r="S318" s="137">
        <v>60000</v>
      </c>
      <c r="T318" s="137">
        <f t="shared" si="48"/>
        <v>0</v>
      </c>
      <c r="U318" s="137">
        <f t="shared" si="52"/>
        <v>60000</v>
      </c>
      <c r="V318" s="137">
        <v>0</v>
      </c>
      <c r="W318" s="137">
        <f t="shared" si="53"/>
        <v>60000</v>
      </c>
      <c r="X318" s="137">
        <f t="shared" si="49"/>
        <v>60000</v>
      </c>
      <c r="Y318" s="137">
        <f t="shared" si="54"/>
        <v>0</v>
      </c>
      <c r="Z318" s="137">
        <f t="shared" si="60"/>
        <v>60000</v>
      </c>
      <c r="AA318" s="137">
        <f t="shared" si="50"/>
        <v>-60000</v>
      </c>
      <c r="AB318" s="146">
        <f t="shared" si="56"/>
        <v>60000</v>
      </c>
      <c r="AC318" s="147">
        <f t="shared" si="51"/>
        <v>0</v>
      </c>
      <c r="AD318" s="137">
        <v>45000</v>
      </c>
      <c r="AE318" s="138">
        <v>0</v>
      </c>
      <c r="AF318" s="137">
        <f t="shared" si="58"/>
        <v>0</v>
      </c>
      <c r="AG318" s="137">
        <f t="shared" si="59"/>
        <v>0</v>
      </c>
      <c r="AH318" s="154"/>
      <c r="AI318" s="154"/>
      <c r="AJ318" s="135" t="s">
        <v>47</v>
      </c>
      <c r="AK318" s="119" t="s">
        <v>47</v>
      </c>
      <c r="AL318" s="119" t="s">
        <v>523</v>
      </c>
      <c r="AM318" s="131"/>
    </row>
    <row r="319" spans="1:39" s="119" customFormat="1" ht="15" customHeight="1" x14ac:dyDescent="0.3">
      <c r="A319" s="119">
        <v>2017</v>
      </c>
      <c r="B319" s="119" t="s">
        <v>38</v>
      </c>
      <c r="C319" s="119" t="s">
        <v>54</v>
      </c>
      <c r="D319" s="119" t="s">
        <v>102</v>
      </c>
      <c r="E319" s="119" t="s">
        <v>187</v>
      </c>
      <c r="F319" s="119" t="s">
        <v>527</v>
      </c>
      <c r="G319" s="119" t="s">
        <v>527</v>
      </c>
      <c r="H319" s="119" t="s">
        <v>527</v>
      </c>
      <c r="I319" s="131" t="s">
        <v>243</v>
      </c>
      <c r="J319" s="119" t="s">
        <v>244</v>
      </c>
      <c r="K319" s="119" t="s">
        <v>245</v>
      </c>
      <c r="L319" s="119" t="s">
        <v>528</v>
      </c>
      <c r="M319" s="119" t="s">
        <v>160</v>
      </c>
      <c r="N319" s="135">
        <v>0</v>
      </c>
      <c r="O319" s="135" t="s">
        <v>47</v>
      </c>
      <c r="P319" s="135" t="s">
        <v>179</v>
      </c>
      <c r="Q319" s="137">
        <v>0</v>
      </c>
      <c r="R319" s="137">
        <v>0</v>
      </c>
      <c r="S319" s="137">
        <v>133500</v>
      </c>
      <c r="T319" s="137">
        <f t="shared" si="48"/>
        <v>0</v>
      </c>
      <c r="U319" s="137">
        <f t="shared" si="52"/>
        <v>133500</v>
      </c>
      <c r="V319" s="137">
        <v>0</v>
      </c>
      <c r="W319" s="137">
        <f t="shared" si="53"/>
        <v>133500</v>
      </c>
      <c r="X319" s="137">
        <f t="shared" si="49"/>
        <v>133500</v>
      </c>
      <c r="Y319" s="137">
        <f t="shared" si="54"/>
        <v>0</v>
      </c>
      <c r="Z319" s="137">
        <f t="shared" si="60"/>
        <v>133500</v>
      </c>
      <c r="AA319" s="137">
        <f t="shared" si="50"/>
        <v>-133500</v>
      </c>
      <c r="AB319" s="146">
        <f t="shared" si="56"/>
        <v>133500</v>
      </c>
      <c r="AC319" s="147">
        <f t="shared" si="51"/>
        <v>0</v>
      </c>
      <c r="AD319" s="137">
        <v>106000</v>
      </c>
      <c r="AE319" s="138">
        <v>0</v>
      </c>
      <c r="AF319" s="137">
        <f t="shared" si="58"/>
        <v>0</v>
      </c>
      <c r="AG319" s="137">
        <f t="shared" si="59"/>
        <v>0</v>
      </c>
      <c r="AH319" s="154"/>
      <c r="AI319" s="154"/>
      <c r="AJ319" s="135" t="s">
        <v>47</v>
      </c>
      <c r="AK319" s="119" t="s">
        <v>47</v>
      </c>
      <c r="AL319" s="119" t="s">
        <v>523</v>
      </c>
      <c r="AM319" s="131"/>
    </row>
    <row r="320" spans="1:39" s="119" customFormat="1" ht="15" customHeight="1" x14ac:dyDescent="0.3">
      <c r="A320" s="119">
        <v>2017</v>
      </c>
      <c r="B320" s="119" t="s">
        <v>38</v>
      </c>
      <c r="C320" s="119" t="s">
        <v>54</v>
      </c>
      <c r="D320" s="119" t="s">
        <v>102</v>
      </c>
      <c r="E320" s="119" t="s">
        <v>187</v>
      </c>
      <c r="F320" s="119" t="s">
        <v>392</v>
      </c>
      <c r="G320" s="119" t="s">
        <v>508</v>
      </c>
      <c r="H320" s="119" t="s">
        <v>508</v>
      </c>
      <c r="I320" s="131" t="s">
        <v>243</v>
      </c>
      <c r="J320" s="119" t="s">
        <v>244</v>
      </c>
      <c r="K320" s="119" t="s">
        <v>245</v>
      </c>
      <c r="L320" s="119" t="s">
        <v>392</v>
      </c>
      <c r="M320" s="119" t="s">
        <v>160</v>
      </c>
      <c r="N320" s="135">
        <v>0</v>
      </c>
      <c r="O320" s="135" t="s">
        <v>47</v>
      </c>
      <c r="P320" s="135" t="s">
        <v>179</v>
      </c>
      <c r="Q320" s="137">
        <v>0</v>
      </c>
      <c r="R320" s="137">
        <v>0</v>
      </c>
      <c r="S320" s="137">
        <v>120000</v>
      </c>
      <c r="T320" s="137">
        <f t="shared" si="48"/>
        <v>0</v>
      </c>
      <c r="U320" s="137">
        <f t="shared" si="52"/>
        <v>120000</v>
      </c>
      <c r="V320" s="137">
        <v>0</v>
      </c>
      <c r="W320" s="137">
        <f t="shared" si="53"/>
        <v>120000</v>
      </c>
      <c r="X320" s="137">
        <f t="shared" si="49"/>
        <v>120000</v>
      </c>
      <c r="Y320" s="137">
        <f t="shared" si="54"/>
        <v>0</v>
      </c>
      <c r="Z320" s="137">
        <f t="shared" si="60"/>
        <v>120000</v>
      </c>
      <c r="AA320" s="137">
        <f t="shared" si="50"/>
        <v>-120000</v>
      </c>
      <c r="AB320" s="146">
        <f t="shared" si="56"/>
        <v>120000</v>
      </c>
      <c r="AC320" s="147">
        <f t="shared" si="51"/>
        <v>0</v>
      </c>
      <c r="AD320" s="137">
        <v>100000</v>
      </c>
      <c r="AE320" s="138">
        <v>0</v>
      </c>
      <c r="AF320" s="137">
        <f t="shared" si="58"/>
        <v>0</v>
      </c>
      <c r="AG320" s="137">
        <f t="shared" si="59"/>
        <v>0</v>
      </c>
      <c r="AH320" s="154"/>
      <c r="AI320" s="154"/>
      <c r="AJ320" s="135" t="s">
        <v>47</v>
      </c>
      <c r="AK320" s="119" t="s">
        <v>47</v>
      </c>
      <c r="AL320" s="119" t="s">
        <v>523</v>
      </c>
      <c r="AM320" s="131"/>
    </row>
    <row r="321" spans="1:40" s="119" customFormat="1" ht="15" customHeight="1" x14ac:dyDescent="0.3">
      <c r="A321" s="119">
        <v>2017</v>
      </c>
      <c r="B321" s="119" t="s">
        <v>38</v>
      </c>
      <c r="C321" s="119" t="s">
        <v>54</v>
      </c>
      <c r="D321" s="119" t="s">
        <v>102</v>
      </c>
      <c r="E321" s="119" t="s">
        <v>103</v>
      </c>
      <c r="F321" s="119" t="s">
        <v>513</v>
      </c>
      <c r="G321" s="119" t="s">
        <v>513</v>
      </c>
      <c r="H321" s="119" t="s">
        <v>513</v>
      </c>
      <c r="I321" s="131" t="s">
        <v>243</v>
      </c>
      <c r="J321" s="119" t="s">
        <v>244</v>
      </c>
      <c r="K321" s="119" t="s">
        <v>245</v>
      </c>
      <c r="L321" s="119" t="s">
        <v>529</v>
      </c>
      <c r="M321" s="119" t="s">
        <v>160</v>
      </c>
      <c r="N321" s="136">
        <v>0</v>
      </c>
      <c r="O321" s="135" t="s">
        <v>47</v>
      </c>
      <c r="P321" s="135" t="s">
        <v>179</v>
      </c>
      <c r="Q321" s="137">
        <v>0</v>
      </c>
      <c r="R321" s="137">
        <v>0</v>
      </c>
      <c r="S321" s="137">
        <v>25000</v>
      </c>
      <c r="T321" s="137">
        <f t="shared" si="48"/>
        <v>0</v>
      </c>
      <c r="U321" s="137">
        <f t="shared" si="52"/>
        <v>25000</v>
      </c>
      <c r="V321" s="137">
        <v>0</v>
      </c>
      <c r="W321" s="137">
        <f t="shared" si="53"/>
        <v>25000</v>
      </c>
      <c r="X321" s="137">
        <f t="shared" si="49"/>
        <v>25000</v>
      </c>
      <c r="Y321" s="137">
        <f t="shared" si="54"/>
        <v>0</v>
      </c>
      <c r="Z321" s="137">
        <f t="shared" si="60"/>
        <v>25000</v>
      </c>
      <c r="AA321" s="137">
        <f t="shared" si="50"/>
        <v>-25000</v>
      </c>
      <c r="AB321" s="146">
        <f t="shared" si="56"/>
        <v>25000</v>
      </c>
      <c r="AC321" s="147">
        <f t="shared" si="51"/>
        <v>0</v>
      </c>
      <c r="AD321" s="137">
        <v>18750</v>
      </c>
      <c r="AE321" s="138">
        <v>0</v>
      </c>
      <c r="AF321" s="137">
        <f t="shared" si="58"/>
        <v>0</v>
      </c>
      <c r="AG321" s="137">
        <f t="shared" si="59"/>
        <v>0</v>
      </c>
      <c r="AH321" s="154"/>
      <c r="AI321" s="154"/>
      <c r="AJ321" s="136">
        <v>0.6</v>
      </c>
      <c r="AK321" s="156">
        <v>0.6</v>
      </c>
      <c r="AL321" s="119" t="s">
        <v>523</v>
      </c>
      <c r="AM321" s="131"/>
    </row>
    <row r="322" spans="1:40" s="119" customFormat="1" ht="15" customHeight="1" x14ac:dyDescent="0.3">
      <c r="A322" s="119">
        <v>2017</v>
      </c>
      <c r="B322" s="119" t="s">
        <v>38</v>
      </c>
      <c r="C322" s="119" t="s">
        <v>54</v>
      </c>
      <c r="D322" s="119" t="s">
        <v>102</v>
      </c>
      <c r="E322" s="119" t="s">
        <v>103</v>
      </c>
      <c r="F322" s="119" t="s">
        <v>517</v>
      </c>
      <c r="G322" s="119" t="s">
        <v>517</v>
      </c>
      <c r="H322" s="119" t="s">
        <v>517</v>
      </c>
      <c r="I322" s="131" t="s">
        <v>243</v>
      </c>
      <c r="J322" s="119" t="s">
        <v>244</v>
      </c>
      <c r="K322" s="119" t="s">
        <v>245</v>
      </c>
      <c r="L322" s="119" t="s">
        <v>530</v>
      </c>
      <c r="M322" s="119" t="s">
        <v>160</v>
      </c>
      <c r="N322" s="135">
        <v>0</v>
      </c>
      <c r="O322" s="135" t="s">
        <v>47</v>
      </c>
      <c r="P322" s="135" t="s">
        <v>179</v>
      </c>
      <c r="Q322" s="137">
        <v>0</v>
      </c>
      <c r="R322" s="137">
        <v>0</v>
      </c>
      <c r="S322" s="137">
        <v>385000</v>
      </c>
      <c r="T322" s="137">
        <f t="shared" ref="T322:T385" si="61">S322*N322</f>
        <v>0</v>
      </c>
      <c r="U322" s="137">
        <f t="shared" si="52"/>
        <v>385000</v>
      </c>
      <c r="V322" s="137">
        <v>0</v>
      </c>
      <c r="W322" s="137">
        <f t="shared" si="53"/>
        <v>385000</v>
      </c>
      <c r="X322" s="137">
        <f t="shared" ref="X322:X385" si="62">W322/(1+N322)</f>
        <v>385000</v>
      </c>
      <c r="Y322" s="137">
        <f t="shared" si="54"/>
        <v>0</v>
      </c>
      <c r="Z322" s="137">
        <f t="shared" si="60"/>
        <v>385000</v>
      </c>
      <c r="AA322" s="137">
        <f t="shared" ref="AA322:AA385" si="63">Q322+V322-Z322</f>
        <v>-385000</v>
      </c>
      <c r="AB322" s="146">
        <f t="shared" si="56"/>
        <v>385000</v>
      </c>
      <c r="AC322" s="147">
        <f t="shared" ref="AC322:AC385" si="64">IF(O322="返现",Z322*N322,Z322-AB322)</f>
        <v>0</v>
      </c>
      <c r="AD322" s="137">
        <v>288750</v>
      </c>
      <c r="AE322" s="138">
        <v>0</v>
      </c>
      <c r="AF322" s="137">
        <f t="shared" si="58"/>
        <v>0</v>
      </c>
      <c r="AG322" s="137">
        <f t="shared" si="59"/>
        <v>0</v>
      </c>
      <c r="AH322" s="154"/>
      <c r="AI322" s="154"/>
      <c r="AJ322" s="135" t="s">
        <v>47</v>
      </c>
      <c r="AK322" s="119" t="s">
        <v>47</v>
      </c>
      <c r="AL322" s="119" t="s">
        <v>523</v>
      </c>
      <c r="AM322" s="131"/>
    </row>
    <row r="323" spans="1:40" s="119" customFormat="1" ht="15" customHeight="1" x14ac:dyDescent="0.3">
      <c r="A323" s="119">
        <v>2017</v>
      </c>
      <c r="B323" s="119" t="s">
        <v>38</v>
      </c>
      <c r="C323" s="119" t="s">
        <v>54</v>
      </c>
      <c r="D323" s="119" t="s">
        <v>102</v>
      </c>
      <c r="E323" s="119" t="s">
        <v>103</v>
      </c>
      <c r="F323" s="119" t="s">
        <v>531</v>
      </c>
      <c r="G323" s="119" t="s">
        <v>532</v>
      </c>
      <c r="H323" s="119" t="s">
        <v>532</v>
      </c>
      <c r="I323" s="131" t="s">
        <v>243</v>
      </c>
      <c r="J323" s="119" t="s">
        <v>244</v>
      </c>
      <c r="K323" s="119" t="s">
        <v>245</v>
      </c>
      <c r="L323" s="119" t="s">
        <v>531</v>
      </c>
      <c r="M323" s="119" t="s">
        <v>160</v>
      </c>
      <c r="N323" s="135">
        <v>0</v>
      </c>
      <c r="O323" s="135" t="s">
        <v>47</v>
      </c>
      <c r="P323" s="135" t="s">
        <v>179</v>
      </c>
      <c r="Q323" s="137">
        <v>0</v>
      </c>
      <c r="R323" s="137">
        <v>0</v>
      </c>
      <c r="S323" s="137">
        <v>20000</v>
      </c>
      <c r="T323" s="137">
        <f t="shared" si="61"/>
        <v>0</v>
      </c>
      <c r="U323" s="137">
        <f t="shared" ref="U323:U386" si="65">R323+S323+T323</f>
        <v>20000</v>
      </c>
      <c r="V323" s="137">
        <v>0</v>
      </c>
      <c r="W323" s="137">
        <f t="shared" ref="W323:W386" si="66">U323-V323</f>
        <v>20000</v>
      </c>
      <c r="X323" s="137">
        <f t="shared" si="62"/>
        <v>20000</v>
      </c>
      <c r="Y323" s="137">
        <f t="shared" ref="Y323:Y386" si="67">W323-X323</f>
        <v>0</v>
      </c>
      <c r="Z323" s="137">
        <f t="shared" si="60"/>
        <v>20000</v>
      </c>
      <c r="AA323" s="137">
        <f t="shared" si="63"/>
        <v>-20000</v>
      </c>
      <c r="AB323" s="146">
        <f t="shared" si="56"/>
        <v>20000</v>
      </c>
      <c r="AC323" s="147">
        <f t="shared" si="64"/>
        <v>0</v>
      </c>
      <c r="AD323" s="137">
        <v>15000</v>
      </c>
      <c r="AE323" s="138">
        <v>0</v>
      </c>
      <c r="AF323" s="137">
        <f t="shared" si="58"/>
        <v>0</v>
      </c>
      <c r="AG323" s="137">
        <f t="shared" si="59"/>
        <v>0</v>
      </c>
      <c r="AH323" s="154"/>
      <c r="AI323" s="154"/>
      <c r="AJ323" s="136">
        <v>0.6</v>
      </c>
      <c r="AK323" s="156">
        <v>0.6</v>
      </c>
      <c r="AL323" s="119" t="s">
        <v>523</v>
      </c>
      <c r="AM323" s="131"/>
    </row>
    <row r="324" spans="1:40" s="119" customFormat="1" ht="15" customHeight="1" x14ac:dyDescent="0.3">
      <c r="A324" s="119">
        <v>2017</v>
      </c>
      <c r="B324" s="119" t="s">
        <v>38</v>
      </c>
      <c r="C324" s="119" t="s">
        <v>54</v>
      </c>
      <c r="D324" s="119" t="s">
        <v>396</v>
      </c>
      <c r="E324" s="119" t="s">
        <v>370</v>
      </c>
      <c r="F324" s="119" t="s">
        <v>242</v>
      </c>
      <c r="G324" s="119" t="s">
        <v>242</v>
      </c>
      <c r="H324" s="119" t="s">
        <v>242</v>
      </c>
      <c r="I324" s="131" t="s">
        <v>243</v>
      </c>
      <c r="J324" s="119" t="s">
        <v>244</v>
      </c>
      <c r="K324" s="119" t="s">
        <v>245</v>
      </c>
      <c r="L324" s="119" t="s">
        <v>242</v>
      </c>
      <c r="M324" s="119" t="s">
        <v>160</v>
      </c>
      <c r="N324" s="136">
        <v>0</v>
      </c>
      <c r="O324" s="135" t="s">
        <v>47</v>
      </c>
      <c r="P324" s="135" t="s">
        <v>179</v>
      </c>
      <c r="Q324" s="137">
        <v>0</v>
      </c>
      <c r="R324" s="137">
        <v>0</v>
      </c>
      <c r="S324" s="137">
        <v>756200</v>
      </c>
      <c r="T324" s="137">
        <f t="shared" si="61"/>
        <v>0</v>
      </c>
      <c r="U324" s="137">
        <f t="shared" si="65"/>
        <v>756200</v>
      </c>
      <c r="V324" s="137">
        <v>0</v>
      </c>
      <c r="W324" s="137">
        <f t="shared" si="66"/>
        <v>756200</v>
      </c>
      <c r="X324" s="137">
        <f t="shared" si="62"/>
        <v>756200</v>
      </c>
      <c r="Y324" s="137">
        <f t="shared" si="67"/>
        <v>0</v>
      </c>
      <c r="Z324" s="137">
        <f t="shared" si="60"/>
        <v>756200</v>
      </c>
      <c r="AA324" s="137">
        <f t="shared" si="63"/>
        <v>-756200</v>
      </c>
      <c r="AB324" s="146">
        <f t="shared" si="56"/>
        <v>756200</v>
      </c>
      <c r="AC324" s="147">
        <f t="shared" si="64"/>
        <v>0</v>
      </c>
      <c r="AD324" s="137">
        <v>638500</v>
      </c>
      <c r="AE324" s="138">
        <v>0</v>
      </c>
      <c r="AF324" s="137">
        <f t="shared" si="58"/>
        <v>0</v>
      </c>
      <c r="AG324" s="137">
        <f t="shared" si="59"/>
        <v>0</v>
      </c>
      <c r="AH324" s="154"/>
      <c r="AI324" s="154"/>
      <c r="AJ324" s="136">
        <v>0.6</v>
      </c>
      <c r="AK324" s="156">
        <v>0.6</v>
      </c>
      <c r="AL324" s="119" t="s">
        <v>523</v>
      </c>
      <c r="AM324" s="131"/>
    </row>
    <row r="325" spans="1:40" s="119" customFormat="1" ht="15" customHeight="1" x14ac:dyDescent="0.3">
      <c r="A325" s="119">
        <v>2017</v>
      </c>
      <c r="B325" s="131" t="s">
        <v>38</v>
      </c>
      <c r="C325" s="119" t="s">
        <v>59</v>
      </c>
      <c r="D325" s="131"/>
      <c r="E325" s="131"/>
      <c r="F325" s="131" t="s">
        <v>360</v>
      </c>
      <c r="G325" s="131" t="s">
        <v>360</v>
      </c>
      <c r="H325" s="131" t="s">
        <v>360</v>
      </c>
      <c r="I325" s="131" t="s">
        <v>243</v>
      </c>
      <c r="J325" s="119" t="s">
        <v>244</v>
      </c>
      <c r="K325" s="119" t="s">
        <v>266</v>
      </c>
      <c r="L325" s="119" t="s">
        <v>360</v>
      </c>
      <c r="M325" s="119" t="s">
        <v>46</v>
      </c>
      <c r="N325" s="135">
        <v>0</v>
      </c>
      <c r="O325" s="135" t="s">
        <v>47</v>
      </c>
      <c r="P325" s="135"/>
      <c r="Q325" s="137">
        <v>0</v>
      </c>
      <c r="R325" s="137">
        <v>0</v>
      </c>
      <c r="S325" s="131"/>
      <c r="T325" s="137">
        <f t="shared" si="61"/>
        <v>0</v>
      </c>
      <c r="U325" s="137">
        <f t="shared" si="65"/>
        <v>0</v>
      </c>
      <c r="V325" s="137">
        <v>31483.5</v>
      </c>
      <c r="W325" s="137">
        <f t="shared" si="66"/>
        <v>-31483.5</v>
      </c>
      <c r="X325" s="137">
        <f t="shared" si="62"/>
        <v>-31483.5</v>
      </c>
      <c r="Y325" s="137">
        <f t="shared" si="67"/>
        <v>0</v>
      </c>
      <c r="Z325" s="137">
        <v>41978</v>
      </c>
      <c r="AA325" s="137">
        <f t="shared" si="63"/>
        <v>-10494.5</v>
      </c>
      <c r="AB325" s="146">
        <f t="shared" si="56"/>
        <v>41978</v>
      </c>
      <c r="AC325" s="147">
        <f t="shared" si="64"/>
        <v>0</v>
      </c>
      <c r="AD325" s="137">
        <v>31483.5</v>
      </c>
      <c r="AE325" s="138">
        <v>0</v>
      </c>
      <c r="AF325" s="137">
        <f t="shared" si="58"/>
        <v>0</v>
      </c>
      <c r="AG325" s="131"/>
      <c r="AH325" s="131"/>
      <c r="AI325" s="131"/>
      <c r="AJ325" s="135" t="s">
        <v>47</v>
      </c>
      <c r="AK325" s="131"/>
      <c r="AL325" s="119" t="s">
        <v>269</v>
      </c>
      <c r="AM325" s="131" t="s">
        <v>208</v>
      </c>
    </row>
    <row r="326" spans="1:40" s="119" customFormat="1" ht="15" customHeight="1" x14ac:dyDescent="0.3">
      <c r="A326" s="119">
        <v>2017</v>
      </c>
      <c r="B326" s="131" t="s">
        <v>38</v>
      </c>
      <c r="C326" s="119" t="s">
        <v>433</v>
      </c>
      <c r="D326" s="131"/>
      <c r="E326" s="131"/>
      <c r="F326" s="131" t="s">
        <v>264</v>
      </c>
      <c r="G326" s="131" t="s">
        <v>265</v>
      </c>
      <c r="H326" s="131" t="s">
        <v>265</v>
      </c>
      <c r="I326" s="131" t="s">
        <v>243</v>
      </c>
      <c r="J326" s="119" t="s">
        <v>244</v>
      </c>
      <c r="K326" s="119" t="s">
        <v>266</v>
      </c>
      <c r="L326" s="119" t="s">
        <v>533</v>
      </c>
      <c r="M326" s="119" t="s">
        <v>46</v>
      </c>
      <c r="N326" s="160">
        <v>0</v>
      </c>
      <c r="O326" s="135" t="s">
        <v>47</v>
      </c>
      <c r="P326" s="135"/>
      <c r="Q326" s="137">
        <v>0</v>
      </c>
      <c r="R326" s="137">
        <v>0</v>
      </c>
      <c r="S326" s="131"/>
      <c r="T326" s="137">
        <f t="shared" si="61"/>
        <v>0</v>
      </c>
      <c r="U326" s="137">
        <f t="shared" si="65"/>
        <v>0</v>
      </c>
      <c r="V326" s="137">
        <v>403.5</v>
      </c>
      <c r="W326" s="137">
        <f t="shared" si="66"/>
        <v>-403.5</v>
      </c>
      <c r="X326" s="137">
        <f t="shared" si="62"/>
        <v>-403.5</v>
      </c>
      <c r="Y326" s="137">
        <f t="shared" si="67"/>
        <v>0</v>
      </c>
      <c r="Z326" s="137">
        <v>672.5</v>
      </c>
      <c r="AA326" s="137">
        <f t="shared" si="63"/>
        <v>-269</v>
      </c>
      <c r="AB326" s="146">
        <f t="shared" si="56"/>
        <v>672.5</v>
      </c>
      <c r="AC326" s="147">
        <f t="shared" si="64"/>
        <v>0</v>
      </c>
      <c r="AD326" s="137">
        <v>403.5</v>
      </c>
      <c r="AE326" s="138">
        <v>0</v>
      </c>
      <c r="AF326" s="137">
        <f t="shared" si="58"/>
        <v>0</v>
      </c>
      <c r="AG326" s="131"/>
      <c r="AH326" s="131"/>
      <c r="AI326" s="131"/>
      <c r="AJ326" s="135" t="s">
        <v>268</v>
      </c>
      <c r="AK326" s="131"/>
      <c r="AL326" s="119" t="s">
        <v>269</v>
      </c>
      <c r="AM326" s="131" t="s">
        <v>208</v>
      </c>
    </row>
    <row r="327" spans="1:40" s="119" customFormat="1" ht="15" customHeight="1" x14ac:dyDescent="0.3">
      <c r="A327" s="119">
        <v>2017</v>
      </c>
      <c r="B327" s="131" t="s">
        <v>38</v>
      </c>
      <c r="C327" s="119" t="s">
        <v>39</v>
      </c>
      <c r="D327" s="131"/>
      <c r="E327" s="131"/>
      <c r="F327" s="131" t="s">
        <v>327</v>
      </c>
      <c r="G327" s="131" t="s">
        <v>327</v>
      </c>
      <c r="H327" s="131" t="s">
        <v>327</v>
      </c>
      <c r="I327" s="131" t="s">
        <v>243</v>
      </c>
      <c r="J327" s="119" t="s">
        <v>244</v>
      </c>
      <c r="K327" s="119" t="s">
        <v>266</v>
      </c>
      <c r="L327" s="119" t="s">
        <v>534</v>
      </c>
      <c r="M327" s="119" t="s">
        <v>46</v>
      </c>
      <c r="N327" s="161">
        <v>0</v>
      </c>
      <c r="O327" s="135" t="s">
        <v>47</v>
      </c>
      <c r="P327" s="135"/>
      <c r="Q327" s="137">
        <v>0</v>
      </c>
      <c r="R327" s="137">
        <v>0</v>
      </c>
      <c r="S327" s="162">
        <v>20000</v>
      </c>
      <c r="T327" s="137">
        <f t="shared" si="61"/>
        <v>0</v>
      </c>
      <c r="U327" s="137">
        <f t="shared" si="65"/>
        <v>20000</v>
      </c>
      <c r="V327" s="137"/>
      <c r="W327" s="137">
        <f t="shared" si="66"/>
        <v>20000</v>
      </c>
      <c r="X327" s="137">
        <f t="shared" si="62"/>
        <v>20000</v>
      </c>
      <c r="Y327" s="137">
        <f t="shared" si="67"/>
        <v>0</v>
      </c>
      <c r="Z327" s="137">
        <v>6698.5</v>
      </c>
      <c r="AA327" s="137">
        <f t="shared" si="63"/>
        <v>-6698.5</v>
      </c>
      <c r="AB327" s="146">
        <f t="shared" si="56"/>
        <v>6698.5</v>
      </c>
      <c r="AC327" s="147">
        <f t="shared" si="64"/>
        <v>0</v>
      </c>
      <c r="AD327" s="137">
        <v>4614</v>
      </c>
      <c r="AE327" s="138">
        <v>0</v>
      </c>
      <c r="AF327" s="137">
        <f t="shared" si="58"/>
        <v>0</v>
      </c>
      <c r="AG327" s="131"/>
      <c r="AH327" s="131"/>
      <c r="AI327" s="131"/>
      <c r="AJ327" s="135" t="e">
        <v>#N/A</v>
      </c>
      <c r="AK327" s="131"/>
      <c r="AL327" s="119" t="s">
        <v>269</v>
      </c>
      <c r="AM327" s="131" t="s">
        <v>208</v>
      </c>
    </row>
    <row r="328" spans="1:40" s="119" customFormat="1" ht="15" customHeight="1" x14ac:dyDescent="0.3">
      <c r="A328" s="119">
        <v>2017</v>
      </c>
      <c r="B328" s="131" t="s">
        <v>38</v>
      </c>
      <c r="C328" s="119" t="s">
        <v>59</v>
      </c>
      <c r="D328" s="119" t="s">
        <v>210</v>
      </c>
      <c r="E328" s="119" t="s">
        <v>131</v>
      </c>
      <c r="F328" s="119" t="s">
        <v>485</v>
      </c>
      <c r="G328" s="119" t="s">
        <v>485</v>
      </c>
      <c r="H328" s="119" t="s">
        <v>485</v>
      </c>
      <c r="I328" s="131" t="s">
        <v>243</v>
      </c>
      <c r="J328" s="119" t="s">
        <v>244</v>
      </c>
      <c r="K328" s="119" t="s">
        <v>245</v>
      </c>
      <c r="L328" s="119" t="s">
        <v>1644</v>
      </c>
      <c r="M328" s="119" t="s">
        <v>46</v>
      </c>
      <c r="N328" s="136">
        <v>0.02</v>
      </c>
      <c r="O328" s="135" t="s">
        <v>51</v>
      </c>
      <c r="P328" s="135"/>
      <c r="Q328" s="137">
        <v>0</v>
      </c>
      <c r="R328" s="137">
        <v>0</v>
      </c>
      <c r="S328" s="131"/>
      <c r="T328" s="137">
        <f t="shared" si="61"/>
        <v>0</v>
      </c>
      <c r="U328" s="137">
        <f t="shared" si="65"/>
        <v>0</v>
      </c>
      <c r="V328" s="137">
        <v>19608</v>
      </c>
      <c r="W328" s="137">
        <f t="shared" si="66"/>
        <v>-19608</v>
      </c>
      <c r="X328" s="137">
        <f t="shared" si="62"/>
        <v>-19223.529411764706</v>
      </c>
      <c r="Y328" s="137">
        <f t="shared" si="67"/>
        <v>-384.47058823529369</v>
      </c>
      <c r="Z328" s="137">
        <v>0</v>
      </c>
      <c r="AA328" s="137">
        <f t="shared" si="63"/>
        <v>19608</v>
      </c>
      <c r="AB328" s="146">
        <f t="shared" si="56"/>
        <v>0</v>
      </c>
      <c r="AC328" s="147">
        <f t="shared" si="64"/>
        <v>0</v>
      </c>
      <c r="AD328" s="137">
        <v>19608</v>
      </c>
      <c r="AE328" s="138">
        <v>0</v>
      </c>
      <c r="AF328" s="137">
        <f t="shared" si="58"/>
        <v>0</v>
      </c>
      <c r="AG328" s="131"/>
      <c r="AH328" s="131"/>
      <c r="AI328" s="131"/>
      <c r="AJ328" s="136">
        <v>0.02</v>
      </c>
      <c r="AK328" s="131"/>
      <c r="AL328" s="119" t="s">
        <v>269</v>
      </c>
      <c r="AM328" s="131" t="s">
        <v>208</v>
      </c>
    </row>
    <row r="329" spans="1:40" s="119" customFormat="1" ht="15" customHeight="1" x14ac:dyDescent="0.3">
      <c r="A329" s="119">
        <v>2017</v>
      </c>
      <c r="B329" s="131" t="s">
        <v>38</v>
      </c>
      <c r="C329" s="119" t="s">
        <v>433</v>
      </c>
      <c r="D329" s="131"/>
      <c r="E329" s="131"/>
      <c r="F329" s="131" t="s">
        <v>271</v>
      </c>
      <c r="G329" s="119" t="s">
        <v>272</v>
      </c>
      <c r="H329" s="119" t="s">
        <v>272</v>
      </c>
      <c r="I329" s="131" t="s">
        <v>243</v>
      </c>
      <c r="J329" s="119" t="s">
        <v>244</v>
      </c>
      <c r="K329" s="119" t="s">
        <v>266</v>
      </c>
      <c r="L329" s="119" t="s">
        <v>404</v>
      </c>
      <c r="M329" s="119" t="s">
        <v>46</v>
      </c>
      <c r="N329" s="161">
        <v>0</v>
      </c>
      <c r="O329" s="135" t="s">
        <v>47</v>
      </c>
      <c r="P329" s="135"/>
      <c r="Q329" s="137">
        <v>0</v>
      </c>
      <c r="R329" s="137">
        <v>0</v>
      </c>
      <c r="S329" s="131"/>
      <c r="T329" s="137">
        <f t="shared" si="61"/>
        <v>0</v>
      </c>
      <c r="U329" s="137">
        <f t="shared" si="65"/>
        <v>0</v>
      </c>
      <c r="V329" s="137">
        <v>601.5</v>
      </c>
      <c r="W329" s="137">
        <f t="shared" si="66"/>
        <v>-601.5</v>
      </c>
      <c r="X329" s="137">
        <f t="shared" si="62"/>
        <v>-601.5</v>
      </c>
      <c r="Y329" s="137">
        <f t="shared" si="67"/>
        <v>0</v>
      </c>
      <c r="Z329" s="137">
        <v>1000.5</v>
      </c>
      <c r="AA329" s="137">
        <f t="shared" si="63"/>
        <v>-399</v>
      </c>
      <c r="AB329" s="146">
        <f t="shared" si="56"/>
        <v>1000.5</v>
      </c>
      <c r="AC329" s="147">
        <f t="shared" si="64"/>
        <v>0</v>
      </c>
      <c r="AD329" s="137">
        <v>601.5</v>
      </c>
      <c r="AE329" s="138">
        <v>0</v>
      </c>
      <c r="AF329" s="137">
        <f t="shared" si="58"/>
        <v>0</v>
      </c>
      <c r="AG329" s="131"/>
      <c r="AH329" s="131"/>
      <c r="AI329" s="131"/>
      <c r="AJ329" s="136">
        <v>0</v>
      </c>
      <c r="AK329" s="131"/>
      <c r="AL329" s="119" t="s">
        <v>269</v>
      </c>
      <c r="AM329" s="131" t="s">
        <v>208</v>
      </c>
    </row>
    <row r="330" spans="1:40" s="119" customFormat="1" ht="15" customHeight="1" x14ac:dyDescent="0.3">
      <c r="A330" s="119">
        <v>2017</v>
      </c>
      <c r="B330" s="131" t="s">
        <v>38</v>
      </c>
      <c r="C330" s="119" t="s">
        <v>54</v>
      </c>
      <c r="D330" s="131"/>
      <c r="E330" s="131"/>
      <c r="F330" s="131" t="s">
        <v>65</v>
      </c>
      <c r="G330" s="131" t="s">
        <v>65</v>
      </c>
      <c r="H330" s="131" t="s">
        <v>65</v>
      </c>
      <c r="I330" s="131" t="s">
        <v>243</v>
      </c>
      <c r="J330" s="119" t="s">
        <v>244</v>
      </c>
      <c r="K330" s="119" t="s">
        <v>266</v>
      </c>
      <c r="L330" s="119" t="s">
        <v>535</v>
      </c>
      <c r="M330" s="119" t="s">
        <v>46</v>
      </c>
      <c r="N330" s="135">
        <v>0</v>
      </c>
      <c r="O330" s="135" t="s">
        <v>47</v>
      </c>
      <c r="P330" s="135"/>
      <c r="Q330" s="137">
        <v>0</v>
      </c>
      <c r="R330" s="137">
        <v>0</v>
      </c>
      <c r="S330" s="131"/>
      <c r="T330" s="137">
        <f t="shared" si="61"/>
        <v>0</v>
      </c>
      <c r="U330" s="137">
        <f t="shared" si="65"/>
        <v>0</v>
      </c>
      <c r="V330" s="137">
        <v>38479.5</v>
      </c>
      <c r="W330" s="137">
        <f t="shared" si="66"/>
        <v>-38479.5</v>
      </c>
      <c r="X330" s="137">
        <f t="shared" si="62"/>
        <v>-38479.5</v>
      </c>
      <c r="Y330" s="137">
        <f t="shared" si="67"/>
        <v>0</v>
      </c>
      <c r="Z330" s="137">
        <v>37352.230000000003</v>
      </c>
      <c r="AA330" s="137">
        <f t="shared" si="63"/>
        <v>1127.2699999999968</v>
      </c>
      <c r="AB330" s="146">
        <f t="shared" si="56"/>
        <v>37352.230000000003</v>
      </c>
      <c r="AC330" s="147">
        <f t="shared" si="64"/>
        <v>0</v>
      </c>
      <c r="AD330" s="137">
        <v>38479.5</v>
      </c>
      <c r="AE330" s="138">
        <v>0</v>
      </c>
      <c r="AF330" s="137">
        <f t="shared" si="58"/>
        <v>0</v>
      </c>
      <c r="AG330" s="131"/>
      <c r="AH330" s="131"/>
      <c r="AI330" s="131"/>
      <c r="AJ330" s="135" t="s">
        <v>47</v>
      </c>
      <c r="AK330" s="131"/>
      <c r="AL330" s="119" t="s">
        <v>269</v>
      </c>
      <c r="AM330" s="131" t="s">
        <v>208</v>
      </c>
    </row>
    <row r="331" spans="1:40" s="119" customFormat="1" ht="15" customHeight="1" x14ac:dyDescent="0.3">
      <c r="A331" s="119">
        <v>2017</v>
      </c>
      <c r="B331" s="131" t="s">
        <v>38</v>
      </c>
      <c r="C331" s="119" t="s">
        <v>75</v>
      </c>
      <c r="D331" s="131"/>
      <c r="E331" s="131"/>
      <c r="F331" s="131" t="s">
        <v>306</v>
      </c>
      <c r="G331" s="131" t="s">
        <v>306</v>
      </c>
      <c r="H331" s="131" t="s">
        <v>306</v>
      </c>
      <c r="I331" s="131" t="s">
        <v>243</v>
      </c>
      <c r="J331" s="119" t="s">
        <v>244</v>
      </c>
      <c r="K331" s="119" t="s">
        <v>266</v>
      </c>
      <c r="L331" s="119" t="s">
        <v>306</v>
      </c>
      <c r="M331" s="119" t="s">
        <v>46</v>
      </c>
      <c r="N331" s="135">
        <v>0</v>
      </c>
      <c r="O331" s="135" t="s">
        <v>47</v>
      </c>
      <c r="P331" s="135"/>
      <c r="Q331" s="137">
        <v>0</v>
      </c>
      <c r="R331" s="137">
        <v>0</v>
      </c>
      <c r="S331" s="131"/>
      <c r="T331" s="137">
        <f t="shared" si="61"/>
        <v>0</v>
      </c>
      <c r="U331" s="137">
        <f t="shared" si="65"/>
        <v>0</v>
      </c>
      <c r="V331" s="137">
        <v>63664.5</v>
      </c>
      <c r="W331" s="137">
        <f t="shared" si="66"/>
        <v>-63664.5</v>
      </c>
      <c r="X331" s="137">
        <f t="shared" si="62"/>
        <v>-63664.5</v>
      </c>
      <c r="Y331" s="137">
        <f t="shared" si="67"/>
        <v>0</v>
      </c>
      <c r="Z331" s="137">
        <v>90914</v>
      </c>
      <c r="AA331" s="137">
        <f t="shared" si="63"/>
        <v>-27249.5</v>
      </c>
      <c r="AB331" s="146">
        <f t="shared" si="56"/>
        <v>90914</v>
      </c>
      <c r="AC331" s="147">
        <f t="shared" si="64"/>
        <v>0</v>
      </c>
      <c r="AD331" s="137">
        <v>63664.5</v>
      </c>
      <c r="AE331" s="138">
        <v>0</v>
      </c>
      <c r="AF331" s="137">
        <f t="shared" si="58"/>
        <v>0</v>
      </c>
      <c r="AG331" s="131"/>
      <c r="AH331" s="131"/>
      <c r="AI331" s="131"/>
      <c r="AJ331" s="135" t="s">
        <v>47</v>
      </c>
      <c r="AK331" s="131"/>
      <c r="AL331" s="119" t="s">
        <v>269</v>
      </c>
      <c r="AM331" s="131" t="s">
        <v>208</v>
      </c>
    </row>
    <row r="332" spans="1:40" s="119" customFormat="1" ht="15" customHeight="1" x14ac:dyDescent="0.3">
      <c r="A332" s="119">
        <v>2017</v>
      </c>
      <c r="B332" s="131" t="s">
        <v>38</v>
      </c>
      <c r="C332" s="119" t="s">
        <v>59</v>
      </c>
      <c r="D332" s="131" t="s">
        <v>106</v>
      </c>
      <c r="E332" s="131" t="s">
        <v>107</v>
      </c>
      <c r="F332" s="131" t="s">
        <v>536</v>
      </c>
      <c r="G332" s="131"/>
      <c r="H332" s="131"/>
      <c r="I332" s="131" t="s">
        <v>243</v>
      </c>
      <c r="J332" s="119" t="s">
        <v>244</v>
      </c>
      <c r="K332" s="119" t="s">
        <v>266</v>
      </c>
      <c r="L332" s="119" t="s">
        <v>536</v>
      </c>
      <c r="M332" s="119" t="s">
        <v>46</v>
      </c>
      <c r="N332" s="161">
        <v>0</v>
      </c>
      <c r="O332" s="135" t="s">
        <v>47</v>
      </c>
      <c r="P332" s="135"/>
      <c r="Q332" s="137">
        <v>0</v>
      </c>
      <c r="R332" s="137">
        <v>0</v>
      </c>
      <c r="S332" s="131"/>
      <c r="T332" s="137">
        <f t="shared" si="61"/>
        <v>0</v>
      </c>
      <c r="U332" s="137">
        <f t="shared" si="65"/>
        <v>0</v>
      </c>
      <c r="V332" s="137">
        <v>196.5</v>
      </c>
      <c r="W332" s="137">
        <f t="shared" si="66"/>
        <v>-196.5</v>
      </c>
      <c r="X332" s="137">
        <f t="shared" si="62"/>
        <v>-196.5</v>
      </c>
      <c r="Y332" s="137">
        <f t="shared" si="67"/>
        <v>0</v>
      </c>
      <c r="Z332" s="137">
        <v>262</v>
      </c>
      <c r="AA332" s="137">
        <f t="shared" si="63"/>
        <v>-65.5</v>
      </c>
      <c r="AB332" s="146">
        <v>0</v>
      </c>
      <c r="AC332" s="147">
        <f t="shared" si="64"/>
        <v>262</v>
      </c>
      <c r="AD332" s="137">
        <v>196.5</v>
      </c>
      <c r="AE332" s="138">
        <v>0</v>
      </c>
      <c r="AF332" s="137">
        <f t="shared" si="58"/>
        <v>0</v>
      </c>
      <c r="AG332" s="131"/>
      <c r="AH332" s="131"/>
      <c r="AI332" s="131"/>
      <c r="AJ332" s="136">
        <v>0</v>
      </c>
      <c r="AK332" s="131"/>
      <c r="AL332" s="119" t="s">
        <v>269</v>
      </c>
      <c r="AM332" s="131" t="s">
        <v>208</v>
      </c>
      <c r="AN332" s="119" t="s">
        <v>537</v>
      </c>
    </row>
    <row r="333" spans="1:40" s="119" customFormat="1" ht="15" customHeight="1" x14ac:dyDescent="0.3">
      <c r="A333" s="119">
        <v>2017</v>
      </c>
      <c r="B333" s="131"/>
      <c r="C333" s="119" t="s">
        <v>75</v>
      </c>
      <c r="D333" s="131"/>
      <c r="E333" s="131"/>
      <c r="F333" s="131" t="s">
        <v>538</v>
      </c>
      <c r="G333" s="131"/>
      <c r="H333" s="131"/>
      <c r="I333" s="131" t="s">
        <v>243</v>
      </c>
      <c r="J333" s="119" t="s">
        <v>244</v>
      </c>
      <c r="K333" s="119" t="s">
        <v>266</v>
      </c>
      <c r="L333" s="119" t="s">
        <v>539</v>
      </c>
      <c r="M333" s="119" t="s">
        <v>46</v>
      </c>
      <c r="N333" s="161">
        <v>0</v>
      </c>
      <c r="O333" s="135" t="s">
        <v>47</v>
      </c>
      <c r="P333" s="135"/>
      <c r="Q333" s="137">
        <v>0</v>
      </c>
      <c r="R333" s="137">
        <v>0</v>
      </c>
      <c r="S333" s="131"/>
      <c r="T333" s="137">
        <f t="shared" si="61"/>
        <v>0</v>
      </c>
      <c r="U333" s="137">
        <f t="shared" si="65"/>
        <v>0</v>
      </c>
      <c r="V333" s="137">
        <v>52773</v>
      </c>
      <c r="W333" s="137">
        <f t="shared" si="66"/>
        <v>-52773</v>
      </c>
      <c r="X333" s="137">
        <f t="shared" si="62"/>
        <v>-52773</v>
      </c>
      <c r="Y333" s="137">
        <f t="shared" si="67"/>
        <v>0</v>
      </c>
      <c r="Z333" s="137">
        <v>70364</v>
      </c>
      <c r="AA333" s="137">
        <f t="shared" si="63"/>
        <v>-17591</v>
      </c>
      <c r="AB333" s="146"/>
      <c r="AC333" s="147">
        <f t="shared" si="64"/>
        <v>70364</v>
      </c>
      <c r="AD333" s="137">
        <v>52773</v>
      </c>
      <c r="AE333" s="138">
        <v>0</v>
      </c>
      <c r="AF333" s="137">
        <f t="shared" si="58"/>
        <v>0</v>
      </c>
      <c r="AG333" s="131"/>
      <c r="AH333" s="131"/>
      <c r="AI333" s="131"/>
      <c r="AJ333" s="136">
        <v>0</v>
      </c>
      <c r="AK333" s="131"/>
      <c r="AL333" s="119" t="s">
        <v>269</v>
      </c>
      <c r="AM333" s="131" t="s">
        <v>208</v>
      </c>
      <c r="AN333" s="119" t="s">
        <v>537</v>
      </c>
    </row>
    <row r="334" spans="1:40" s="119" customFormat="1" ht="15" customHeight="1" x14ac:dyDescent="0.3">
      <c r="A334" s="119">
        <v>2017</v>
      </c>
      <c r="B334" s="131" t="s">
        <v>38</v>
      </c>
      <c r="C334" s="119" t="s">
        <v>75</v>
      </c>
      <c r="D334" s="131"/>
      <c r="E334" s="131"/>
      <c r="F334" s="131" t="s">
        <v>237</v>
      </c>
      <c r="G334" s="131" t="s">
        <v>237</v>
      </c>
      <c r="H334" s="131" t="s">
        <v>237</v>
      </c>
      <c r="I334" s="131" t="s">
        <v>243</v>
      </c>
      <c r="J334" s="119" t="s">
        <v>244</v>
      </c>
      <c r="K334" s="119" t="s">
        <v>266</v>
      </c>
      <c r="L334" s="119" t="s">
        <v>442</v>
      </c>
      <c r="M334" s="119" t="s">
        <v>46</v>
      </c>
      <c r="N334" s="135">
        <v>0</v>
      </c>
      <c r="O334" s="135" t="s">
        <v>47</v>
      </c>
      <c r="P334" s="135"/>
      <c r="Q334" s="137">
        <v>0</v>
      </c>
      <c r="R334" s="137">
        <v>0</v>
      </c>
      <c r="S334" s="131"/>
      <c r="T334" s="137">
        <f t="shared" si="61"/>
        <v>0</v>
      </c>
      <c r="U334" s="137">
        <f t="shared" si="65"/>
        <v>0</v>
      </c>
      <c r="V334" s="137">
        <v>285063</v>
      </c>
      <c r="W334" s="137">
        <f t="shared" si="66"/>
        <v>-285063</v>
      </c>
      <c r="X334" s="137">
        <f t="shared" si="62"/>
        <v>-285063</v>
      </c>
      <c r="Y334" s="137">
        <f t="shared" si="67"/>
        <v>0</v>
      </c>
      <c r="Z334" s="137">
        <v>398531.5</v>
      </c>
      <c r="AA334" s="137">
        <f t="shared" si="63"/>
        <v>-113468.5</v>
      </c>
      <c r="AB334" s="146">
        <f t="shared" ref="AB334:AB339" si="68">IF(O334="返货",Z334/(1+N334),IF(O334="返现",Z334,IF(O334="折扣",Z334*N334,IF(O334="无",Z334))))</f>
        <v>398531.5</v>
      </c>
      <c r="AC334" s="147">
        <f t="shared" si="64"/>
        <v>0</v>
      </c>
      <c r="AD334" s="137">
        <v>285063</v>
      </c>
      <c r="AE334" s="138">
        <v>0</v>
      </c>
      <c r="AF334" s="137">
        <f t="shared" si="58"/>
        <v>0</v>
      </c>
      <c r="AG334" s="131"/>
      <c r="AH334" s="131"/>
      <c r="AI334" s="131"/>
      <c r="AJ334" s="136">
        <v>1</v>
      </c>
      <c r="AK334" s="131"/>
      <c r="AL334" s="119" t="s">
        <v>269</v>
      </c>
      <c r="AM334" s="131" t="s">
        <v>208</v>
      </c>
    </row>
    <row r="335" spans="1:40" s="119" customFormat="1" ht="15" customHeight="1" x14ac:dyDescent="0.3">
      <c r="A335" s="119">
        <v>2017</v>
      </c>
      <c r="B335" s="131" t="s">
        <v>38</v>
      </c>
      <c r="C335" s="119" t="s">
        <v>59</v>
      </c>
      <c r="D335" s="131"/>
      <c r="E335" s="131"/>
      <c r="F335" s="131" t="s">
        <v>462</v>
      </c>
      <c r="G335" s="131" t="s">
        <v>462</v>
      </c>
      <c r="H335" s="131" t="s">
        <v>462</v>
      </c>
      <c r="I335" s="131" t="s">
        <v>243</v>
      </c>
      <c r="J335" s="119" t="s">
        <v>244</v>
      </c>
      <c r="K335" s="119" t="s">
        <v>266</v>
      </c>
      <c r="L335" s="119" t="s">
        <v>462</v>
      </c>
      <c r="M335" s="119" t="s">
        <v>46</v>
      </c>
      <c r="N335" s="135">
        <v>0</v>
      </c>
      <c r="O335" s="135" t="s">
        <v>47</v>
      </c>
      <c r="P335" s="135"/>
      <c r="Q335" s="137">
        <v>0</v>
      </c>
      <c r="R335" s="137">
        <v>0</v>
      </c>
      <c r="S335" s="131"/>
      <c r="T335" s="137">
        <f t="shared" si="61"/>
        <v>0</v>
      </c>
      <c r="U335" s="137">
        <f t="shared" si="65"/>
        <v>0</v>
      </c>
      <c r="V335" s="137">
        <v>1.5</v>
      </c>
      <c r="W335" s="137">
        <f t="shared" si="66"/>
        <v>-1.5</v>
      </c>
      <c r="X335" s="137">
        <f t="shared" si="62"/>
        <v>-1.5</v>
      </c>
      <c r="Y335" s="137">
        <f t="shared" si="67"/>
        <v>0</v>
      </c>
      <c r="Z335" s="137">
        <v>2.5</v>
      </c>
      <c r="AA335" s="137">
        <f t="shared" si="63"/>
        <v>-1</v>
      </c>
      <c r="AB335" s="146">
        <f t="shared" si="68"/>
        <v>2.5</v>
      </c>
      <c r="AC335" s="147">
        <f t="shared" si="64"/>
        <v>0</v>
      </c>
      <c r="AD335" s="137">
        <v>1.5</v>
      </c>
      <c r="AE335" s="138">
        <v>0</v>
      </c>
      <c r="AF335" s="137">
        <f t="shared" si="58"/>
        <v>0</v>
      </c>
      <c r="AG335" s="131"/>
      <c r="AH335" s="131"/>
      <c r="AI335" s="131"/>
      <c r="AJ335" s="136">
        <v>0</v>
      </c>
      <c r="AK335" s="131"/>
      <c r="AL335" s="119" t="s">
        <v>269</v>
      </c>
      <c r="AM335" s="131" t="s">
        <v>208</v>
      </c>
    </row>
    <row r="336" spans="1:40" s="119" customFormat="1" ht="15" customHeight="1" x14ac:dyDescent="0.3">
      <c r="A336" s="119">
        <v>2017</v>
      </c>
      <c r="B336" s="131" t="s">
        <v>38</v>
      </c>
      <c r="C336" s="119" t="s">
        <v>59</v>
      </c>
      <c r="D336" s="131"/>
      <c r="E336" s="131"/>
      <c r="F336" s="131" t="s">
        <v>355</v>
      </c>
      <c r="G336" s="131" t="s">
        <v>355</v>
      </c>
      <c r="H336" s="131" t="s">
        <v>355</v>
      </c>
      <c r="I336" s="131" t="s">
        <v>243</v>
      </c>
      <c r="J336" s="119" t="s">
        <v>244</v>
      </c>
      <c r="K336" s="119" t="s">
        <v>266</v>
      </c>
      <c r="L336" s="119" t="s">
        <v>355</v>
      </c>
      <c r="M336" s="119" t="s">
        <v>46</v>
      </c>
      <c r="N336" s="135">
        <v>0</v>
      </c>
      <c r="O336" s="135" t="s">
        <v>47</v>
      </c>
      <c r="P336" s="135"/>
      <c r="Q336" s="137">
        <v>0</v>
      </c>
      <c r="R336" s="137">
        <v>0</v>
      </c>
      <c r="S336" s="131"/>
      <c r="T336" s="137">
        <f t="shared" si="61"/>
        <v>0</v>
      </c>
      <c r="U336" s="137">
        <f t="shared" si="65"/>
        <v>0</v>
      </c>
      <c r="V336" s="137">
        <v>53994</v>
      </c>
      <c r="W336" s="137">
        <f t="shared" si="66"/>
        <v>-53994</v>
      </c>
      <c r="X336" s="137">
        <f t="shared" si="62"/>
        <v>-53994</v>
      </c>
      <c r="Y336" s="137">
        <f t="shared" si="67"/>
        <v>0</v>
      </c>
      <c r="Z336" s="137">
        <v>71992</v>
      </c>
      <c r="AA336" s="137">
        <f t="shared" si="63"/>
        <v>-17998</v>
      </c>
      <c r="AB336" s="146">
        <f t="shared" si="68"/>
        <v>71992</v>
      </c>
      <c r="AC336" s="147">
        <f t="shared" si="64"/>
        <v>0</v>
      </c>
      <c r="AD336" s="137">
        <v>53994</v>
      </c>
      <c r="AE336" s="138">
        <v>0</v>
      </c>
      <c r="AF336" s="137">
        <f t="shared" si="58"/>
        <v>0</v>
      </c>
      <c r="AG336" s="131"/>
      <c r="AH336" s="131"/>
      <c r="AI336" s="131"/>
      <c r="AJ336" s="136">
        <v>0</v>
      </c>
      <c r="AK336" s="131"/>
      <c r="AL336" s="119" t="s">
        <v>269</v>
      </c>
      <c r="AM336" s="131" t="s">
        <v>208</v>
      </c>
    </row>
    <row r="337" spans="1:40" s="119" customFormat="1" ht="15" customHeight="1" x14ac:dyDescent="0.3">
      <c r="A337" s="119">
        <v>2017</v>
      </c>
      <c r="B337" s="131" t="s">
        <v>38</v>
      </c>
      <c r="C337" s="119" t="s">
        <v>39</v>
      </c>
      <c r="D337" s="131"/>
      <c r="E337" s="131"/>
      <c r="F337" s="131" t="s">
        <v>328</v>
      </c>
      <c r="G337" s="131" t="s">
        <v>328</v>
      </c>
      <c r="H337" s="131" t="s">
        <v>328</v>
      </c>
      <c r="I337" s="131" t="s">
        <v>243</v>
      </c>
      <c r="J337" s="119" t="s">
        <v>244</v>
      </c>
      <c r="K337" s="119" t="s">
        <v>266</v>
      </c>
      <c r="L337" s="119" t="s">
        <v>328</v>
      </c>
      <c r="M337" s="119" t="s">
        <v>46</v>
      </c>
      <c r="N337" s="135">
        <v>0</v>
      </c>
      <c r="O337" s="135" t="s">
        <v>47</v>
      </c>
      <c r="P337" s="135"/>
      <c r="Q337" s="137">
        <v>0</v>
      </c>
      <c r="R337" s="137">
        <v>0</v>
      </c>
      <c r="S337" s="131"/>
      <c r="T337" s="137">
        <f t="shared" si="61"/>
        <v>0</v>
      </c>
      <c r="U337" s="137">
        <f t="shared" si="65"/>
        <v>0</v>
      </c>
      <c r="V337" s="137">
        <v>57861</v>
      </c>
      <c r="W337" s="137">
        <f t="shared" si="66"/>
        <v>-57861</v>
      </c>
      <c r="X337" s="137">
        <f t="shared" si="62"/>
        <v>-57861</v>
      </c>
      <c r="Y337" s="137">
        <f t="shared" si="67"/>
        <v>0</v>
      </c>
      <c r="Z337" s="137">
        <v>77148</v>
      </c>
      <c r="AA337" s="137">
        <f t="shared" si="63"/>
        <v>-19287</v>
      </c>
      <c r="AB337" s="146">
        <f t="shared" si="68"/>
        <v>77148</v>
      </c>
      <c r="AC337" s="147">
        <f t="shared" si="64"/>
        <v>0</v>
      </c>
      <c r="AD337" s="137">
        <v>57861</v>
      </c>
      <c r="AE337" s="138">
        <v>0</v>
      </c>
      <c r="AF337" s="137">
        <f t="shared" si="58"/>
        <v>0</v>
      </c>
      <c r="AG337" s="131"/>
      <c r="AH337" s="131"/>
      <c r="AI337" s="131"/>
      <c r="AJ337" s="135" t="s">
        <v>47</v>
      </c>
      <c r="AK337" s="131"/>
      <c r="AL337" s="119" t="s">
        <v>269</v>
      </c>
      <c r="AM337" s="131" t="s">
        <v>208</v>
      </c>
    </row>
    <row r="338" spans="1:40" s="119" customFormat="1" ht="15" customHeight="1" x14ac:dyDescent="0.3">
      <c r="A338" s="119">
        <v>2017</v>
      </c>
      <c r="B338" s="131" t="s">
        <v>38</v>
      </c>
      <c r="C338" s="119" t="s">
        <v>39</v>
      </c>
      <c r="D338" s="131"/>
      <c r="E338" s="131"/>
      <c r="F338" s="131" t="s">
        <v>328</v>
      </c>
      <c r="G338" s="131" t="s">
        <v>328</v>
      </c>
      <c r="H338" s="131" t="s">
        <v>328</v>
      </c>
      <c r="I338" s="131" t="s">
        <v>243</v>
      </c>
      <c r="J338" s="119" t="s">
        <v>244</v>
      </c>
      <c r="K338" s="119" t="s">
        <v>266</v>
      </c>
      <c r="L338" s="119" t="s">
        <v>328</v>
      </c>
      <c r="M338" s="119" t="s">
        <v>46</v>
      </c>
      <c r="N338" s="135">
        <v>0</v>
      </c>
      <c r="O338" s="135" t="s">
        <v>47</v>
      </c>
      <c r="P338" s="135"/>
      <c r="Q338" s="137">
        <v>0</v>
      </c>
      <c r="R338" s="137">
        <v>0</v>
      </c>
      <c r="S338" s="131"/>
      <c r="T338" s="137">
        <f t="shared" si="61"/>
        <v>0</v>
      </c>
      <c r="U338" s="137">
        <f t="shared" si="65"/>
        <v>0</v>
      </c>
      <c r="V338" s="137">
        <v>141981</v>
      </c>
      <c r="W338" s="137">
        <f t="shared" si="66"/>
        <v>-141981</v>
      </c>
      <c r="X338" s="137">
        <f t="shared" si="62"/>
        <v>-141981</v>
      </c>
      <c r="Y338" s="137">
        <f t="shared" si="67"/>
        <v>0</v>
      </c>
      <c r="Z338" s="137">
        <v>189308</v>
      </c>
      <c r="AA338" s="137">
        <f t="shared" si="63"/>
        <v>-47327</v>
      </c>
      <c r="AB338" s="146">
        <f t="shared" si="68"/>
        <v>189308</v>
      </c>
      <c r="AC338" s="147">
        <f t="shared" si="64"/>
        <v>0</v>
      </c>
      <c r="AD338" s="137">
        <v>141981</v>
      </c>
      <c r="AE338" s="138">
        <v>0</v>
      </c>
      <c r="AF338" s="137">
        <f t="shared" si="58"/>
        <v>0</v>
      </c>
      <c r="AG338" s="131"/>
      <c r="AH338" s="131"/>
      <c r="AI338" s="131"/>
      <c r="AJ338" s="135" t="s">
        <v>47</v>
      </c>
      <c r="AK338" s="131"/>
      <c r="AL338" s="119" t="s">
        <v>269</v>
      </c>
      <c r="AM338" s="131" t="s">
        <v>208</v>
      </c>
    </row>
    <row r="339" spans="1:40" s="119" customFormat="1" ht="15" customHeight="1" x14ac:dyDescent="0.3">
      <c r="A339" s="119">
        <v>2017</v>
      </c>
      <c r="B339" s="131" t="s">
        <v>38</v>
      </c>
      <c r="C339" s="119" t="s">
        <v>39</v>
      </c>
      <c r="D339" s="131"/>
      <c r="E339" s="131"/>
      <c r="F339" s="131" t="s">
        <v>83</v>
      </c>
      <c r="G339" s="131" t="s">
        <v>83</v>
      </c>
      <c r="H339" s="131" t="s">
        <v>83</v>
      </c>
      <c r="I339" s="131" t="s">
        <v>243</v>
      </c>
      <c r="J339" s="119" t="s">
        <v>244</v>
      </c>
      <c r="K339" s="119" t="s">
        <v>266</v>
      </c>
      <c r="L339" s="119" t="s">
        <v>83</v>
      </c>
      <c r="M339" s="119" t="s">
        <v>46</v>
      </c>
      <c r="N339" s="135">
        <v>0</v>
      </c>
      <c r="O339" s="135" t="s">
        <v>47</v>
      </c>
      <c r="P339" s="135"/>
      <c r="Q339" s="137">
        <v>0</v>
      </c>
      <c r="R339" s="137">
        <v>0</v>
      </c>
      <c r="S339" s="131"/>
      <c r="T339" s="137">
        <f t="shared" si="61"/>
        <v>0</v>
      </c>
      <c r="U339" s="137">
        <f t="shared" si="65"/>
        <v>0</v>
      </c>
      <c r="V339" s="137">
        <v>86382</v>
      </c>
      <c r="W339" s="137">
        <f t="shared" si="66"/>
        <v>-86382</v>
      </c>
      <c r="X339" s="137">
        <f t="shared" si="62"/>
        <v>-86382</v>
      </c>
      <c r="Y339" s="137">
        <f t="shared" si="67"/>
        <v>0</v>
      </c>
      <c r="Z339" s="137">
        <v>115176</v>
      </c>
      <c r="AA339" s="137">
        <f t="shared" si="63"/>
        <v>-28794</v>
      </c>
      <c r="AB339" s="146">
        <f t="shared" si="68"/>
        <v>115176</v>
      </c>
      <c r="AC339" s="147">
        <f t="shared" si="64"/>
        <v>0</v>
      </c>
      <c r="AD339" s="137">
        <v>86382</v>
      </c>
      <c r="AE339" s="138">
        <v>0</v>
      </c>
      <c r="AF339" s="137">
        <f t="shared" si="58"/>
        <v>0</v>
      </c>
      <c r="AG339" s="131"/>
      <c r="AH339" s="131"/>
      <c r="AI339" s="131"/>
      <c r="AJ339" s="136">
        <v>0</v>
      </c>
      <c r="AK339" s="131"/>
      <c r="AL339" s="119" t="s">
        <v>269</v>
      </c>
      <c r="AM339" s="131" t="s">
        <v>208</v>
      </c>
    </row>
    <row r="340" spans="1:40" s="119" customFormat="1" ht="15" customHeight="1" x14ac:dyDescent="0.3">
      <c r="A340" s="119">
        <v>2017</v>
      </c>
      <c r="B340" s="131" t="s">
        <v>38</v>
      </c>
      <c r="C340" s="119" t="s">
        <v>59</v>
      </c>
      <c r="D340" s="131"/>
      <c r="E340" s="131"/>
      <c r="F340" s="131" t="s">
        <v>540</v>
      </c>
      <c r="G340" s="131" t="s">
        <v>540</v>
      </c>
      <c r="H340" s="131" t="s">
        <v>540</v>
      </c>
      <c r="I340" s="131" t="s">
        <v>243</v>
      </c>
      <c r="J340" s="119" t="s">
        <v>244</v>
      </c>
      <c r="K340" s="119" t="s">
        <v>266</v>
      </c>
      <c r="L340" s="119" t="s">
        <v>540</v>
      </c>
      <c r="M340" s="119" t="s">
        <v>46</v>
      </c>
      <c r="N340" s="161">
        <v>0</v>
      </c>
      <c r="O340" s="135" t="s">
        <v>47</v>
      </c>
      <c r="P340" s="135"/>
      <c r="Q340" s="137">
        <v>0</v>
      </c>
      <c r="R340" s="137">
        <v>0</v>
      </c>
      <c r="S340" s="131"/>
      <c r="T340" s="137">
        <f t="shared" si="61"/>
        <v>0</v>
      </c>
      <c r="U340" s="137">
        <f t="shared" si="65"/>
        <v>0</v>
      </c>
      <c r="V340" s="137">
        <v>481.5</v>
      </c>
      <c r="W340" s="137">
        <f t="shared" si="66"/>
        <v>-481.5</v>
      </c>
      <c r="X340" s="137">
        <f t="shared" si="62"/>
        <v>-481.5</v>
      </c>
      <c r="Y340" s="137">
        <f t="shared" si="67"/>
        <v>0</v>
      </c>
      <c r="Z340" s="137">
        <v>642</v>
      </c>
      <c r="AA340" s="137">
        <f t="shared" si="63"/>
        <v>-160.5</v>
      </c>
      <c r="AB340" s="146">
        <v>0</v>
      </c>
      <c r="AC340" s="147">
        <f t="shared" si="64"/>
        <v>642</v>
      </c>
      <c r="AD340" s="137">
        <v>481.5</v>
      </c>
      <c r="AE340" s="138">
        <v>0</v>
      </c>
      <c r="AF340" s="137">
        <f t="shared" si="58"/>
        <v>0</v>
      </c>
      <c r="AG340" s="131"/>
      <c r="AH340" s="131"/>
      <c r="AI340" s="131"/>
      <c r="AJ340" s="135">
        <v>0</v>
      </c>
      <c r="AK340" s="131"/>
      <c r="AL340" s="119" t="s">
        <v>269</v>
      </c>
      <c r="AM340" s="131" t="s">
        <v>208</v>
      </c>
      <c r="AN340" s="119" t="s">
        <v>541</v>
      </c>
    </row>
    <row r="341" spans="1:40" s="119" customFormat="1" ht="15" customHeight="1" x14ac:dyDescent="0.3">
      <c r="A341" s="119">
        <v>2017</v>
      </c>
      <c r="B341" s="131" t="s">
        <v>333</v>
      </c>
      <c r="C341" s="119" t="s">
        <v>39</v>
      </c>
      <c r="D341" s="131"/>
      <c r="E341" s="131"/>
      <c r="F341" s="131" t="s">
        <v>334</v>
      </c>
      <c r="G341" s="131" t="s">
        <v>335</v>
      </c>
      <c r="H341" s="131" t="s">
        <v>335</v>
      </c>
      <c r="I341" s="131" t="s">
        <v>243</v>
      </c>
      <c r="J341" s="119" t="s">
        <v>244</v>
      </c>
      <c r="K341" s="119" t="s">
        <v>266</v>
      </c>
      <c r="L341" s="119" t="s">
        <v>519</v>
      </c>
      <c r="M341" s="119" t="s">
        <v>46</v>
      </c>
      <c r="N341" s="135">
        <v>0</v>
      </c>
      <c r="O341" s="135" t="s">
        <v>47</v>
      </c>
      <c r="P341" s="135"/>
      <c r="Q341" s="137">
        <v>0</v>
      </c>
      <c r="R341" s="137">
        <v>0</v>
      </c>
      <c r="S341" s="131"/>
      <c r="T341" s="137">
        <f t="shared" si="61"/>
        <v>0</v>
      </c>
      <c r="U341" s="137">
        <f t="shared" si="65"/>
        <v>0</v>
      </c>
      <c r="V341" s="137">
        <v>6246</v>
      </c>
      <c r="W341" s="137">
        <f t="shared" si="66"/>
        <v>-6246</v>
      </c>
      <c r="X341" s="137">
        <f t="shared" si="62"/>
        <v>-6246</v>
      </c>
      <c r="Y341" s="137">
        <f t="shared" si="67"/>
        <v>0</v>
      </c>
      <c r="Z341" s="137">
        <v>10410</v>
      </c>
      <c r="AA341" s="137">
        <f t="shared" si="63"/>
        <v>-4164</v>
      </c>
      <c r="AB341" s="146">
        <f>IF(O341="返货",Z341/(1+N341),IF(O341="返现",Z341,IF(O341="折扣",Z341*N341,IF(O341="无",Z341))))</f>
        <v>10410</v>
      </c>
      <c r="AC341" s="147">
        <f t="shared" si="64"/>
        <v>0</v>
      </c>
      <c r="AD341" s="137">
        <v>6246</v>
      </c>
      <c r="AE341" s="138">
        <v>0</v>
      </c>
      <c r="AF341" s="137">
        <f t="shared" si="58"/>
        <v>0</v>
      </c>
      <c r="AG341" s="131"/>
      <c r="AH341" s="131"/>
      <c r="AI341" s="131"/>
      <c r="AJ341" s="135" t="s">
        <v>47</v>
      </c>
      <c r="AK341" s="131"/>
      <c r="AL341" s="119" t="s">
        <v>269</v>
      </c>
      <c r="AM341" s="131" t="s">
        <v>208</v>
      </c>
    </row>
    <row r="342" spans="1:40" s="119" customFormat="1" ht="15" customHeight="1" x14ac:dyDescent="0.3">
      <c r="A342" s="119">
        <v>2017</v>
      </c>
      <c r="B342" s="131" t="s">
        <v>38</v>
      </c>
      <c r="C342" s="119" t="s">
        <v>54</v>
      </c>
      <c r="D342" s="131"/>
      <c r="E342" s="131"/>
      <c r="F342" s="131" t="s">
        <v>531</v>
      </c>
      <c r="G342" s="131" t="s">
        <v>532</v>
      </c>
      <c r="H342" s="131" t="s">
        <v>532</v>
      </c>
      <c r="I342" s="131" t="s">
        <v>243</v>
      </c>
      <c r="J342" s="119" t="s">
        <v>244</v>
      </c>
      <c r="K342" s="119" t="s">
        <v>266</v>
      </c>
      <c r="L342" s="119" t="s">
        <v>531</v>
      </c>
      <c r="M342" s="119" t="s">
        <v>46</v>
      </c>
      <c r="N342" s="160">
        <v>0</v>
      </c>
      <c r="O342" s="135" t="s">
        <v>47</v>
      </c>
      <c r="P342" s="135"/>
      <c r="Q342" s="137">
        <v>0</v>
      </c>
      <c r="R342" s="137">
        <v>0</v>
      </c>
      <c r="S342" s="131"/>
      <c r="T342" s="137">
        <f t="shared" si="61"/>
        <v>0</v>
      </c>
      <c r="U342" s="137">
        <f t="shared" si="65"/>
        <v>0</v>
      </c>
      <c r="V342" s="137">
        <v>147</v>
      </c>
      <c r="W342" s="137">
        <f t="shared" si="66"/>
        <v>-147</v>
      </c>
      <c r="X342" s="137">
        <f t="shared" si="62"/>
        <v>-147</v>
      </c>
      <c r="Y342" s="137">
        <f t="shared" si="67"/>
        <v>0</v>
      </c>
      <c r="Z342" s="137">
        <v>245</v>
      </c>
      <c r="AA342" s="137">
        <f t="shared" si="63"/>
        <v>-98</v>
      </c>
      <c r="AB342" s="146">
        <f>IF(O342="返货",Z342/(1+N342),IF(O342="返现",Z342,IF(O342="折扣",Z342*N342,IF(O342="无",Z342))))</f>
        <v>245</v>
      </c>
      <c r="AC342" s="147">
        <f t="shared" si="64"/>
        <v>0</v>
      </c>
      <c r="AD342" s="137">
        <v>147</v>
      </c>
      <c r="AE342" s="138">
        <v>0</v>
      </c>
      <c r="AF342" s="137">
        <f t="shared" si="58"/>
        <v>0</v>
      </c>
      <c r="AG342" s="131"/>
      <c r="AH342" s="131"/>
      <c r="AI342" s="131"/>
      <c r="AJ342" s="136" t="s">
        <v>47</v>
      </c>
      <c r="AK342" s="131"/>
      <c r="AL342" s="119" t="s">
        <v>269</v>
      </c>
      <c r="AM342" s="131" t="s">
        <v>208</v>
      </c>
    </row>
    <row r="343" spans="1:40" s="119" customFormat="1" ht="15" customHeight="1" x14ac:dyDescent="0.3">
      <c r="A343" s="119">
        <v>2017</v>
      </c>
      <c r="B343" s="131" t="s">
        <v>38</v>
      </c>
      <c r="C343" s="119" t="s">
        <v>59</v>
      </c>
      <c r="D343" s="131" t="s">
        <v>106</v>
      </c>
      <c r="E343" s="131" t="s">
        <v>107</v>
      </c>
      <c r="F343" s="131" t="s">
        <v>542</v>
      </c>
      <c r="G343" s="131"/>
      <c r="H343" s="131"/>
      <c r="I343" s="131" t="s">
        <v>243</v>
      </c>
      <c r="J343" s="119" t="s">
        <v>244</v>
      </c>
      <c r="K343" s="119" t="s">
        <v>266</v>
      </c>
      <c r="L343" s="119" t="s">
        <v>542</v>
      </c>
      <c r="M343" s="119" t="s">
        <v>46</v>
      </c>
      <c r="N343" s="161">
        <v>0</v>
      </c>
      <c r="O343" s="135" t="s">
        <v>47</v>
      </c>
      <c r="P343" s="135"/>
      <c r="Q343" s="137">
        <v>0</v>
      </c>
      <c r="R343" s="137">
        <v>0</v>
      </c>
      <c r="S343" s="131"/>
      <c r="T343" s="137">
        <f t="shared" si="61"/>
        <v>0</v>
      </c>
      <c r="U343" s="137">
        <f t="shared" si="65"/>
        <v>0</v>
      </c>
      <c r="V343" s="137">
        <v>6756</v>
      </c>
      <c r="W343" s="137">
        <f t="shared" si="66"/>
        <v>-6756</v>
      </c>
      <c r="X343" s="137">
        <f t="shared" si="62"/>
        <v>-6756</v>
      </c>
      <c r="Y343" s="137">
        <f t="shared" si="67"/>
        <v>0</v>
      </c>
      <c r="Z343" s="137">
        <v>9008</v>
      </c>
      <c r="AA343" s="137">
        <f t="shared" si="63"/>
        <v>-2252</v>
      </c>
      <c r="AB343" s="146">
        <v>0</v>
      </c>
      <c r="AC343" s="147">
        <f t="shared" si="64"/>
        <v>9008</v>
      </c>
      <c r="AD343" s="137">
        <v>6756</v>
      </c>
      <c r="AE343" s="138">
        <v>0</v>
      </c>
      <c r="AF343" s="137">
        <f t="shared" si="58"/>
        <v>0</v>
      </c>
      <c r="AG343" s="131"/>
      <c r="AH343" s="131"/>
      <c r="AI343" s="131"/>
      <c r="AJ343" s="135">
        <v>0</v>
      </c>
      <c r="AK343" s="131"/>
      <c r="AL343" s="119" t="s">
        <v>269</v>
      </c>
      <c r="AM343" s="131" t="s">
        <v>208</v>
      </c>
      <c r="AN343" s="119" t="s">
        <v>537</v>
      </c>
    </row>
    <row r="344" spans="1:40" s="119" customFormat="1" ht="15" customHeight="1" x14ac:dyDescent="0.3">
      <c r="A344" s="119">
        <v>2017</v>
      </c>
      <c r="B344" s="131" t="s">
        <v>38</v>
      </c>
      <c r="C344" s="119" t="s">
        <v>39</v>
      </c>
      <c r="D344" s="131"/>
      <c r="E344" s="131"/>
      <c r="F344" s="131" t="s">
        <v>329</v>
      </c>
      <c r="G344" s="131" t="s">
        <v>329</v>
      </c>
      <c r="H344" s="131" t="s">
        <v>329</v>
      </c>
      <c r="I344" s="131" t="s">
        <v>243</v>
      </c>
      <c r="J344" s="119" t="s">
        <v>244</v>
      </c>
      <c r="K344" s="119" t="s">
        <v>266</v>
      </c>
      <c r="L344" s="119" t="s">
        <v>329</v>
      </c>
      <c r="M344" s="119" t="s">
        <v>46</v>
      </c>
      <c r="N344" s="135">
        <v>0</v>
      </c>
      <c r="O344" s="135" t="s">
        <v>47</v>
      </c>
      <c r="P344" s="135"/>
      <c r="Q344" s="137">
        <v>0</v>
      </c>
      <c r="R344" s="137">
        <v>0</v>
      </c>
      <c r="S344" s="131"/>
      <c r="T344" s="137">
        <f t="shared" si="61"/>
        <v>0</v>
      </c>
      <c r="U344" s="137">
        <f t="shared" si="65"/>
        <v>0</v>
      </c>
      <c r="V344" s="137">
        <v>6988.5</v>
      </c>
      <c r="W344" s="137">
        <f t="shared" si="66"/>
        <v>-6988.5</v>
      </c>
      <c r="X344" s="137">
        <f t="shared" si="62"/>
        <v>-6988.5</v>
      </c>
      <c r="Y344" s="137">
        <f t="shared" si="67"/>
        <v>0</v>
      </c>
      <c r="Z344" s="137">
        <v>9318</v>
      </c>
      <c r="AA344" s="137">
        <f t="shared" si="63"/>
        <v>-2329.5</v>
      </c>
      <c r="AB344" s="146">
        <f t="shared" ref="AB344:AB375" si="69">IF(O344="返货",Z344/(1+N344),IF(O344="返现",Z344,IF(O344="折扣",Z344*N344,IF(O344="无",Z344))))</f>
        <v>9318</v>
      </c>
      <c r="AC344" s="147">
        <f t="shared" si="64"/>
        <v>0</v>
      </c>
      <c r="AD344" s="137">
        <v>6988.5</v>
      </c>
      <c r="AE344" s="138">
        <v>0</v>
      </c>
      <c r="AF344" s="137">
        <f t="shared" si="58"/>
        <v>0</v>
      </c>
      <c r="AG344" s="131"/>
      <c r="AH344" s="131"/>
      <c r="AI344" s="131"/>
      <c r="AJ344" s="136">
        <v>0</v>
      </c>
      <c r="AK344" s="131"/>
      <c r="AL344" s="119" t="s">
        <v>269</v>
      </c>
      <c r="AM344" s="131" t="s">
        <v>208</v>
      </c>
    </row>
    <row r="345" spans="1:40" s="119" customFormat="1" ht="15" customHeight="1" x14ac:dyDescent="0.3">
      <c r="A345" s="119">
        <v>2017</v>
      </c>
      <c r="B345" s="131" t="s">
        <v>199</v>
      </c>
      <c r="C345" s="119" t="s">
        <v>54</v>
      </c>
      <c r="D345" s="131"/>
      <c r="E345" s="131"/>
      <c r="F345" s="131" t="s">
        <v>242</v>
      </c>
      <c r="G345" s="131" t="s">
        <v>371</v>
      </c>
      <c r="H345" s="158" t="s">
        <v>372</v>
      </c>
      <c r="I345" s="131" t="s">
        <v>243</v>
      </c>
      <c r="J345" s="119" t="s">
        <v>244</v>
      </c>
      <c r="K345" s="119" t="s">
        <v>266</v>
      </c>
      <c r="L345" s="119" t="s">
        <v>242</v>
      </c>
      <c r="M345" s="119" t="s">
        <v>46</v>
      </c>
      <c r="N345" s="135">
        <v>0</v>
      </c>
      <c r="O345" s="135" t="s">
        <v>47</v>
      </c>
      <c r="P345" s="135"/>
      <c r="Q345" s="137">
        <v>0</v>
      </c>
      <c r="R345" s="137">
        <v>0</v>
      </c>
      <c r="S345" s="131"/>
      <c r="T345" s="137">
        <f t="shared" si="61"/>
        <v>0</v>
      </c>
      <c r="U345" s="137">
        <f t="shared" si="65"/>
        <v>0</v>
      </c>
      <c r="V345" s="137">
        <v>6561</v>
      </c>
      <c r="W345" s="137">
        <f t="shared" si="66"/>
        <v>-6561</v>
      </c>
      <c r="X345" s="137">
        <f t="shared" si="62"/>
        <v>-6561</v>
      </c>
      <c r="Y345" s="137">
        <f t="shared" si="67"/>
        <v>0</v>
      </c>
      <c r="Z345" s="137">
        <v>10935</v>
      </c>
      <c r="AA345" s="137">
        <f t="shared" si="63"/>
        <v>-4374</v>
      </c>
      <c r="AB345" s="146">
        <f t="shared" si="69"/>
        <v>10935</v>
      </c>
      <c r="AC345" s="147">
        <f t="shared" si="64"/>
        <v>0</v>
      </c>
      <c r="AD345" s="137">
        <v>6561</v>
      </c>
      <c r="AE345" s="138">
        <v>0</v>
      </c>
      <c r="AF345" s="137">
        <f t="shared" si="58"/>
        <v>0</v>
      </c>
      <c r="AG345" s="131"/>
      <c r="AH345" s="131"/>
      <c r="AI345" s="131"/>
      <c r="AJ345" s="136">
        <v>0</v>
      </c>
      <c r="AK345" s="131"/>
      <c r="AL345" s="119" t="s">
        <v>269</v>
      </c>
      <c r="AM345" s="131" t="s">
        <v>208</v>
      </c>
    </row>
    <row r="346" spans="1:40" s="119" customFormat="1" ht="15" customHeight="1" x14ac:dyDescent="0.3">
      <c r="A346" s="119">
        <v>2017</v>
      </c>
      <c r="B346" s="131" t="s">
        <v>38</v>
      </c>
      <c r="C346" s="119" t="s">
        <v>39</v>
      </c>
      <c r="D346" s="131"/>
      <c r="E346" s="131"/>
      <c r="F346" s="119" t="s">
        <v>327</v>
      </c>
      <c r="G346" s="131" t="s">
        <v>327</v>
      </c>
      <c r="H346" s="131" t="s">
        <v>327</v>
      </c>
      <c r="I346" s="131" t="s">
        <v>243</v>
      </c>
      <c r="J346" s="119" t="s">
        <v>244</v>
      </c>
      <c r="K346" s="119" t="s">
        <v>266</v>
      </c>
      <c r="L346" s="119" t="s">
        <v>543</v>
      </c>
      <c r="M346" s="119" t="s">
        <v>46</v>
      </c>
      <c r="N346" s="161">
        <v>0</v>
      </c>
      <c r="O346" s="135" t="s">
        <v>47</v>
      </c>
      <c r="P346" s="135"/>
      <c r="Q346" s="137">
        <v>0</v>
      </c>
      <c r="R346" s="137">
        <v>0</v>
      </c>
      <c r="S346" s="131"/>
      <c r="T346" s="137">
        <f t="shared" si="61"/>
        <v>0</v>
      </c>
      <c r="U346" s="137">
        <f t="shared" si="65"/>
        <v>0</v>
      </c>
      <c r="V346" s="137"/>
      <c r="W346" s="137">
        <f t="shared" si="66"/>
        <v>0</v>
      </c>
      <c r="X346" s="137">
        <f t="shared" si="62"/>
        <v>0</v>
      </c>
      <c r="Y346" s="137">
        <f t="shared" si="67"/>
        <v>0</v>
      </c>
      <c r="Z346" s="137">
        <v>5061.5</v>
      </c>
      <c r="AA346" s="137">
        <f t="shared" si="63"/>
        <v>-5061.5</v>
      </c>
      <c r="AB346" s="146">
        <f t="shared" si="69"/>
        <v>5061.5</v>
      </c>
      <c r="AC346" s="147">
        <f t="shared" si="64"/>
        <v>0</v>
      </c>
      <c r="AD346" s="137">
        <v>3168</v>
      </c>
      <c r="AE346" s="138">
        <v>0</v>
      </c>
      <c r="AF346" s="137">
        <f t="shared" si="58"/>
        <v>0</v>
      </c>
      <c r="AG346" s="131"/>
      <c r="AH346" s="131"/>
      <c r="AI346" s="131"/>
      <c r="AJ346" s="135" t="e">
        <v>#N/A</v>
      </c>
      <c r="AK346" s="131"/>
      <c r="AL346" s="119" t="s">
        <v>269</v>
      </c>
      <c r="AM346" s="131" t="s">
        <v>208</v>
      </c>
    </row>
    <row r="347" spans="1:40" s="119" customFormat="1" ht="15" customHeight="1" x14ac:dyDescent="0.3">
      <c r="A347" s="119">
        <v>2017</v>
      </c>
      <c r="B347" s="131" t="s">
        <v>38</v>
      </c>
      <c r="C347" s="119" t="s">
        <v>75</v>
      </c>
      <c r="D347" s="131"/>
      <c r="E347" s="131"/>
      <c r="F347" s="131" t="s">
        <v>251</v>
      </c>
      <c r="G347" s="131" t="s">
        <v>251</v>
      </c>
      <c r="H347" s="131" t="s">
        <v>251</v>
      </c>
      <c r="I347" s="131" t="s">
        <v>243</v>
      </c>
      <c r="J347" s="119" t="s">
        <v>244</v>
      </c>
      <c r="K347" s="119" t="s">
        <v>266</v>
      </c>
      <c r="L347" s="119" t="s">
        <v>251</v>
      </c>
      <c r="M347" s="119" t="s">
        <v>46</v>
      </c>
      <c r="N347" s="135">
        <v>0</v>
      </c>
      <c r="O347" s="135" t="s">
        <v>47</v>
      </c>
      <c r="P347" s="135"/>
      <c r="Q347" s="137">
        <v>0</v>
      </c>
      <c r="R347" s="137">
        <v>0</v>
      </c>
      <c r="S347" s="131"/>
      <c r="T347" s="137">
        <f t="shared" si="61"/>
        <v>0</v>
      </c>
      <c r="U347" s="137">
        <f t="shared" si="65"/>
        <v>0</v>
      </c>
      <c r="V347" s="137">
        <v>5443.5</v>
      </c>
      <c r="W347" s="137">
        <f t="shared" si="66"/>
        <v>-5443.5</v>
      </c>
      <c r="X347" s="137">
        <f t="shared" si="62"/>
        <v>-5443.5</v>
      </c>
      <c r="Y347" s="137">
        <f t="shared" si="67"/>
        <v>0</v>
      </c>
      <c r="Z347" s="137">
        <v>7258</v>
      </c>
      <c r="AA347" s="137">
        <f t="shared" si="63"/>
        <v>-1814.5</v>
      </c>
      <c r="AB347" s="146">
        <f t="shared" si="69"/>
        <v>7258</v>
      </c>
      <c r="AC347" s="147">
        <f t="shared" si="64"/>
        <v>0</v>
      </c>
      <c r="AD347" s="137">
        <v>5443.5</v>
      </c>
      <c r="AE347" s="138">
        <v>0</v>
      </c>
      <c r="AF347" s="137">
        <f t="shared" si="58"/>
        <v>0</v>
      </c>
      <c r="AG347" s="131"/>
      <c r="AH347" s="131"/>
      <c r="AI347" s="131"/>
      <c r="AJ347" s="135" t="s">
        <v>47</v>
      </c>
      <c r="AK347" s="131"/>
      <c r="AL347" s="119" t="s">
        <v>269</v>
      </c>
      <c r="AM347" s="131" t="s">
        <v>208</v>
      </c>
    </row>
    <row r="348" spans="1:40" s="119" customFormat="1" ht="15" customHeight="1" x14ac:dyDescent="0.3">
      <c r="A348" s="119">
        <v>2017</v>
      </c>
      <c r="B348" s="131" t="s">
        <v>38</v>
      </c>
      <c r="C348" s="119" t="s">
        <v>59</v>
      </c>
      <c r="D348" s="131"/>
      <c r="E348" s="131"/>
      <c r="F348" s="131" t="s">
        <v>274</v>
      </c>
      <c r="G348" s="131" t="s">
        <v>274</v>
      </c>
      <c r="H348" s="131" t="s">
        <v>274</v>
      </c>
      <c r="I348" s="131" t="s">
        <v>243</v>
      </c>
      <c r="J348" s="119" t="s">
        <v>244</v>
      </c>
      <c r="K348" s="119" t="s">
        <v>266</v>
      </c>
      <c r="L348" s="119" t="s">
        <v>274</v>
      </c>
      <c r="M348" s="119" t="s">
        <v>46</v>
      </c>
      <c r="N348" s="135">
        <v>0</v>
      </c>
      <c r="O348" s="135" t="s">
        <v>47</v>
      </c>
      <c r="P348" s="135"/>
      <c r="Q348" s="137">
        <v>0</v>
      </c>
      <c r="R348" s="137">
        <v>0</v>
      </c>
      <c r="S348" s="131"/>
      <c r="T348" s="137">
        <f t="shared" si="61"/>
        <v>0</v>
      </c>
      <c r="U348" s="137">
        <f t="shared" si="65"/>
        <v>0</v>
      </c>
      <c r="V348" s="137">
        <v>6721.5</v>
      </c>
      <c r="W348" s="137">
        <f t="shared" si="66"/>
        <v>-6721.5</v>
      </c>
      <c r="X348" s="137">
        <f t="shared" si="62"/>
        <v>-6721.5</v>
      </c>
      <c r="Y348" s="137">
        <f t="shared" si="67"/>
        <v>0</v>
      </c>
      <c r="Z348" s="137">
        <v>9461.5</v>
      </c>
      <c r="AA348" s="137">
        <f t="shared" si="63"/>
        <v>-2740</v>
      </c>
      <c r="AB348" s="146">
        <f t="shared" si="69"/>
        <v>9461.5</v>
      </c>
      <c r="AC348" s="147">
        <f t="shared" si="64"/>
        <v>0</v>
      </c>
      <c r="AD348" s="137">
        <v>6721.5</v>
      </c>
      <c r="AE348" s="138">
        <v>0</v>
      </c>
      <c r="AF348" s="137">
        <f t="shared" si="58"/>
        <v>0</v>
      </c>
      <c r="AG348" s="131"/>
      <c r="AH348" s="131"/>
      <c r="AI348" s="131"/>
      <c r="AJ348" s="136">
        <v>0</v>
      </c>
      <c r="AK348" s="131"/>
      <c r="AL348" s="119" t="s">
        <v>269</v>
      </c>
      <c r="AM348" s="131" t="s">
        <v>208</v>
      </c>
    </row>
    <row r="349" spans="1:40" s="119" customFormat="1" ht="15" customHeight="1" x14ac:dyDescent="0.3">
      <c r="A349" s="119">
        <v>2017</v>
      </c>
      <c r="B349" s="131" t="s">
        <v>199</v>
      </c>
      <c r="C349" s="119" t="s">
        <v>54</v>
      </c>
      <c r="D349" s="131"/>
      <c r="E349" s="131"/>
      <c r="F349" s="131" t="s">
        <v>242</v>
      </c>
      <c r="G349" s="131" t="s">
        <v>371</v>
      </c>
      <c r="H349" s="158" t="s">
        <v>372</v>
      </c>
      <c r="I349" s="131" t="s">
        <v>243</v>
      </c>
      <c r="J349" s="119" t="s">
        <v>244</v>
      </c>
      <c r="K349" s="119" t="s">
        <v>266</v>
      </c>
      <c r="L349" s="119" t="s">
        <v>242</v>
      </c>
      <c r="M349" s="119" t="s">
        <v>46</v>
      </c>
      <c r="N349" s="135">
        <v>0</v>
      </c>
      <c r="O349" s="135" t="s">
        <v>47</v>
      </c>
      <c r="P349" s="135"/>
      <c r="Q349" s="137">
        <v>0</v>
      </c>
      <c r="R349" s="137">
        <v>0</v>
      </c>
      <c r="S349" s="131"/>
      <c r="T349" s="137">
        <f t="shared" si="61"/>
        <v>0</v>
      </c>
      <c r="U349" s="137">
        <f t="shared" si="65"/>
        <v>0</v>
      </c>
      <c r="V349" s="137">
        <v>30115.5</v>
      </c>
      <c r="W349" s="137">
        <f t="shared" si="66"/>
        <v>-30115.5</v>
      </c>
      <c r="X349" s="137">
        <f t="shared" si="62"/>
        <v>-30115.5</v>
      </c>
      <c r="Y349" s="137">
        <f t="shared" si="67"/>
        <v>0</v>
      </c>
      <c r="Z349" s="137">
        <v>50192.5</v>
      </c>
      <c r="AA349" s="137">
        <f t="shared" si="63"/>
        <v>-20077</v>
      </c>
      <c r="AB349" s="146">
        <f t="shared" si="69"/>
        <v>50192.5</v>
      </c>
      <c r="AC349" s="147">
        <f t="shared" si="64"/>
        <v>0</v>
      </c>
      <c r="AD349" s="137">
        <v>30115.5</v>
      </c>
      <c r="AE349" s="138">
        <v>0</v>
      </c>
      <c r="AF349" s="137">
        <f t="shared" si="58"/>
        <v>0</v>
      </c>
      <c r="AG349" s="131"/>
      <c r="AH349" s="131"/>
      <c r="AI349" s="131"/>
      <c r="AJ349" s="136">
        <v>0</v>
      </c>
      <c r="AK349" s="131"/>
      <c r="AL349" s="119" t="s">
        <v>269</v>
      </c>
      <c r="AM349" s="131" t="s">
        <v>208</v>
      </c>
    </row>
    <row r="350" spans="1:40" s="119" customFormat="1" ht="15" customHeight="1" x14ac:dyDescent="0.3">
      <c r="A350" s="119">
        <v>2017</v>
      </c>
      <c r="B350" s="131" t="s">
        <v>38</v>
      </c>
      <c r="C350" s="119" t="s">
        <v>59</v>
      </c>
      <c r="D350" s="131"/>
      <c r="E350" s="131"/>
      <c r="F350" s="131" t="s">
        <v>355</v>
      </c>
      <c r="G350" s="131" t="s">
        <v>355</v>
      </c>
      <c r="H350" s="131" t="s">
        <v>355</v>
      </c>
      <c r="I350" s="131" t="s">
        <v>243</v>
      </c>
      <c r="J350" s="119" t="s">
        <v>244</v>
      </c>
      <c r="K350" s="119" t="s">
        <v>266</v>
      </c>
      <c r="L350" s="119" t="s">
        <v>544</v>
      </c>
      <c r="M350" s="119" t="s">
        <v>46</v>
      </c>
      <c r="N350" s="161">
        <v>0</v>
      </c>
      <c r="O350" s="135" t="s">
        <v>47</v>
      </c>
      <c r="P350" s="135"/>
      <c r="Q350" s="137">
        <v>0</v>
      </c>
      <c r="R350" s="137">
        <v>0</v>
      </c>
      <c r="S350" s="131"/>
      <c r="T350" s="137">
        <f t="shared" si="61"/>
        <v>0</v>
      </c>
      <c r="U350" s="137">
        <f t="shared" si="65"/>
        <v>0</v>
      </c>
      <c r="V350" s="137">
        <v>17676</v>
      </c>
      <c r="W350" s="137">
        <f t="shared" si="66"/>
        <v>-17676</v>
      </c>
      <c r="X350" s="137">
        <f t="shared" si="62"/>
        <v>-17676</v>
      </c>
      <c r="Y350" s="137">
        <f t="shared" si="67"/>
        <v>0</v>
      </c>
      <c r="Z350" s="137">
        <v>23568</v>
      </c>
      <c r="AA350" s="137">
        <f t="shared" si="63"/>
        <v>-5892</v>
      </c>
      <c r="AB350" s="146">
        <f t="shared" si="69"/>
        <v>23568</v>
      </c>
      <c r="AC350" s="147">
        <f t="shared" si="64"/>
        <v>0</v>
      </c>
      <c r="AD350" s="137">
        <v>17676</v>
      </c>
      <c r="AE350" s="138">
        <v>0</v>
      </c>
      <c r="AF350" s="137">
        <f t="shared" si="58"/>
        <v>0</v>
      </c>
      <c r="AG350" s="131"/>
      <c r="AH350" s="131"/>
      <c r="AI350" s="131"/>
      <c r="AJ350" s="135">
        <v>0</v>
      </c>
      <c r="AK350" s="131"/>
      <c r="AL350" s="119" t="s">
        <v>269</v>
      </c>
      <c r="AM350" s="131" t="s">
        <v>208</v>
      </c>
    </row>
    <row r="351" spans="1:40" s="119" customFormat="1" ht="15" customHeight="1" x14ac:dyDescent="0.3">
      <c r="A351" s="119">
        <v>2017</v>
      </c>
      <c r="B351" s="131" t="s">
        <v>199</v>
      </c>
      <c r="C351" s="119" t="s">
        <v>54</v>
      </c>
      <c r="D351" s="131"/>
      <c r="E351" s="131"/>
      <c r="F351" s="131" t="s">
        <v>389</v>
      </c>
      <c r="G351" s="131" t="s">
        <v>390</v>
      </c>
      <c r="H351" s="158" t="s">
        <v>391</v>
      </c>
      <c r="I351" s="131" t="s">
        <v>243</v>
      </c>
      <c r="J351" s="119" t="s">
        <v>244</v>
      </c>
      <c r="K351" s="119" t="s">
        <v>266</v>
      </c>
      <c r="L351" s="119" t="s">
        <v>389</v>
      </c>
      <c r="M351" s="119" t="s">
        <v>46</v>
      </c>
      <c r="N351" s="135">
        <v>0</v>
      </c>
      <c r="O351" s="135" t="s">
        <v>47</v>
      </c>
      <c r="P351" s="135"/>
      <c r="Q351" s="137">
        <v>0</v>
      </c>
      <c r="R351" s="137">
        <v>0</v>
      </c>
      <c r="S351" s="131"/>
      <c r="T351" s="137">
        <f t="shared" si="61"/>
        <v>0</v>
      </c>
      <c r="U351" s="137">
        <f t="shared" si="65"/>
        <v>0</v>
      </c>
      <c r="V351" s="137">
        <v>237643.5</v>
      </c>
      <c r="W351" s="137">
        <f t="shared" si="66"/>
        <v>-237643.5</v>
      </c>
      <c r="X351" s="137">
        <f t="shared" si="62"/>
        <v>-237643.5</v>
      </c>
      <c r="Y351" s="137">
        <f t="shared" si="67"/>
        <v>0</v>
      </c>
      <c r="Z351" s="137">
        <v>331486</v>
      </c>
      <c r="AA351" s="137">
        <f t="shared" si="63"/>
        <v>-93842.5</v>
      </c>
      <c r="AB351" s="146">
        <f t="shared" si="69"/>
        <v>331486</v>
      </c>
      <c r="AC351" s="147">
        <f t="shared" si="64"/>
        <v>0</v>
      </c>
      <c r="AD351" s="137">
        <v>237643.5</v>
      </c>
      <c r="AE351" s="138">
        <v>0</v>
      </c>
      <c r="AF351" s="137">
        <f t="shared" si="58"/>
        <v>0</v>
      </c>
      <c r="AG351" s="131"/>
      <c r="AH351" s="131"/>
      <c r="AI351" s="131"/>
      <c r="AJ351" s="135" t="s">
        <v>47</v>
      </c>
      <c r="AK351" s="131"/>
      <c r="AL351" s="119" t="s">
        <v>269</v>
      </c>
      <c r="AM351" s="131" t="s">
        <v>208</v>
      </c>
    </row>
    <row r="352" spans="1:40" s="119" customFormat="1" ht="15" customHeight="1" x14ac:dyDescent="0.3">
      <c r="A352" s="119">
        <v>2017</v>
      </c>
      <c r="B352" s="119" t="s">
        <v>38</v>
      </c>
      <c r="C352" s="119" t="s">
        <v>54</v>
      </c>
      <c r="D352" s="131"/>
      <c r="E352" s="131"/>
      <c r="F352" s="131" t="s">
        <v>376</v>
      </c>
      <c r="G352" s="131" t="s">
        <v>376</v>
      </c>
      <c r="H352" s="131" t="s">
        <v>376</v>
      </c>
      <c r="I352" s="131" t="s">
        <v>243</v>
      </c>
      <c r="J352" s="119" t="s">
        <v>244</v>
      </c>
      <c r="K352" s="119" t="s">
        <v>245</v>
      </c>
      <c r="L352" s="119" t="s">
        <v>377</v>
      </c>
      <c r="M352" s="119" t="s">
        <v>46</v>
      </c>
      <c r="N352" s="135">
        <v>0</v>
      </c>
      <c r="O352" s="135" t="s">
        <v>47</v>
      </c>
      <c r="P352" s="135"/>
      <c r="Q352" s="137">
        <v>0</v>
      </c>
      <c r="T352" s="137">
        <f t="shared" si="61"/>
        <v>0</v>
      </c>
      <c r="U352" s="137">
        <f t="shared" si="65"/>
        <v>0</v>
      </c>
      <c r="V352" s="137">
        <v>15000</v>
      </c>
      <c r="W352" s="137">
        <f t="shared" si="66"/>
        <v>-15000</v>
      </c>
      <c r="X352" s="137">
        <f t="shared" si="62"/>
        <v>-15000</v>
      </c>
      <c r="Y352" s="137">
        <f t="shared" si="67"/>
        <v>0</v>
      </c>
      <c r="Z352" s="137">
        <v>5259.3</v>
      </c>
      <c r="AA352" s="137">
        <f t="shared" si="63"/>
        <v>9740.7000000000007</v>
      </c>
      <c r="AB352" s="146">
        <f t="shared" si="69"/>
        <v>5259.3</v>
      </c>
      <c r="AC352" s="147">
        <f t="shared" si="64"/>
        <v>0</v>
      </c>
      <c r="AD352" s="137">
        <v>4408.7005319217296</v>
      </c>
      <c r="AE352" s="138">
        <v>0.17647058823529399</v>
      </c>
      <c r="AF352" s="137">
        <f t="shared" si="58"/>
        <v>778.00597622148109</v>
      </c>
      <c r="AG352" s="131"/>
      <c r="AH352" s="131"/>
      <c r="AI352" s="131"/>
      <c r="AJ352" s="136">
        <v>0</v>
      </c>
      <c r="AK352" s="131"/>
      <c r="AL352" s="131"/>
      <c r="AM352" s="131" t="s">
        <v>208</v>
      </c>
    </row>
    <row r="353" spans="1:39" s="119" customFormat="1" ht="15" customHeight="1" x14ac:dyDescent="0.3">
      <c r="A353" s="119">
        <v>2017</v>
      </c>
      <c r="B353" s="131" t="s">
        <v>38</v>
      </c>
      <c r="C353" s="119" t="s">
        <v>433</v>
      </c>
      <c r="D353" s="131"/>
      <c r="E353" s="131"/>
      <c r="F353" s="131" t="s">
        <v>264</v>
      </c>
      <c r="G353" s="131" t="s">
        <v>265</v>
      </c>
      <c r="H353" s="131" t="s">
        <v>265</v>
      </c>
      <c r="I353" s="131" t="s">
        <v>243</v>
      </c>
      <c r="J353" s="119" t="s">
        <v>244</v>
      </c>
      <c r="K353" s="119" t="s">
        <v>245</v>
      </c>
      <c r="L353" s="119" t="s">
        <v>533</v>
      </c>
      <c r="M353" s="119" t="s">
        <v>46</v>
      </c>
      <c r="N353" s="136">
        <v>0.02</v>
      </c>
      <c r="O353" s="135" t="s">
        <v>51</v>
      </c>
      <c r="P353" s="135"/>
      <c r="Q353" s="137">
        <v>0</v>
      </c>
      <c r="T353" s="137">
        <f t="shared" si="61"/>
        <v>0</v>
      </c>
      <c r="U353" s="137">
        <f t="shared" si="65"/>
        <v>0</v>
      </c>
      <c r="V353" s="137">
        <v>299731</v>
      </c>
      <c r="W353" s="137">
        <f t="shared" si="66"/>
        <v>-299731</v>
      </c>
      <c r="X353" s="137">
        <f t="shared" si="62"/>
        <v>-293853.92156862747</v>
      </c>
      <c r="Y353" s="137">
        <f t="shared" si="67"/>
        <v>-5877.0784313725308</v>
      </c>
      <c r="Z353" s="137">
        <v>284897.8</v>
      </c>
      <c r="AA353" s="137">
        <f t="shared" si="63"/>
        <v>14833.200000000012</v>
      </c>
      <c r="AB353" s="146">
        <f t="shared" si="69"/>
        <v>279311.56862745096</v>
      </c>
      <c r="AC353" s="147">
        <f t="shared" si="64"/>
        <v>5586.2313725490239</v>
      </c>
      <c r="AD353" s="137">
        <v>238820.58114261</v>
      </c>
      <c r="AE353" s="138">
        <v>0.17647058823529399</v>
      </c>
      <c r="AF353" s="137">
        <f t="shared" si="58"/>
        <v>42144.808436931147</v>
      </c>
      <c r="AG353" s="131"/>
      <c r="AH353" s="131"/>
      <c r="AI353" s="131"/>
      <c r="AJ353" s="135" t="s">
        <v>173</v>
      </c>
      <c r="AK353" s="131"/>
      <c r="AL353" s="131"/>
      <c r="AM353" s="131" t="s">
        <v>208</v>
      </c>
    </row>
    <row r="354" spans="1:39" s="119" customFormat="1" ht="15" customHeight="1" x14ac:dyDescent="0.3">
      <c r="A354" s="119">
        <v>2017</v>
      </c>
      <c r="B354" s="131" t="s">
        <v>38</v>
      </c>
      <c r="C354" s="119" t="s">
        <v>39</v>
      </c>
      <c r="D354" s="131"/>
      <c r="E354" s="131"/>
      <c r="F354" s="131" t="s">
        <v>327</v>
      </c>
      <c r="G354" s="131" t="s">
        <v>327</v>
      </c>
      <c r="H354" s="131" t="s">
        <v>327</v>
      </c>
      <c r="I354" s="131" t="s">
        <v>243</v>
      </c>
      <c r="J354" s="119" t="s">
        <v>244</v>
      </c>
      <c r="K354" s="119" t="s">
        <v>245</v>
      </c>
      <c r="L354" s="119" t="s">
        <v>534</v>
      </c>
      <c r="M354" s="119" t="s">
        <v>46</v>
      </c>
      <c r="N354" s="161">
        <v>0</v>
      </c>
      <c r="O354" s="135" t="s">
        <v>47</v>
      </c>
      <c r="P354" s="135"/>
      <c r="Q354" s="137">
        <v>0</v>
      </c>
      <c r="T354" s="137">
        <f t="shared" si="61"/>
        <v>0</v>
      </c>
      <c r="U354" s="137">
        <f t="shared" si="65"/>
        <v>0</v>
      </c>
      <c r="V354" s="137"/>
      <c r="W354" s="137">
        <f t="shared" si="66"/>
        <v>0</v>
      </c>
      <c r="X354" s="137">
        <f t="shared" si="62"/>
        <v>0</v>
      </c>
      <c r="Y354" s="137">
        <f t="shared" si="67"/>
        <v>0</v>
      </c>
      <c r="Z354" s="137">
        <v>382.5</v>
      </c>
      <c r="AA354" s="137">
        <f t="shared" si="63"/>
        <v>-382.5</v>
      </c>
      <c r="AB354" s="146">
        <f t="shared" si="69"/>
        <v>382.5</v>
      </c>
      <c r="AC354" s="147">
        <f t="shared" si="64"/>
        <v>0</v>
      </c>
      <c r="AD354" s="137">
        <v>320.63733832640497</v>
      </c>
      <c r="AE354" s="138">
        <v>0.17647058823529399</v>
      </c>
      <c r="AF354" s="137">
        <f t="shared" si="58"/>
        <v>56.583059704659661</v>
      </c>
      <c r="AG354" s="131"/>
      <c r="AH354" s="131"/>
      <c r="AI354" s="131"/>
      <c r="AJ354" s="135" t="e">
        <v>#N/A</v>
      </c>
      <c r="AK354" s="131"/>
      <c r="AL354" s="131"/>
      <c r="AM354" s="131" t="s">
        <v>208</v>
      </c>
    </row>
    <row r="355" spans="1:39" s="119" customFormat="1" ht="15" customHeight="1" x14ac:dyDescent="0.3">
      <c r="A355" s="119">
        <v>2017</v>
      </c>
      <c r="B355" s="131"/>
      <c r="C355" s="119" t="s">
        <v>39</v>
      </c>
      <c r="D355" s="131"/>
      <c r="E355" s="131"/>
      <c r="F355" s="131" t="s">
        <v>122</v>
      </c>
      <c r="G355" s="131"/>
      <c r="H355" s="131"/>
      <c r="I355" s="131" t="s">
        <v>243</v>
      </c>
      <c r="J355" s="119" t="s">
        <v>244</v>
      </c>
      <c r="K355" s="119" t="s">
        <v>245</v>
      </c>
      <c r="L355" s="119" t="s">
        <v>123</v>
      </c>
      <c r="M355" s="119" t="s">
        <v>46</v>
      </c>
      <c r="N355" s="161">
        <v>0</v>
      </c>
      <c r="O355" s="135" t="s">
        <v>47</v>
      </c>
      <c r="P355" s="135"/>
      <c r="Q355" s="137">
        <v>0</v>
      </c>
      <c r="R355" s="137">
        <v>0</v>
      </c>
      <c r="T355" s="137">
        <f t="shared" si="61"/>
        <v>0</v>
      </c>
      <c r="U355" s="137">
        <f t="shared" si="65"/>
        <v>0</v>
      </c>
      <c r="V355" s="137">
        <v>20000</v>
      </c>
      <c r="W355" s="137">
        <f t="shared" si="66"/>
        <v>-20000</v>
      </c>
      <c r="X355" s="137">
        <f t="shared" si="62"/>
        <v>-20000</v>
      </c>
      <c r="Y355" s="137">
        <f t="shared" si="67"/>
        <v>0</v>
      </c>
      <c r="Z355" s="137">
        <v>1359</v>
      </c>
      <c r="AA355" s="137">
        <f t="shared" si="63"/>
        <v>18641</v>
      </c>
      <c r="AB355" s="146">
        <f t="shared" si="69"/>
        <v>1359</v>
      </c>
      <c r="AC355" s="147">
        <f t="shared" si="64"/>
        <v>0</v>
      </c>
      <c r="AD355" s="137">
        <v>1139.20560205381</v>
      </c>
      <c r="AE355" s="138">
        <v>0.17647058823529399</v>
      </c>
      <c r="AF355" s="137">
        <f t="shared" si="58"/>
        <v>201.03628271537809</v>
      </c>
      <c r="AG355" s="131"/>
      <c r="AH355" s="131"/>
      <c r="AI355" s="131"/>
      <c r="AJ355" s="135" t="e">
        <v>#N/A</v>
      </c>
      <c r="AK355" s="131"/>
      <c r="AL355" s="131"/>
      <c r="AM355" s="131" t="s">
        <v>208</v>
      </c>
    </row>
    <row r="356" spans="1:39" s="119" customFormat="1" ht="15" customHeight="1" x14ac:dyDescent="0.3">
      <c r="A356" s="119">
        <v>2017</v>
      </c>
      <c r="B356" s="131" t="s">
        <v>38</v>
      </c>
      <c r="C356" s="119" t="s">
        <v>137</v>
      </c>
      <c r="D356" s="131"/>
      <c r="E356" s="131"/>
      <c r="F356" s="131" t="s">
        <v>271</v>
      </c>
      <c r="G356" s="131" t="s">
        <v>403</v>
      </c>
      <c r="H356" s="131" t="s">
        <v>403</v>
      </c>
      <c r="I356" s="131" t="s">
        <v>243</v>
      </c>
      <c r="J356" s="119" t="s">
        <v>244</v>
      </c>
      <c r="K356" s="119" t="s">
        <v>245</v>
      </c>
      <c r="L356" s="119" t="s">
        <v>545</v>
      </c>
      <c r="M356" s="119" t="s">
        <v>46</v>
      </c>
      <c r="N356" s="136">
        <v>0.02</v>
      </c>
      <c r="O356" s="135" t="s">
        <v>51</v>
      </c>
      <c r="P356" s="135" t="s">
        <v>440</v>
      </c>
      <c r="Q356" s="137">
        <v>0</v>
      </c>
      <c r="T356" s="137">
        <f t="shared" si="61"/>
        <v>0</v>
      </c>
      <c r="U356" s="137">
        <f t="shared" si="65"/>
        <v>0</v>
      </c>
      <c r="V356" s="137">
        <v>20000</v>
      </c>
      <c r="W356" s="137">
        <f t="shared" si="66"/>
        <v>-20000</v>
      </c>
      <c r="X356" s="137">
        <f t="shared" si="62"/>
        <v>-19607.843137254902</v>
      </c>
      <c r="Y356" s="137">
        <f t="shared" si="67"/>
        <v>-392.1568627450979</v>
      </c>
      <c r="Z356" s="137">
        <f>7088.5-Z1168</f>
        <v>4088.5</v>
      </c>
      <c r="AA356" s="137">
        <f t="shared" si="63"/>
        <v>15911.5</v>
      </c>
      <c r="AB356" s="146">
        <f t="shared" si="69"/>
        <v>4008.3333333333335</v>
      </c>
      <c r="AC356" s="147">
        <f t="shared" si="64"/>
        <v>80.166666666666515</v>
      </c>
      <c r="AD356" s="137">
        <v>5942.0595365404397</v>
      </c>
      <c r="AE356" s="138">
        <v>0.17647058823529399</v>
      </c>
      <c r="AF356" s="137">
        <f t="shared" si="58"/>
        <v>1048.5987417424299</v>
      </c>
      <c r="AG356" s="131"/>
      <c r="AH356" s="131"/>
      <c r="AI356" s="131"/>
      <c r="AJ356" s="135" t="s">
        <v>173</v>
      </c>
      <c r="AK356" s="131"/>
      <c r="AL356" s="131"/>
      <c r="AM356" s="131" t="s">
        <v>208</v>
      </c>
    </row>
    <row r="357" spans="1:39" s="119" customFormat="1" ht="15" customHeight="1" x14ac:dyDescent="0.3">
      <c r="A357" s="119">
        <v>2017</v>
      </c>
      <c r="B357" s="131" t="s">
        <v>38</v>
      </c>
      <c r="C357" s="119" t="s">
        <v>433</v>
      </c>
      <c r="D357" s="131"/>
      <c r="E357" s="131"/>
      <c r="F357" s="131" t="s">
        <v>264</v>
      </c>
      <c r="G357" s="131" t="s">
        <v>265</v>
      </c>
      <c r="H357" s="131" t="s">
        <v>265</v>
      </c>
      <c r="I357" s="131" t="s">
        <v>243</v>
      </c>
      <c r="J357" s="119" t="s">
        <v>244</v>
      </c>
      <c r="K357" s="119" t="s">
        <v>245</v>
      </c>
      <c r="L357" s="119" t="s">
        <v>267</v>
      </c>
      <c r="M357" s="119" t="s">
        <v>46</v>
      </c>
      <c r="N357" s="136">
        <v>0.02</v>
      </c>
      <c r="O357" s="135" t="s">
        <v>51</v>
      </c>
      <c r="P357" s="135"/>
      <c r="Q357" s="137">
        <v>0</v>
      </c>
      <c r="T357" s="137">
        <f t="shared" si="61"/>
        <v>0</v>
      </c>
      <c r="U357" s="137">
        <f t="shared" si="65"/>
        <v>0</v>
      </c>
      <c r="V357" s="137">
        <v>120000</v>
      </c>
      <c r="W357" s="137">
        <f t="shared" si="66"/>
        <v>-120000</v>
      </c>
      <c r="X357" s="137">
        <f t="shared" si="62"/>
        <v>-117647.05882352941</v>
      </c>
      <c r="Y357" s="137">
        <f t="shared" si="67"/>
        <v>-2352.9411764705874</v>
      </c>
      <c r="Z357" s="137">
        <v>72630.97</v>
      </c>
      <c r="AA357" s="137">
        <f t="shared" si="63"/>
        <v>47369.03</v>
      </c>
      <c r="AB357" s="146">
        <f t="shared" si="69"/>
        <v>71206.833333333328</v>
      </c>
      <c r="AC357" s="147">
        <f t="shared" si="64"/>
        <v>1424.1366666666727</v>
      </c>
      <c r="AD357" s="137">
        <v>60884.185361738397</v>
      </c>
      <c r="AE357" s="138">
        <v>0.17647058823529399</v>
      </c>
      <c r="AF357" s="137">
        <f t="shared" si="58"/>
        <v>10744.268005012651</v>
      </c>
      <c r="AG357" s="131"/>
      <c r="AH357" s="131"/>
      <c r="AI357" s="131"/>
      <c r="AJ357" s="135" t="s">
        <v>173</v>
      </c>
      <c r="AK357" s="131"/>
      <c r="AL357" s="131"/>
      <c r="AM357" s="131" t="s">
        <v>208</v>
      </c>
    </row>
    <row r="358" spans="1:39" s="119" customFormat="1" ht="15" customHeight="1" x14ac:dyDescent="0.3">
      <c r="A358" s="119">
        <v>2017</v>
      </c>
      <c r="B358" s="131" t="s">
        <v>38</v>
      </c>
      <c r="C358" s="119" t="s">
        <v>137</v>
      </c>
      <c r="D358" s="131"/>
      <c r="E358" s="131"/>
      <c r="F358" s="131" t="s">
        <v>264</v>
      </c>
      <c r="G358" s="131" t="s">
        <v>265</v>
      </c>
      <c r="H358" s="131" t="s">
        <v>265</v>
      </c>
      <c r="I358" s="131" t="s">
        <v>243</v>
      </c>
      <c r="J358" s="119" t="s">
        <v>244</v>
      </c>
      <c r="K358" s="119" t="s">
        <v>245</v>
      </c>
      <c r="L358" s="119" t="s">
        <v>546</v>
      </c>
      <c r="M358" s="119" t="s">
        <v>46</v>
      </c>
      <c r="N358" s="136">
        <v>0.02</v>
      </c>
      <c r="O358" s="135" t="s">
        <v>51</v>
      </c>
      <c r="P358" s="135"/>
      <c r="Q358" s="137">
        <v>0</v>
      </c>
      <c r="T358" s="137">
        <f t="shared" si="61"/>
        <v>0</v>
      </c>
      <c r="U358" s="137">
        <f t="shared" si="65"/>
        <v>0</v>
      </c>
      <c r="V358" s="137">
        <v>80000</v>
      </c>
      <c r="W358" s="137">
        <f t="shared" si="66"/>
        <v>-80000</v>
      </c>
      <c r="X358" s="137">
        <f t="shared" si="62"/>
        <v>-78431.372549019608</v>
      </c>
      <c r="Y358" s="137">
        <f t="shared" si="67"/>
        <v>-1568.6274509803916</v>
      </c>
      <c r="Z358" s="137">
        <v>47766.15</v>
      </c>
      <c r="AA358" s="137">
        <f t="shared" si="63"/>
        <v>32233.85</v>
      </c>
      <c r="AB358" s="146">
        <f t="shared" si="69"/>
        <v>46829.558823529413</v>
      </c>
      <c r="AC358" s="147">
        <f t="shared" si="64"/>
        <v>936.59117647058883</v>
      </c>
      <c r="AD358" s="137">
        <v>40040.813589803402</v>
      </c>
      <c r="AE358" s="138">
        <v>0.17647058823529399</v>
      </c>
      <c r="AF358" s="137">
        <f t="shared" si="58"/>
        <v>7066.0259276123597</v>
      </c>
      <c r="AG358" s="131"/>
      <c r="AH358" s="131"/>
      <c r="AI358" s="131"/>
      <c r="AJ358" s="135" t="s">
        <v>173</v>
      </c>
      <c r="AK358" s="131"/>
      <c r="AL358" s="131"/>
      <c r="AM358" s="131" t="s">
        <v>208</v>
      </c>
    </row>
    <row r="359" spans="1:39" s="119" customFormat="1" ht="15" customHeight="1" x14ac:dyDescent="0.3">
      <c r="A359" s="119">
        <v>2017</v>
      </c>
      <c r="B359" s="131" t="s">
        <v>38</v>
      </c>
      <c r="C359" s="119" t="s">
        <v>54</v>
      </c>
      <c r="D359" s="131"/>
      <c r="E359" s="131"/>
      <c r="F359" s="131" t="s">
        <v>65</v>
      </c>
      <c r="G359" s="131" t="s">
        <v>65</v>
      </c>
      <c r="H359" s="131" t="s">
        <v>65</v>
      </c>
      <c r="I359" s="131" t="s">
        <v>243</v>
      </c>
      <c r="J359" s="119" t="s">
        <v>244</v>
      </c>
      <c r="K359" s="119" t="s">
        <v>245</v>
      </c>
      <c r="L359" s="119" t="s">
        <v>535</v>
      </c>
      <c r="M359" s="119" t="s">
        <v>46</v>
      </c>
      <c r="N359" s="135">
        <v>0</v>
      </c>
      <c r="O359" s="135" t="s">
        <v>47</v>
      </c>
      <c r="P359" s="135" t="s">
        <v>1661</v>
      </c>
      <c r="Q359" s="137">
        <v>0</v>
      </c>
      <c r="T359" s="137">
        <f t="shared" si="61"/>
        <v>0</v>
      </c>
      <c r="U359" s="137">
        <f t="shared" si="65"/>
        <v>0</v>
      </c>
      <c r="V359" s="137">
        <v>651000.5</v>
      </c>
      <c r="W359" s="137">
        <f t="shared" si="66"/>
        <v>-651000.5</v>
      </c>
      <c r="X359" s="137">
        <f t="shared" si="62"/>
        <v>-651000.5</v>
      </c>
      <c r="Y359" s="137">
        <f t="shared" si="67"/>
        <v>0</v>
      </c>
      <c r="Z359" s="137">
        <v>615129.73</v>
      </c>
      <c r="AA359" s="137">
        <f t="shared" si="63"/>
        <v>35870.770000000019</v>
      </c>
      <c r="AB359" s="146">
        <f>IF(O359="返货",Z359/(1+N359),IF(O359="返现",Z359,IF(O359="折扣",Z359*N359,IF(O359="无",Z359))))-13000</f>
        <v>602129.73</v>
      </c>
      <c r="AC359" s="147">
        <f t="shared" si="64"/>
        <v>13000</v>
      </c>
      <c r="AD359" s="137">
        <v>502449.79943717801</v>
      </c>
      <c r="AE359" s="138">
        <v>0.17647058823529399</v>
      </c>
      <c r="AF359" s="137">
        <f t="shared" si="58"/>
        <v>88667.611665384291</v>
      </c>
      <c r="AG359" s="131"/>
      <c r="AH359" s="131"/>
      <c r="AI359" s="131"/>
      <c r="AJ359" s="135" t="s">
        <v>47</v>
      </c>
      <c r="AK359" s="131"/>
      <c r="AL359" s="131"/>
      <c r="AM359" s="131" t="s">
        <v>208</v>
      </c>
    </row>
    <row r="360" spans="1:39" s="119" customFormat="1" ht="15" customHeight="1" x14ac:dyDescent="0.3">
      <c r="A360" s="119">
        <v>2017</v>
      </c>
      <c r="B360" s="131" t="s">
        <v>38</v>
      </c>
      <c r="C360" s="119" t="s">
        <v>39</v>
      </c>
      <c r="D360" s="131"/>
      <c r="E360" s="131"/>
      <c r="F360" s="131" t="s">
        <v>460</v>
      </c>
      <c r="G360" s="131" t="s">
        <v>460</v>
      </c>
      <c r="H360" s="131" t="s">
        <v>460</v>
      </c>
      <c r="I360" s="131" t="s">
        <v>243</v>
      </c>
      <c r="J360" s="119" t="s">
        <v>244</v>
      </c>
      <c r="K360" s="119" t="s">
        <v>245</v>
      </c>
      <c r="L360" s="119" t="s">
        <v>461</v>
      </c>
      <c r="M360" s="119" t="s">
        <v>46</v>
      </c>
      <c r="N360" s="136">
        <v>0.02</v>
      </c>
      <c r="O360" s="135" t="s">
        <v>51</v>
      </c>
      <c r="P360" s="135"/>
      <c r="Q360" s="137">
        <v>0</v>
      </c>
      <c r="T360" s="137">
        <f t="shared" si="61"/>
        <v>0</v>
      </c>
      <c r="U360" s="137">
        <f t="shared" si="65"/>
        <v>0</v>
      </c>
      <c r="V360" s="137">
        <v>0</v>
      </c>
      <c r="W360" s="137">
        <f t="shared" si="66"/>
        <v>0</v>
      </c>
      <c r="X360" s="137">
        <f t="shared" si="62"/>
        <v>0</v>
      </c>
      <c r="Y360" s="137">
        <f t="shared" si="67"/>
        <v>0</v>
      </c>
      <c r="Z360" s="137">
        <v>11876.6</v>
      </c>
      <c r="AA360" s="137">
        <f t="shared" si="63"/>
        <v>-11876.6</v>
      </c>
      <c r="AB360" s="146">
        <f t="shared" si="69"/>
        <v>11643.725490196079</v>
      </c>
      <c r="AC360" s="147">
        <f t="shared" si="64"/>
        <v>232.87450980392168</v>
      </c>
      <c r="AD360" s="137">
        <v>9955.7683983460902</v>
      </c>
      <c r="AE360" s="138">
        <v>0.17647058823529399</v>
      </c>
      <c r="AF360" s="137">
        <f t="shared" si="58"/>
        <v>1756.9003055904852</v>
      </c>
      <c r="AG360" s="131"/>
      <c r="AH360" s="131"/>
      <c r="AI360" s="131"/>
      <c r="AJ360" s="135" t="s">
        <v>173</v>
      </c>
      <c r="AK360" s="131"/>
      <c r="AL360" s="131"/>
      <c r="AM360" s="131" t="s">
        <v>208</v>
      </c>
    </row>
    <row r="361" spans="1:39" s="119" customFormat="1" ht="15" customHeight="1" x14ac:dyDescent="0.3">
      <c r="A361" s="119">
        <v>2017</v>
      </c>
      <c r="B361" s="131" t="s">
        <v>38</v>
      </c>
      <c r="C361" s="119" t="s">
        <v>75</v>
      </c>
      <c r="D361" s="131"/>
      <c r="E361" s="131"/>
      <c r="F361" s="131" t="s">
        <v>306</v>
      </c>
      <c r="G361" s="131" t="s">
        <v>306</v>
      </c>
      <c r="H361" s="131" t="s">
        <v>306</v>
      </c>
      <c r="I361" s="131" t="s">
        <v>243</v>
      </c>
      <c r="J361" s="119" t="s">
        <v>244</v>
      </c>
      <c r="K361" s="119" t="s">
        <v>245</v>
      </c>
      <c r="L361" s="119" t="s">
        <v>306</v>
      </c>
      <c r="M361" s="119" t="s">
        <v>46</v>
      </c>
      <c r="N361" s="135">
        <v>0</v>
      </c>
      <c r="O361" s="135" t="s">
        <v>47</v>
      </c>
      <c r="P361" s="135"/>
      <c r="Q361" s="137">
        <v>0</v>
      </c>
      <c r="T361" s="137">
        <f t="shared" si="61"/>
        <v>0</v>
      </c>
      <c r="U361" s="137">
        <f t="shared" si="65"/>
        <v>0</v>
      </c>
      <c r="V361" s="137">
        <v>310832.5</v>
      </c>
      <c r="W361" s="137">
        <f t="shared" si="66"/>
        <v>-310832.5</v>
      </c>
      <c r="X361" s="137">
        <f t="shared" si="62"/>
        <v>-310832.5</v>
      </c>
      <c r="Y361" s="137">
        <f t="shared" si="67"/>
        <v>0</v>
      </c>
      <c r="Z361" s="137">
        <v>238998.5</v>
      </c>
      <c r="AA361" s="137">
        <f t="shared" si="63"/>
        <v>71834</v>
      </c>
      <c r="AB361" s="146">
        <f t="shared" si="69"/>
        <v>238998.5</v>
      </c>
      <c r="AC361" s="147">
        <f t="shared" si="64"/>
        <v>0</v>
      </c>
      <c r="AD361" s="137">
        <v>200344.687330727</v>
      </c>
      <c r="AE361" s="138">
        <v>0.17647058823529399</v>
      </c>
      <c r="AF361" s="137">
        <f t="shared" si="58"/>
        <v>35354.944823069447</v>
      </c>
      <c r="AG361" s="131"/>
      <c r="AH361" s="131"/>
      <c r="AI361" s="131"/>
      <c r="AJ361" s="135" t="s">
        <v>47</v>
      </c>
      <c r="AK361" s="131"/>
      <c r="AL361" s="131"/>
      <c r="AM361" s="131" t="s">
        <v>208</v>
      </c>
    </row>
    <row r="362" spans="1:39" s="119" customFormat="1" ht="15" customHeight="1" x14ac:dyDescent="0.3">
      <c r="A362" s="119">
        <v>2017</v>
      </c>
      <c r="B362" s="131" t="s">
        <v>38</v>
      </c>
      <c r="C362" s="119" t="s">
        <v>54</v>
      </c>
      <c r="D362" s="131"/>
      <c r="E362" s="131"/>
      <c r="F362" s="131" t="s">
        <v>380</v>
      </c>
      <c r="G362" s="131" t="s">
        <v>380</v>
      </c>
      <c r="H362" s="131" t="s">
        <v>380</v>
      </c>
      <c r="I362" s="131" t="s">
        <v>243</v>
      </c>
      <c r="J362" s="119" t="s">
        <v>244</v>
      </c>
      <c r="K362" s="119" t="s">
        <v>245</v>
      </c>
      <c r="L362" s="119" t="s">
        <v>380</v>
      </c>
      <c r="M362" s="119" t="s">
        <v>46</v>
      </c>
      <c r="N362" s="135">
        <v>0</v>
      </c>
      <c r="O362" s="135" t="s">
        <v>47</v>
      </c>
      <c r="P362" s="135"/>
      <c r="Q362" s="137">
        <v>0</v>
      </c>
      <c r="T362" s="137">
        <f t="shared" si="61"/>
        <v>0</v>
      </c>
      <c r="U362" s="137">
        <f t="shared" si="65"/>
        <v>0</v>
      </c>
      <c r="V362" s="137">
        <v>0</v>
      </c>
      <c r="W362" s="137">
        <f t="shared" si="66"/>
        <v>0</v>
      </c>
      <c r="X362" s="137">
        <f t="shared" si="62"/>
        <v>0</v>
      </c>
      <c r="Y362" s="137">
        <f t="shared" si="67"/>
        <v>0</v>
      </c>
      <c r="Z362" s="137">
        <v>27161.94</v>
      </c>
      <c r="AA362" s="137">
        <f t="shared" si="63"/>
        <v>-27161.94</v>
      </c>
      <c r="AB362" s="146">
        <f t="shared" si="69"/>
        <v>27161.94</v>
      </c>
      <c r="AC362" s="147">
        <f t="shared" si="64"/>
        <v>0</v>
      </c>
      <c r="AD362" s="137">
        <v>22768.972929102001</v>
      </c>
      <c r="AE362" s="138">
        <v>0.17647058823529399</v>
      </c>
      <c r="AF362" s="137">
        <f t="shared" si="58"/>
        <v>4018.0540463121151</v>
      </c>
      <c r="AG362" s="131"/>
      <c r="AH362" s="131"/>
      <c r="AI362" s="131"/>
      <c r="AJ362" s="135" t="s">
        <v>47</v>
      </c>
      <c r="AK362" s="131"/>
      <c r="AL362" s="131"/>
      <c r="AM362" s="131" t="s">
        <v>208</v>
      </c>
    </row>
    <row r="363" spans="1:39" s="119" customFormat="1" ht="15" customHeight="1" x14ac:dyDescent="0.3">
      <c r="A363" s="119">
        <v>2017</v>
      </c>
      <c r="B363" s="131" t="s">
        <v>38</v>
      </c>
      <c r="C363" s="119" t="s">
        <v>54</v>
      </c>
      <c r="D363" s="131"/>
      <c r="E363" s="131"/>
      <c r="F363" s="131" t="s">
        <v>380</v>
      </c>
      <c r="G363" s="131" t="s">
        <v>380</v>
      </c>
      <c r="H363" s="131" t="s">
        <v>380</v>
      </c>
      <c r="I363" s="131" t="s">
        <v>243</v>
      </c>
      <c r="J363" s="119" t="s">
        <v>244</v>
      </c>
      <c r="K363" s="119" t="s">
        <v>245</v>
      </c>
      <c r="L363" s="119" t="s">
        <v>380</v>
      </c>
      <c r="M363" s="119" t="s">
        <v>46</v>
      </c>
      <c r="N363" s="135">
        <v>0</v>
      </c>
      <c r="O363" s="135" t="s">
        <v>47</v>
      </c>
      <c r="P363" s="135"/>
      <c r="Q363" s="137">
        <v>0</v>
      </c>
      <c r="T363" s="137">
        <f t="shared" si="61"/>
        <v>0</v>
      </c>
      <c r="U363" s="137">
        <f t="shared" si="65"/>
        <v>0</v>
      </c>
      <c r="V363" s="137">
        <v>0</v>
      </c>
      <c r="W363" s="137">
        <f t="shared" si="66"/>
        <v>0</v>
      </c>
      <c r="X363" s="137">
        <f t="shared" si="62"/>
        <v>0</v>
      </c>
      <c r="Y363" s="137">
        <f t="shared" si="67"/>
        <v>0</v>
      </c>
      <c r="Z363" s="137">
        <v>689.4</v>
      </c>
      <c r="AA363" s="137">
        <f t="shared" si="63"/>
        <v>-689.4</v>
      </c>
      <c r="AB363" s="146">
        <f t="shared" si="69"/>
        <v>689.4</v>
      </c>
      <c r="AC363" s="147">
        <f t="shared" si="64"/>
        <v>0</v>
      </c>
      <c r="AD363" s="137">
        <v>577.90164978359098</v>
      </c>
      <c r="AE363" s="138">
        <v>0.17647058823529399</v>
      </c>
      <c r="AF363" s="137">
        <f t="shared" si="58"/>
        <v>101.98264407945716</v>
      </c>
      <c r="AG363" s="131"/>
      <c r="AH363" s="131"/>
      <c r="AI363" s="131"/>
      <c r="AJ363" s="135" t="s">
        <v>47</v>
      </c>
      <c r="AK363" s="131"/>
      <c r="AL363" s="131"/>
      <c r="AM363" s="131" t="s">
        <v>208</v>
      </c>
    </row>
    <row r="364" spans="1:39" s="119" customFormat="1" ht="15" customHeight="1" x14ac:dyDescent="0.3">
      <c r="A364" s="119">
        <v>2017</v>
      </c>
      <c r="B364" s="131" t="s">
        <v>38</v>
      </c>
      <c r="C364" s="119" t="s">
        <v>75</v>
      </c>
      <c r="D364" s="131"/>
      <c r="E364" s="131"/>
      <c r="F364" s="131" t="s">
        <v>323</v>
      </c>
      <c r="G364" s="131" t="s">
        <v>323</v>
      </c>
      <c r="H364" s="131" t="s">
        <v>323</v>
      </c>
      <c r="I364" s="131" t="s">
        <v>243</v>
      </c>
      <c r="J364" s="119" t="s">
        <v>244</v>
      </c>
      <c r="K364" s="119" t="s">
        <v>245</v>
      </c>
      <c r="L364" s="119" t="s">
        <v>324</v>
      </c>
      <c r="M364" s="119" t="s">
        <v>46</v>
      </c>
      <c r="N364" s="135">
        <v>0</v>
      </c>
      <c r="O364" s="135" t="s">
        <v>47</v>
      </c>
      <c r="P364" s="135"/>
      <c r="Q364" s="137">
        <v>0</v>
      </c>
      <c r="T364" s="137">
        <f t="shared" si="61"/>
        <v>0</v>
      </c>
      <c r="U364" s="137">
        <f t="shared" si="65"/>
        <v>0</v>
      </c>
      <c r="V364" s="137">
        <v>38584</v>
      </c>
      <c r="W364" s="137">
        <f t="shared" si="66"/>
        <v>-38584</v>
      </c>
      <c r="X364" s="137">
        <f t="shared" si="62"/>
        <v>-38584</v>
      </c>
      <c r="Y364" s="137">
        <f t="shared" si="67"/>
        <v>0</v>
      </c>
      <c r="Z364" s="137">
        <v>36658</v>
      </c>
      <c r="AA364" s="137">
        <f t="shared" si="63"/>
        <v>1926</v>
      </c>
      <c r="AB364" s="146">
        <f t="shared" si="69"/>
        <v>36658</v>
      </c>
      <c r="AC364" s="147">
        <f t="shared" si="64"/>
        <v>0</v>
      </c>
      <c r="AD364" s="137">
        <v>30729.2118911617</v>
      </c>
      <c r="AE364" s="138">
        <v>0.17647058823529399</v>
      </c>
      <c r="AF364" s="137">
        <f t="shared" si="58"/>
        <v>5422.8020984402965</v>
      </c>
      <c r="AG364" s="131"/>
      <c r="AH364" s="131"/>
      <c r="AI364" s="131"/>
      <c r="AJ364" s="135" t="s">
        <v>47</v>
      </c>
      <c r="AK364" s="131"/>
      <c r="AL364" s="131"/>
      <c r="AM364" s="131" t="s">
        <v>208</v>
      </c>
    </row>
    <row r="365" spans="1:39" s="119" customFormat="1" ht="15" customHeight="1" x14ac:dyDescent="0.3">
      <c r="A365" s="119">
        <v>2017</v>
      </c>
      <c r="B365" s="119" t="s">
        <v>199</v>
      </c>
      <c r="C365" s="119" t="s">
        <v>75</v>
      </c>
      <c r="D365" s="119" t="s">
        <v>518</v>
      </c>
      <c r="F365" s="131" t="s">
        <v>547</v>
      </c>
      <c r="G365" s="131" t="s">
        <v>548</v>
      </c>
      <c r="H365" s="131" t="s">
        <v>549</v>
      </c>
      <c r="I365" s="131" t="s">
        <v>204</v>
      </c>
      <c r="J365" s="119" t="s">
        <v>205</v>
      </c>
      <c r="K365" s="119" t="s">
        <v>206</v>
      </c>
      <c r="L365" s="119" t="s">
        <v>547</v>
      </c>
      <c r="M365" s="119" t="s">
        <v>185</v>
      </c>
      <c r="N365" s="136">
        <v>0.02</v>
      </c>
      <c r="O365" s="135" t="s">
        <v>51</v>
      </c>
      <c r="P365" s="135"/>
      <c r="Q365" s="137">
        <v>0</v>
      </c>
      <c r="R365" s="137">
        <v>0</v>
      </c>
      <c r="S365" s="137"/>
      <c r="T365" s="137">
        <f t="shared" si="61"/>
        <v>0</v>
      </c>
      <c r="U365" s="137">
        <f t="shared" si="65"/>
        <v>0</v>
      </c>
      <c r="V365" s="137">
        <v>0</v>
      </c>
      <c r="W365" s="137">
        <f t="shared" si="66"/>
        <v>0</v>
      </c>
      <c r="X365" s="137">
        <f t="shared" si="62"/>
        <v>0</v>
      </c>
      <c r="Y365" s="137">
        <f t="shared" si="67"/>
        <v>0</v>
      </c>
      <c r="Z365" s="137">
        <v>174166.5</v>
      </c>
      <c r="AA365" s="137">
        <f t="shared" si="63"/>
        <v>-174166.5</v>
      </c>
      <c r="AB365" s="146">
        <f t="shared" si="69"/>
        <v>170751.4705882353</v>
      </c>
      <c r="AC365" s="147">
        <f t="shared" si="64"/>
        <v>3415.029411764699</v>
      </c>
      <c r="AD365" s="137">
        <v>174166.5</v>
      </c>
      <c r="AE365" s="138">
        <v>0.2</v>
      </c>
      <c r="AF365" s="137">
        <f t="shared" si="58"/>
        <v>34833.300000000003</v>
      </c>
      <c r="AG365" s="137">
        <v>34833.300000000003</v>
      </c>
      <c r="AH365" s="154"/>
      <c r="AI365" s="154"/>
      <c r="AJ365" s="135" t="s">
        <v>173</v>
      </c>
      <c r="AM365" s="131" t="s">
        <v>208</v>
      </c>
    </row>
    <row r="366" spans="1:39" s="119" customFormat="1" ht="15" customHeight="1" x14ac:dyDescent="0.3">
      <c r="A366" s="119">
        <v>2017</v>
      </c>
      <c r="B366" s="131" t="s">
        <v>252</v>
      </c>
      <c r="C366" s="119" t="s">
        <v>137</v>
      </c>
      <c r="D366" s="131"/>
      <c r="E366" s="131"/>
      <c r="F366" s="131" t="s">
        <v>550</v>
      </c>
      <c r="G366" s="131" t="s">
        <v>551</v>
      </c>
      <c r="H366" s="131" t="s">
        <v>551</v>
      </c>
      <c r="I366" s="131" t="s">
        <v>243</v>
      </c>
      <c r="J366" s="119" t="s">
        <v>244</v>
      </c>
      <c r="K366" s="119" t="s">
        <v>245</v>
      </c>
      <c r="L366" s="119" t="s">
        <v>552</v>
      </c>
      <c r="M366" s="119" t="s">
        <v>46</v>
      </c>
      <c r="N366" s="135">
        <v>0</v>
      </c>
      <c r="O366" s="135" t="s">
        <v>47</v>
      </c>
      <c r="P366" s="135"/>
      <c r="Q366" s="137">
        <v>0</v>
      </c>
      <c r="T366" s="137">
        <f t="shared" si="61"/>
        <v>0</v>
      </c>
      <c r="U366" s="137">
        <f t="shared" si="65"/>
        <v>0</v>
      </c>
      <c r="V366" s="137">
        <v>30600</v>
      </c>
      <c r="W366" s="137">
        <f t="shared" si="66"/>
        <v>-30600</v>
      </c>
      <c r="X366" s="137">
        <f t="shared" si="62"/>
        <v>-30600</v>
      </c>
      <c r="Y366" s="137">
        <f t="shared" si="67"/>
        <v>0</v>
      </c>
      <c r="Z366" s="137">
        <v>16873.509999999998</v>
      </c>
      <c r="AA366" s="137">
        <f t="shared" si="63"/>
        <v>13726.490000000002</v>
      </c>
      <c r="AB366" s="146">
        <f t="shared" si="69"/>
        <v>16873.509999999998</v>
      </c>
      <c r="AC366" s="147">
        <f t="shared" si="64"/>
        <v>0</v>
      </c>
      <c r="AD366" s="137">
        <v>14144.5159075137</v>
      </c>
      <c r="AE366" s="138">
        <v>0.17647058823529399</v>
      </c>
      <c r="AF366" s="137">
        <f t="shared" si="58"/>
        <v>2496.0910425024158</v>
      </c>
      <c r="AG366" s="131"/>
      <c r="AH366" s="131"/>
      <c r="AI366" s="131"/>
      <c r="AJ366" s="136">
        <v>0</v>
      </c>
      <c r="AK366" s="131"/>
      <c r="AL366" s="131"/>
      <c r="AM366" s="131" t="s">
        <v>208</v>
      </c>
    </row>
    <row r="367" spans="1:39" s="119" customFormat="1" ht="15" customHeight="1" x14ac:dyDescent="0.3">
      <c r="A367" s="119">
        <v>2017</v>
      </c>
      <c r="B367" s="131" t="s">
        <v>38</v>
      </c>
      <c r="C367" s="119" t="s">
        <v>54</v>
      </c>
      <c r="D367" s="131"/>
      <c r="E367" s="131"/>
      <c r="F367" s="131" t="s">
        <v>393</v>
      </c>
      <c r="G367" s="131" t="s">
        <v>393</v>
      </c>
      <c r="H367" s="131" t="s">
        <v>393</v>
      </c>
      <c r="I367" s="131" t="s">
        <v>243</v>
      </c>
      <c r="J367" s="119" t="s">
        <v>244</v>
      </c>
      <c r="K367" s="119" t="s">
        <v>245</v>
      </c>
      <c r="L367" s="119" t="s">
        <v>517</v>
      </c>
      <c r="M367" s="119" t="s">
        <v>46</v>
      </c>
      <c r="N367" s="135">
        <v>0</v>
      </c>
      <c r="O367" s="135" t="s">
        <v>47</v>
      </c>
      <c r="P367" s="135"/>
      <c r="Q367" s="137">
        <v>0</v>
      </c>
      <c r="T367" s="137">
        <f t="shared" si="61"/>
        <v>0</v>
      </c>
      <c r="U367" s="137">
        <f t="shared" si="65"/>
        <v>0</v>
      </c>
      <c r="V367" s="137">
        <v>70000</v>
      </c>
      <c r="W367" s="137">
        <f t="shared" si="66"/>
        <v>-70000</v>
      </c>
      <c r="X367" s="137">
        <f t="shared" si="62"/>
        <v>-70000</v>
      </c>
      <c r="Y367" s="137">
        <f t="shared" si="67"/>
        <v>0</v>
      </c>
      <c r="Z367" s="137">
        <v>69993</v>
      </c>
      <c r="AA367" s="137">
        <f t="shared" si="63"/>
        <v>7</v>
      </c>
      <c r="AB367" s="146">
        <f t="shared" si="69"/>
        <v>69993</v>
      </c>
      <c r="AC367" s="147">
        <f t="shared" si="64"/>
        <v>0</v>
      </c>
      <c r="AD367" s="137">
        <v>58672.860709751702</v>
      </c>
      <c r="AE367" s="138">
        <v>0.17647058823529399</v>
      </c>
      <c r="AF367" s="137">
        <f t="shared" ref="AF367:AF430" si="70">AD367*AE367</f>
        <v>10354.034242897351</v>
      </c>
      <c r="AG367" s="131"/>
      <c r="AH367" s="131"/>
      <c r="AI367" s="131"/>
      <c r="AJ367" s="135" t="s">
        <v>47</v>
      </c>
      <c r="AK367" s="131"/>
      <c r="AL367" s="131"/>
      <c r="AM367" s="131" t="s">
        <v>208</v>
      </c>
    </row>
    <row r="368" spans="1:39" s="119" customFormat="1" ht="15" customHeight="1" x14ac:dyDescent="0.3">
      <c r="A368" s="119">
        <v>2017</v>
      </c>
      <c r="B368" s="131" t="s">
        <v>38</v>
      </c>
      <c r="C368" s="119" t="s">
        <v>39</v>
      </c>
      <c r="D368" s="131"/>
      <c r="E368" s="131"/>
      <c r="F368" s="131" t="s">
        <v>460</v>
      </c>
      <c r="G368" s="131" t="s">
        <v>460</v>
      </c>
      <c r="H368" s="131" t="s">
        <v>460</v>
      </c>
      <c r="I368" s="131" t="s">
        <v>243</v>
      </c>
      <c r="J368" s="119" t="s">
        <v>244</v>
      </c>
      <c r="K368" s="119" t="s">
        <v>245</v>
      </c>
      <c r="L368" s="119" t="s">
        <v>553</v>
      </c>
      <c r="M368" s="119" t="s">
        <v>46</v>
      </c>
      <c r="N368" s="161">
        <v>0</v>
      </c>
      <c r="O368" s="135" t="s">
        <v>47</v>
      </c>
      <c r="P368" s="135"/>
      <c r="Q368" s="137">
        <v>0</v>
      </c>
      <c r="T368" s="137">
        <f t="shared" si="61"/>
        <v>0</v>
      </c>
      <c r="U368" s="137">
        <f t="shared" si="65"/>
        <v>0</v>
      </c>
      <c r="V368" s="137">
        <v>20000</v>
      </c>
      <c r="W368" s="137">
        <f t="shared" si="66"/>
        <v>-20000</v>
      </c>
      <c r="X368" s="137">
        <f t="shared" si="62"/>
        <v>-20000</v>
      </c>
      <c r="Y368" s="137">
        <f t="shared" si="67"/>
        <v>0</v>
      </c>
      <c r="Z368" s="137">
        <v>3666</v>
      </c>
      <c r="AA368" s="137">
        <f t="shared" si="63"/>
        <v>16334</v>
      </c>
      <c r="AB368" s="146">
        <f t="shared" si="69"/>
        <v>3666</v>
      </c>
      <c r="AC368" s="147">
        <f t="shared" si="64"/>
        <v>0</v>
      </c>
      <c r="AD368" s="137">
        <v>3073.0888426264</v>
      </c>
      <c r="AE368" s="138">
        <v>0.17647058823529399</v>
      </c>
      <c r="AF368" s="137">
        <f t="shared" si="70"/>
        <v>542.30979575759966</v>
      </c>
      <c r="AG368" s="131"/>
      <c r="AH368" s="131"/>
      <c r="AI368" s="131"/>
      <c r="AJ368" s="135" t="e">
        <v>#N/A</v>
      </c>
      <c r="AK368" s="131"/>
      <c r="AL368" s="131"/>
      <c r="AM368" s="131" t="s">
        <v>208</v>
      </c>
    </row>
    <row r="369" spans="1:39" s="119" customFormat="1" ht="15" customHeight="1" x14ac:dyDescent="0.3">
      <c r="A369" s="119">
        <v>2017</v>
      </c>
      <c r="B369" s="131" t="s">
        <v>333</v>
      </c>
      <c r="C369" s="119" t="s">
        <v>39</v>
      </c>
      <c r="D369" s="131"/>
      <c r="E369" s="131"/>
      <c r="F369" s="131" t="s">
        <v>334</v>
      </c>
      <c r="G369" s="131" t="s">
        <v>335</v>
      </c>
      <c r="H369" s="131" t="s">
        <v>335</v>
      </c>
      <c r="I369" s="131" t="s">
        <v>243</v>
      </c>
      <c r="J369" s="119" t="s">
        <v>244</v>
      </c>
      <c r="K369" s="119" t="s">
        <v>245</v>
      </c>
      <c r="L369" s="119" t="s">
        <v>519</v>
      </c>
      <c r="M369" s="119" t="s">
        <v>46</v>
      </c>
      <c r="N369" s="136">
        <v>0.02</v>
      </c>
      <c r="O369" s="135" t="s">
        <v>51</v>
      </c>
      <c r="P369" s="135"/>
      <c r="Q369" s="137">
        <v>0</v>
      </c>
      <c r="T369" s="137">
        <f t="shared" si="61"/>
        <v>0</v>
      </c>
      <c r="U369" s="137">
        <f t="shared" si="65"/>
        <v>0</v>
      </c>
      <c r="V369" s="137">
        <v>104683</v>
      </c>
      <c r="W369" s="137">
        <f t="shared" si="66"/>
        <v>-104683</v>
      </c>
      <c r="X369" s="137">
        <f t="shared" si="62"/>
        <v>-102630.39215686274</v>
      </c>
      <c r="Y369" s="137">
        <f t="shared" si="67"/>
        <v>-2052.6078431372589</v>
      </c>
      <c r="Z369" s="137">
        <v>48433.5</v>
      </c>
      <c r="AA369" s="137">
        <f t="shared" si="63"/>
        <v>56249.5</v>
      </c>
      <c r="AB369" s="146">
        <f t="shared" si="69"/>
        <v>47483.823529411762</v>
      </c>
      <c r="AC369" s="147">
        <f t="shared" si="64"/>
        <v>949.67647058823786</v>
      </c>
      <c r="AD369" s="137">
        <v>40600.231440083502</v>
      </c>
      <c r="AE369" s="138">
        <v>0.17647058823529399</v>
      </c>
      <c r="AF369" s="137">
        <f t="shared" si="70"/>
        <v>7164.7467247206132</v>
      </c>
      <c r="AG369" s="131"/>
      <c r="AH369" s="131"/>
      <c r="AI369" s="131"/>
      <c r="AJ369" s="135" t="s">
        <v>173</v>
      </c>
      <c r="AK369" s="131"/>
      <c r="AL369" s="131"/>
      <c r="AM369" s="131" t="s">
        <v>208</v>
      </c>
    </row>
    <row r="370" spans="1:39" s="119" customFormat="1" ht="15" customHeight="1" x14ac:dyDescent="0.3">
      <c r="A370" s="119">
        <v>2017</v>
      </c>
      <c r="B370" s="131" t="s">
        <v>38</v>
      </c>
      <c r="C370" s="119" t="s">
        <v>59</v>
      </c>
      <c r="D370" s="131"/>
      <c r="E370" s="131"/>
      <c r="F370" s="131" t="s">
        <v>465</v>
      </c>
      <c r="G370" s="131" t="s">
        <v>465</v>
      </c>
      <c r="H370" s="131" t="s">
        <v>465</v>
      </c>
      <c r="I370" s="131" t="s">
        <v>243</v>
      </c>
      <c r="J370" s="119" t="s">
        <v>244</v>
      </c>
      <c r="K370" s="119" t="s">
        <v>245</v>
      </c>
      <c r="L370" s="119" t="s">
        <v>465</v>
      </c>
      <c r="M370" s="119" t="s">
        <v>46</v>
      </c>
      <c r="N370" s="135">
        <v>0</v>
      </c>
      <c r="O370" s="135" t="s">
        <v>47</v>
      </c>
      <c r="P370" s="135"/>
      <c r="Q370" s="137">
        <v>0</v>
      </c>
      <c r="T370" s="137">
        <f t="shared" si="61"/>
        <v>0</v>
      </c>
      <c r="U370" s="137">
        <f t="shared" si="65"/>
        <v>0</v>
      </c>
      <c r="V370" s="137">
        <v>0</v>
      </c>
      <c r="W370" s="137">
        <f t="shared" si="66"/>
        <v>0</v>
      </c>
      <c r="X370" s="137">
        <f t="shared" si="62"/>
        <v>0</v>
      </c>
      <c r="Y370" s="137">
        <f t="shared" si="67"/>
        <v>0</v>
      </c>
      <c r="Z370" s="137">
        <v>3770.96</v>
      </c>
      <c r="AA370" s="137">
        <f t="shared" si="63"/>
        <v>-3770.96</v>
      </c>
      <c r="AB370" s="146">
        <f t="shared" si="69"/>
        <v>3770.96</v>
      </c>
      <c r="AC370" s="147">
        <f t="shared" si="64"/>
        <v>0</v>
      </c>
      <c r="AD370" s="137">
        <v>3161.0734047982701</v>
      </c>
      <c r="AE370" s="138">
        <v>0.17647058823529399</v>
      </c>
      <c r="AF370" s="137">
        <f t="shared" si="70"/>
        <v>557.83648319969427</v>
      </c>
      <c r="AG370" s="131"/>
      <c r="AH370" s="131"/>
      <c r="AI370" s="131"/>
      <c r="AJ370" s="135" t="s">
        <v>47</v>
      </c>
      <c r="AK370" s="131"/>
      <c r="AL370" s="131"/>
      <c r="AM370" s="131" t="s">
        <v>208</v>
      </c>
    </row>
    <row r="371" spans="1:39" s="119" customFormat="1" ht="15" customHeight="1" x14ac:dyDescent="0.3">
      <c r="A371" s="119">
        <v>2017</v>
      </c>
      <c r="B371" s="131" t="s">
        <v>199</v>
      </c>
      <c r="C371" s="119" t="s">
        <v>88</v>
      </c>
      <c r="D371" s="131"/>
      <c r="E371" s="131"/>
      <c r="F371" s="131" t="s">
        <v>288</v>
      </c>
      <c r="G371" s="131" t="s">
        <v>289</v>
      </c>
      <c r="H371" s="131" t="s">
        <v>289</v>
      </c>
      <c r="I371" s="131" t="s">
        <v>243</v>
      </c>
      <c r="J371" s="119" t="s">
        <v>244</v>
      </c>
      <c r="K371" s="119" t="s">
        <v>245</v>
      </c>
      <c r="L371" s="119" t="s">
        <v>288</v>
      </c>
      <c r="M371" s="119" t="s">
        <v>46</v>
      </c>
      <c r="N371" s="135">
        <v>0</v>
      </c>
      <c r="O371" s="135" t="s">
        <v>47</v>
      </c>
      <c r="P371" s="135"/>
      <c r="Q371" s="137">
        <v>0</v>
      </c>
      <c r="T371" s="137">
        <f t="shared" si="61"/>
        <v>0</v>
      </c>
      <c r="U371" s="137">
        <f t="shared" si="65"/>
        <v>0</v>
      </c>
      <c r="V371" s="137">
        <v>0</v>
      </c>
      <c r="W371" s="137">
        <f t="shared" si="66"/>
        <v>0</v>
      </c>
      <c r="X371" s="137">
        <f t="shared" si="62"/>
        <v>0</v>
      </c>
      <c r="Y371" s="137">
        <f t="shared" si="67"/>
        <v>0</v>
      </c>
      <c r="Z371" s="137">
        <v>1186</v>
      </c>
      <c r="AA371" s="137">
        <f t="shared" si="63"/>
        <v>-1186</v>
      </c>
      <c r="AB371" s="146">
        <f t="shared" si="69"/>
        <v>1186</v>
      </c>
      <c r="AC371" s="147">
        <f t="shared" si="64"/>
        <v>0</v>
      </c>
      <c r="AD371" s="137">
        <v>994.18531569965</v>
      </c>
      <c r="AE371" s="138">
        <v>0.17647058823529399</v>
      </c>
      <c r="AF371" s="137">
        <f t="shared" si="70"/>
        <v>175.4444674764087</v>
      </c>
      <c r="AG371" s="131"/>
      <c r="AH371" s="131"/>
      <c r="AI371" s="131"/>
      <c r="AJ371" s="135" t="s">
        <v>47</v>
      </c>
      <c r="AK371" s="131"/>
      <c r="AL371" s="131"/>
      <c r="AM371" s="131" t="s">
        <v>208</v>
      </c>
    </row>
    <row r="372" spans="1:39" s="119" customFormat="1" ht="15" customHeight="1" x14ac:dyDescent="0.3">
      <c r="A372" s="119">
        <v>2017</v>
      </c>
      <c r="B372" s="131" t="s">
        <v>38</v>
      </c>
      <c r="C372" s="119" t="s">
        <v>54</v>
      </c>
      <c r="D372" s="131"/>
      <c r="E372" s="131"/>
      <c r="F372" s="131" t="s">
        <v>502</v>
      </c>
      <c r="G372" s="131" t="s">
        <v>502</v>
      </c>
      <c r="H372" s="131" t="s">
        <v>502</v>
      </c>
      <c r="I372" s="131" t="s">
        <v>243</v>
      </c>
      <c r="J372" s="119" t="s">
        <v>244</v>
      </c>
      <c r="K372" s="119" t="s">
        <v>245</v>
      </c>
      <c r="L372" s="119" t="s">
        <v>554</v>
      </c>
      <c r="M372" s="119" t="s">
        <v>46</v>
      </c>
      <c r="N372" s="136">
        <v>0.02</v>
      </c>
      <c r="O372" s="135" t="s">
        <v>495</v>
      </c>
      <c r="P372" s="135"/>
      <c r="Q372" s="137">
        <v>0</v>
      </c>
      <c r="T372" s="137">
        <f t="shared" si="61"/>
        <v>0</v>
      </c>
      <c r="U372" s="137">
        <f t="shared" si="65"/>
        <v>0</v>
      </c>
      <c r="V372" s="137">
        <v>70000</v>
      </c>
      <c r="W372" s="137">
        <f t="shared" si="66"/>
        <v>-70000</v>
      </c>
      <c r="X372" s="137">
        <f t="shared" si="62"/>
        <v>-68627.450980392154</v>
      </c>
      <c r="Y372" s="137">
        <f t="shared" si="67"/>
        <v>-1372.5490196078463</v>
      </c>
      <c r="Z372" s="137">
        <v>22170.6</v>
      </c>
      <c r="AA372" s="137">
        <f t="shared" si="63"/>
        <v>47829.4</v>
      </c>
      <c r="AB372" s="146">
        <f t="shared" si="69"/>
        <v>22170.6</v>
      </c>
      <c r="AC372" s="147">
        <f t="shared" si="64"/>
        <v>443.41199999999998</v>
      </c>
      <c r="AD372" s="137">
        <v>18584.894570194501</v>
      </c>
      <c r="AE372" s="138">
        <v>0.17647058823529399</v>
      </c>
      <c r="AF372" s="137">
        <f t="shared" si="70"/>
        <v>3279.687277093145</v>
      </c>
      <c r="AG372" s="131"/>
      <c r="AH372" s="131"/>
      <c r="AI372" s="131"/>
      <c r="AJ372" s="136">
        <v>0.02</v>
      </c>
      <c r="AK372" s="131"/>
      <c r="AL372" s="131"/>
      <c r="AM372" s="131" t="s">
        <v>208</v>
      </c>
    </row>
    <row r="373" spans="1:39" s="119" customFormat="1" ht="15" customHeight="1" x14ac:dyDescent="0.3">
      <c r="A373" s="119">
        <v>2017</v>
      </c>
      <c r="B373" s="131" t="s">
        <v>38</v>
      </c>
      <c r="C373" s="119" t="s">
        <v>39</v>
      </c>
      <c r="D373" s="131"/>
      <c r="E373" s="131"/>
      <c r="F373" s="119" t="s">
        <v>327</v>
      </c>
      <c r="G373" s="131" t="s">
        <v>327</v>
      </c>
      <c r="H373" s="131" t="s">
        <v>327</v>
      </c>
      <c r="I373" s="131" t="s">
        <v>243</v>
      </c>
      <c r="J373" s="119" t="s">
        <v>244</v>
      </c>
      <c r="K373" s="119" t="s">
        <v>245</v>
      </c>
      <c r="L373" s="119" t="s">
        <v>543</v>
      </c>
      <c r="M373" s="119" t="s">
        <v>46</v>
      </c>
      <c r="N373" s="161">
        <v>0</v>
      </c>
      <c r="O373" s="135" t="s">
        <v>47</v>
      </c>
      <c r="P373" s="135"/>
      <c r="Q373" s="137">
        <v>0</v>
      </c>
      <c r="T373" s="137">
        <f t="shared" si="61"/>
        <v>0</v>
      </c>
      <c r="U373" s="137">
        <f t="shared" si="65"/>
        <v>0</v>
      </c>
      <c r="V373" s="137">
        <v>27414.5</v>
      </c>
      <c r="W373" s="137">
        <f t="shared" si="66"/>
        <v>-27414.5</v>
      </c>
      <c r="X373" s="137">
        <f t="shared" si="62"/>
        <v>-27414.5</v>
      </c>
      <c r="Y373" s="137">
        <f t="shared" si="67"/>
        <v>0</v>
      </c>
      <c r="Z373" s="137">
        <v>11743.5</v>
      </c>
      <c r="AA373" s="137">
        <f t="shared" si="63"/>
        <v>15671</v>
      </c>
      <c r="AB373" s="146">
        <f t="shared" si="69"/>
        <v>11743.5</v>
      </c>
      <c r="AC373" s="147">
        <f t="shared" si="64"/>
        <v>0</v>
      </c>
      <c r="AD373" s="137">
        <v>9844.1949872840105</v>
      </c>
      <c r="AE373" s="138">
        <v>0.17647058823529399</v>
      </c>
      <c r="AF373" s="137">
        <f t="shared" si="70"/>
        <v>1737.2108801089419</v>
      </c>
      <c r="AG373" s="131"/>
      <c r="AH373" s="131"/>
      <c r="AI373" s="131"/>
      <c r="AJ373" s="135" t="e">
        <v>#N/A</v>
      </c>
      <c r="AK373" s="131"/>
      <c r="AL373" s="131"/>
      <c r="AM373" s="131" t="s">
        <v>208</v>
      </c>
    </row>
    <row r="374" spans="1:39" s="119" customFormat="1" ht="15" customHeight="1" x14ac:dyDescent="0.3">
      <c r="A374" s="119">
        <v>2017</v>
      </c>
      <c r="B374" s="131" t="s">
        <v>38</v>
      </c>
      <c r="C374" s="119" t="s">
        <v>75</v>
      </c>
      <c r="D374" s="131"/>
      <c r="E374" s="131"/>
      <c r="F374" s="131" t="s">
        <v>251</v>
      </c>
      <c r="G374" s="131" t="s">
        <v>251</v>
      </c>
      <c r="H374" s="131" t="s">
        <v>251</v>
      </c>
      <c r="I374" s="131" t="s">
        <v>243</v>
      </c>
      <c r="J374" s="119" t="s">
        <v>244</v>
      </c>
      <c r="K374" s="119" t="s">
        <v>245</v>
      </c>
      <c r="L374" s="119" t="s">
        <v>251</v>
      </c>
      <c r="M374" s="119" t="s">
        <v>46</v>
      </c>
      <c r="N374" s="135">
        <v>0</v>
      </c>
      <c r="O374" s="135" t="s">
        <v>47</v>
      </c>
      <c r="P374" s="135"/>
      <c r="Q374" s="137">
        <v>0</v>
      </c>
      <c r="T374" s="137">
        <f t="shared" si="61"/>
        <v>0</v>
      </c>
      <c r="U374" s="137">
        <f t="shared" si="65"/>
        <v>0</v>
      </c>
      <c r="V374" s="137">
        <v>0</v>
      </c>
      <c r="W374" s="137">
        <f t="shared" si="66"/>
        <v>0</v>
      </c>
      <c r="X374" s="137">
        <f t="shared" si="62"/>
        <v>0</v>
      </c>
      <c r="Y374" s="137">
        <f t="shared" si="67"/>
        <v>0</v>
      </c>
      <c r="Z374" s="137">
        <v>20000</v>
      </c>
      <c r="AA374" s="137">
        <f t="shared" si="63"/>
        <v>-20000</v>
      </c>
      <c r="AB374" s="146">
        <f t="shared" si="69"/>
        <v>20000</v>
      </c>
      <c r="AC374" s="147">
        <f t="shared" si="64"/>
        <v>0</v>
      </c>
      <c r="AD374" s="137">
        <v>16765.3510236029</v>
      </c>
      <c r="AE374" s="138">
        <v>0.17647058823529399</v>
      </c>
      <c r="AF374" s="137">
        <f t="shared" si="70"/>
        <v>2958.591357106392</v>
      </c>
      <c r="AG374" s="131"/>
      <c r="AH374" s="131"/>
      <c r="AI374" s="131"/>
      <c r="AJ374" s="136">
        <v>1</v>
      </c>
      <c r="AK374" s="131"/>
      <c r="AL374" s="131"/>
      <c r="AM374" s="131" t="s">
        <v>208</v>
      </c>
    </row>
    <row r="375" spans="1:39" s="119" customFormat="1" ht="15" customHeight="1" x14ac:dyDescent="0.3">
      <c r="A375" s="119">
        <v>2017</v>
      </c>
      <c r="B375" s="131" t="s">
        <v>38</v>
      </c>
      <c r="C375" s="119" t="s">
        <v>88</v>
      </c>
      <c r="D375" s="131"/>
      <c r="E375" s="131"/>
      <c r="F375" s="131" t="s">
        <v>274</v>
      </c>
      <c r="G375" s="131" t="s">
        <v>274</v>
      </c>
      <c r="H375" s="131" t="s">
        <v>274</v>
      </c>
      <c r="I375" s="131" t="s">
        <v>243</v>
      </c>
      <c r="J375" s="119" t="s">
        <v>244</v>
      </c>
      <c r="K375" s="119" t="s">
        <v>245</v>
      </c>
      <c r="L375" s="119" t="s">
        <v>274</v>
      </c>
      <c r="M375" s="119" t="s">
        <v>46</v>
      </c>
      <c r="N375" s="135">
        <v>0</v>
      </c>
      <c r="O375" s="135" t="s">
        <v>47</v>
      </c>
      <c r="P375" s="135"/>
      <c r="Q375" s="137">
        <v>0</v>
      </c>
      <c r="T375" s="137">
        <f t="shared" si="61"/>
        <v>0</v>
      </c>
      <c r="U375" s="137">
        <f t="shared" si="65"/>
        <v>0</v>
      </c>
      <c r="V375" s="137">
        <v>0</v>
      </c>
      <c r="W375" s="137">
        <f t="shared" si="66"/>
        <v>0</v>
      </c>
      <c r="X375" s="137">
        <f t="shared" si="62"/>
        <v>0</v>
      </c>
      <c r="Y375" s="137">
        <f t="shared" si="67"/>
        <v>0</v>
      </c>
      <c r="Z375" s="137">
        <v>16472.23</v>
      </c>
      <c r="AA375" s="137">
        <f t="shared" si="63"/>
        <v>-16472.23</v>
      </c>
      <c r="AB375" s="146">
        <f t="shared" si="69"/>
        <v>16472.23</v>
      </c>
      <c r="AC375" s="147">
        <f t="shared" si="64"/>
        <v>0</v>
      </c>
      <c r="AD375" s="137">
        <v>13808.1359045761</v>
      </c>
      <c r="AE375" s="138">
        <v>0.17647058823529399</v>
      </c>
      <c r="AF375" s="137">
        <f t="shared" si="70"/>
        <v>2436.7298655134277</v>
      </c>
      <c r="AG375" s="131"/>
      <c r="AH375" s="131"/>
      <c r="AI375" s="131"/>
      <c r="AJ375" s="136">
        <v>0</v>
      </c>
      <c r="AK375" s="131"/>
      <c r="AL375" s="131"/>
      <c r="AM375" s="131" t="s">
        <v>208</v>
      </c>
    </row>
    <row r="376" spans="1:39" s="119" customFormat="1" ht="15" customHeight="1" x14ac:dyDescent="0.3">
      <c r="A376" s="119">
        <v>2017</v>
      </c>
      <c r="B376" s="131"/>
      <c r="C376" s="119" t="s">
        <v>137</v>
      </c>
      <c r="D376" s="131"/>
      <c r="E376" s="131"/>
      <c r="F376" s="131" t="s">
        <v>555</v>
      </c>
      <c r="G376" s="131"/>
      <c r="H376" s="131"/>
      <c r="I376" s="131" t="s">
        <v>243</v>
      </c>
      <c r="J376" s="119" t="s">
        <v>244</v>
      </c>
      <c r="K376" s="119" t="s">
        <v>245</v>
      </c>
      <c r="L376" s="119" t="s">
        <v>555</v>
      </c>
      <c r="M376" s="119" t="s">
        <v>46</v>
      </c>
      <c r="N376" s="161">
        <v>0</v>
      </c>
      <c r="O376" s="135" t="s">
        <v>47</v>
      </c>
      <c r="P376" s="135"/>
      <c r="Q376" s="137">
        <v>0</v>
      </c>
      <c r="R376" s="137">
        <v>0</v>
      </c>
      <c r="T376" s="137">
        <f t="shared" si="61"/>
        <v>0</v>
      </c>
      <c r="U376" s="137">
        <f t="shared" si="65"/>
        <v>0</v>
      </c>
      <c r="V376" s="137">
        <v>20000</v>
      </c>
      <c r="W376" s="137">
        <f t="shared" si="66"/>
        <v>-20000</v>
      </c>
      <c r="X376" s="137">
        <f t="shared" si="62"/>
        <v>-20000</v>
      </c>
      <c r="Y376" s="137">
        <f t="shared" si="67"/>
        <v>0</v>
      </c>
      <c r="Z376" s="137">
        <v>20000</v>
      </c>
      <c r="AA376" s="137">
        <f t="shared" si="63"/>
        <v>0</v>
      </c>
      <c r="AB376" s="146">
        <f t="shared" ref="AB376:AB403" si="71">IF(O376="返货",Z376/(1+N376),IF(O376="返现",Z376,IF(O376="折扣",Z376*N376,IF(O376="无",Z376))))</f>
        <v>20000</v>
      </c>
      <c r="AC376" s="147">
        <f t="shared" si="64"/>
        <v>0</v>
      </c>
      <c r="AD376" s="137">
        <v>16765.3510236029</v>
      </c>
      <c r="AE376" s="138">
        <v>0.17647058823529399</v>
      </c>
      <c r="AF376" s="137">
        <f t="shared" si="70"/>
        <v>2958.591357106392</v>
      </c>
      <c r="AG376" s="131"/>
      <c r="AH376" s="131"/>
      <c r="AI376" s="131"/>
      <c r="AJ376" s="135" t="e">
        <v>#N/A</v>
      </c>
      <c r="AK376" s="131"/>
      <c r="AL376" s="131"/>
      <c r="AM376" s="131" t="s">
        <v>208</v>
      </c>
    </row>
    <row r="377" spans="1:39" s="119" customFormat="1" ht="15" customHeight="1" x14ac:dyDescent="0.3">
      <c r="A377" s="119">
        <v>2017</v>
      </c>
      <c r="B377" s="131" t="s">
        <v>252</v>
      </c>
      <c r="C377" s="119" t="s">
        <v>39</v>
      </c>
      <c r="D377" s="159" t="s">
        <v>556</v>
      </c>
      <c r="E377" s="131" t="s">
        <v>253</v>
      </c>
      <c r="F377" s="131" t="s">
        <v>418</v>
      </c>
      <c r="G377" s="131" t="s">
        <v>419</v>
      </c>
      <c r="H377" s="158" t="s">
        <v>420</v>
      </c>
      <c r="I377" s="131" t="s">
        <v>243</v>
      </c>
      <c r="J377" s="119" t="s">
        <v>244</v>
      </c>
      <c r="K377" s="119" t="s">
        <v>245</v>
      </c>
      <c r="L377" s="119" t="s">
        <v>557</v>
      </c>
      <c r="M377" s="119" t="s">
        <v>46</v>
      </c>
      <c r="N377" s="135">
        <v>0</v>
      </c>
      <c r="O377" s="119" t="s">
        <v>47</v>
      </c>
      <c r="Q377" s="137">
        <v>0</v>
      </c>
      <c r="T377" s="137">
        <f t="shared" si="61"/>
        <v>0</v>
      </c>
      <c r="U377" s="137">
        <f t="shared" si="65"/>
        <v>0</v>
      </c>
      <c r="V377" s="137">
        <v>100000</v>
      </c>
      <c r="W377" s="137">
        <f t="shared" si="66"/>
        <v>-100000</v>
      </c>
      <c r="X377" s="137">
        <f t="shared" si="62"/>
        <v>-100000</v>
      </c>
      <c r="Y377" s="137">
        <f t="shared" si="67"/>
        <v>0</v>
      </c>
      <c r="Z377" s="137">
        <v>69932.2</v>
      </c>
      <c r="AA377" s="137">
        <f t="shared" si="63"/>
        <v>30067.800000000003</v>
      </c>
      <c r="AB377" s="146">
        <f t="shared" si="71"/>
        <v>69932.2</v>
      </c>
      <c r="AC377" s="147">
        <f t="shared" si="64"/>
        <v>0</v>
      </c>
      <c r="AD377" s="137">
        <v>58621.89404264</v>
      </c>
      <c r="AE377" s="138">
        <v>0.17647058823529399</v>
      </c>
      <c r="AF377" s="137">
        <f t="shared" si="70"/>
        <v>10345.040125171758</v>
      </c>
      <c r="AG377" s="131"/>
      <c r="AH377" s="131"/>
      <c r="AI377" s="131"/>
      <c r="AJ377" s="155">
        <v>0</v>
      </c>
      <c r="AK377" s="131"/>
      <c r="AL377" s="131"/>
      <c r="AM377" s="131" t="s">
        <v>208</v>
      </c>
    </row>
    <row r="378" spans="1:39" s="119" customFormat="1" ht="15" customHeight="1" x14ac:dyDescent="0.3">
      <c r="A378" s="119">
        <v>2017</v>
      </c>
      <c r="B378" s="131" t="s">
        <v>38</v>
      </c>
      <c r="C378" s="119" t="s">
        <v>54</v>
      </c>
      <c r="D378" s="131"/>
      <c r="E378" s="131"/>
      <c r="F378" s="131" t="s">
        <v>527</v>
      </c>
      <c r="G378" s="131" t="s">
        <v>527</v>
      </c>
      <c r="H378" s="131" t="s">
        <v>527</v>
      </c>
      <c r="I378" s="131" t="s">
        <v>243</v>
      </c>
      <c r="J378" s="119" t="s">
        <v>244</v>
      </c>
      <c r="K378" s="119" t="s">
        <v>245</v>
      </c>
      <c r="L378" s="119" t="s">
        <v>558</v>
      </c>
      <c r="M378" s="119" t="s">
        <v>46</v>
      </c>
      <c r="N378" s="135">
        <v>0</v>
      </c>
      <c r="O378" s="135" t="s">
        <v>1646</v>
      </c>
      <c r="P378" s="135"/>
      <c r="Q378" s="137">
        <v>0</v>
      </c>
      <c r="T378" s="137">
        <f t="shared" si="61"/>
        <v>0</v>
      </c>
      <c r="U378" s="137">
        <f t="shared" si="65"/>
        <v>0</v>
      </c>
      <c r="V378" s="137">
        <v>100000</v>
      </c>
      <c r="W378" s="137">
        <f t="shared" si="66"/>
        <v>-100000</v>
      </c>
      <c r="X378" s="137">
        <f t="shared" si="62"/>
        <v>-100000</v>
      </c>
      <c r="Y378" s="137">
        <f t="shared" si="67"/>
        <v>0</v>
      </c>
      <c r="Z378" s="137">
        <v>92156.6</v>
      </c>
      <c r="AA378" s="137">
        <f t="shared" si="63"/>
        <v>7843.3999999999942</v>
      </c>
      <c r="AB378" s="146">
        <f t="shared" si="71"/>
        <v>92156.6</v>
      </c>
      <c r="AC378" s="147">
        <f t="shared" si="64"/>
        <v>0</v>
      </c>
      <c r="AD378" s="137">
        <v>77251.887407087997</v>
      </c>
      <c r="AE378" s="138">
        <v>0.17647058823529399</v>
      </c>
      <c r="AF378" s="137">
        <f t="shared" si="70"/>
        <v>13632.686013015518</v>
      </c>
      <c r="AG378" s="131"/>
      <c r="AH378" s="131"/>
      <c r="AI378" s="131"/>
      <c r="AJ378" s="135" t="s">
        <v>559</v>
      </c>
      <c r="AK378" s="131"/>
      <c r="AL378" s="131"/>
      <c r="AM378" s="131" t="s">
        <v>208</v>
      </c>
    </row>
    <row r="379" spans="1:39" s="119" customFormat="1" ht="15" customHeight="1" x14ac:dyDescent="0.3">
      <c r="A379" s="119">
        <v>2017</v>
      </c>
      <c r="B379" s="131"/>
      <c r="C379" s="119" t="s">
        <v>110</v>
      </c>
      <c r="D379" s="131"/>
      <c r="E379" s="131"/>
      <c r="F379" s="131" t="s">
        <v>560</v>
      </c>
      <c r="G379" s="131"/>
      <c r="H379" s="131"/>
      <c r="I379" s="131" t="s">
        <v>243</v>
      </c>
      <c r="J379" s="119" t="s">
        <v>244</v>
      </c>
      <c r="K379" s="119" t="s">
        <v>245</v>
      </c>
      <c r="L379" s="119" t="s">
        <v>560</v>
      </c>
      <c r="M379" s="119" t="s">
        <v>46</v>
      </c>
      <c r="N379" s="161">
        <v>0</v>
      </c>
      <c r="O379" s="135" t="s">
        <v>47</v>
      </c>
      <c r="P379" s="135"/>
      <c r="Q379" s="137">
        <v>0</v>
      </c>
      <c r="R379" s="137">
        <v>0</v>
      </c>
      <c r="T379" s="137">
        <f t="shared" si="61"/>
        <v>0</v>
      </c>
      <c r="U379" s="137">
        <f t="shared" si="65"/>
        <v>0</v>
      </c>
      <c r="V379" s="137">
        <v>10000</v>
      </c>
      <c r="W379" s="137">
        <f t="shared" si="66"/>
        <v>-10000</v>
      </c>
      <c r="X379" s="137">
        <f t="shared" si="62"/>
        <v>-10000</v>
      </c>
      <c r="Y379" s="137">
        <f t="shared" si="67"/>
        <v>0</v>
      </c>
      <c r="Z379" s="137">
        <v>219</v>
      </c>
      <c r="AA379" s="137">
        <f t="shared" si="63"/>
        <v>9781</v>
      </c>
      <c r="AB379" s="146">
        <f t="shared" si="71"/>
        <v>219</v>
      </c>
      <c r="AC379" s="147">
        <f t="shared" si="64"/>
        <v>0</v>
      </c>
      <c r="AD379" s="137">
        <v>183.580593708451</v>
      </c>
      <c r="AE379" s="138">
        <v>0.17647058823529399</v>
      </c>
      <c r="AF379" s="137">
        <f t="shared" si="70"/>
        <v>32.396575360314863</v>
      </c>
      <c r="AG379" s="131"/>
      <c r="AH379" s="131"/>
      <c r="AI379" s="131"/>
      <c r="AJ379" s="135" t="e">
        <v>#N/A</v>
      </c>
      <c r="AK379" s="131"/>
      <c r="AL379" s="131"/>
      <c r="AM379" s="131" t="s">
        <v>208</v>
      </c>
    </row>
    <row r="380" spans="1:39" s="119" customFormat="1" ht="15" customHeight="1" x14ac:dyDescent="0.3">
      <c r="A380" s="119">
        <v>2017</v>
      </c>
      <c r="B380" s="131"/>
      <c r="C380" s="119" t="s">
        <v>137</v>
      </c>
      <c r="D380" s="131"/>
      <c r="E380" s="131"/>
      <c r="F380" s="131" t="s">
        <v>561</v>
      </c>
      <c r="G380" s="131"/>
      <c r="H380" s="131"/>
      <c r="I380" s="131" t="s">
        <v>243</v>
      </c>
      <c r="J380" s="119" t="s">
        <v>244</v>
      </c>
      <c r="K380" s="119" t="s">
        <v>245</v>
      </c>
      <c r="L380" s="119" t="s">
        <v>561</v>
      </c>
      <c r="M380" s="119" t="s">
        <v>46</v>
      </c>
      <c r="N380" s="161">
        <v>0</v>
      </c>
      <c r="O380" s="135" t="s">
        <v>47</v>
      </c>
      <c r="P380" s="135"/>
      <c r="Q380" s="137">
        <v>0</v>
      </c>
      <c r="R380" s="137">
        <v>0</v>
      </c>
      <c r="T380" s="137">
        <f t="shared" si="61"/>
        <v>0</v>
      </c>
      <c r="U380" s="137">
        <f t="shared" si="65"/>
        <v>0</v>
      </c>
      <c r="V380" s="137">
        <v>40000</v>
      </c>
      <c r="W380" s="137">
        <f t="shared" si="66"/>
        <v>-40000</v>
      </c>
      <c r="X380" s="137">
        <f t="shared" si="62"/>
        <v>-40000</v>
      </c>
      <c r="Y380" s="137">
        <f t="shared" si="67"/>
        <v>0</v>
      </c>
      <c r="Z380" s="137">
        <v>38036.86</v>
      </c>
      <c r="AA380" s="137">
        <f t="shared" si="63"/>
        <v>1963.1399999999994</v>
      </c>
      <c r="AB380" s="146">
        <f t="shared" si="71"/>
        <v>38036.86</v>
      </c>
      <c r="AC380" s="147">
        <f t="shared" si="64"/>
        <v>0</v>
      </c>
      <c r="AD380" s="137">
        <v>4976.5429710911503</v>
      </c>
      <c r="AE380" s="138">
        <v>0.17647058823529399</v>
      </c>
      <c r="AF380" s="137">
        <f t="shared" si="70"/>
        <v>878.21346548667293</v>
      </c>
      <c r="AG380" s="131"/>
      <c r="AH380" s="131"/>
      <c r="AI380" s="131"/>
      <c r="AJ380" s="135" t="e">
        <v>#N/A</v>
      </c>
      <c r="AK380" s="131"/>
      <c r="AL380" s="131"/>
      <c r="AM380" s="131" t="s">
        <v>208</v>
      </c>
    </row>
    <row r="381" spans="1:39" s="119" customFormat="1" ht="15" customHeight="1" x14ac:dyDescent="0.3">
      <c r="A381" s="119">
        <v>2017</v>
      </c>
      <c r="B381" s="131"/>
      <c r="C381" s="119" t="s">
        <v>137</v>
      </c>
      <c r="D381" s="131"/>
      <c r="E381" s="131"/>
      <c r="F381" s="131" t="s">
        <v>561</v>
      </c>
      <c r="G381" s="131"/>
      <c r="H381" s="131"/>
      <c r="I381" s="131" t="s">
        <v>243</v>
      </c>
      <c r="J381" s="119" t="s">
        <v>244</v>
      </c>
      <c r="K381" s="119" t="s">
        <v>245</v>
      </c>
      <c r="L381" s="119" t="s">
        <v>561</v>
      </c>
      <c r="M381" s="119" t="s">
        <v>46</v>
      </c>
      <c r="N381" s="161">
        <v>0</v>
      </c>
      <c r="O381" s="135" t="s">
        <v>47</v>
      </c>
      <c r="P381" s="135"/>
      <c r="Q381" s="137">
        <v>0</v>
      </c>
      <c r="R381" s="137">
        <v>0</v>
      </c>
      <c r="T381" s="137">
        <f t="shared" si="61"/>
        <v>0</v>
      </c>
      <c r="U381" s="137">
        <f t="shared" si="65"/>
        <v>0</v>
      </c>
      <c r="V381" s="137">
        <v>0</v>
      </c>
      <c r="W381" s="137">
        <f t="shared" si="66"/>
        <v>0</v>
      </c>
      <c r="X381" s="137">
        <f t="shared" si="62"/>
        <v>0</v>
      </c>
      <c r="Y381" s="137">
        <f t="shared" si="67"/>
        <v>0</v>
      </c>
      <c r="Z381" s="137"/>
      <c r="AA381" s="137">
        <f t="shared" si="63"/>
        <v>0</v>
      </c>
      <c r="AB381" s="146">
        <f t="shared" si="71"/>
        <v>0</v>
      </c>
      <c r="AC381" s="147">
        <f t="shared" si="64"/>
        <v>0</v>
      </c>
      <c r="AD381" s="137">
        <v>26908.522515690802</v>
      </c>
      <c r="AE381" s="138">
        <v>0.17647058823529399</v>
      </c>
      <c r="AF381" s="137">
        <f t="shared" si="70"/>
        <v>4748.5627968866083</v>
      </c>
      <c r="AG381" s="131"/>
      <c r="AH381" s="131"/>
      <c r="AI381" s="131"/>
      <c r="AJ381" s="135" t="e">
        <v>#N/A</v>
      </c>
      <c r="AK381" s="131"/>
      <c r="AL381" s="131"/>
      <c r="AM381" s="131" t="s">
        <v>208</v>
      </c>
    </row>
    <row r="382" spans="1:39" s="119" customFormat="1" ht="15" customHeight="1" x14ac:dyDescent="0.3">
      <c r="A382" s="119">
        <v>2017</v>
      </c>
      <c r="B382" s="131" t="s">
        <v>38</v>
      </c>
      <c r="C382" s="119" t="s">
        <v>54</v>
      </c>
      <c r="D382" s="131"/>
      <c r="E382" s="131"/>
      <c r="F382" s="131" t="s">
        <v>242</v>
      </c>
      <c r="G382" s="131" t="s">
        <v>242</v>
      </c>
      <c r="H382" s="131" t="s">
        <v>242</v>
      </c>
      <c r="I382" s="131" t="s">
        <v>243</v>
      </c>
      <c r="J382" s="119" t="s">
        <v>244</v>
      </c>
      <c r="K382" s="119" t="s">
        <v>245</v>
      </c>
      <c r="L382" s="119" t="s">
        <v>242</v>
      </c>
      <c r="M382" s="119" t="s">
        <v>46</v>
      </c>
      <c r="N382" s="136">
        <v>0.05</v>
      </c>
      <c r="O382" s="135" t="s">
        <v>51</v>
      </c>
      <c r="P382" s="135"/>
      <c r="Q382" s="137">
        <v>0</v>
      </c>
      <c r="T382" s="137">
        <f t="shared" si="61"/>
        <v>0</v>
      </c>
      <c r="U382" s="137">
        <f t="shared" si="65"/>
        <v>0</v>
      </c>
      <c r="V382" s="137"/>
      <c r="W382" s="137">
        <f t="shared" si="66"/>
        <v>0</v>
      </c>
      <c r="X382" s="137">
        <f t="shared" si="62"/>
        <v>0</v>
      </c>
      <c r="Y382" s="137">
        <f t="shared" si="67"/>
        <v>0</v>
      </c>
      <c r="Z382" s="137"/>
      <c r="AA382" s="137">
        <f t="shared" si="63"/>
        <v>0</v>
      </c>
      <c r="AB382" s="146">
        <f t="shared" si="71"/>
        <v>0</v>
      </c>
      <c r="AC382" s="147">
        <f t="shared" si="64"/>
        <v>0</v>
      </c>
      <c r="AD382" s="137">
        <v>158288.385154244</v>
      </c>
      <c r="AE382" s="138">
        <v>0.17647058823529399</v>
      </c>
      <c r="AF382" s="137">
        <f t="shared" si="70"/>
        <v>27933.244438984213</v>
      </c>
      <c r="AG382" s="131"/>
      <c r="AH382" s="131"/>
      <c r="AI382" s="131"/>
      <c r="AJ382" s="135" t="s">
        <v>63</v>
      </c>
      <c r="AK382" s="131"/>
      <c r="AL382" s="131"/>
      <c r="AM382" s="131" t="s">
        <v>208</v>
      </c>
    </row>
    <row r="383" spans="1:39" s="119" customFormat="1" ht="15" customHeight="1" x14ac:dyDescent="0.3">
      <c r="A383" s="119">
        <v>2017</v>
      </c>
      <c r="B383" s="131" t="s">
        <v>38</v>
      </c>
      <c r="C383" s="119" t="s">
        <v>88</v>
      </c>
      <c r="D383" s="119" t="s">
        <v>89</v>
      </c>
      <c r="E383" s="119" t="s">
        <v>124</v>
      </c>
      <c r="F383" s="131" t="s">
        <v>430</v>
      </c>
      <c r="G383" s="131" t="s">
        <v>431</v>
      </c>
      <c r="H383" s="131" t="s">
        <v>431</v>
      </c>
      <c r="I383" s="131" t="s">
        <v>243</v>
      </c>
      <c r="J383" s="119" t="s">
        <v>244</v>
      </c>
      <c r="K383" s="119" t="s">
        <v>245</v>
      </c>
      <c r="L383" s="119" t="s">
        <v>562</v>
      </c>
      <c r="M383" s="119" t="s">
        <v>46</v>
      </c>
      <c r="N383" s="135">
        <v>0</v>
      </c>
      <c r="O383" s="135" t="s">
        <v>47</v>
      </c>
      <c r="P383" s="135"/>
      <c r="Q383" s="137">
        <v>0</v>
      </c>
      <c r="T383" s="137">
        <f t="shared" si="61"/>
        <v>0</v>
      </c>
      <c r="U383" s="137">
        <f t="shared" si="65"/>
        <v>0</v>
      </c>
      <c r="V383" s="137">
        <v>20000</v>
      </c>
      <c r="W383" s="137">
        <f t="shared" si="66"/>
        <v>-20000</v>
      </c>
      <c r="X383" s="137">
        <f t="shared" si="62"/>
        <v>-20000</v>
      </c>
      <c r="Y383" s="137">
        <f t="shared" si="67"/>
        <v>0</v>
      </c>
      <c r="Z383" s="137">
        <v>1322</v>
      </c>
      <c r="AA383" s="137">
        <f t="shared" si="63"/>
        <v>18678</v>
      </c>
      <c r="AB383" s="146">
        <f t="shared" si="71"/>
        <v>1322</v>
      </c>
      <c r="AC383" s="147">
        <f t="shared" si="64"/>
        <v>0</v>
      </c>
      <c r="AD383" s="137">
        <v>1108.18970266015</v>
      </c>
      <c r="AE383" s="138">
        <v>0.17647058823529399</v>
      </c>
      <c r="AF383" s="137">
        <f t="shared" si="70"/>
        <v>195.56288870473222</v>
      </c>
      <c r="AG383" s="131"/>
      <c r="AH383" s="131"/>
      <c r="AI383" s="131"/>
      <c r="AJ383" s="135" t="s">
        <v>47</v>
      </c>
      <c r="AK383" s="131"/>
      <c r="AL383" s="131"/>
      <c r="AM383" s="131" t="s">
        <v>208</v>
      </c>
    </row>
    <row r="384" spans="1:39" s="119" customFormat="1" ht="15" customHeight="1" x14ac:dyDescent="0.3">
      <c r="A384" s="119">
        <v>2017</v>
      </c>
      <c r="B384" s="131" t="s">
        <v>333</v>
      </c>
      <c r="C384" s="119" t="s">
        <v>54</v>
      </c>
      <c r="D384" s="131"/>
      <c r="E384" s="131"/>
      <c r="F384" s="131" t="s">
        <v>491</v>
      </c>
      <c r="G384" s="131" t="s">
        <v>492</v>
      </c>
      <c r="H384" s="131" t="s">
        <v>492</v>
      </c>
      <c r="I384" s="131" t="s">
        <v>243</v>
      </c>
      <c r="J384" s="119" t="s">
        <v>244</v>
      </c>
      <c r="K384" s="119" t="s">
        <v>245</v>
      </c>
      <c r="L384" s="119" t="s">
        <v>563</v>
      </c>
      <c r="M384" s="119" t="s">
        <v>46</v>
      </c>
      <c r="N384" s="135">
        <v>0</v>
      </c>
      <c r="O384" s="135" t="s">
        <v>47</v>
      </c>
      <c r="P384" s="135"/>
      <c r="Q384" s="137">
        <v>0</v>
      </c>
      <c r="T384" s="137">
        <f t="shared" si="61"/>
        <v>0</v>
      </c>
      <c r="U384" s="137">
        <f t="shared" si="65"/>
        <v>0</v>
      </c>
      <c r="V384" s="137">
        <v>10000</v>
      </c>
      <c r="W384" s="137">
        <f t="shared" si="66"/>
        <v>-10000</v>
      </c>
      <c r="X384" s="137">
        <f t="shared" si="62"/>
        <v>-10000</v>
      </c>
      <c r="Y384" s="137">
        <f t="shared" si="67"/>
        <v>0</v>
      </c>
      <c r="Z384" s="137">
        <v>641.4</v>
      </c>
      <c r="AA384" s="137">
        <f t="shared" si="63"/>
        <v>9358.6</v>
      </c>
      <c r="AB384" s="146">
        <f t="shared" si="71"/>
        <v>641.4</v>
      </c>
      <c r="AC384" s="147">
        <f t="shared" si="64"/>
        <v>0</v>
      </c>
      <c r="AD384" s="137">
        <v>537.66480732694401</v>
      </c>
      <c r="AE384" s="138">
        <v>0.17647058823529399</v>
      </c>
      <c r="AF384" s="137">
        <f t="shared" si="70"/>
        <v>94.882024822401817</v>
      </c>
      <c r="AG384" s="131"/>
      <c r="AH384" s="131"/>
      <c r="AI384" s="131"/>
      <c r="AJ384" s="135" t="s">
        <v>47</v>
      </c>
      <c r="AK384" s="131"/>
      <c r="AL384" s="131"/>
      <c r="AM384" s="131" t="s">
        <v>208</v>
      </c>
    </row>
    <row r="385" spans="1:39" s="119" customFormat="1" ht="15" customHeight="1" x14ac:dyDescent="0.3">
      <c r="A385" s="119">
        <v>2017</v>
      </c>
      <c r="B385" s="131" t="s">
        <v>199</v>
      </c>
      <c r="C385" s="119" t="s">
        <v>54</v>
      </c>
      <c r="D385" s="131"/>
      <c r="E385" s="131"/>
      <c r="F385" s="131" t="s">
        <v>389</v>
      </c>
      <c r="G385" s="131" t="s">
        <v>390</v>
      </c>
      <c r="H385" s="158" t="s">
        <v>391</v>
      </c>
      <c r="I385" s="131" t="s">
        <v>243</v>
      </c>
      <c r="J385" s="119" t="s">
        <v>244</v>
      </c>
      <c r="K385" s="119" t="s">
        <v>245</v>
      </c>
      <c r="L385" s="119" t="s">
        <v>389</v>
      </c>
      <c r="M385" s="119" t="s">
        <v>46</v>
      </c>
      <c r="N385" s="135">
        <v>0</v>
      </c>
      <c r="O385" s="135" t="s">
        <v>47</v>
      </c>
      <c r="P385" s="135"/>
      <c r="Q385" s="137">
        <v>0</v>
      </c>
      <c r="T385" s="137">
        <f t="shared" si="61"/>
        <v>0</v>
      </c>
      <c r="U385" s="137">
        <f t="shared" si="65"/>
        <v>0</v>
      </c>
      <c r="V385" s="137">
        <v>654000</v>
      </c>
      <c r="W385" s="137">
        <f t="shared" si="66"/>
        <v>-654000</v>
      </c>
      <c r="X385" s="137">
        <f t="shared" si="62"/>
        <v>-654000</v>
      </c>
      <c r="Y385" s="137">
        <f t="shared" si="67"/>
        <v>0</v>
      </c>
      <c r="Z385" s="137">
        <v>563887.4</v>
      </c>
      <c r="AA385" s="137">
        <f t="shared" si="63"/>
        <v>90112.599999999977</v>
      </c>
      <c r="AB385" s="146">
        <f t="shared" si="71"/>
        <v>563887.4</v>
      </c>
      <c r="AC385" s="147">
        <f t="shared" si="64"/>
        <v>0</v>
      </c>
      <c r="AD385" s="137">
        <v>472688.50993933802</v>
      </c>
      <c r="AE385" s="138">
        <v>0.17647058823529399</v>
      </c>
      <c r="AF385" s="137">
        <f t="shared" si="70"/>
        <v>83415.619401059594</v>
      </c>
      <c r="AG385" s="131"/>
      <c r="AH385" s="131"/>
      <c r="AI385" s="131"/>
      <c r="AJ385" s="135" t="s">
        <v>47</v>
      </c>
      <c r="AK385" s="131"/>
      <c r="AL385" s="131"/>
      <c r="AM385" s="131" t="s">
        <v>208</v>
      </c>
    </row>
    <row r="386" spans="1:39" s="119" customFormat="1" ht="15" customHeight="1" x14ac:dyDescent="0.3">
      <c r="A386" s="119">
        <v>2017</v>
      </c>
      <c r="B386" s="131" t="s">
        <v>199</v>
      </c>
      <c r="C386" s="119" t="s">
        <v>54</v>
      </c>
      <c r="D386" s="131"/>
      <c r="E386" s="131"/>
      <c r="F386" s="131" t="s">
        <v>389</v>
      </c>
      <c r="G386" s="131" t="s">
        <v>390</v>
      </c>
      <c r="H386" s="158" t="s">
        <v>391</v>
      </c>
      <c r="I386" s="131" t="s">
        <v>243</v>
      </c>
      <c r="J386" s="119" t="s">
        <v>244</v>
      </c>
      <c r="K386" s="119" t="s">
        <v>245</v>
      </c>
      <c r="L386" s="119" t="s">
        <v>564</v>
      </c>
      <c r="M386" s="119" t="s">
        <v>46</v>
      </c>
      <c r="N386" s="135">
        <v>0</v>
      </c>
      <c r="O386" s="135" t="s">
        <v>47</v>
      </c>
      <c r="P386" s="135"/>
      <c r="Q386" s="137">
        <v>0</v>
      </c>
      <c r="T386" s="137">
        <f t="shared" ref="T386:T449" si="72">S386*N386</f>
        <v>0</v>
      </c>
      <c r="U386" s="137">
        <f t="shared" si="65"/>
        <v>0</v>
      </c>
      <c r="V386" s="137">
        <v>10000</v>
      </c>
      <c r="W386" s="137">
        <f t="shared" si="66"/>
        <v>-10000</v>
      </c>
      <c r="X386" s="137">
        <f t="shared" ref="X386:X449" si="73">W386/(1+N386)</f>
        <v>-10000</v>
      </c>
      <c r="Y386" s="137">
        <f t="shared" si="67"/>
        <v>0</v>
      </c>
      <c r="Z386" s="137">
        <v>3930.9</v>
      </c>
      <c r="AA386" s="137">
        <f t="shared" ref="AA386:AA449" si="74">Q386+V386-Z386</f>
        <v>6069.1</v>
      </c>
      <c r="AB386" s="146">
        <f t="shared" si="71"/>
        <v>3930.9</v>
      </c>
      <c r="AC386" s="147">
        <f t="shared" ref="AC386:AC449" si="75">IF(O386="返现",Z386*N386,Z386-AB386)</f>
        <v>0</v>
      </c>
      <c r="AD386" s="137">
        <v>3295.1459169340201</v>
      </c>
      <c r="AE386" s="138">
        <v>0.17647058823529399</v>
      </c>
      <c r="AF386" s="137">
        <f t="shared" si="70"/>
        <v>581.49633828247374</v>
      </c>
      <c r="AG386" s="131"/>
      <c r="AH386" s="131"/>
      <c r="AI386" s="131"/>
      <c r="AJ386" s="135" t="s">
        <v>47</v>
      </c>
      <c r="AK386" s="131"/>
      <c r="AL386" s="131"/>
      <c r="AM386" s="131" t="s">
        <v>208</v>
      </c>
    </row>
    <row r="387" spans="1:39" s="119" customFormat="1" ht="15" customHeight="1" x14ac:dyDescent="0.3">
      <c r="A387" s="119">
        <v>2017</v>
      </c>
      <c r="B387" s="131" t="s">
        <v>38</v>
      </c>
      <c r="C387" s="119" t="s">
        <v>75</v>
      </c>
      <c r="D387" s="131"/>
      <c r="E387" s="131"/>
      <c r="F387" s="131" t="s">
        <v>527</v>
      </c>
      <c r="G387" s="131" t="s">
        <v>527</v>
      </c>
      <c r="H387" s="131" t="s">
        <v>527</v>
      </c>
      <c r="I387" s="131" t="s">
        <v>243</v>
      </c>
      <c r="J387" s="119" t="s">
        <v>244</v>
      </c>
      <c r="K387" s="119" t="s">
        <v>245</v>
      </c>
      <c r="L387" s="119" t="s">
        <v>1645</v>
      </c>
      <c r="M387" s="119" t="s">
        <v>46</v>
      </c>
      <c r="N387" s="136">
        <v>0.98</v>
      </c>
      <c r="O387" s="135" t="s">
        <v>259</v>
      </c>
      <c r="P387" s="135"/>
      <c r="Q387" s="137">
        <v>0</v>
      </c>
      <c r="T387" s="137">
        <f t="shared" si="72"/>
        <v>0</v>
      </c>
      <c r="U387" s="137">
        <f t="shared" ref="U387:U450" si="76">R387+S387+T387</f>
        <v>0</v>
      </c>
      <c r="W387" s="137">
        <f t="shared" ref="W387:W450" si="77">U387-V387</f>
        <v>0</v>
      </c>
      <c r="X387" s="137">
        <f t="shared" si="73"/>
        <v>0</v>
      </c>
      <c r="Y387" s="137">
        <f t="shared" ref="Y387:Y450" si="78">W387-X387</f>
        <v>0</v>
      </c>
      <c r="Z387" s="137">
        <v>24233.58</v>
      </c>
      <c r="AA387" s="137">
        <f t="shared" si="74"/>
        <v>-24233.58</v>
      </c>
      <c r="AB387" s="146">
        <f t="shared" si="71"/>
        <v>23748.9084</v>
      </c>
      <c r="AC387" s="147">
        <f t="shared" si="75"/>
        <v>484.67160000000149</v>
      </c>
      <c r="AD387" s="137">
        <v>16775.242580706799</v>
      </c>
      <c r="AE387" s="138">
        <v>0.17647058823529399</v>
      </c>
      <c r="AF387" s="137">
        <f t="shared" si="70"/>
        <v>2960.3369260070799</v>
      </c>
      <c r="AG387" s="131"/>
      <c r="AH387" s="131"/>
      <c r="AI387" s="131"/>
      <c r="AJ387" s="135" t="s">
        <v>559</v>
      </c>
      <c r="AK387" s="131"/>
      <c r="AL387" s="131"/>
      <c r="AM387" s="131" t="s">
        <v>208</v>
      </c>
    </row>
    <row r="388" spans="1:39" s="119" customFormat="1" ht="15" customHeight="1" x14ac:dyDescent="0.3">
      <c r="A388" s="119">
        <v>2017</v>
      </c>
      <c r="B388" s="119" t="s">
        <v>38</v>
      </c>
      <c r="C388" s="119" t="s">
        <v>59</v>
      </c>
      <c r="D388" s="119" t="s">
        <v>106</v>
      </c>
      <c r="E388" s="119" t="s">
        <v>239</v>
      </c>
      <c r="F388" s="119" t="s">
        <v>240</v>
      </c>
      <c r="G388" s="119" t="s">
        <v>240</v>
      </c>
      <c r="H388" s="119" t="s">
        <v>240</v>
      </c>
      <c r="I388" s="119" t="s">
        <v>227</v>
      </c>
      <c r="J388" s="119" t="s">
        <v>228</v>
      </c>
      <c r="K388" s="119" t="s">
        <v>229</v>
      </c>
      <c r="L388" s="119" t="s">
        <v>240</v>
      </c>
      <c r="M388" s="137" t="s">
        <v>178</v>
      </c>
      <c r="N388" s="135">
        <v>0</v>
      </c>
      <c r="O388" s="135" t="s">
        <v>47</v>
      </c>
      <c r="P388" s="135" t="s">
        <v>179</v>
      </c>
      <c r="Q388" s="137">
        <v>0</v>
      </c>
      <c r="R388" s="137">
        <v>0</v>
      </c>
      <c r="S388" s="137">
        <v>224300</v>
      </c>
      <c r="T388" s="137">
        <f t="shared" si="72"/>
        <v>0</v>
      </c>
      <c r="U388" s="137">
        <f t="shared" si="76"/>
        <v>224300</v>
      </c>
      <c r="V388" s="137">
        <v>224300</v>
      </c>
      <c r="W388" s="137">
        <f t="shared" si="77"/>
        <v>0</v>
      </c>
      <c r="X388" s="137">
        <f t="shared" si="73"/>
        <v>0</v>
      </c>
      <c r="Y388" s="137">
        <f t="shared" si="78"/>
        <v>0</v>
      </c>
      <c r="Z388" s="137">
        <v>224300</v>
      </c>
      <c r="AA388" s="137">
        <f t="shared" si="74"/>
        <v>0</v>
      </c>
      <c r="AB388" s="146">
        <f t="shared" si="71"/>
        <v>224300</v>
      </c>
      <c r="AC388" s="147">
        <f t="shared" si="75"/>
        <v>0</v>
      </c>
      <c r="AD388" s="137">
        <v>84833.33</v>
      </c>
      <c r="AE388" s="135">
        <v>0.13</v>
      </c>
      <c r="AF388" s="137">
        <f t="shared" si="70"/>
        <v>11028.332900000001</v>
      </c>
      <c r="AG388" s="137"/>
      <c r="AH388" s="137"/>
      <c r="AI388" s="137"/>
      <c r="AJ388" s="136">
        <v>0.5</v>
      </c>
      <c r="AK388" s="153"/>
    </row>
    <row r="389" spans="1:39" s="119" customFormat="1" ht="15" customHeight="1" x14ac:dyDescent="0.3">
      <c r="A389" s="119">
        <v>2017</v>
      </c>
      <c r="B389" s="131" t="s">
        <v>38</v>
      </c>
      <c r="C389" s="119" t="s">
        <v>1634</v>
      </c>
      <c r="D389" s="119" t="s">
        <v>1635</v>
      </c>
      <c r="E389" s="119" t="s">
        <v>1636</v>
      </c>
      <c r="F389" s="119" t="s">
        <v>271</v>
      </c>
      <c r="G389" s="119" t="s">
        <v>1633</v>
      </c>
      <c r="H389" s="119" t="s">
        <v>403</v>
      </c>
      <c r="I389" s="131" t="s">
        <v>243</v>
      </c>
      <c r="J389" s="119" t="s">
        <v>244</v>
      </c>
      <c r="K389" s="119" t="s">
        <v>245</v>
      </c>
      <c r="L389" s="119" t="s">
        <v>565</v>
      </c>
      <c r="M389" s="119" t="s">
        <v>46</v>
      </c>
      <c r="N389" s="135">
        <v>0.02</v>
      </c>
      <c r="O389" s="135" t="s">
        <v>1637</v>
      </c>
      <c r="P389" s="135"/>
      <c r="Q389" s="137">
        <v>0</v>
      </c>
      <c r="T389" s="137">
        <f t="shared" si="72"/>
        <v>0</v>
      </c>
      <c r="U389" s="137">
        <f t="shared" si="76"/>
        <v>0</v>
      </c>
      <c r="V389" s="137">
        <v>40800</v>
      </c>
      <c r="W389" s="137">
        <f t="shared" si="77"/>
        <v>-40800</v>
      </c>
      <c r="X389" s="137">
        <f t="shared" si="73"/>
        <v>-40000</v>
      </c>
      <c r="Y389" s="137">
        <f t="shared" si="78"/>
        <v>-800</v>
      </c>
      <c r="Z389" s="137">
        <v>6201.5</v>
      </c>
      <c r="AA389" s="137">
        <f t="shared" si="74"/>
        <v>34598.5</v>
      </c>
      <c r="AB389" s="146">
        <f t="shared" si="71"/>
        <v>6079.9019607843138</v>
      </c>
      <c r="AC389" s="147">
        <f t="shared" si="75"/>
        <v>121.59803921568619</v>
      </c>
      <c r="AD389" s="137">
        <v>5198.5162186436601</v>
      </c>
      <c r="AE389" s="138">
        <v>0.17647058823529399</v>
      </c>
      <c r="AF389" s="137">
        <f t="shared" si="70"/>
        <v>917.38521505476285</v>
      </c>
      <c r="AG389" s="131"/>
      <c r="AH389" s="131"/>
      <c r="AI389" s="131"/>
      <c r="AJ389" s="135" t="s">
        <v>47</v>
      </c>
      <c r="AK389" s="131"/>
      <c r="AL389" s="131"/>
      <c r="AM389" s="131" t="s">
        <v>208</v>
      </c>
    </row>
    <row r="390" spans="1:39" s="119" customFormat="1" ht="15" customHeight="1" x14ac:dyDescent="0.3">
      <c r="A390" s="119">
        <v>2017</v>
      </c>
      <c r="B390" s="131" t="s">
        <v>38</v>
      </c>
      <c r="C390" s="119" t="s">
        <v>88</v>
      </c>
      <c r="D390" s="119" t="s">
        <v>89</v>
      </c>
      <c r="E390" s="119" t="s">
        <v>124</v>
      </c>
      <c r="F390" s="131" t="s">
        <v>430</v>
      </c>
      <c r="G390" s="131" t="s">
        <v>430</v>
      </c>
      <c r="H390" s="131" t="s">
        <v>430</v>
      </c>
      <c r="I390" s="131" t="s">
        <v>243</v>
      </c>
      <c r="J390" s="119" t="s">
        <v>244</v>
      </c>
      <c r="K390" s="119" t="s">
        <v>245</v>
      </c>
      <c r="L390" s="119" t="s">
        <v>566</v>
      </c>
      <c r="M390" s="119" t="s">
        <v>46</v>
      </c>
      <c r="N390" s="161">
        <v>0</v>
      </c>
      <c r="O390" s="135" t="s">
        <v>47</v>
      </c>
      <c r="P390" s="135"/>
      <c r="Q390" s="137">
        <v>0</v>
      </c>
      <c r="T390" s="137">
        <f t="shared" si="72"/>
        <v>0</v>
      </c>
      <c r="U390" s="137">
        <f t="shared" si="76"/>
        <v>0</v>
      </c>
      <c r="V390" s="137">
        <v>20000</v>
      </c>
      <c r="W390" s="137">
        <f t="shared" si="77"/>
        <v>-20000</v>
      </c>
      <c r="X390" s="137">
        <f t="shared" si="73"/>
        <v>-20000</v>
      </c>
      <c r="Y390" s="137">
        <f t="shared" si="78"/>
        <v>0</v>
      </c>
      <c r="Z390" s="137">
        <v>718.5</v>
      </c>
      <c r="AA390" s="137">
        <f t="shared" si="74"/>
        <v>19281.5</v>
      </c>
      <c r="AB390" s="146">
        <f t="shared" si="71"/>
        <v>718.5</v>
      </c>
      <c r="AC390" s="147">
        <f t="shared" si="75"/>
        <v>0</v>
      </c>
      <c r="AD390" s="137">
        <v>602.29523552293301</v>
      </c>
      <c r="AE390" s="138">
        <v>0.17647058823529399</v>
      </c>
      <c r="AF390" s="137">
        <f t="shared" si="70"/>
        <v>106.28739450404693</v>
      </c>
      <c r="AG390" s="131"/>
      <c r="AH390" s="131"/>
      <c r="AI390" s="131"/>
      <c r="AJ390" s="135" t="e">
        <v>#N/A</v>
      </c>
      <c r="AK390" s="131"/>
      <c r="AL390" s="131"/>
      <c r="AM390" s="131" t="s">
        <v>208</v>
      </c>
    </row>
    <row r="391" spans="1:39" s="119" customFormat="1" ht="15" customHeight="1" x14ac:dyDescent="0.3">
      <c r="A391" s="119">
        <v>2017</v>
      </c>
      <c r="B391" s="119" t="s">
        <v>38</v>
      </c>
      <c r="C391" s="119" t="s">
        <v>75</v>
      </c>
      <c r="D391" s="119" t="s">
        <v>76</v>
      </c>
      <c r="E391" s="119" t="s">
        <v>296</v>
      </c>
      <c r="F391" s="119" t="s">
        <v>567</v>
      </c>
      <c r="G391" s="119" t="s">
        <v>568</v>
      </c>
      <c r="H391" s="119" t="s">
        <v>568</v>
      </c>
      <c r="I391" s="119" t="s">
        <v>170</v>
      </c>
      <c r="J391" s="119" t="s">
        <v>171</v>
      </c>
      <c r="K391" s="119" t="s">
        <v>172</v>
      </c>
      <c r="L391" s="119" t="s">
        <v>569</v>
      </c>
      <c r="M391" s="119" t="s">
        <v>185</v>
      </c>
      <c r="N391" s="136">
        <v>0.14000000000000001</v>
      </c>
      <c r="O391" s="135" t="s">
        <v>51</v>
      </c>
      <c r="P391" s="135"/>
      <c r="Q391" s="137">
        <v>0</v>
      </c>
      <c r="R391" s="137">
        <v>0</v>
      </c>
      <c r="S391" s="137">
        <v>20000</v>
      </c>
      <c r="T391" s="137">
        <f t="shared" si="72"/>
        <v>2800.0000000000005</v>
      </c>
      <c r="U391" s="137">
        <f t="shared" si="76"/>
        <v>22800</v>
      </c>
      <c r="V391" s="137">
        <v>34958.53</v>
      </c>
      <c r="W391" s="137">
        <f t="shared" si="77"/>
        <v>-12158.529999999999</v>
      </c>
      <c r="X391" s="137">
        <f t="shared" si="73"/>
        <v>-10665.377192982454</v>
      </c>
      <c r="Y391" s="137">
        <f t="shared" si="78"/>
        <v>-1493.1528070175445</v>
      </c>
      <c r="Z391" s="137">
        <v>185823.46580000001</v>
      </c>
      <c r="AA391" s="137">
        <f t="shared" si="74"/>
        <v>-150864.93580000001</v>
      </c>
      <c r="AB391" s="146">
        <f t="shared" si="71"/>
        <v>163003.0401754386</v>
      </c>
      <c r="AC391" s="147">
        <f t="shared" si="75"/>
        <v>22820.425624561409</v>
      </c>
      <c r="AD391" s="137">
        <f>(Z391-Q391)*0.91072157793815</f>
        <v>169233.43999131187</v>
      </c>
      <c r="AE391" s="138">
        <v>0.11269173273981201</v>
      </c>
      <c r="AF391" s="137">
        <f t="shared" si="70"/>
        <v>19071.20959013993</v>
      </c>
      <c r="AG391" s="137">
        <v>-6194.8533856857102</v>
      </c>
      <c r="AH391" s="154"/>
      <c r="AI391" s="154"/>
      <c r="AJ391" s="136">
        <v>0.14000000000000001</v>
      </c>
      <c r="AK391" s="156">
        <v>0.14000000000000001</v>
      </c>
    </row>
    <row r="392" spans="1:39" s="119" customFormat="1" ht="15" customHeight="1" x14ac:dyDescent="0.3">
      <c r="A392" s="119">
        <v>2017</v>
      </c>
      <c r="B392" s="131" t="s">
        <v>38</v>
      </c>
      <c r="C392" s="119" t="s">
        <v>75</v>
      </c>
      <c r="D392" s="131"/>
      <c r="E392" s="131"/>
      <c r="F392" s="131" t="s">
        <v>205</v>
      </c>
      <c r="G392" s="131" t="s">
        <v>205</v>
      </c>
      <c r="H392" s="131" t="s">
        <v>205</v>
      </c>
      <c r="I392" s="131" t="s">
        <v>243</v>
      </c>
      <c r="J392" s="119" t="s">
        <v>244</v>
      </c>
      <c r="K392" s="119" t="s">
        <v>245</v>
      </c>
      <c r="L392" s="119" t="s">
        <v>570</v>
      </c>
      <c r="M392" s="119" t="s">
        <v>46</v>
      </c>
      <c r="N392" s="136">
        <v>0.02</v>
      </c>
      <c r="O392" s="135" t="s">
        <v>51</v>
      </c>
      <c r="P392" s="135"/>
      <c r="Q392" s="137"/>
      <c r="T392" s="137">
        <f t="shared" si="72"/>
        <v>0</v>
      </c>
      <c r="U392" s="137">
        <f t="shared" si="76"/>
        <v>0</v>
      </c>
      <c r="V392" s="137">
        <v>688</v>
      </c>
      <c r="W392" s="137">
        <f t="shared" si="77"/>
        <v>-688</v>
      </c>
      <c r="X392" s="137">
        <f t="shared" si="73"/>
        <v>-674.50980392156862</v>
      </c>
      <c r="Y392" s="137">
        <f t="shared" si="78"/>
        <v>-13.490196078431381</v>
      </c>
      <c r="AA392" s="137">
        <f t="shared" si="74"/>
        <v>688</v>
      </c>
      <c r="AB392" s="146">
        <f t="shared" si="71"/>
        <v>0</v>
      </c>
      <c r="AC392" s="147">
        <f t="shared" si="75"/>
        <v>0</v>
      </c>
      <c r="AD392" s="131">
        <v>0</v>
      </c>
      <c r="AE392" s="131"/>
      <c r="AF392" s="137">
        <f t="shared" si="70"/>
        <v>0</v>
      </c>
      <c r="AG392" s="131"/>
      <c r="AH392" s="131"/>
      <c r="AI392" s="131"/>
      <c r="AJ392" s="136">
        <v>0.02</v>
      </c>
      <c r="AK392" s="131"/>
      <c r="AL392" s="131"/>
      <c r="AM392" s="131" t="s">
        <v>208</v>
      </c>
    </row>
    <row r="393" spans="1:39" s="119" customFormat="1" ht="15" customHeight="1" x14ac:dyDescent="0.3">
      <c r="A393" s="119">
        <v>2017</v>
      </c>
      <c r="B393" s="131" t="s">
        <v>38</v>
      </c>
      <c r="C393" s="119" t="s">
        <v>54</v>
      </c>
      <c r="D393" s="131"/>
      <c r="E393" s="131"/>
      <c r="F393" s="131" t="s">
        <v>501</v>
      </c>
      <c r="G393" s="131" t="s">
        <v>501</v>
      </c>
      <c r="H393" s="131" t="s">
        <v>501</v>
      </c>
      <c r="I393" s="131" t="s">
        <v>243</v>
      </c>
      <c r="J393" s="119" t="s">
        <v>244</v>
      </c>
      <c r="K393" s="119" t="s">
        <v>245</v>
      </c>
      <c r="L393" s="119" t="s">
        <v>571</v>
      </c>
      <c r="M393" s="119" t="s">
        <v>46</v>
      </c>
      <c r="N393" s="135">
        <v>0</v>
      </c>
      <c r="O393" s="135" t="s">
        <v>47</v>
      </c>
      <c r="P393" s="135"/>
      <c r="Q393" s="131"/>
      <c r="R393" s="131"/>
      <c r="S393" s="131"/>
      <c r="T393" s="137">
        <f t="shared" si="72"/>
        <v>0</v>
      </c>
      <c r="U393" s="137">
        <f t="shared" si="76"/>
        <v>0</v>
      </c>
      <c r="V393" s="137">
        <v>0</v>
      </c>
      <c r="W393" s="137">
        <f t="shared" si="77"/>
        <v>0</v>
      </c>
      <c r="X393" s="137">
        <f t="shared" si="73"/>
        <v>0</v>
      </c>
      <c r="Y393" s="137">
        <f t="shared" si="78"/>
        <v>0</v>
      </c>
      <c r="Z393" s="131"/>
      <c r="AA393" s="137">
        <f t="shared" si="74"/>
        <v>0</v>
      </c>
      <c r="AB393" s="146">
        <f t="shared" si="71"/>
        <v>0</v>
      </c>
      <c r="AC393" s="147">
        <f t="shared" si="75"/>
        <v>0</v>
      </c>
      <c r="AD393" s="131">
        <v>0</v>
      </c>
      <c r="AE393" s="131"/>
      <c r="AF393" s="137">
        <f t="shared" si="70"/>
        <v>0</v>
      </c>
      <c r="AG393" s="131"/>
      <c r="AH393" s="131"/>
      <c r="AI393" s="131"/>
      <c r="AJ393" s="136">
        <v>0</v>
      </c>
      <c r="AK393" s="131"/>
      <c r="AL393" s="131"/>
      <c r="AM393" s="131" t="s">
        <v>208</v>
      </c>
    </row>
    <row r="394" spans="1:39" s="119" customFormat="1" ht="15" customHeight="1" x14ac:dyDescent="0.3">
      <c r="A394" s="119">
        <v>2017</v>
      </c>
      <c r="B394" s="131" t="s">
        <v>199</v>
      </c>
      <c r="C394" s="119" t="s">
        <v>59</v>
      </c>
      <c r="D394" s="131"/>
      <c r="E394" s="131"/>
      <c r="F394" s="131" t="s">
        <v>348</v>
      </c>
      <c r="G394" s="131" t="s">
        <v>349</v>
      </c>
      <c r="H394" s="131" t="s">
        <v>349</v>
      </c>
      <c r="I394" s="131" t="s">
        <v>243</v>
      </c>
      <c r="J394" s="119" t="s">
        <v>244</v>
      </c>
      <c r="K394" s="119" t="s">
        <v>245</v>
      </c>
      <c r="L394" s="119" t="s">
        <v>348</v>
      </c>
      <c r="M394" s="119" t="s">
        <v>46</v>
      </c>
      <c r="N394" s="135">
        <v>0</v>
      </c>
      <c r="O394" s="135" t="s">
        <v>47</v>
      </c>
      <c r="P394" s="135"/>
      <c r="Q394" s="131"/>
      <c r="R394" s="131"/>
      <c r="S394" s="131"/>
      <c r="T394" s="137">
        <f t="shared" si="72"/>
        <v>0</v>
      </c>
      <c r="U394" s="137">
        <f t="shared" si="76"/>
        <v>0</v>
      </c>
      <c r="V394" s="137">
        <v>15000</v>
      </c>
      <c r="W394" s="137">
        <f t="shared" si="77"/>
        <v>-15000</v>
      </c>
      <c r="X394" s="137">
        <f t="shared" si="73"/>
        <v>-15000</v>
      </c>
      <c r="Y394" s="137">
        <f t="shared" si="78"/>
        <v>0</v>
      </c>
      <c r="Z394" s="131"/>
      <c r="AA394" s="137">
        <f t="shared" si="74"/>
        <v>15000</v>
      </c>
      <c r="AB394" s="146">
        <f t="shared" si="71"/>
        <v>0</v>
      </c>
      <c r="AC394" s="147">
        <f t="shared" si="75"/>
        <v>0</v>
      </c>
      <c r="AD394" s="131">
        <v>0</v>
      </c>
      <c r="AE394" s="131"/>
      <c r="AF394" s="137">
        <f t="shared" si="70"/>
        <v>0</v>
      </c>
      <c r="AG394" s="131"/>
      <c r="AH394" s="131"/>
      <c r="AI394" s="131"/>
      <c r="AJ394" s="136">
        <v>0</v>
      </c>
      <c r="AK394" s="131"/>
      <c r="AL394" s="131"/>
      <c r="AM394" s="131" t="s">
        <v>208</v>
      </c>
    </row>
    <row r="395" spans="1:39" s="119" customFormat="1" ht="15" customHeight="1" x14ac:dyDescent="0.3">
      <c r="A395" s="119">
        <v>2017</v>
      </c>
      <c r="B395" s="131" t="s">
        <v>38</v>
      </c>
      <c r="C395" s="119" t="s">
        <v>59</v>
      </c>
      <c r="D395" s="131"/>
      <c r="E395" s="131"/>
      <c r="F395" s="131" t="s">
        <v>362</v>
      </c>
      <c r="G395" s="131" t="s">
        <v>362</v>
      </c>
      <c r="H395" s="131" t="s">
        <v>362</v>
      </c>
      <c r="I395" s="131" t="s">
        <v>243</v>
      </c>
      <c r="J395" s="119" t="s">
        <v>244</v>
      </c>
      <c r="K395" s="119" t="s">
        <v>245</v>
      </c>
      <c r="L395" s="119" t="s">
        <v>362</v>
      </c>
      <c r="M395" s="119" t="s">
        <v>46</v>
      </c>
      <c r="N395" s="135">
        <v>0</v>
      </c>
      <c r="O395" s="135" t="s">
        <v>47</v>
      </c>
      <c r="P395" s="135"/>
      <c r="Q395" s="131"/>
      <c r="R395" s="131"/>
      <c r="S395" s="131"/>
      <c r="T395" s="137">
        <f t="shared" si="72"/>
        <v>0</v>
      </c>
      <c r="U395" s="137">
        <f t="shared" si="76"/>
        <v>0</v>
      </c>
      <c r="V395" s="137">
        <v>15000</v>
      </c>
      <c r="W395" s="137">
        <f t="shared" si="77"/>
        <v>-15000</v>
      </c>
      <c r="X395" s="137">
        <f t="shared" si="73"/>
        <v>-15000</v>
      </c>
      <c r="Y395" s="137">
        <f t="shared" si="78"/>
        <v>0</v>
      </c>
      <c r="Z395" s="131"/>
      <c r="AA395" s="137">
        <f t="shared" si="74"/>
        <v>15000</v>
      </c>
      <c r="AB395" s="146">
        <f t="shared" si="71"/>
        <v>0</v>
      </c>
      <c r="AC395" s="147">
        <f t="shared" si="75"/>
        <v>0</v>
      </c>
      <c r="AD395" s="131">
        <v>0</v>
      </c>
      <c r="AE395" s="131"/>
      <c r="AF395" s="137">
        <f t="shared" si="70"/>
        <v>0</v>
      </c>
      <c r="AG395" s="131"/>
      <c r="AH395" s="131"/>
      <c r="AI395" s="131"/>
      <c r="AJ395" s="136">
        <v>0</v>
      </c>
      <c r="AK395" s="131"/>
      <c r="AL395" s="131"/>
      <c r="AM395" s="131" t="s">
        <v>208</v>
      </c>
    </row>
    <row r="396" spans="1:39" s="119" customFormat="1" ht="15" customHeight="1" x14ac:dyDescent="0.3">
      <c r="A396" s="119">
        <v>2017</v>
      </c>
      <c r="B396" s="131" t="s">
        <v>38</v>
      </c>
      <c r="C396" s="119" t="s">
        <v>39</v>
      </c>
      <c r="D396" s="131"/>
      <c r="E396" s="131"/>
      <c r="F396" s="131" t="s">
        <v>127</v>
      </c>
      <c r="G396" s="131" t="s">
        <v>127</v>
      </c>
      <c r="H396" s="131" t="s">
        <v>127</v>
      </c>
      <c r="I396" s="131" t="s">
        <v>243</v>
      </c>
      <c r="J396" s="119" t="s">
        <v>244</v>
      </c>
      <c r="K396" s="119" t="s">
        <v>245</v>
      </c>
      <c r="L396" s="119" t="s">
        <v>127</v>
      </c>
      <c r="M396" s="119" t="s">
        <v>46</v>
      </c>
      <c r="N396" s="135">
        <v>0</v>
      </c>
      <c r="O396" s="135" t="s">
        <v>47</v>
      </c>
      <c r="P396" s="135"/>
      <c r="Q396" s="131"/>
      <c r="R396" s="131"/>
      <c r="S396" s="131"/>
      <c r="T396" s="137">
        <f t="shared" si="72"/>
        <v>0</v>
      </c>
      <c r="U396" s="137">
        <f t="shared" si="76"/>
        <v>0</v>
      </c>
      <c r="V396" s="137">
        <v>15000</v>
      </c>
      <c r="W396" s="137">
        <f t="shared" si="77"/>
        <v>-15000</v>
      </c>
      <c r="X396" s="137">
        <f t="shared" si="73"/>
        <v>-15000</v>
      </c>
      <c r="Y396" s="137">
        <f t="shared" si="78"/>
        <v>0</v>
      </c>
      <c r="Z396" s="131"/>
      <c r="AA396" s="137">
        <f t="shared" si="74"/>
        <v>15000</v>
      </c>
      <c r="AB396" s="146">
        <f t="shared" si="71"/>
        <v>0</v>
      </c>
      <c r="AC396" s="147">
        <f t="shared" si="75"/>
        <v>0</v>
      </c>
      <c r="AD396" s="131">
        <v>0</v>
      </c>
      <c r="AE396" s="131"/>
      <c r="AF396" s="137">
        <f t="shared" si="70"/>
        <v>0</v>
      </c>
      <c r="AG396" s="131"/>
      <c r="AH396" s="131"/>
      <c r="AI396" s="131"/>
      <c r="AJ396" s="136">
        <v>0</v>
      </c>
      <c r="AK396" s="131"/>
      <c r="AL396" s="131"/>
      <c r="AM396" s="131" t="s">
        <v>208</v>
      </c>
    </row>
    <row r="397" spans="1:39" s="119" customFormat="1" ht="15" customHeight="1" x14ac:dyDescent="0.3">
      <c r="A397" s="119">
        <v>2017</v>
      </c>
      <c r="B397" s="131" t="s">
        <v>38</v>
      </c>
      <c r="C397" s="119" t="s">
        <v>88</v>
      </c>
      <c r="D397" s="119" t="s">
        <v>89</v>
      </c>
      <c r="E397" s="119" t="s">
        <v>124</v>
      </c>
      <c r="F397" s="131" t="s">
        <v>430</v>
      </c>
      <c r="G397" s="131" t="s">
        <v>431</v>
      </c>
      <c r="H397" s="131" t="s">
        <v>431</v>
      </c>
      <c r="I397" s="131" t="s">
        <v>243</v>
      </c>
      <c r="J397" s="119" t="s">
        <v>244</v>
      </c>
      <c r="K397" s="119" t="s">
        <v>245</v>
      </c>
      <c r="L397" s="119" t="s">
        <v>572</v>
      </c>
      <c r="M397" s="119" t="s">
        <v>46</v>
      </c>
      <c r="N397" s="135">
        <v>0</v>
      </c>
      <c r="O397" s="135" t="s">
        <v>47</v>
      </c>
      <c r="P397" s="135"/>
      <c r="Q397" s="131"/>
      <c r="R397" s="131"/>
      <c r="S397" s="131"/>
      <c r="T397" s="137">
        <f t="shared" si="72"/>
        <v>0</v>
      </c>
      <c r="U397" s="137">
        <f t="shared" si="76"/>
        <v>0</v>
      </c>
      <c r="V397" s="137">
        <v>20000</v>
      </c>
      <c r="W397" s="137">
        <f t="shared" si="77"/>
        <v>-20000</v>
      </c>
      <c r="X397" s="137">
        <f t="shared" si="73"/>
        <v>-20000</v>
      </c>
      <c r="Y397" s="137">
        <f t="shared" si="78"/>
        <v>0</v>
      </c>
      <c r="Z397" s="131"/>
      <c r="AA397" s="137">
        <f t="shared" si="74"/>
        <v>20000</v>
      </c>
      <c r="AB397" s="146">
        <f t="shared" si="71"/>
        <v>0</v>
      </c>
      <c r="AC397" s="147">
        <f t="shared" si="75"/>
        <v>0</v>
      </c>
      <c r="AD397" s="131">
        <v>0</v>
      </c>
      <c r="AE397" s="131"/>
      <c r="AF397" s="137">
        <f t="shared" si="70"/>
        <v>0</v>
      </c>
      <c r="AG397" s="131"/>
      <c r="AH397" s="131"/>
      <c r="AI397" s="131"/>
      <c r="AJ397" s="135" t="s">
        <v>47</v>
      </c>
      <c r="AK397" s="131"/>
      <c r="AL397" s="131"/>
      <c r="AM397" s="131" t="s">
        <v>208</v>
      </c>
    </row>
    <row r="398" spans="1:39" s="119" customFormat="1" ht="15" customHeight="1" x14ac:dyDescent="0.3">
      <c r="A398" s="119">
        <v>2017</v>
      </c>
      <c r="B398" s="131" t="s">
        <v>38</v>
      </c>
      <c r="C398" s="119" t="s">
        <v>54</v>
      </c>
      <c r="D398" s="131"/>
      <c r="E398" s="131"/>
      <c r="F398" s="131" t="s">
        <v>527</v>
      </c>
      <c r="G398" s="131" t="s">
        <v>527</v>
      </c>
      <c r="H398" s="131" t="s">
        <v>527</v>
      </c>
      <c r="I398" s="131" t="s">
        <v>243</v>
      </c>
      <c r="J398" s="119" t="s">
        <v>244</v>
      </c>
      <c r="K398" s="119" t="s">
        <v>245</v>
      </c>
      <c r="L398" s="119" t="s">
        <v>528</v>
      </c>
      <c r="M398" s="119" t="s">
        <v>46</v>
      </c>
      <c r="N398" s="135">
        <v>0</v>
      </c>
      <c r="O398" s="135" t="s">
        <v>1646</v>
      </c>
      <c r="P398" s="135"/>
      <c r="Q398" s="131"/>
      <c r="R398" s="131"/>
      <c r="S398" s="131"/>
      <c r="T398" s="137">
        <f t="shared" si="72"/>
        <v>0</v>
      </c>
      <c r="U398" s="137">
        <f t="shared" si="76"/>
        <v>0</v>
      </c>
      <c r="V398" s="137">
        <v>170000</v>
      </c>
      <c r="W398" s="137">
        <f t="shared" si="77"/>
        <v>-170000</v>
      </c>
      <c r="X398" s="137">
        <f t="shared" si="73"/>
        <v>-170000</v>
      </c>
      <c r="Y398" s="137">
        <f t="shared" si="78"/>
        <v>0</v>
      </c>
      <c r="Z398" s="224">
        <v>150856.51</v>
      </c>
      <c r="AA398" s="137">
        <f t="shared" si="74"/>
        <v>19143.489999999991</v>
      </c>
      <c r="AB398" s="146">
        <f t="shared" si="71"/>
        <v>150856.51</v>
      </c>
      <c r="AC398" s="147">
        <f t="shared" si="75"/>
        <v>0</v>
      </c>
      <c r="AD398" s="131">
        <v>0</v>
      </c>
      <c r="AE398" s="131"/>
      <c r="AF398" s="137">
        <f t="shared" si="70"/>
        <v>0</v>
      </c>
      <c r="AG398" s="131"/>
      <c r="AH398" s="131"/>
      <c r="AI398" s="131"/>
      <c r="AJ398" s="135" t="s">
        <v>559</v>
      </c>
      <c r="AK398" s="131"/>
      <c r="AL398" s="131"/>
      <c r="AM398" s="131" t="s">
        <v>208</v>
      </c>
    </row>
    <row r="399" spans="1:39" s="119" customFormat="1" ht="15" customHeight="1" x14ac:dyDescent="0.3">
      <c r="A399" s="119">
        <v>2017</v>
      </c>
      <c r="B399" s="131"/>
      <c r="C399" s="119" t="s">
        <v>75</v>
      </c>
      <c r="D399" s="131"/>
      <c r="E399" s="131"/>
      <c r="F399" s="131" t="s">
        <v>538</v>
      </c>
      <c r="G399" s="131"/>
      <c r="H399" s="131"/>
      <c r="I399" s="131" t="s">
        <v>243</v>
      </c>
      <c r="J399" s="119" t="s">
        <v>244</v>
      </c>
      <c r="K399" s="119" t="s">
        <v>245</v>
      </c>
      <c r="L399" s="119" t="s">
        <v>539</v>
      </c>
      <c r="M399" s="119" t="s">
        <v>46</v>
      </c>
      <c r="N399" s="161">
        <v>0</v>
      </c>
      <c r="O399" s="135" t="s">
        <v>47</v>
      </c>
      <c r="P399" s="135"/>
      <c r="Q399" s="131"/>
      <c r="R399" s="137">
        <v>0</v>
      </c>
      <c r="S399" s="131"/>
      <c r="T399" s="137">
        <f t="shared" si="72"/>
        <v>0</v>
      </c>
      <c r="U399" s="137">
        <f t="shared" si="76"/>
        <v>0</v>
      </c>
      <c r="V399" s="137">
        <v>37500</v>
      </c>
      <c r="W399" s="137">
        <f t="shared" si="77"/>
        <v>-37500</v>
      </c>
      <c r="X399" s="137">
        <f t="shared" si="73"/>
        <v>-37500</v>
      </c>
      <c r="Y399" s="137">
        <f t="shared" si="78"/>
        <v>0</v>
      </c>
      <c r="Z399" s="131"/>
      <c r="AA399" s="137">
        <f t="shared" si="74"/>
        <v>37500</v>
      </c>
      <c r="AB399" s="146">
        <f t="shared" si="71"/>
        <v>0</v>
      </c>
      <c r="AC399" s="147">
        <f t="shared" si="75"/>
        <v>0</v>
      </c>
      <c r="AD399" s="131">
        <v>0</v>
      </c>
      <c r="AE399" s="131"/>
      <c r="AF399" s="137">
        <f t="shared" si="70"/>
        <v>0</v>
      </c>
      <c r="AG399" s="131"/>
      <c r="AH399" s="131"/>
      <c r="AI399" s="131"/>
      <c r="AJ399" s="136">
        <v>0</v>
      </c>
      <c r="AK399" s="131"/>
      <c r="AL399" s="131"/>
      <c r="AM399" s="131" t="s">
        <v>208</v>
      </c>
    </row>
    <row r="400" spans="1:39" s="119" customFormat="1" ht="15" customHeight="1" x14ac:dyDescent="0.3">
      <c r="A400" s="119">
        <v>2017</v>
      </c>
      <c r="B400" s="131" t="s">
        <v>38</v>
      </c>
      <c r="C400" s="119" t="s">
        <v>59</v>
      </c>
      <c r="D400" s="131"/>
      <c r="E400" s="131"/>
      <c r="F400" s="131" t="s">
        <v>355</v>
      </c>
      <c r="G400" s="131" t="s">
        <v>355</v>
      </c>
      <c r="H400" s="131" t="s">
        <v>355</v>
      </c>
      <c r="I400" s="131" t="s">
        <v>243</v>
      </c>
      <c r="J400" s="119" t="s">
        <v>244</v>
      </c>
      <c r="K400" s="119" t="s">
        <v>245</v>
      </c>
      <c r="L400" s="119" t="s">
        <v>355</v>
      </c>
      <c r="M400" s="119" t="s">
        <v>46</v>
      </c>
      <c r="N400" s="135">
        <v>0</v>
      </c>
      <c r="O400" s="135" t="s">
        <v>47</v>
      </c>
      <c r="P400" s="135"/>
      <c r="Q400" s="131"/>
      <c r="R400" s="131"/>
      <c r="S400" s="131"/>
      <c r="T400" s="137">
        <f t="shared" si="72"/>
        <v>0</v>
      </c>
      <c r="U400" s="137">
        <f t="shared" si="76"/>
        <v>0</v>
      </c>
      <c r="V400" s="137">
        <v>15000</v>
      </c>
      <c r="W400" s="137">
        <f t="shared" si="77"/>
        <v>-15000</v>
      </c>
      <c r="X400" s="137">
        <f t="shared" si="73"/>
        <v>-15000</v>
      </c>
      <c r="Y400" s="137">
        <f t="shared" si="78"/>
        <v>0</v>
      </c>
      <c r="Z400" s="131"/>
      <c r="AA400" s="137">
        <f t="shared" si="74"/>
        <v>15000</v>
      </c>
      <c r="AB400" s="146">
        <f t="shared" si="71"/>
        <v>0</v>
      </c>
      <c r="AC400" s="147">
        <f t="shared" si="75"/>
        <v>0</v>
      </c>
      <c r="AD400" s="131">
        <v>0</v>
      </c>
      <c r="AE400" s="131"/>
      <c r="AF400" s="137">
        <f t="shared" si="70"/>
        <v>0</v>
      </c>
      <c r="AG400" s="131"/>
      <c r="AH400" s="131"/>
      <c r="AI400" s="131"/>
      <c r="AJ400" s="136">
        <v>0</v>
      </c>
      <c r="AK400" s="131"/>
      <c r="AL400" s="131"/>
      <c r="AM400" s="131" t="s">
        <v>208</v>
      </c>
    </row>
    <row r="401" spans="1:39" s="119" customFormat="1" ht="15" customHeight="1" x14ac:dyDescent="0.3">
      <c r="A401" s="119">
        <v>2017</v>
      </c>
      <c r="B401" s="119" t="s">
        <v>38</v>
      </c>
      <c r="C401" s="119" t="s">
        <v>137</v>
      </c>
      <c r="D401" s="119" t="s">
        <v>138</v>
      </c>
      <c r="E401" s="119" t="s">
        <v>139</v>
      </c>
      <c r="F401" s="119" t="s">
        <v>573</v>
      </c>
      <c r="G401" s="119" t="s">
        <v>574</v>
      </c>
      <c r="H401" s="119" t="s">
        <v>574</v>
      </c>
      <c r="I401" s="163" t="s">
        <v>204</v>
      </c>
      <c r="J401" s="119" t="s">
        <v>575</v>
      </c>
      <c r="K401" s="119" t="s">
        <v>576</v>
      </c>
      <c r="L401" s="119" t="s">
        <v>577</v>
      </c>
      <c r="M401" s="119" t="s">
        <v>46</v>
      </c>
      <c r="N401" s="135">
        <v>0.05</v>
      </c>
      <c r="O401" s="135" t="s">
        <v>51</v>
      </c>
      <c r="P401" s="135"/>
      <c r="Q401" s="137">
        <v>0</v>
      </c>
      <c r="R401" s="137">
        <v>0</v>
      </c>
      <c r="S401" s="137">
        <v>25000</v>
      </c>
      <c r="T401" s="137">
        <f t="shared" si="72"/>
        <v>1250</v>
      </c>
      <c r="U401" s="137">
        <f t="shared" si="76"/>
        <v>26250</v>
      </c>
      <c r="V401" s="137">
        <v>30000</v>
      </c>
      <c r="W401" s="137">
        <f t="shared" si="77"/>
        <v>-3750</v>
      </c>
      <c r="X401" s="137">
        <f t="shared" si="73"/>
        <v>-3571.4285714285711</v>
      </c>
      <c r="Y401" s="137">
        <f t="shared" si="78"/>
        <v>-178.5714285714289</v>
      </c>
      <c r="Z401" s="137">
        <v>21319</v>
      </c>
      <c r="AA401" s="137">
        <f t="shared" si="74"/>
        <v>8681</v>
      </c>
      <c r="AB401" s="146">
        <f t="shared" si="71"/>
        <v>20303.809523809523</v>
      </c>
      <c r="AC401" s="147">
        <f t="shared" si="75"/>
        <v>1015.1904761904771</v>
      </c>
      <c r="AD401" s="137">
        <f t="shared" ref="AD401:AD417" si="79">Z401*0.980277351080772</f>
        <v>20898.532847690978</v>
      </c>
      <c r="AE401" s="138">
        <v>0.1077</v>
      </c>
      <c r="AF401" s="137">
        <f t="shared" si="70"/>
        <v>2250.7719876963183</v>
      </c>
      <c r="AG401" s="137">
        <v>1280.86582380952</v>
      </c>
      <c r="AH401" s="154"/>
      <c r="AI401" s="154"/>
      <c r="AJ401" s="135" t="s">
        <v>63</v>
      </c>
      <c r="AK401" s="119" t="s">
        <v>63</v>
      </c>
      <c r="AM401" s="131"/>
    </row>
    <row r="402" spans="1:39" s="119" customFormat="1" ht="15" customHeight="1" x14ac:dyDescent="0.3">
      <c r="A402" s="119">
        <v>2017</v>
      </c>
      <c r="B402" s="119" t="s">
        <v>38</v>
      </c>
      <c r="C402" s="119" t="s">
        <v>137</v>
      </c>
      <c r="D402" s="119" t="s">
        <v>138</v>
      </c>
      <c r="E402" s="119" t="s">
        <v>578</v>
      </c>
      <c r="F402" s="119" t="s">
        <v>579</v>
      </c>
      <c r="G402" s="119" t="s">
        <v>579</v>
      </c>
      <c r="H402" s="119" t="s">
        <v>579</v>
      </c>
      <c r="I402" s="163" t="s">
        <v>204</v>
      </c>
      <c r="J402" s="119" t="s">
        <v>575</v>
      </c>
      <c r="K402" s="119" t="s">
        <v>576</v>
      </c>
      <c r="L402" s="119" t="s">
        <v>580</v>
      </c>
      <c r="M402" s="119" t="s">
        <v>46</v>
      </c>
      <c r="N402" s="136">
        <v>0.05</v>
      </c>
      <c r="O402" s="135" t="s">
        <v>51</v>
      </c>
      <c r="P402" s="135"/>
      <c r="Q402" s="137">
        <v>0</v>
      </c>
      <c r="R402" s="137">
        <v>0</v>
      </c>
      <c r="S402" s="137">
        <v>10000</v>
      </c>
      <c r="T402" s="137">
        <f t="shared" si="72"/>
        <v>500</v>
      </c>
      <c r="U402" s="137">
        <f t="shared" si="76"/>
        <v>10500</v>
      </c>
      <c r="V402" s="137">
        <v>10000</v>
      </c>
      <c r="W402" s="137">
        <f t="shared" si="77"/>
        <v>500</v>
      </c>
      <c r="X402" s="137">
        <f t="shared" si="73"/>
        <v>476.19047619047615</v>
      </c>
      <c r="Y402" s="137">
        <f t="shared" si="78"/>
        <v>23.809523809523853</v>
      </c>
      <c r="Z402" s="137">
        <v>10000</v>
      </c>
      <c r="AA402" s="137">
        <f t="shared" si="74"/>
        <v>0</v>
      </c>
      <c r="AB402" s="146">
        <f t="shared" si="71"/>
        <v>9523.8095238095229</v>
      </c>
      <c r="AC402" s="147">
        <f t="shared" si="75"/>
        <v>476.19047619047706</v>
      </c>
      <c r="AD402" s="137">
        <f t="shared" si="79"/>
        <v>9802.7735108077195</v>
      </c>
      <c r="AE402" s="138">
        <v>0.1077</v>
      </c>
      <c r="AF402" s="137">
        <f t="shared" si="70"/>
        <v>1055.7587071139915</v>
      </c>
      <c r="AG402" s="137">
        <v>600.80952380952294</v>
      </c>
      <c r="AH402" s="154"/>
      <c r="AI402" s="154"/>
      <c r="AJ402" s="135" t="s">
        <v>581</v>
      </c>
      <c r="AK402" s="119" t="s">
        <v>581</v>
      </c>
      <c r="AM402" s="131"/>
    </row>
    <row r="403" spans="1:39" s="119" customFormat="1" ht="15" customHeight="1" x14ac:dyDescent="0.3">
      <c r="A403" s="119">
        <v>2017</v>
      </c>
      <c r="B403" s="119" t="s">
        <v>38</v>
      </c>
      <c r="C403" s="119" t="s">
        <v>137</v>
      </c>
      <c r="D403" s="119" t="s">
        <v>138</v>
      </c>
      <c r="E403" s="119" t="s">
        <v>578</v>
      </c>
      <c r="F403" s="119" t="s">
        <v>582</v>
      </c>
      <c r="G403" s="119" t="s">
        <v>583</v>
      </c>
      <c r="H403" s="119" t="s">
        <v>583</v>
      </c>
      <c r="I403" s="163" t="s">
        <v>204</v>
      </c>
      <c r="J403" s="119" t="s">
        <v>575</v>
      </c>
      <c r="K403" s="119" t="s">
        <v>576</v>
      </c>
      <c r="L403" s="119" t="s">
        <v>584</v>
      </c>
      <c r="M403" s="119" t="s">
        <v>46</v>
      </c>
      <c r="N403" s="136">
        <v>0</v>
      </c>
      <c r="O403" s="135" t="s">
        <v>495</v>
      </c>
      <c r="P403" s="135"/>
      <c r="Q403" s="137">
        <v>0</v>
      </c>
      <c r="R403" s="137">
        <v>0</v>
      </c>
      <c r="S403" s="137">
        <v>5000</v>
      </c>
      <c r="T403" s="137">
        <f t="shared" si="72"/>
        <v>0</v>
      </c>
      <c r="U403" s="137">
        <f t="shared" si="76"/>
        <v>5000</v>
      </c>
      <c r="V403" s="137">
        <v>5240.6499999999996</v>
      </c>
      <c r="W403" s="137">
        <f t="shared" si="77"/>
        <v>-240.64999999999964</v>
      </c>
      <c r="X403" s="137">
        <f t="shared" si="73"/>
        <v>-240.64999999999964</v>
      </c>
      <c r="Y403" s="137">
        <f t="shared" si="78"/>
        <v>0</v>
      </c>
      <c r="Z403" s="137">
        <v>4813</v>
      </c>
      <c r="AA403" s="137">
        <f t="shared" si="74"/>
        <v>427.64999999999964</v>
      </c>
      <c r="AB403" s="146">
        <f t="shared" si="71"/>
        <v>4813</v>
      </c>
      <c r="AC403" s="147">
        <f t="shared" si="75"/>
        <v>0</v>
      </c>
      <c r="AD403" s="137">
        <f t="shared" si="79"/>
        <v>4718.0748907517554</v>
      </c>
      <c r="AE403" s="138">
        <v>0.1077</v>
      </c>
      <c r="AF403" s="137">
        <f t="shared" si="70"/>
        <v>508.13666573396409</v>
      </c>
      <c r="AG403" s="137">
        <v>289.16962380952401</v>
      </c>
      <c r="AH403" s="154"/>
      <c r="AI403" s="154"/>
      <c r="AJ403" s="136">
        <v>0.05</v>
      </c>
      <c r="AK403" s="156">
        <v>0.05</v>
      </c>
      <c r="AM403" s="131"/>
    </row>
    <row r="404" spans="1:39" s="119" customFormat="1" ht="15" customHeight="1" x14ac:dyDescent="0.3">
      <c r="A404" s="119">
        <v>2017</v>
      </c>
      <c r="B404" s="119" t="s">
        <v>38</v>
      </c>
      <c r="C404" s="119" t="s">
        <v>137</v>
      </c>
      <c r="D404" s="119" t="s">
        <v>270</v>
      </c>
      <c r="E404" s="119" t="s">
        <v>139</v>
      </c>
      <c r="F404" s="119" t="s">
        <v>585</v>
      </c>
      <c r="G404" s="119" t="s">
        <v>586</v>
      </c>
      <c r="H404" s="119" t="s">
        <v>586</v>
      </c>
      <c r="I404" s="163" t="s">
        <v>204</v>
      </c>
      <c r="J404" s="119" t="s">
        <v>575</v>
      </c>
      <c r="K404" s="119" t="s">
        <v>576</v>
      </c>
      <c r="L404" s="119" t="s">
        <v>587</v>
      </c>
      <c r="M404" s="119" t="s">
        <v>185</v>
      </c>
      <c r="N404" s="136">
        <v>0.16</v>
      </c>
      <c r="O404" s="135" t="s">
        <v>51</v>
      </c>
      <c r="P404" s="135"/>
      <c r="Q404" s="137">
        <v>8000</v>
      </c>
      <c r="R404" s="137">
        <v>0</v>
      </c>
      <c r="S404" s="137">
        <v>356198.9</v>
      </c>
      <c r="T404" s="137">
        <f t="shared" si="72"/>
        <v>56991.824000000008</v>
      </c>
      <c r="U404" s="137">
        <f t="shared" si="76"/>
        <v>413190.72400000005</v>
      </c>
      <c r="V404" s="137">
        <v>0</v>
      </c>
      <c r="W404" s="137">
        <f t="shared" si="77"/>
        <v>413190.72400000005</v>
      </c>
      <c r="X404" s="137">
        <f t="shared" si="73"/>
        <v>356198.90000000008</v>
      </c>
      <c r="Y404" s="137">
        <f t="shared" si="78"/>
        <v>56991.823999999964</v>
      </c>
      <c r="Z404" s="137">
        <v>356198.9</v>
      </c>
      <c r="AA404" s="137">
        <f t="shared" si="74"/>
        <v>-348198.9</v>
      </c>
      <c r="AB404" s="146">
        <f>IF(O404="返货",(Z404-Q404)/(1+N404),IF(O404="返现",(Z404-Q404),IF(O404="折扣",(Z404-Q404)*N404,IF(O404="无",(Z404-Q404)))))</f>
        <v>300171.46551724139</v>
      </c>
      <c r="AC404" s="147">
        <f t="shared" si="75"/>
        <v>56027.434482758632</v>
      </c>
      <c r="AD404" s="137">
        <f t="shared" si="79"/>
        <v>349173.71414988482</v>
      </c>
      <c r="AE404" s="138">
        <v>0.31559999999999999</v>
      </c>
      <c r="AF404" s="137">
        <f t="shared" si="70"/>
        <v>110199.22418570364</v>
      </c>
      <c r="AG404" s="137">
        <v>63285.490081379401</v>
      </c>
      <c r="AH404" s="154"/>
      <c r="AI404" s="154"/>
      <c r="AJ404" s="135" t="s">
        <v>588</v>
      </c>
      <c r="AK404" s="119" t="s">
        <v>588</v>
      </c>
      <c r="AL404" s="119" t="s">
        <v>589</v>
      </c>
      <c r="AM404" s="131"/>
    </row>
    <row r="405" spans="1:39" s="119" customFormat="1" ht="15" customHeight="1" x14ac:dyDescent="0.3">
      <c r="A405" s="119">
        <v>2017</v>
      </c>
      <c r="B405" s="119" t="s">
        <v>38</v>
      </c>
      <c r="C405" s="119" t="s">
        <v>137</v>
      </c>
      <c r="D405" s="119" t="s">
        <v>270</v>
      </c>
      <c r="E405" s="119" t="s">
        <v>139</v>
      </c>
      <c r="F405" s="119" t="s">
        <v>585</v>
      </c>
      <c r="G405" s="119" t="s">
        <v>586</v>
      </c>
      <c r="H405" s="119" t="s">
        <v>586</v>
      </c>
      <c r="I405" s="163" t="s">
        <v>204</v>
      </c>
      <c r="J405" s="119" t="s">
        <v>575</v>
      </c>
      <c r="K405" s="119" t="s">
        <v>576</v>
      </c>
      <c r="L405" s="119" t="s">
        <v>587</v>
      </c>
      <c r="M405" s="119" t="s">
        <v>46</v>
      </c>
      <c r="N405" s="135">
        <v>0.06</v>
      </c>
      <c r="O405" s="135" t="s">
        <v>51</v>
      </c>
      <c r="P405" s="135"/>
      <c r="Q405" s="137">
        <v>2700</v>
      </c>
      <c r="R405" s="137">
        <v>0</v>
      </c>
      <c r="S405" s="137">
        <v>133238.39000000001</v>
      </c>
      <c r="T405" s="137">
        <f t="shared" si="72"/>
        <v>7994.3034000000007</v>
      </c>
      <c r="U405" s="137">
        <f t="shared" si="76"/>
        <v>141232.69340000002</v>
      </c>
      <c r="V405" s="137">
        <v>609700</v>
      </c>
      <c r="W405" s="137">
        <f t="shared" si="77"/>
        <v>-468467.30660000001</v>
      </c>
      <c r="X405" s="137">
        <f t="shared" si="73"/>
        <v>-441950.289245283</v>
      </c>
      <c r="Y405" s="137">
        <f t="shared" si="78"/>
        <v>-26517.017354717012</v>
      </c>
      <c r="Z405" s="137">
        <v>200738.39</v>
      </c>
      <c r="AA405" s="137">
        <f t="shared" si="74"/>
        <v>411661.61</v>
      </c>
      <c r="AB405" s="146">
        <f>IF(O405="返货",(Z405-Q405)/(1+N405),IF(O405="返现",(Z405-Q405),IF(O405="折扣",(Z405-Q405)*N405,IF(O405="无",(Z405-Q405)))))</f>
        <v>186828.66981132075</v>
      </c>
      <c r="AC405" s="147">
        <f t="shared" si="75"/>
        <v>13909.720188679261</v>
      </c>
      <c r="AD405" s="137">
        <f t="shared" si="79"/>
        <v>196779.29720941893</v>
      </c>
      <c r="AE405" s="138">
        <v>0.1077</v>
      </c>
      <c r="AF405" s="137">
        <f t="shared" si="70"/>
        <v>21193.13030945442</v>
      </c>
      <c r="AG405" s="137">
        <v>10256.974225641499</v>
      </c>
      <c r="AH405" s="154"/>
      <c r="AI405" s="154"/>
      <c r="AJ405" s="135" t="s">
        <v>193</v>
      </c>
      <c r="AK405" s="119" t="s">
        <v>193</v>
      </c>
      <c r="AL405" s="119" t="s">
        <v>589</v>
      </c>
      <c r="AM405" s="131"/>
    </row>
    <row r="406" spans="1:39" s="119" customFormat="1" ht="15" customHeight="1" x14ac:dyDescent="0.3">
      <c r="A406" s="119">
        <v>2017</v>
      </c>
      <c r="B406" s="119" t="s">
        <v>199</v>
      </c>
      <c r="C406" s="119" t="s">
        <v>137</v>
      </c>
      <c r="D406" s="119" t="s">
        <v>270</v>
      </c>
      <c r="E406" s="119" t="s">
        <v>270</v>
      </c>
      <c r="F406" s="119" t="s">
        <v>590</v>
      </c>
      <c r="G406" s="119" t="s">
        <v>591</v>
      </c>
      <c r="H406" s="119" t="s">
        <v>591</v>
      </c>
      <c r="I406" s="163" t="s">
        <v>204</v>
      </c>
      <c r="J406" s="119" t="s">
        <v>575</v>
      </c>
      <c r="K406" s="119" t="s">
        <v>576</v>
      </c>
      <c r="L406" s="119" t="s">
        <v>590</v>
      </c>
      <c r="M406" s="119" t="s">
        <v>46</v>
      </c>
      <c r="N406" s="136">
        <v>0.02</v>
      </c>
      <c r="O406" s="135" t="s">
        <v>51</v>
      </c>
      <c r="P406" s="135"/>
      <c r="Q406" s="137">
        <v>0</v>
      </c>
      <c r="R406" s="137">
        <v>0</v>
      </c>
      <c r="S406" s="137">
        <v>65844.83</v>
      </c>
      <c r="T406" s="137">
        <f t="shared" si="72"/>
        <v>1316.8966</v>
      </c>
      <c r="U406" s="137">
        <f t="shared" si="76"/>
        <v>67161.726599999995</v>
      </c>
      <c r="V406" s="137">
        <v>80000</v>
      </c>
      <c r="W406" s="137">
        <f t="shared" si="77"/>
        <v>-12838.273400000005</v>
      </c>
      <c r="X406" s="137">
        <f t="shared" si="73"/>
        <v>-12586.542549019612</v>
      </c>
      <c r="Y406" s="137">
        <f t="shared" si="78"/>
        <v>-251.73085098039337</v>
      </c>
      <c r="Z406" s="137">
        <v>65844.83</v>
      </c>
      <c r="AA406" s="137">
        <f t="shared" si="74"/>
        <v>14155.169999999998</v>
      </c>
      <c r="AB406" s="146">
        <f>IF(O406="返货",Z406/(1+N406),IF(O406="返现",Z406,IF(O406="折扣",Z406*N406,IF(O406="无",Z406))))</f>
        <v>64553.754901960783</v>
      </c>
      <c r="AC406" s="147">
        <f t="shared" si="75"/>
        <v>1291.0750980392186</v>
      </c>
      <c r="AD406" s="137">
        <f t="shared" si="79"/>
        <v>64546.195534763749</v>
      </c>
      <c r="AE406" s="138">
        <v>0.1077</v>
      </c>
      <c r="AF406" s="137">
        <f t="shared" si="70"/>
        <v>6951.6252590940558</v>
      </c>
      <c r="AG406" s="137">
        <v>5800.41309296078</v>
      </c>
      <c r="AH406" s="154"/>
      <c r="AI406" s="154"/>
      <c r="AJ406" s="135" t="s">
        <v>173</v>
      </c>
      <c r="AK406" s="119" t="s">
        <v>173</v>
      </c>
      <c r="AM406" s="131"/>
    </row>
    <row r="407" spans="1:39" s="119" customFormat="1" ht="15" customHeight="1" x14ac:dyDescent="0.3">
      <c r="A407" s="119">
        <v>2017</v>
      </c>
      <c r="B407" s="119" t="s">
        <v>38</v>
      </c>
      <c r="C407" s="119" t="s">
        <v>88</v>
      </c>
      <c r="D407" s="119" t="s">
        <v>128</v>
      </c>
      <c r="E407" s="119" t="s">
        <v>96</v>
      </c>
      <c r="F407" s="119" t="s">
        <v>592</v>
      </c>
      <c r="G407" s="119" t="s">
        <v>592</v>
      </c>
      <c r="H407" s="119" t="s">
        <v>592</v>
      </c>
      <c r="I407" s="163" t="s">
        <v>204</v>
      </c>
      <c r="J407" s="119" t="s">
        <v>575</v>
      </c>
      <c r="K407" s="119" t="s">
        <v>576</v>
      </c>
      <c r="L407" s="119" t="s">
        <v>592</v>
      </c>
      <c r="M407" s="119" t="s">
        <v>46</v>
      </c>
      <c r="N407" s="136">
        <v>0.02</v>
      </c>
      <c r="O407" s="135" t="s">
        <v>51</v>
      </c>
      <c r="P407" s="135"/>
      <c r="Q407" s="137">
        <v>0</v>
      </c>
      <c r="R407" s="137">
        <v>0</v>
      </c>
      <c r="S407" s="137">
        <v>239780.51</v>
      </c>
      <c r="T407" s="137">
        <f t="shared" si="72"/>
        <v>4795.6102000000001</v>
      </c>
      <c r="U407" s="137">
        <f t="shared" si="76"/>
        <v>244576.1202</v>
      </c>
      <c r="V407" s="137">
        <v>255000</v>
      </c>
      <c r="W407" s="137">
        <f t="shared" si="77"/>
        <v>-10423.879799999995</v>
      </c>
      <c r="X407" s="137">
        <f t="shared" si="73"/>
        <v>-10219.489999999994</v>
      </c>
      <c r="Y407" s="137">
        <f t="shared" si="78"/>
        <v>-204.38980000000083</v>
      </c>
      <c r="Z407" s="137">
        <v>244576.12</v>
      </c>
      <c r="AA407" s="137">
        <f t="shared" si="74"/>
        <v>10423.880000000005</v>
      </c>
      <c r="AB407" s="146">
        <f>IF(O407="返货",Z407/(1+N407),IF(O407="返现",Z407,IF(O407="折扣",Z407*N407,IF(O407="无",Z407))))</f>
        <v>239780.50980392157</v>
      </c>
      <c r="AC407" s="147">
        <f t="shared" si="75"/>
        <v>4795.610196078429</v>
      </c>
      <c r="AD407" s="137">
        <f t="shared" si="79"/>
        <v>239752.431051213</v>
      </c>
      <c r="AE407" s="138">
        <v>0.1077</v>
      </c>
      <c r="AF407" s="137">
        <f t="shared" si="70"/>
        <v>25821.336824215643</v>
      </c>
      <c r="AG407" s="137">
        <v>21545.2379279216</v>
      </c>
      <c r="AH407" s="154"/>
      <c r="AI407" s="154"/>
      <c r="AJ407" s="135" t="s">
        <v>173</v>
      </c>
      <c r="AK407" s="156">
        <v>0.02</v>
      </c>
      <c r="AM407" s="131"/>
    </row>
    <row r="408" spans="1:39" s="119" customFormat="1" ht="15" customHeight="1" x14ac:dyDescent="0.3">
      <c r="A408" s="119">
        <v>2017</v>
      </c>
      <c r="B408" s="119" t="s">
        <v>38</v>
      </c>
      <c r="C408" s="119" t="s">
        <v>88</v>
      </c>
      <c r="D408" s="119" t="s">
        <v>128</v>
      </c>
      <c r="E408" s="119" t="s">
        <v>98</v>
      </c>
      <c r="F408" s="119" t="s">
        <v>593</v>
      </c>
      <c r="G408" s="119" t="s">
        <v>593</v>
      </c>
      <c r="H408" s="119" t="s">
        <v>593</v>
      </c>
      <c r="I408" s="163" t="s">
        <v>204</v>
      </c>
      <c r="J408" s="119" t="s">
        <v>575</v>
      </c>
      <c r="K408" s="119" t="s">
        <v>576</v>
      </c>
      <c r="L408" s="119" t="s">
        <v>594</v>
      </c>
      <c r="M408" s="119" t="s">
        <v>46</v>
      </c>
      <c r="N408" s="136">
        <v>0.04</v>
      </c>
      <c r="O408" s="135" t="s">
        <v>51</v>
      </c>
      <c r="P408" s="135"/>
      <c r="Q408" s="137">
        <v>0</v>
      </c>
      <c r="R408" s="137">
        <v>0</v>
      </c>
      <c r="S408" s="137">
        <v>326442.31</v>
      </c>
      <c r="T408" s="137">
        <f t="shared" si="72"/>
        <v>13057.6924</v>
      </c>
      <c r="U408" s="137">
        <f t="shared" si="76"/>
        <v>339500.0024</v>
      </c>
      <c r="V408" s="137">
        <v>364000</v>
      </c>
      <c r="W408" s="137">
        <f t="shared" si="77"/>
        <v>-24499.997600000002</v>
      </c>
      <c r="X408" s="137">
        <f t="shared" si="73"/>
        <v>-23557.690000000002</v>
      </c>
      <c r="Y408" s="137">
        <f t="shared" si="78"/>
        <v>-942.30760000000009</v>
      </c>
      <c r="Z408" s="137">
        <v>339500</v>
      </c>
      <c r="AA408" s="137">
        <f t="shared" si="74"/>
        <v>24500</v>
      </c>
      <c r="AB408" s="146">
        <f>IF(O408="返货",Z408/(1+N408),IF(O408="返现",Z408,IF(O408="折扣",Z408*N408,IF(O408="无",Z408))))</f>
        <v>326442.30769230769</v>
      </c>
      <c r="AC408" s="147">
        <f t="shared" si="75"/>
        <v>13057.692307692312</v>
      </c>
      <c r="AD408" s="137">
        <f t="shared" si="79"/>
        <v>332804.16069192206</v>
      </c>
      <c r="AE408" s="138">
        <v>0.1077</v>
      </c>
      <c r="AF408" s="137">
        <f t="shared" si="70"/>
        <v>35843.008106520007</v>
      </c>
      <c r="AG408" s="137">
        <v>23506.4576923077</v>
      </c>
      <c r="AH408" s="154"/>
      <c r="AI408" s="154"/>
      <c r="AJ408" s="135" t="s">
        <v>186</v>
      </c>
      <c r="AK408" s="119" t="s">
        <v>186</v>
      </c>
      <c r="AM408" s="131"/>
    </row>
    <row r="409" spans="1:39" s="119" customFormat="1" ht="15" customHeight="1" x14ac:dyDescent="0.3">
      <c r="A409" s="119">
        <v>2017</v>
      </c>
      <c r="B409" s="119" t="s">
        <v>38</v>
      </c>
      <c r="C409" s="119" t="s">
        <v>88</v>
      </c>
      <c r="D409" s="119" t="s">
        <v>128</v>
      </c>
      <c r="E409" s="119" t="s">
        <v>124</v>
      </c>
      <c r="F409" s="119" t="s">
        <v>169</v>
      </c>
      <c r="G409" s="119" t="s">
        <v>169</v>
      </c>
      <c r="H409" s="119" t="s">
        <v>169</v>
      </c>
      <c r="I409" s="163" t="s">
        <v>204</v>
      </c>
      <c r="J409" s="119" t="s">
        <v>575</v>
      </c>
      <c r="K409" s="119" t="s">
        <v>576</v>
      </c>
      <c r="L409" s="119" t="s">
        <v>169</v>
      </c>
      <c r="M409" s="119" t="s">
        <v>46</v>
      </c>
      <c r="N409" s="136">
        <v>0.02</v>
      </c>
      <c r="O409" s="135" t="s">
        <v>51</v>
      </c>
      <c r="P409" s="135"/>
      <c r="Q409" s="137">
        <v>652500.8469</v>
      </c>
      <c r="R409" s="137">
        <v>0</v>
      </c>
      <c r="S409" s="137">
        <v>16177470.59</v>
      </c>
      <c r="T409" s="137">
        <f t="shared" si="72"/>
        <v>323549.4118</v>
      </c>
      <c r="U409" s="137">
        <f t="shared" si="76"/>
        <v>16501020.001800001</v>
      </c>
      <c r="V409" s="137">
        <v>17760200</v>
      </c>
      <c r="W409" s="137">
        <f t="shared" si="77"/>
        <v>-1259179.9981999993</v>
      </c>
      <c r="X409" s="137">
        <f t="shared" si="73"/>
        <v>-1234490.1943137248</v>
      </c>
      <c r="Y409" s="137">
        <f t="shared" si="78"/>
        <v>-24689.803886274574</v>
      </c>
      <c r="Z409" s="137">
        <v>18177686.649999999</v>
      </c>
      <c r="AA409" s="137">
        <f t="shared" si="74"/>
        <v>235014.19690000266</v>
      </c>
      <c r="AB409" s="146">
        <f>IF(O409="返货",(Z409-Q409)/(1+N409),IF(O409="返现",(Z409-Q409),IF(O409="折扣",(Z409-Q409)*N409,IF(O409="无",(Z409-Q409)))))</f>
        <v>17181554.708921567</v>
      </c>
      <c r="AC409" s="147">
        <f t="shared" si="75"/>
        <v>996131.9410784319</v>
      </c>
      <c r="AD409" s="137">
        <f t="shared" si="79"/>
        <v>17819174.51803831</v>
      </c>
      <c r="AE409" s="138">
        <v>0.1077</v>
      </c>
      <c r="AF409" s="137">
        <f t="shared" si="70"/>
        <v>1919125.095592726</v>
      </c>
      <c r="AG409" s="137">
        <v>1601311.62377363</v>
      </c>
      <c r="AH409" s="154"/>
      <c r="AI409" s="154"/>
      <c r="AJ409" s="135" t="s">
        <v>173</v>
      </c>
      <c r="AK409" s="119" t="s">
        <v>173</v>
      </c>
      <c r="AM409" s="131"/>
    </row>
    <row r="410" spans="1:39" s="119" customFormat="1" ht="15" customHeight="1" x14ac:dyDescent="0.3">
      <c r="A410" s="119">
        <v>2017</v>
      </c>
      <c r="B410" s="119" t="s">
        <v>38</v>
      </c>
      <c r="C410" s="119" t="s">
        <v>88</v>
      </c>
      <c r="D410" s="119" t="s">
        <v>128</v>
      </c>
      <c r="E410" s="119" t="s">
        <v>124</v>
      </c>
      <c r="F410" s="119" t="s">
        <v>169</v>
      </c>
      <c r="G410" s="119" t="s">
        <v>169</v>
      </c>
      <c r="H410" s="119" t="s">
        <v>169</v>
      </c>
      <c r="I410" s="163" t="s">
        <v>204</v>
      </c>
      <c r="J410" s="119" t="s">
        <v>575</v>
      </c>
      <c r="K410" s="119" t="s">
        <v>576</v>
      </c>
      <c r="L410" s="119" t="s">
        <v>169</v>
      </c>
      <c r="M410" s="119" t="s">
        <v>185</v>
      </c>
      <c r="N410" s="136">
        <v>0.08</v>
      </c>
      <c r="O410" s="135" t="s">
        <v>51</v>
      </c>
      <c r="P410" s="135"/>
      <c r="Q410" s="137">
        <v>207908.42</v>
      </c>
      <c r="R410" s="137">
        <v>0</v>
      </c>
      <c r="S410" s="137">
        <v>22529.41</v>
      </c>
      <c r="T410" s="137">
        <f t="shared" si="72"/>
        <v>1802.3528000000001</v>
      </c>
      <c r="U410" s="137">
        <f t="shared" si="76"/>
        <v>24331.7628</v>
      </c>
      <c r="V410" s="137">
        <v>0</v>
      </c>
      <c r="W410" s="137">
        <f t="shared" si="77"/>
        <v>24331.7628</v>
      </c>
      <c r="X410" s="137">
        <f t="shared" si="73"/>
        <v>22529.41</v>
      </c>
      <c r="Y410" s="137">
        <f t="shared" si="78"/>
        <v>1802.3528000000006</v>
      </c>
      <c r="Z410" s="137">
        <v>30888.42</v>
      </c>
      <c r="AA410" s="137">
        <f t="shared" si="74"/>
        <v>177020</v>
      </c>
      <c r="AB410" s="146">
        <f>IF(O410="返货",(Z410-Q410)/(1+N410),IF(O410="返现",(Z410-Q410),IF(O410="折扣",(Z410-Q410)*N410,IF(O410="无",(Z410-Q410)))))</f>
        <v>-163907.40740740739</v>
      </c>
      <c r="AC410" s="147">
        <f t="shared" si="75"/>
        <v>194795.8274074074</v>
      </c>
      <c r="AD410" s="137">
        <f t="shared" si="79"/>
        <v>30279.218536670338</v>
      </c>
      <c r="AE410" s="138">
        <v>0.31559999999999999</v>
      </c>
      <c r="AF410" s="137">
        <f t="shared" si="70"/>
        <v>9556.1213701731576</v>
      </c>
      <c r="AG410" s="137">
        <v>7460.3542408888898</v>
      </c>
      <c r="AH410" s="154"/>
      <c r="AI410" s="154"/>
      <c r="AJ410" s="135" t="s">
        <v>53</v>
      </c>
      <c r="AK410" s="119" t="s">
        <v>53</v>
      </c>
      <c r="AM410" s="131"/>
    </row>
    <row r="411" spans="1:39" s="119" customFormat="1" ht="15" customHeight="1" x14ac:dyDescent="0.3">
      <c r="A411" s="119">
        <v>2017</v>
      </c>
      <c r="B411" s="119" t="s">
        <v>38</v>
      </c>
      <c r="C411" s="119" t="s">
        <v>88</v>
      </c>
      <c r="D411" s="119" t="s">
        <v>128</v>
      </c>
      <c r="E411" s="119" t="s">
        <v>124</v>
      </c>
      <c r="F411" s="119" t="s">
        <v>169</v>
      </c>
      <c r="G411" s="119" t="s">
        <v>169</v>
      </c>
      <c r="H411" s="119" t="s">
        <v>169</v>
      </c>
      <c r="I411" s="163" t="s">
        <v>204</v>
      </c>
      <c r="J411" s="119" t="s">
        <v>575</v>
      </c>
      <c r="K411" s="119" t="s">
        <v>576</v>
      </c>
      <c r="L411" s="119" t="s">
        <v>169</v>
      </c>
      <c r="M411" s="119" t="s">
        <v>595</v>
      </c>
      <c r="N411" s="135">
        <v>0</v>
      </c>
      <c r="O411" s="135" t="s">
        <v>47</v>
      </c>
      <c r="P411" s="135"/>
      <c r="Q411" s="137">
        <v>0</v>
      </c>
      <c r="R411" s="137">
        <v>0</v>
      </c>
      <c r="S411" s="137">
        <v>1750</v>
      </c>
      <c r="T411" s="137">
        <f t="shared" si="72"/>
        <v>0</v>
      </c>
      <c r="U411" s="137">
        <f t="shared" si="76"/>
        <v>1750</v>
      </c>
      <c r="V411" s="137">
        <v>1750</v>
      </c>
      <c r="W411" s="137">
        <f t="shared" si="77"/>
        <v>0</v>
      </c>
      <c r="X411" s="137">
        <f t="shared" si="73"/>
        <v>0</v>
      </c>
      <c r="Y411" s="137">
        <f t="shared" si="78"/>
        <v>0</v>
      </c>
      <c r="Z411" s="137">
        <v>1750</v>
      </c>
      <c r="AA411" s="137">
        <f t="shared" si="74"/>
        <v>0</v>
      </c>
      <c r="AB411" s="146">
        <f>IF(O411="返货",Z411/(1+N411),IF(O411="返现",Z411,IF(O411="折扣",Z411*N411,IF(O411="无",Z411))))</f>
        <v>1750</v>
      </c>
      <c r="AC411" s="147">
        <f t="shared" si="75"/>
        <v>0</v>
      </c>
      <c r="AD411" s="137">
        <f t="shared" si="79"/>
        <v>1715.4853643913509</v>
      </c>
      <c r="AE411" s="138">
        <v>0.35339999999999999</v>
      </c>
      <c r="AF411" s="137">
        <f t="shared" si="70"/>
        <v>606.25252777590345</v>
      </c>
      <c r="AG411" s="137">
        <v>618.45000000000005</v>
      </c>
      <c r="AH411" s="154"/>
      <c r="AI411" s="154"/>
      <c r="AJ411" s="135" t="s">
        <v>47</v>
      </c>
      <c r="AK411" s="119" t="s">
        <v>47</v>
      </c>
      <c r="AM411" s="131"/>
    </row>
    <row r="412" spans="1:39" s="119" customFormat="1" ht="15" customHeight="1" x14ac:dyDescent="0.3">
      <c r="A412" s="119">
        <v>2017</v>
      </c>
      <c r="B412" s="119" t="s">
        <v>38</v>
      </c>
      <c r="C412" s="119" t="s">
        <v>88</v>
      </c>
      <c r="D412" s="119" t="s">
        <v>128</v>
      </c>
      <c r="E412" s="119" t="s">
        <v>277</v>
      </c>
      <c r="F412" s="119" t="s">
        <v>596</v>
      </c>
      <c r="G412" s="119" t="s">
        <v>596</v>
      </c>
      <c r="H412" s="119" t="s">
        <v>596</v>
      </c>
      <c r="I412" s="163" t="s">
        <v>204</v>
      </c>
      <c r="J412" s="119" t="s">
        <v>575</v>
      </c>
      <c r="K412" s="119" t="s">
        <v>576</v>
      </c>
      <c r="L412" s="119" t="s">
        <v>597</v>
      </c>
      <c r="M412" s="119" t="s">
        <v>46</v>
      </c>
      <c r="N412" s="136">
        <v>0.02</v>
      </c>
      <c r="O412" s="135" t="s">
        <v>51</v>
      </c>
      <c r="P412" s="135"/>
      <c r="Q412" s="137">
        <v>0</v>
      </c>
      <c r="R412" s="137">
        <v>0</v>
      </c>
      <c r="S412" s="137">
        <v>58827</v>
      </c>
      <c r="T412" s="137">
        <f t="shared" si="72"/>
        <v>1176.54</v>
      </c>
      <c r="U412" s="137">
        <f t="shared" si="76"/>
        <v>60003.54</v>
      </c>
      <c r="V412" s="137">
        <v>61200</v>
      </c>
      <c r="W412" s="137">
        <f t="shared" si="77"/>
        <v>-1196.4599999999991</v>
      </c>
      <c r="X412" s="137">
        <f t="shared" si="73"/>
        <v>-1172.9999999999991</v>
      </c>
      <c r="Y412" s="137">
        <f t="shared" si="78"/>
        <v>-23.460000000000036</v>
      </c>
      <c r="Z412" s="137">
        <v>65163.5</v>
      </c>
      <c r="AA412" s="137">
        <f t="shared" si="74"/>
        <v>-3963.5</v>
      </c>
      <c r="AB412" s="146">
        <f>IF(O412="返货",Z412/(1+N412),IF(O412="返现",Z412,IF(O412="折扣",Z412*N412,IF(O412="无",Z412))))</f>
        <v>63885.784313725489</v>
      </c>
      <c r="AC412" s="147">
        <f t="shared" si="75"/>
        <v>1277.7156862745105</v>
      </c>
      <c r="AD412" s="137">
        <f t="shared" si="79"/>
        <v>63878.303167151884</v>
      </c>
      <c r="AE412" s="138">
        <v>0.1077</v>
      </c>
      <c r="AF412" s="137">
        <f t="shared" si="70"/>
        <v>6879.6932511022578</v>
      </c>
      <c r="AG412" s="137">
        <v>5313.5243137254902</v>
      </c>
      <c r="AH412" s="154"/>
      <c r="AI412" s="154"/>
      <c r="AJ412" s="136">
        <v>0.02</v>
      </c>
      <c r="AK412" s="156">
        <v>0.02</v>
      </c>
      <c r="AM412" s="131"/>
    </row>
    <row r="413" spans="1:39" s="119" customFormat="1" ht="15" customHeight="1" x14ac:dyDescent="0.3">
      <c r="A413" s="119">
        <v>2017</v>
      </c>
      <c r="B413" s="119" t="s">
        <v>38</v>
      </c>
      <c r="C413" s="119" t="s">
        <v>88</v>
      </c>
      <c r="D413" s="119" t="s">
        <v>128</v>
      </c>
      <c r="E413" s="119" t="s">
        <v>277</v>
      </c>
      <c r="F413" s="119" t="s">
        <v>598</v>
      </c>
      <c r="G413" s="119" t="s">
        <v>598</v>
      </c>
      <c r="H413" s="119" t="s">
        <v>598</v>
      </c>
      <c r="I413" s="163" t="s">
        <v>204</v>
      </c>
      <c r="J413" s="119" t="s">
        <v>575</v>
      </c>
      <c r="K413" s="119" t="s">
        <v>576</v>
      </c>
      <c r="L413" s="119" t="s">
        <v>405</v>
      </c>
      <c r="M413" s="119" t="s">
        <v>46</v>
      </c>
      <c r="N413" s="136">
        <v>0.04</v>
      </c>
      <c r="O413" s="135" t="s">
        <v>51</v>
      </c>
      <c r="P413" s="135"/>
      <c r="Q413" s="137">
        <v>0</v>
      </c>
      <c r="R413" s="137">
        <v>0</v>
      </c>
      <c r="S413" s="137">
        <v>9616</v>
      </c>
      <c r="T413" s="137">
        <f t="shared" si="72"/>
        <v>384.64</v>
      </c>
      <c r="U413" s="137">
        <f t="shared" si="76"/>
        <v>10000.64</v>
      </c>
      <c r="V413" s="137">
        <v>10000</v>
      </c>
      <c r="W413" s="137">
        <f t="shared" si="77"/>
        <v>0.63999999999941792</v>
      </c>
      <c r="X413" s="137">
        <f t="shared" si="73"/>
        <v>0.61538461538405564</v>
      </c>
      <c r="Y413" s="137">
        <f t="shared" si="78"/>
        <v>2.4615384615362279E-2</v>
      </c>
      <c r="Z413" s="137">
        <v>10000</v>
      </c>
      <c r="AA413" s="137">
        <f t="shared" si="74"/>
        <v>0</v>
      </c>
      <c r="AB413" s="146">
        <f>IF(O413="返货",Z413/(1+N413),IF(O413="返现",Z413,IF(O413="折扣",Z413*N413,IF(O413="无",Z413))))</f>
        <v>9615.3846153846152</v>
      </c>
      <c r="AC413" s="147">
        <f t="shared" si="75"/>
        <v>384.61538461538476</v>
      </c>
      <c r="AD413" s="137">
        <f t="shared" si="79"/>
        <v>9802.7735108077195</v>
      </c>
      <c r="AE413" s="138">
        <v>0.1077</v>
      </c>
      <c r="AF413" s="137">
        <f t="shared" si="70"/>
        <v>1055.7587071139915</v>
      </c>
      <c r="AG413" s="137">
        <v>692.38461538461502</v>
      </c>
      <c r="AH413" s="154"/>
      <c r="AI413" s="154"/>
      <c r="AJ413" s="136">
        <v>0.04</v>
      </c>
      <c r="AK413" s="156">
        <v>0.04</v>
      </c>
      <c r="AM413" s="131"/>
    </row>
    <row r="414" spans="1:39" s="119" customFormat="1" ht="15" customHeight="1" x14ac:dyDescent="0.3">
      <c r="A414" s="119">
        <v>2017</v>
      </c>
      <c r="B414" s="119" t="s">
        <v>38</v>
      </c>
      <c r="C414" s="119" t="s">
        <v>88</v>
      </c>
      <c r="D414" s="119" t="s">
        <v>128</v>
      </c>
      <c r="E414" s="119" t="s">
        <v>277</v>
      </c>
      <c r="F414" s="119" t="s">
        <v>511</v>
      </c>
      <c r="G414" s="119" t="s">
        <v>511</v>
      </c>
      <c r="H414" s="119" t="s">
        <v>511</v>
      </c>
      <c r="I414" s="163" t="s">
        <v>204</v>
      </c>
      <c r="J414" s="119" t="s">
        <v>575</v>
      </c>
      <c r="K414" s="119" t="s">
        <v>576</v>
      </c>
      <c r="L414" s="119" t="s">
        <v>511</v>
      </c>
      <c r="M414" s="119" t="s">
        <v>46</v>
      </c>
      <c r="N414" s="136">
        <v>0.02</v>
      </c>
      <c r="O414" s="135" t="s">
        <v>51</v>
      </c>
      <c r="P414" s="135"/>
      <c r="Q414" s="137">
        <v>41711.17</v>
      </c>
      <c r="R414" s="137">
        <v>0</v>
      </c>
      <c r="S414" s="137">
        <v>175714.21</v>
      </c>
      <c r="T414" s="137">
        <f t="shared" si="72"/>
        <v>3514.2842000000001</v>
      </c>
      <c r="U414" s="137">
        <f t="shared" si="76"/>
        <v>179228.49419999999</v>
      </c>
      <c r="V414" s="137">
        <v>192520</v>
      </c>
      <c r="W414" s="137">
        <f t="shared" si="77"/>
        <v>-13291.505800000014</v>
      </c>
      <c r="X414" s="137">
        <f t="shared" si="73"/>
        <v>-13030.888039215699</v>
      </c>
      <c r="Y414" s="137">
        <f t="shared" si="78"/>
        <v>-260.61776078431467</v>
      </c>
      <c r="Z414" s="137">
        <v>220939.66</v>
      </c>
      <c r="AA414" s="137">
        <f t="shared" si="74"/>
        <v>13291.50999999998</v>
      </c>
      <c r="AB414" s="146">
        <f>IF(O414="返货",(Z414-Q414)/(1+N414),IF(O414="返现",(Z414-Q414),IF(O414="折扣",(Z414-Q414)*N414,IF(O414="无",(Z414-Q414)))))</f>
        <v>175714.20588235292</v>
      </c>
      <c r="AC414" s="147">
        <f t="shared" si="75"/>
        <v>45225.454117647081</v>
      </c>
      <c r="AD414" s="137">
        <f t="shared" si="79"/>
        <v>216582.14465348641</v>
      </c>
      <c r="AE414" s="138">
        <v>0.1077</v>
      </c>
      <c r="AF414" s="137">
        <f t="shared" si="70"/>
        <v>23325.896979180488</v>
      </c>
      <c r="AG414" s="137">
        <v>19463.051185921599</v>
      </c>
      <c r="AH414" s="154"/>
      <c r="AI414" s="154"/>
      <c r="AJ414" s="135" t="s">
        <v>173</v>
      </c>
      <c r="AK414" s="119" t="s">
        <v>173</v>
      </c>
      <c r="AM414" s="131"/>
    </row>
    <row r="415" spans="1:39" s="119" customFormat="1" ht="15" customHeight="1" x14ac:dyDescent="0.3">
      <c r="A415" s="119">
        <v>2017</v>
      </c>
      <c r="B415" s="119" t="s">
        <v>38</v>
      </c>
      <c r="C415" s="119" t="s">
        <v>88</v>
      </c>
      <c r="D415" s="119" t="s">
        <v>128</v>
      </c>
      <c r="E415" s="119" t="s">
        <v>277</v>
      </c>
      <c r="F415" s="119" t="s">
        <v>599</v>
      </c>
      <c r="G415" s="119" t="s">
        <v>599</v>
      </c>
      <c r="H415" s="119" t="s">
        <v>599</v>
      </c>
      <c r="I415" s="163" t="s">
        <v>204</v>
      </c>
      <c r="J415" s="119" t="s">
        <v>575</v>
      </c>
      <c r="K415" s="119" t="s">
        <v>576</v>
      </c>
      <c r="L415" s="119" t="s">
        <v>599</v>
      </c>
      <c r="M415" s="119" t="s">
        <v>46</v>
      </c>
      <c r="N415" s="136">
        <v>0.02</v>
      </c>
      <c r="O415" s="135" t="s">
        <v>51</v>
      </c>
      <c r="P415" s="135"/>
      <c r="Q415" s="137">
        <v>0</v>
      </c>
      <c r="R415" s="137">
        <v>0</v>
      </c>
      <c r="S415" s="137">
        <v>19619.61</v>
      </c>
      <c r="T415" s="137">
        <f t="shared" si="72"/>
        <v>392.3922</v>
      </c>
      <c r="U415" s="137">
        <f t="shared" si="76"/>
        <v>20012.002199999999</v>
      </c>
      <c r="V415" s="137">
        <v>20400</v>
      </c>
      <c r="W415" s="137">
        <f t="shared" si="77"/>
        <v>-387.99780000000101</v>
      </c>
      <c r="X415" s="137">
        <f t="shared" si="73"/>
        <v>-380.39000000000095</v>
      </c>
      <c r="Y415" s="137">
        <f t="shared" si="78"/>
        <v>-7.6078000000000543</v>
      </c>
      <c r="Z415" s="137">
        <v>20012</v>
      </c>
      <c r="AA415" s="137">
        <f t="shared" si="74"/>
        <v>388</v>
      </c>
      <c r="AB415" s="146">
        <f>IF(O415="返货",Z415/(1+N415),IF(O415="返现",Z415,IF(O415="折扣",Z415*N415,IF(O415="无",Z415))))</f>
        <v>19619.607843137255</v>
      </c>
      <c r="AC415" s="147">
        <f t="shared" si="75"/>
        <v>392.39215686274474</v>
      </c>
      <c r="AD415" s="137">
        <f t="shared" si="79"/>
        <v>19617.310349828407</v>
      </c>
      <c r="AE415" s="138">
        <v>0.1077</v>
      </c>
      <c r="AF415" s="137">
        <f t="shared" si="70"/>
        <v>2112.7843246765196</v>
      </c>
      <c r="AG415" s="137">
        <v>1762.9002431372601</v>
      </c>
      <c r="AH415" s="154"/>
      <c r="AI415" s="154"/>
      <c r="AJ415" s="135" t="s">
        <v>173</v>
      </c>
      <c r="AK415" s="156">
        <v>0.02</v>
      </c>
      <c r="AM415" s="131"/>
    </row>
    <row r="416" spans="1:39" s="119" customFormat="1" ht="15" customHeight="1" x14ac:dyDescent="0.3">
      <c r="A416" s="119">
        <v>2017</v>
      </c>
      <c r="B416" s="119" t="s">
        <v>38</v>
      </c>
      <c r="C416" s="119" t="s">
        <v>88</v>
      </c>
      <c r="D416" s="119" t="s">
        <v>128</v>
      </c>
      <c r="E416" s="119" t="s">
        <v>277</v>
      </c>
      <c r="F416" s="119" t="s">
        <v>600</v>
      </c>
      <c r="G416" s="119" t="s">
        <v>600</v>
      </c>
      <c r="H416" s="119" t="s">
        <v>600</v>
      </c>
      <c r="I416" s="163" t="s">
        <v>204</v>
      </c>
      <c r="J416" s="119" t="s">
        <v>575</v>
      </c>
      <c r="K416" s="119" t="s">
        <v>576</v>
      </c>
      <c r="L416" s="119" t="s">
        <v>600</v>
      </c>
      <c r="M416" s="119" t="s">
        <v>46</v>
      </c>
      <c r="N416" s="136">
        <v>0.02</v>
      </c>
      <c r="O416" s="135" t="s">
        <v>51</v>
      </c>
      <c r="P416" s="135"/>
      <c r="Q416" s="137">
        <v>0</v>
      </c>
      <c r="R416" s="137">
        <v>0</v>
      </c>
      <c r="S416" s="137">
        <v>47647.06</v>
      </c>
      <c r="T416" s="137">
        <f t="shared" si="72"/>
        <v>952.94119999999998</v>
      </c>
      <c r="U416" s="137">
        <f t="shared" si="76"/>
        <v>48600.001199999999</v>
      </c>
      <c r="V416" s="137">
        <v>51000</v>
      </c>
      <c r="W416" s="137">
        <f t="shared" si="77"/>
        <v>-2399.9988000000012</v>
      </c>
      <c r="X416" s="137">
        <f t="shared" si="73"/>
        <v>-2352.940000000001</v>
      </c>
      <c r="Y416" s="137">
        <f t="shared" si="78"/>
        <v>-47.058800000000247</v>
      </c>
      <c r="Z416" s="137">
        <v>48600</v>
      </c>
      <c r="AA416" s="137">
        <f t="shared" si="74"/>
        <v>2400</v>
      </c>
      <c r="AB416" s="146">
        <f>IF(O416="返货",Z416/(1+N416),IF(O416="返现",Z416,IF(O416="折扣",Z416*N416,IF(O416="无",Z416))))</f>
        <v>47647.058823529413</v>
      </c>
      <c r="AC416" s="147">
        <f t="shared" si="75"/>
        <v>952.94117647058738</v>
      </c>
      <c r="AD416" s="137">
        <f t="shared" si="79"/>
        <v>47641.479262525514</v>
      </c>
      <c r="AE416" s="138">
        <v>0.1077</v>
      </c>
      <c r="AF416" s="137">
        <f t="shared" si="70"/>
        <v>5130.9873165739982</v>
      </c>
      <c r="AG416" s="137">
        <v>4281.2788235294101</v>
      </c>
      <c r="AH416" s="154"/>
      <c r="AI416" s="154"/>
      <c r="AJ416" s="135" t="s">
        <v>173</v>
      </c>
      <c r="AK416" s="119" t="s">
        <v>173</v>
      </c>
      <c r="AM416" s="131"/>
    </row>
    <row r="417" spans="1:39" s="119" customFormat="1" ht="15" customHeight="1" x14ac:dyDescent="0.3">
      <c r="A417" s="119">
        <v>2017</v>
      </c>
      <c r="B417" s="119" t="s">
        <v>38</v>
      </c>
      <c r="C417" s="119" t="s">
        <v>88</v>
      </c>
      <c r="D417" s="119" t="s">
        <v>128</v>
      </c>
      <c r="E417" s="119" t="s">
        <v>194</v>
      </c>
      <c r="F417" s="119" t="s">
        <v>593</v>
      </c>
      <c r="G417" s="119" t="s">
        <v>593</v>
      </c>
      <c r="H417" s="119" t="s">
        <v>593</v>
      </c>
      <c r="I417" s="163" t="s">
        <v>204</v>
      </c>
      <c r="J417" s="119" t="s">
        <v>575</v>
      </c>
      <c r="K417" s="119" t="s">
        <v>576</v>
      </c>
      <c r="L417" s="119" t="s">
        <v>594</v>
      </c>
      <c r="M417" s="119" t="s">
        <v>185</v>
      </c>
      <c r="N417" s="136">
        <v>0.12</v>
      </c>
      <c r="O417" s="135" t="s">
        <v>51</v>
      </c>
      <c r="P417" s="135"/>
      <c r="Q417" s="137">
        <v>0</v>
      </c>
      <c r="R417" s="137">
        <v>0</v>
      </c>
      <c r="S417" s="137">
        <v>23557.69</v>
      </c>
      <c r="T417" s="137">
        <f t="shared" si="72"/>
        <v>2826.9227999999998</v>
      </c>
      <c r="U417" s="137">
        <f t="shared" si="76"/>
        <v>26384.612799999999</v>
      </c>
      <c r="V417" s="137">
        <v>0</v>
      </c>
      <c r="W417" s="137">
        <f t="shared" si="77"/>
        <v>26384.612799999999</v>
      </c>
      <c r="X417" s="137">
        <f t="shared" si="73"/>
        <v>23557.689999999995</v>
      </c>
      <c r="Y417" s="137">
        <f t="shared" si="78"/>
        <v>2826.9228000000039</v>
      </c>
      <c r="Z417" s="137">
        <v>24500</v>
      </c>
      <c r="AA417" s="137">
        <f t="shared" si="74"/>
        <v>-24500</v>
      </c>
      <c r="AB417" s="146">
        <f>IF(O417="返货",Z417/(1+N417),IF(O417="返现",Z417,IF(O417="折扣",Z417*N417,IF(O417="无",Z417))))</f>
        <v>21874.999999999996</v>
      </c>
      <c r="AC417" s="147">
        <f t="shared" si="75"/>
        <v>2625.0000000000036</v>
      </c>
      <c r="AD417" s="137">
        <f t="shared" si="79"/>
        <v>24016.795101478914</v>
      </c>
      <c r="AE417" s="138">
        <v>0.31559999999999999</v>
      </c>
      <c r="AF417" s="137">
        <f t="shared" si="70"/>
        <v>7579.7005340267451</v>
      </c>
      <c r="AG417" s="137">
        <v>5107.2</v>
      </c>
      <c r="AH417" s="154"/>
      <c r="AI417" s="154"/>
      <c r="AJ417" s="135" t="s">
        <v>117</v>
      </c>
      <c r="AK417" s="119" t="s">
        <v>117</v>
      </c>
      <c r="AM417" s="131"/>
    </row>
    <row r="418" spans="1:39" s="119" customFormat="1" ht="15" customHeight="1" x14ac:dyDescent="0.3">
      <c r="A418" s="119">
        <v>2017</v>
      </c>
      <c r="B418" s="119" t="s">
        <v>252</v>
      </c>
      <c r="C418" s="119" t="s">
        <v>88</v>
      </c>
      <c r="D418" s="119" t="s">
        <v>128</v>
      </c>
      <c r="E418" s="119" t="s">
        <v>194</v>
      </c>
      <c r="F418" s="119" t="s">
        <v>601</v>
      </c>
      <c r="G418" s="119" t="s">
        <v>602</v>
      </c>
      <c r="H418" s="119" t="s">
        <v>602</v>
      </c>
      <c r="I418" s="163" t="s">
        <v>204</v>
      </c>
      <c r="J418" s="119" t="s">
        <v>603</v>
      </c>
      <c r="K418" s="119" t="s">
        <v>604</v>
      </c>
      <c r="L418" s="119" t="s">
        <v>601</v>
      </c>
      <c r="M418" s="119" t="s">
        <v>46</v>
      </c>
      <c r="N418" s="135">
        <v>0</v>
      </c>
      <c r="O418" s="135" t="s">
        <v>47</v>
      </c>
      <c r="P418" s="135"/>
      <c r="Q418" s="137">
        <v>0</v>
      </c>
      <c r="R418" s="137">
        <v>0</v>
      </c>
      <c r="S418" s="137">
        <v>150000</v>
      </c>
      <c r="T418" s="137">
        <f t="shared" si="72"/>
        <v>0</v>
      </c>
      <c r="U418" s="137">
        <f t="shared" si="76"/>
        <v>150000</v>
      </c>
      <c r="V418" s="137">
        <v>150000</v>
      </c>
      <c r="W418" s="137">
        <f t="shared" si="77"/>
        <v>0</v>
      </c>
      <c r="X418" s="137">
        <f t="shared" si="73"/>
        <v>0</v>
      </c>
      <c r="Y418" s="137">
        <f t="shared" si="78"/>
        <v>0</v>
      </c>
      <c r="Z418" s="137">
        <v>264603.90000000002</v>
      </c>
      <c r="AA418" s="137">
        <f t="shared" si="74"/>
        <v>-114603.90000000002</v>
      </c>
      <c r="AB418" s="146">
        <f>IF(O418="返货",Z418/(1+N418),IF(O418="返现",Z418,IF(O418="折扣",Z418*N418,IF(O418="无",Z418))))</f>
        <v>264603.90000000002</v>
      </c>
      <c r="AC418" s="147">
        <f t="shared" si="75"/>
        <v>0</v>
      </c>
      <c r="AD418" s="137">
        <v>264603.90000000002</v>
      </c>
      <c r="AE418" s="138">
        <v>0</v>
      </c>
      <c r="AF418" s="137">
        <f t="shared" si="70"/>
        <v>0</v>
      </c>
      <c r="AG418" s="137">
        <v>265.61225490196</v>
      </c>
      <c r="AH418" s="154"/>
      <c r="AI418" s="154"/>
      <c r="AJ418" s="155">
        <v>0</v>
      </c>
      <c r="AK418" s="119">
        <v>0</v>
      </c>
      <c r="AL418" s="119" t="s">
        <v>605</v>
      </c>
      <c r="AM418" s="131"/>
    </row>
    <row r="419" spans="1:39" s="119" customFormat="1" ht="15" customHeight="1" x14ac:dyDescent="0.3">
      <c r="A419" s="119">
        <v>2017</v>
      </c>
      <c r="B419" s="119" t="s">
        <v>252</v>
      </c>
      <c r="C419" s="119" t="s">
        <v>88</v>
      </c>
      <c r="D419" s="119" t="s">
        <v>128</v>
      </c>
      <c r="E419" s="119" t="s">
        <v>194</v>
      </c>
      <c r="F419" s="119" t="s">
        <v>606</v>
      </c>
      <c r="G419" s="119" t="s">
        <v>607</v>
      </c>
      <c r="H419" s="119" t="s">
        <v>607</v>
      </c>
      <c r="I419" s="163" t="s">
        <v>204</v>
      </c>
      <c r="J419" s="119" t="s">
        <v>575</v>
      </c>
      <c r="K419" s="119" t="s">
        <v>576</v>
      </c>
      <c r="L419" s="119" t="s">
        <v>412</v>
      </c>
      <c r="M419" s="119" t="s">
        <v>185</v>
      </c>
      <c r="N419" s="135">
        <v>0</v>
      </c>
      <c r="O419" s="135" t="s">
        <v>47</v>
      </c>
      <c r="P419" s="135"/>
      <c r="Q419" s="137">
        <v>89796.84</v>
      </c>
      <c r="R419" s="137">
        <v>0</v>
      </c>
      <c r="S419" s="137">
        <v>107320</v>
      </c>
      <c r="T419" s="137">
        <f t="shared" si="72"/>
        <v>0</v>
      </c>
      <c r="U419" s="137">
        <f t="shared" si="76"/>
        <v>107320</v>
      </c>
      <c r="V419" s="137">
        <v>0</v>
      </c>
      <c r="W419" s="137">
        <f t="shared" si="77"/>
        <v>107320</v>
      </c>
      <c r="X419" s="137">
        <f t="shared" si="73"/>
        <v>107320</v>
      </c>
      <c r="Y419" s="137">
        <f t="shared" si="78"/>
        <v>0</v>
      </c>
      <c r="Z419" s="137">
        <v>197116.84</v>
      </c>
      <c r="AA419" s="137">
        <f t="shared" si="74"/>
        <v>-107320</v>
      </c>
      <c r="AB419" s="146">
        <f>IF(O419="返货",(Z419-Q419)/(1+N419),IF(O419="返现",(Z419-Q419),IF(O419="折扣",(Z419-Q419)*N419,IF(O419="无",(Z419-Q419)))))</f>
        <v>107320</v>
      </c>
      <c r="AC419" s="147">
        <f t="shared" si="75"/>
        <v>89796.84</v>
      </c>
      <c r="AD419" s="137">
        <f t="shared" ref="AD419:AD436" si="80">Z419*0.980277351080772</f>
        <v>193229.17376861235</v>
      </c>
      <c r="AE419" s="138">
        <v>0.31559999999999999</v>
      </c>
      <c r="AF419" s="137">
        <f t="shared" si="70"/>
        <v>60983.127241374059</v>
      </c>
      <c r="AG419" s="137">
        <v>62210.074703999999</v>
      </c>
      <c r="AH419" s="154"/>
      <c r="AI419" s="154"/>
      <c r="AJ419" s="135" t="s">
        <v>47</v>
      </c>
      <c r="AK419" s="119" t="s">
        <v>47</v>
      </c>
      <c r="AM419" s="131"/>
    </row>
    <row r="420" spans="1:39" s="119" customFormat="1" ht="15" customHeight="1" x14ac:dyDescent="0.3">
      <c r="A420" s="119">
        <v>2017</v>
      </c>
      <c r="B420" s="119" t="s">
        <v>252</v>
      </c>
      <c r="C420" s="119" t="s">
        <v>88</v>
      </c>
      <c r="D420" s="119" t="s">
        <v>128</v>
      </c>
      <c r="E420" s="119" t="s">
        <v>194</v>
      </c>
      <c r="F420" s="119" t="s">
        <v>606</v>
      </c>
      <c r="G420" s="119" t="s">
        <v>607</v>
      </c>
      <c r="H420" s="119" t="s">
        <v>607</v>
      </c>
      <c r="I420" s="163" t="s">
        <v>204</v>
      </c>
      <c r="J420" s="119" t="s">
        <v>575</v>
      </c>
      <c r="K420" s="119" t="s">
        <v>576</v>
      </c>
      <c r="L420" s="119" t="s">
        <v>412</v>
      </c>
      <c r="M420" s="119" t="s">
        <v>46</v>
      </c>
      <c r="N420" s="135">
        <v>0</v>
      </c>
      <c r="O420" s="135" t="s">
        <v>47</v>
      </c>
      <c r="P420" s="135"/>
      <c r="Q420" s="137">
        <v>122372.685</v>
      </c>
      <c r="R420" s="137">
        <v>0</v>
      </c>
      <c r="S420" s="137">
        <v>92680</v>
      </c>
      <c r="T420" s="137">
        <f t="shared" si="72"/>
        <v>0</v>
      </c>
      <c r="U420" s="137">
        <f t="shared" si="76"/>
        <v>92680</v>
      </c>
      <c r="V420" s="137">
        <v>200000</v>
      </c>
      <c r="W420" s="137">
        <f t="shared" si="77"/>
        <v>-107320</v>
      </c>
      <c r="X420" s="137">
        <f t="shared" si="73"/>
        <v>-107320</v>
      </c>
      <c r="Y420" s="137">
        <f t="shared" si="78"/>
        <v>0</v>
      </c>
      <c r="Z420" s="137">
        <v>215052.69</v>
      </c>
      <c r="AA420" s="137">
        <f t="shared" si="74"/>
        <v>107319.995</v>
      </c>
      <c r="AB420" s="146">
        <f>IF(O420="返货",(Z420-Q420)/(1+N420),IF(O420="返现",(Z420-Q420),IF(O420="折扣",(Z420-Q420)*N420,IF(O420="无",(Z420-Q420)))))</f>
        <v>92680.005000000005</v>
      </c>
      <c r="AC420" s="147">
        <f t="shared" si="75"/>
        <v>122372.685</v>
      </c>
      <c r="AD420" s="137">
        <f t="shared" si="80"/>
        <v>210811.28129599441</v>
      </c>
      <c r="AE420" s="138">
        <v>0.1077</v>
      </c>
      <c r="AF420" s="137">
        <f t="shared" si="70"/>
        <v>22704.374995578601</v>
      </c>
      <c r="AG420" s="137">
        <v>18944.455301235299</v>
      </c>
      <c r="AH420" s="154"/>
      <c r="AI420" s="154"/>
      <c r="AJ420" s="135" t="s">
        <v>47</v>
      </c>
      <c r="AK420" s="119" t="s">
        <v>47</v>
      </c>
      <c r="AM420" s="131"/>
    </row>
    <row r="421" spans="1:39" s="119" customFormat="1" ht="15" customHeight="1" x14ac:dyDescent="0.3">
      <c r="A421" s="119">
        <v>2017</v>
      </c>
      <c r="B421" s="119" t="s">
        <v>38</v>
      </c>
      <c r="C421" s="119" t="s">
        <v>88</v>
      </c>
      <c r="D421" s="119" t="s">
        <v>128</v>
      </c>
      <c r="E421" s="119" t="s">
        <v>194</v>
      </c>
      <c r="F421" s="119" t="s">
        <v>608</v>
      </c>
      <c r="G421" s="119" t="s">
        <v>608</v>
      </c>
      <c r="H421" s="119" t="s">
        <v>608</v>
      </c>
      <c r="I421" s="163" t="s">
        <v>204</v>
      </c>
      <c r="J421" s="119" t="s">
        <v>575</v>
      </c>
      <c r="K421" s="119" t="s">
        <v>576</v>
      </c>
      <c r="L421" s="119" t="s">
        <v>608</v>
      </c>
      <c r="M421" s="119" t="s">
        <v>185</v>
      </c>
      <c r="N421" s="136">
        <v>0.08</v>
      </c>
      <c r="O421" s="135" t="s">
        <v>51</v>
      </c>
      <c r="P421" s="135"/>
      <c r="Q421" s="137">
        <v>0</v>
      </c>
      <c r="R421" s="137">
        <v>0</v>
      </c>
      <c r="S421" s="137">
        <v>223.14</v>
      </c>
      <c r="T421" s="137">
        <f t="shared" si="72"/>
        <v>17.851199999999999</v>
      </c>
      <c r="U421" s="137">
        <f t="shared" si="76"/>
        <v>240.99119999999999</v>
      </c>
      <c r="V421" s="137">
        <v>0</v>
      </c>
      <c r="W421" s="137">
        <f t="shared" si="77"/>
        <v>240.99119999999999</v>
      </c>
      <c r="X421" s="137">
        <f t="shared" si="73"/>
        <v>223.14</v>
      </c>
      <c r="Y421" s="137">
        <f t="shared" si="78"/>
        <v>17.851200000000006</v>
      </c>
      <c r="Z421" s="137">
        <v>227.6</v>
      </c>
      <c r="AA421" s="137">
        <f t="shared" si="74"/>
        <v>-227.6</v>
      </c>
      <c r="AB421" s="146">
        <f>IF(O421="返货",Z421/(1+N421),IF(O421="返现",Z421,IF(O421="折扣",Z421*N421,IF(O421="无",Z421))))</f>
        <v>210.74074074074073</v>
      </c>
      <c r="AC421" s="147">
        <f t="shared" si="75"/>
        <v>16.859259259259261</v>
      </c>
      <c r="AD421" s="137">
        <f t="shared" si="80"/>
        <v>223.11112510598369</v>
      </c>
      <c r="AE421" s="138">
        <v>0.31559999999999999</v>
      </c>
      <c r="AF421" s="137">
        <f t="shared" si="70"/>
        <v>70.413871083448456</v>
      </c>
      <c r="AG421" s="137">
        <v>54.971300740740702</v>
      </c>
      <c r="AH421" s="154"/>
      <c r="AI421" s="154"/>
      <c r="AJ421" s="135" t="s">
        <v>53</v>
      </c>
      <c r="AK421" s="119" t="s">
        <v>53</v>
      </c>
      <c r="AM421" s="131"/>
    </row>
    <row r="422" spans="1:39" s="119" customFormat="1" ht="15" customHeight="1" x14ac:dyDescent="0.3">
      <c r="A422" s="119">
        <v>2017</v>
      </c>
      <c r="B422" s="119" t="s">
        <v>38</v>
      </c>
      <c r="C422" s="119" t="s">
        <v>88</v>
      </c>
      <c r="D422" s="119" t="s">
        <v>128</v>
      </c>
      <c r="E422" s="119" t="s">
        <v>194</v>
      </c>
      <c r="F422" s="119" t="s">
        <v>608</v>
      </c>
      <c r="G422" s="119" t="s">
        <v>608</v>
      </c>
      <c r="H422" s="119" t="s">
        <v>608</v>
      </c>
      <c r="I422" s="163" t="s">
        <v>204</v>
      </c>
      <c r="J422" s="119" t="s">
        <v>575</v>
      </c>
      <c r="K422" s="119" t="s">
        <v>576</v>
      </c>
      <c r="L422" s="119" t="s">
        <v>608</v>
      </c>
      <c r="M422" s="119" t="s">
        <v>46</v>
      </c>
      <c r="N422" s="136">
        <v>0.02</v>
      </c>
      <c r="O422" s="135" t="s">
        <v>51</v>
      </c>
      <c r="P422" s="135"/>
      <c r="Q422" s="137">
        <v>0</v>
      </c>
      <c r="R422" s="137">
        <v>0</v>
      </c>
      <c r="S422" s="137">
        <v>9776.86</v>
      </c>
      <c r="T422" s="137">
        <f t="shared" si="72"/>
        <v>195.53720000000001</v>
      </c>
      <c r="U422" s="137">
        <f t="shared" si="76"/>
        <v>9972.3972000000012</v>
      </c>
      <c r="V422" s="137">
        <v>10200</v>
      </c>
      <c r="W422" s="137">
        <f t="shared" si="77"/>
        <v>-227.60279999999875</v>
      </c>
      <c r="X422" s="137">
        <f t="shared" si="73"/>
        <v>-223.13999999999876</v>
      </c>
      <c r="Y422" s="137">
        <f t="shared" si="78"/>
        <v>-4.4627999999999872</v>
      </c>
      <c r="Z422" s="137">
        <v>9972.4</v>
      </c>
      <c r="AA422" s="137">
        <f t="shared" si="74"/>
        <v>227.60000000000036</v>
      </c>
      <c r="AB422" s="146">
        <f>IF(O422="返货",Z422/(1+N422),IF(O422="返现",Z422,IF(O422="折扣",Z422*N422,IF(O422="无",Z422))))</f>
        <v>9776.8627450980384</v>
      </c>
      <c r="AC422" s="147">
        <f t="shared" si="75"/>
        <v>195.53725490196121</v>
      </c>
      <c r="AD422" s="137">
        <f t="shared" si="80"/>
        <v>9775.7178559178901</v>
      </c>
      <c r="AE422" s="138">
        <v>0.1077</v>
      </c>
      <c r="AF422" s="137">
        <f t="shared" si="70"/>
        <v>1052.8448130823567</v>
      </c>
      <c r="AG422" s="137">
        <v>878.49022509803899</v>
      </c>
      <c r="AH422" s="154"/>
      <c r="AI422" s="154"/>
      <c r="AJ422" s="136">
        <v>0.02</v>
      </c>
      <c r="AK422" s="156">
        <v>0.02</v>
      </c>
      <c r="AM422" s="131"/>
    </row>
    <row r="423" spans="1:39" s="119" customFormat="1" ht="15" customHeight="1" x14ac:dyDescent="0.3">
      <c r="A423" s="119">
        <v>2017</v>
      </c>
      <c r="B423" s="119" t="s">
        <v>38</v>
      </c>
      <c r="C423" s="119" t="s">
        <v>88</v>
      </c>
      <c r="D423" s="119" t="s">
        <v>128</v>
      </c>
      <c r="E423" s="119" t="s">
        <v>194</v>
      </c>
      <c r="F423" s="119" t="s">
        <v>511</v>
      </c>
      <c r="G423" s="119" t="s">
        <v>511</v>
      </c>
      <c r="H423" s="119" t="s">
        <v>511</v>
      </c>
      <c r="I423" s="163" t="s">
        <v>204</v>
      </c>
      <c r="J423" s="119" t="s">
        <v>575</v>
      </c>
      <c r="K423" s="119" t="s">
        <v>576</v>
      </c>
      <c r="L423" s="119" t="s">
        <v>511</v>
      </c>
      <c r="M423" s="119" t="s">
        <v>185</v>
      </c>
      <c r="N423" s="136">
        <v>0.08</v>
      </c>
      <c r="O423" s="135" t="s">
        <v>51</v>
      </c>
      <c r="P423" s="135"/>
      <c r="Q423" s="137">
        <v>0</v>
      </c>
      <c r="R423" s="137">
        <v>0</v>
      </c>
      <c r="S423" s="137">
        <v>5247.05</v>
      </c>
      <c r="T423" s="137">
        <f t="shared" si="72"/>
        <v>419.76400000000001</v>
      </c>
      <c r="U423" s="137">
        <f t="shared" si="76"/>
        <v>5666.8140000000003</v>
      </c>
      <c r="V423" s="137">
        <v>0</v>
      </c>
      <c r="W423" s="137">
        <f t="shared" si="77"/>
        <v>5666.8140000000003</v>
      </c>
      <c r="X423" s="137">
        <f t="shared" si="73"/>
        <v>5247.05</v>
      </c>
      <c r="Y423" s="137">
        <f t="shared" si="78"/>
        <v>419.76400000000012</v>
      </c>
      <c r="Z423" s="137">
        <v>5351.99</v>
      </c>
      <c r="AA423" s="137">
        <f t="shared" si="74"/>
        <v>-5351.99</v>
      </c>
      <c r="AB423" s="146">
        <f>IF(O423="返货",Z423/(1+N423),IF(O423="返现",Z423,IF(O423="折扣",Z423*N423,IF(O423="无",Z423))))</f>
        <v>4955.5462962962956</v>
      </c>
      <c r="AC423" s="147">
        <f t="shared" si="75"/>
        <v>396.44370370370416</v>
      </c>
      <c r="AD423" s="137">
        <f t="shared" si="80"/>
        <v>5246.434580210781</v>
      </c>
      <c r="AE423" s="138">
        <v>0.31559999999999999</v>
      </c>
      <c r="AF423" s="137">
        <f t="shared" si="70"/>
        <v>1655.7747535145224</v>
      </c>
      <c r="AG423" s="137">
        <v>1292.6443402963</v>
      </c>
      <c r="AH423" s="154"/>
      <c r="AI423" s="154"/>
      <c r="AJ423" s="135" t="s">
        <v>53</v>
      </c>
      <c r="AK423" s="119" t="s">
        <v>53</v>
      </c>
      <c r="AM423" s="131"/>
    </row>
    <row r="424" spans="1:39" s="119" customFormat="1" ht="15" customHeight="1" x14ac:dyDescent="0.3">
      <c r="A424" s="119">
        <v>2017</v>
      </c>
      <c r="B424" s="119" t="s">
        <v>38</v>
      </c>
      <c r="C424" s="119" t="s">
        <v>88</v>
      </c>
      <c r="D424" s="119" t="s">
        <v>128</v>
      </c>
      <c r="E424" s="119" t="s">
        <v>194</v>
      </c>
      <c r="F424" s="119" t="s">
        <v>592</v>
      </c>
      <c r="G424" s="119" t="s">
        <v>592</v>
      </c>
      <c r="H424" s="119" t="s">
        <v>592</v>
      </c>
      <c r="I424" s="163" t="s">
        <v>204</v>
      </c>
      <c r="J424" s="119" t="s">
        <v>575</v>
      </c>
      <c r="K424" s="119" t="s">
        <v>576</v>
      </c>
      <c r="L424" s="119" t="s">
        <v>592</v>
      </c>
      <c r="M424" s="119" t="s">
        <v>185</v>
      </c>
      <c r="N424" s="136">
        <v>0.08</v>
      </c>
      <c r="O424" s="135" t="s">
        <v>51</v>
      </c>
      <c r="P424" s="135"/>
      <c r="Q424" s="137">
        <v>0</v>
      </c>
      <c r="R424" s="137">
        <v>0</v>
      </c>
      <c r="S424" s="137">
        <v>5110.1899999999996</v>
      </c>
      <c r="T424" s="137">
        <f t="shared" si="72"/>
        <v>408.8152</v>
      </c>
      <c r="U424" s="137">
        <f t="shared" si="76"/>
        <v>5519.0051999999996</v>
      </c>
      <c r="V424" s="137">
        <v>0</v>
      </c>
      <c r="W424" s="137">
        <f t="shared" si="77"/>
        <v>5519.0051999999996</v>
      </c>
      <c r="X424" s="137">
        <f t="shared" si="73"/>
        <v>5110.1899999999996</v>
      </c>
      <c r="Y424" s="137">
        <f t="shared" si="78"/>
        <v>408.8152</v>
      </c>
      <c r="Z424" s="137">
        <v>5212.3900000000003</v>
      </c>
      <c r="AA424" s="137">
        <f t="shared" si="74"/>
        <v>-5212.3900000000003</v>
      </c>
      <c r="AB424" s="146">
        <f>IF(O424="返货",Z424/(1+N424),IF(O424="返现",Z424,IF(O424="折扣",Z424*N424,IF(O424="无",Z424))))</f>
        <v>4826.2870370370374</v>
      </c>
      <c r="AC424" s="147">
        <f t="shared" si="75"/>
        <v>386.10296296296292</v>
      </c>
      <c r="AD424" s="137">
        <f t="shared" si="80"/>
        <v>5109.5878619999057</v>
      </c>
      <c r="AE424" s="138">
        <v>0.31559999999999999</v>
      </c>
      <c r="AF424" s="137">
        <f t="shared" si="70"/>
        <v>1612.5859292471703</v>
      </c>
      <c r="AG424" s="137">
        <v>1258.92732103704</v>
      </c>
      <c r="AH424" s="154"/>
      <c r="AI424" s="154"/>
      <c r="AJ424" s="135" t="s">
        <v>53</v>
      </c>
      <c r="AK424" s="119" t="s">
        <v>53</v>
      </c>
      <c r="AM424" s="131"/>
    </row>
    <row r="425" spans="1:39" s="119" customFormat="1" ht="15" customHeight="1" x14ac:dyDescent="0.3">
      <c r="A425" s="119">
        <v>2017</v>
      </c>
      <c r="B425" s="120" t="s">
        <v>38</v>
      </c>
      <c r="C425" s="119" t="s">
        <v>88</v>
      </c>
      <c r="D425" s="119" t="s">
        <v>128</v>
      </c>
      <c r="E425" s="119" t="s">
        <v>194</v>
      </c>
      <c r="F425" s="119" t="s">
        <v>609</v>
      </c>
      <c r="G425" s="119" t="s">
        <v>609</v>
      </c>
      <c r="H425" s="119" t="s">
        <v>609</v>
      </c>
      <c r="I425" s="163" t="s">
        <v>204</v>
      </c>
      <c r="J425" s="119" t="s">
        <v>575</v>
      </c>
      <c r="K425" s="119" t="s">
        <v>576</v>
      </c>
      <c r="L425" s="119" t="s">
        <v>610</v>
      </c>
      <c r="M425" s="119" t="s">
        <v>46</v>
      </c>
      <c r="N425" s="136">
        <v>0.02</v>
      </c>
      <c r="O425" s="135" t="s">
        <v>51</v>
      </c>
      <c r="P425" s="135"/>
      <c r="Q425" s="137">
        <v>82485.372969999997</v>
      </c>
      <c r="R425" s="137">
        <v>0</v>
      </c>
      <c r="S425" s="137">
        <v>1830265.94</v>
      </c>
      <c r="T425" s="137">
        <f t="shared" si="72"/>
        <v>36605.318800000001</v>
      </c>
      <c r="U425" s="137">
        <f t="shared" si="76"/>
        <v>1866871.2588</v>
      </c>
      <c r="V425" s="137">
        <v>20887000</v>
      </c>
      <c r="W425" s="137">
        <f t="shared" si="77"/>
        <v>-19020128.7412</v>
      </c>
      <c r="X425" s="137">
        <f t="shared" si="73"/>
        <v>-18647185.040392157</v>
      </c>
      <c r="Y425" s="137">
        <f t="shared" si="78"/>
        <v>-372943.70080784336</v>
      </c>
      <c r="Z425" s="137">
        <v>2058342.2</v>
      </c>
      <c r="AA425" s="137">
        <f t="shared" si="74"/>
        <v>18911143.172970001</v>
      </c>
      <c r="AB425" s="146">
        <f>IF(O425="返货",(Z425-Q425)/(1+N425),IF(O425="返现",(Z425-Q425),IF(O425="折扣",(Z425-Q425)*N425,IF(O425="无",(Z425-Q425)))))</f>
        <v>1937114.5363039216</v>
      </c>
      <c r="AC425" s="147">
        <f t="shared" si="75"/>
        <v>121227.66369607835</v>
      </c>
      <c r="AD425" s="137">
        <f t="shared" si="80"/>
        <v>2017746.2394337684</v>
      </c>
      <c r="AE425" s="138">
        <v>0.1077</v>
      </c>
      <c r="AF425" s="137">
        <f t="shared" si="70"/>
        <v>217311.26998701686</v>
      </c>
      <c r="AG425" s="137">
        <v>181323.80395960799</v>
      </c>
      <c r="AH425" s="154"/>
      <c r="AI425" s="154"/>
      <c r="AJ425" s="135" t="s">
        <v>173</v>
      </c>
      <c r="AK425" s="119" t="s">
        <v>173</v>
      </c>
      <c r="AL425" s="119" t="s">
        <v>611</v>
      </c>
      <c r="AM425" s="131"/>
    </row>
    <row r="426" spans="1:39" s="119" customFormat="1" ht="15" customHeight="1" x14ac:dyDescent="0.3">
      <c r="A426" s="119">
        <v>2017</v>
      </c>
      <c r="B426" s="120" t="s">
        <v>38</v>
      </c>
      <c r="C426" s="119" t="s">
        <v>88</v>
      </c>
      <c r="D426" s="119" t="s">
        <v>128</v>
      </c>
      <c r="E426" s="119" t="s">
        <v>194</v>
      </c>
      <c r="F426" s="119" t="s">
        <v>609</v>
      </c>
      <c r="G426" s="119" t="s">
        <v>609</v>
      </c>
      <c r="H426" s="119" t="s">
        <v>609</v>
      </c>
      <c r="I426" s="163" t="s">
        <v>204</v>
      </c>
      <c r="J426" s="119" t="s">
        <v>575</v>
      </c>
      <c r="K426" s="119" t="s">
        <v>576</v>
      </c>
      <c r="L426" s="119" t="s">
        <v>610</v>
      </c>
      <c r="M426" s="119" t="s">
        <v>185</v>
      </c>
      <c r="N426" s="136">
        <v>0.08</v>
      </c>
      <c r="O426" s="135" t="s">
        <v>51</v>
      </c>
      <c r="P426" s="135"/>
      <c r="Q426" s="137">
        <v>159239.12</v>
      </c>
      <c r="R426" s="137">
        <v>0</v>
      </c>
      <c r="S426" s="137">
        <v>17945890.129999999</v>
      </c>
      <c r="T426" s="137">
        <f t="shared" si="72"/>
        <v>1435671.2104</v>
      </c>
      <c r="U426" s="137">
        <f t="shared" si="76"/>
        <v>19381561.340399999</v>
      </c>
      <c r="V426" s="137">
        <v>0</v>
      </c>
      <c r="W426" s="137">
        <f t="shared" si="77"/>
        <v>19381561.340399999</v>
      </c>
      <c r="X426" s="137">
        <f t="shared" si="73"/>
        <v>17945890.129999999</v>
      </c>
      <c r="Y426" s="137">
        <f t="shared" si="78"/>
        <v>1435671.2104000002</v>
      </c>
      <c r="Z426" s="137">
        <v>19012642.280000001</v>
      </c>
      <c r="AA426" s="137">
        <f t="shared" si="74"/>
        <v>-18853403.16</v>
      </c>
      <c r="AB426" s="146">
        <f>IF(O426="返货",(Z426-Q426)/(1+N426),IF(O426="返现",(Z426-Q426),IF(O426="折扣",(Z426-Q426)*N426,IF(O426="无",(Z426-Q426)))))</f>
        <v>17456854.777777776</v>
      </c>
      <c r="AC426" s="147">
        <f t="shared" si="75"/>
        <v>1555787.5022222251</v>
      </c>
      <c r="AD426" s="137">
        <f t="shared" si="80"/>
        <v>18637662.611284688</v>
      </c>
      <c r="AE426" s="138">
        <v>0.31559999999999999</v>
      </c>
      <c r="AF426" s="137">
        <f t="shared" si="70"/>
        <v>5882046.3201214476</v>
      </c>
      <c r="AG426" s="137">
        <v>4592046.0309754098</v>
      </c>
      <c r="AH426" s="154"/>
      <c r="AI426" s="154"/>
      <c r="AJ426" s="135" t="s">
        <v>612</v>
      </c>
      <c r="AK426" s="119" t="s">
        <v>612</v>
      </c>
      <c r="AM426" s="131"/>
    </row>
    <row r="427" spans="1:39" s="119" customFormat="1" ht="15" customHeight="1" x14ac:dyDescent="0.3">
      <c r="A427" s="119">
        <v>2017</v>
      </c>
      <c r="B427" s="119" t="s">
        <v>38</v>
      </c>
      <c r="C427" s="119" t="s">
        <v>88</v>
      </c>
      <c r="D427" s="119" t="s">
        <v>128</v>
      </c>
      <c r="E427" s="119" t="s">
        <v>194</v>
      </c>
      <c r="F427" s="119" t="s">
        <v>599</v>
      </c>
      <c r="G427" s="119" t="s">
        <v>599</v>
      </c>
      <c r="H427" s="119" t="s">
        <v>599</v>
      </c>
      <c r="I427" s="163" t="s">
        <v>204</v>
      </c>
      <c r="J427" s="119" t="s">
        <v>575</v>
      </c>
      <c r="K427" s="119" t="s">
        <v>576</v>
      </c>
      <c r="L427" s="119" t="s">
        <v>599</v>
      </c>
      <c r="M427" s="119" t="s">
        <v>185</v>
      </c>
      <c r="N427" s="136">
        <v>0.08</v>
      </c>
      <c r="O427" s="135" t="s">
        <v>51</v>
      </c>
      <c r="P427" s="135"/>
      <c r="Q427" s="137">
        <v>0</v>
      </c>
      <c r="R427" s="137">
        <v>0</v>
      </c>
      <c r="S427" s="137">
        <v>380.39</v>
      </c>
      <c r="T427" s="137">
        <f t="shared" si="72"/>
        <v>30.4312</v>
      </c>
      <c r="U427" s="137">
        <f t="shared" si="76"/>
        <v>410.82119999999998</v>
      </c>
      <c r="V427" s="137">
        <v>0</v>
      </c>
      <c r="W427" s="137">
        <f t="shared" si="77"/>
        <v>410.82119999999998</v>
      </c>
      <c r="X427" s="137">
        <f t="shared" si="73"/>
        <v>380.38999999999993</v>
      </c>
      <c r="Y427" s="137">
        <f t="shared" si="78"/>
        <v>30.431200000000047</v>
      </c>
      <c r="Z427" s="137">
        <v>388</v>
      </c>
      <c r="AA427" s="137">
        <f t="shared" si="74"/>
        <v>-388</v>
      </c>
      <c r="AB427" s="146">
        <f t="shared" ref="AB427:AB432" si="81">IF(O427="返货",Z427/(1+N427),IF(O427="返现",Z427,IF(O427="折扣",Z427*N427,IF(O427="无",Z427))))</f>
        <v>359.25925925925924</v>
      </c>
      <c r="AC427" s="147">
        <f t="shared" si="75"/>
        <v>28.740740740740762</v>
      </c>
      <c r="AD427" s="137">
        <f t="shared" si="80"/>
        <v>380.34761221933951</v>
      </c>
      <c r="AE427" s="138">
        <v>0.31559999999999999</v>
      </c>
      <c r="AF427" s="137">
        <f t="shared" si="70"/>
        <v>120.03770641642355</v>
      </c>
      <c r="AG427" s="137">
        <v>93.712059259259206</v>
      </c>
      <c r="AH427" s="154"/>
      <c r="AI427" s="154"/>
      <c r="AJ427" s="135" t="s">
        <v>53</v>
      </c>
      <c r="AK427" s="119" t="s">
        <v>53</v>
      </c>
      <c r="AM427" s="131"/>
    </row>
    <row r="428" spans="1:39" s="119" customFormat="1" ht="15" customHeight="1" x14ac:dyDescent="0.3">
      <c r="A428" s="119">
        <v>2017</v>
      </c>
      <c r="B428" s="119" t="s">
        <v>38</v>
      </c>
      <c r="C428" s="119" t="s">
        <v>88</v>
      </c>
      <c r="D428" s="119" t="s">
        <v>128</v>
      </c>
      <c r="E428" s="119" t="s">
        <v>194</v>
      </c>
      <c r="F428" s="119" t="s">
        <v>600</v>
      </c>
      <c r="G428" s="119" t="s">
        <v>600</v>
      </c>
      <c r="H428" s="119" t="s">
        <v>600</v>
      </c>
      <c r="I428" s="163" t="s">
        <v>204</v>
      </c>
      <c r="J428" s="119" t="s">
        <v>575</v>
      </c>
      <c r="K428" s="119" t="s">
        <v>576</v>
      </c>
      <c r="L428" s="119" t="s">
        <v>600</v>
      </c>
      <c r="M428" s="119" t="s">
        <v>185</v>
      </c>
      <c r="N428" s="136">
        <v>0.08</v>
      </c>
      <c r="O428" s="135" t="s">
        <v>51</v>
      </c>
      <c r="P428" s="135"/>
      <c r="Q428" s="137">
        <v>0</v>
      </c>
      <c r="R428" s="137">
        <v>0</v>
      </c>
      <c r="S428" s="137">
        <v>2352.94</v>
      </c>
      <c r="T428" s="137">
        <f t="shared" si="72"/>
        <v>188.23520000000002</v>
      </c>
      <c r="U428" s="137">
        <f t="shared" si="76"/>
        <v>2541.1752000000001</v>
      </c>
      <c r="V428" s="137">
        <v>0</v>
      </c>
      <c r="W428" s="137">
        <f t="shared" si="77"/>
        <v>2541.1752000000001</v>
      </c>
      <c r="X428" s="137">
        <f t="shared" si="73"/>
        <v>2352.94</v>
      </c>
      <c r="Y428" s="137">
        <f t="shared" si="78"/>
        <v>188.23520000000008</v>
      </c>
      <c r="Z428" s="137">
        <v>2400</v>
      </c>
      <c r="AA428" s="137">
        <f t="shared" si="74"/>
        <v>-2400</v>
      </c>
      <c r="AB428" s="146">
        <f t="shared" si="81"/>
        <v>2222.2222222222222</v>
      </c>
      <c r="AC428" s="147">
        <f t="shared" si="75"/>
        <v>177.77777777777783</v>
      </c>
      <c r="AD428" s="137">
        <f t="shared" si="80"/>
        <v>2352.6656425938527</v>
      </c>
      <c r="AE428" s="138">
        <v>0.31559999999999999</v>
      </c>
      <c r="AF428" s="137">
        <f t="shared" si="70"/>
        <v>742.50127680261994</v>
      </c>
      <c r="AG428" s="137">
        <v>579.662222222222</v>
      </c>
      <c r="AH428" s="154"/>
      <c r="AI428" s="154"/>
      <c r="AJ428" s="135" t="s">
        <v>53</v>
      </c>
      <c r="AK428" s="119" t="s">
        <v>53</v>
      </c>
      <c r="AM428" s="131"/>
    </row>
    <row r="429" spans="1:39" s="119" customFormat="1" ht="15" customHeight="1" x14ac:dyDescent="0.3">
      <c r="A429" s="119">
        <v>2017</v>
      </c>
      <c r="B429" s="119" t="s">
        <v>38</v>
      </c>
      <c r="C429" s="119" t="s">
        <v>88</v>
      </c>
      <c r="D429" s="119" t="s">
        <v>95</v>
      </c>
      <c r="E429" s="119" t="s">
        <v>194</v>
      </c>
      <c r="F429" s="119" t="s">
        <v>209</v>
      </c>
      <c r="G429" s="119" t="s">
        <v>209</v>
      </c>
      <c r="H429" s="119" t="s">
        <v>209</v>
      </c>
      <c r="I429" s="163" t="s">
        <v>204</v>
      </c>
      <c r="J429" s="119" t="s">
        <v>575</v>
      </c>
      <c r="K429" s="119" t="s">
        <v>576</v>
      </c>
      <c r="L429" s="119" t="s">
        <v>209</v>
      </c>
      <c r="M429" s="119" t="s">
        <v>185</v>
      </c>
      <c r="N429" s="136">
        <v>0.04</v>
      </c>
      <c r="O429" s="135" t="s">
        <v>51</v>
      </c>
      <c r="P429" s="135"/>
      <c r="Q429" s="137">
        <v>0</v>
      </c>
      <c r="R429" s="137">
        <v>0</v>
      </c>
      <c r="S429" s="137">
        <v>150962.76999999999</v>
      </c>
      <c r="T429" s="137">
        <f t="shared" si="72"/>
        <v>6038.5108</v>
      </c>
      <c r="U429" s="137">
        <f t="shared" si="76"/>
        <v>157001.28079999998</v>
      </c>
      <c r="V429" s="137">
        <v>0</v>
      </c>
      <c r="W429" s="137">
        <f t="shared" si="77"/>
        <v>157001.28079999998</v>
      </c>
      <c r="X429" s="137">
        <f t="shared" si="73"/>
        <v>150962.76999999996</v>
      </c>
      <c r="Y429" s="137">
        <f t="shared" si="78"/>
        <v>6038.5108000000182</v>
      </c>
      <c r="Z429" s="137">
        <v>153982.03</v>
      </c>
      <c r="AA429" s="137">
        <f t="shared" si="74"/>
        <v>-153982.03</v>
      </c>
      <c r="AB429" s="146">
        <f t="shared" si="81"/>
        <v>148059.64423076922</v>
      </c>
      <c r="AC429" s="147">
        <f t="shared" si="75"/>
        <v>5922.3857692307793</v>
      </c>
      <c r="AD429" s="137">
        <f t="shared" si="80"/>
        <v>150945.09648243996</v>
      </c>
      <c r="AE429" s="138">
        <v>0.31559999999999999</v>
      </c>
      <c r="AF429" s="137">
        <f t="shared" si="70"/>
        <v>47638.27244985805</v>
      </c>
      <c r="AG429" s="137">
        <v>45577.473177803899</v>
      </c>
      <c r="AH429" s="154"/>
      <c r="AI429" s="154"/>
      <c r="AJ429" s="135" t="s">
        <v>613</v>
      </c>
      <c r="AK429" s="119" t="s">
        <v>613</v>
      </c>
      <c r="AM429" s="131"/>
    </row>
    <row r="430" spans="1:39" s="119" customFormat="1" ht="15" customHeight="1" x14ac:dyDescent="0.3">
      <c r="A430" s="119">
        <v>2017</v>
      </c>
      <c r="B430" s="119" t="s">
        <v>38</v>
      </c>
      <c r="C430" s="119" t="s">
        <v>88</v>
      </c>
      <c r="D430" s="119" t="s">
        <v>95</v>
      </c>
      <c r="E430" s="119" t="s">
        <v>194</v>
      </c>
      <c r="F430" s="119" t="s">
        <v>209</v>
      </c>
      <c r="G430" s="119" t="s">
        <v>209</v>
      </c>
      <c r="H430" s="119" t="s">
        <v>209</v>
      </c>
      <c r="I430" s="163" t="s">
        <v>204</v>
      </c>
      <c r="J430" s="119" t="s">
        <v>575</v>
      </c>
      <c r="K430" s="119" t="s">
        <v>576</v>
      </c>
      <c r="L430" s="119" t="s">
        <v>209</v>
      </c>
      <c r="M430" s="119" t="s">
        <v>46</v>
      </c>
      <c r="N430" s="136">
        <v>0.02</v>
      </c>
      <c r="O430" s="135" t="s">
        <v>51</v>
      </c>
      <c r="P430" s="135"/>
      <c r="Q430" s="137">
        <v>0</v>
      </c>
      <c r="R430" s="137">
        <v>0</v>
      </c>
      <c r="S430" s="137">
        <v>4882.3500000000104</v>
      </c>
      <c r="T430" s="137">
        <f t="shared" si="72"/>
        <v>97.647000000000205</v>
      </c>
      <c r="U430" s="137">
        <f t="shared" si="76"/>
        <v>4979.9970000000103</v>
      </c>
      <c r="V430" s="137">
        <v>224400</v>
      </c>
      <c r="W430" s="137">
        <f t="shared" si="77"/>
        <v>-219420.003</v>
      </c>
      <c r="X430" s="137">
        <f t="shared" si="73"/>
        <v>-215117.65</v>
      </c>
      <c r="Y430" s="137">
        <f t="shared" si="78"/>
        <v>-4302.3530000000028</v>
      </c>
      <c r="Z430" s="137">
        <v>4980</v>
      </c>
      <c r="AA430" s="137">
        <f t="shared" si="74"/>
        <v>219420</v>
      </c>
      <c r="AB430" s="146">
        <f t="shared" si="81"/>
        <v>4882.3529411764703</v>
      </c>
      <c r="AC430" s="147">
        <f t="shared" si="75"/>
        <v>97.647058823529733</v>
      </c>
      <c r="AD430" s="137">
        <f t="shared" si="80"/>
        <v>4881.7812083822446</v>
      </c>
      <c r="AE430" s="138">
        <v>0.1077</v>
      </c>
      <c r="AF430" s="137">
        <f t="shared" si="70"/>
        <v>525.76783614276781</v>
      </c>
      <c r="AG430" s="137">
        <v>438.69894117646999</v>
      </c>
      <c r="AH430" s="154"/>
      <c r="AI430" s="154"/>
      <c r="AJ430" s="135" t="s">
        <v>613</v>
      </c>
      <c r="AK430" s="119" t="s">
        <v>613</v>
      </c>
      <c r="AM430" s="131"/>
    </row>
    <row r="431" spans="1:39" s="119" customFormat="1" ht="15" customHeight="1" x14ac:dyDescent="0.3">
      <c r="A431" s="119">
        <v>2017</v>
      </c>
      <c r="B431" s="119" t="s">
        <v>38</v>
      </c>
      <c r="C431" s="119" t="s">
        <v>110</v>
      </c>
      <c r="D431" s="119" t="s">
        <v>111</v>
      </c>
      <c r="E431" s="119" t="s">
        <v>112</v>
      </c>
      <c r="F431" s="119" t="s">
        <v>113</v>
      </c>
      <c r="G431" s="119" t="s">
        <v>113</v>
      </c>
      <c r="H431" s="119" t="s">
        <v>113</v>
      </c>
      <c r="I431" s="163" t="s">
        <v>204</v>
      </c>
      <c r="J431" s="119" t="s">
        <v>575</v>
      </c>
      <c r="K431" s="119" t="s">
        <v>576</v>
      </c>
      <c r="L431" s="119" t="s">
        <v>114</v>
      </c>
      <c r="M431" s="119" t="s">
        <v>185</v>
      </c>
      <c r="N431" s="136">
        <v>0.08</v>
      </c>
      <c r="O431" s="135" t="s">
        <v>51</v>
      </c>
      <c r="P431" s="135"/>
      <c r="Q431" s="137">
        <v>0</v>
      </c>
      <c r="R431" s="137">
        <v>0</v>
      </c>
      <c r="S431" s="137">
        <v>73860.490000000005</v>
      </c>
      <c r="T431" s="137">
        <f t="shared" si="72"/>
        <v>5908.8392000000003</v>
      </c>
      <c r="U431" s="137">
        <f t="shared" si="76"/>
        <v>79769.329200000007</v>
      </c>
      <c r="V431" s="137">
        <v>0</v>
      </c>
      <c r="W431" s="137">
        <f t="shared" si="77"/>
        <v>79769.329200000007</v>
      </c>
      <c r="X431" s="137">
        <f t="shared" si="73"/>
        <v>73860.490000000005</v>
      </c>
      <c r="Y431" s="137">
        <f t="shared" si="78"/>
        <v>5908.8392000000022</v>
      </c>
      <c r="Z431" s="137">
        <v>73860.490000000005</v>
      </c>
      <c r="AA431" s="137">
        <f t="shared" si="74"/>
        <v>-73860.490000000005</v>
      </c>
      <c r="AB431" s="146">
        <f t="shared" si="81"/>
        <v>68389.342592592599</v>
      </c>
      <c r="AC431" s="147">
        <f t="shared" si="75"/>
        <v>5471.1474074074067</v>
      </c>
      <c r="AD431" s="137">
        <f t="shared" si="80"/>
        <v>72403.765486727847</v>
      </c>
      <c r="AE431" s="138">
        <v>0.31559999999999999</v>
      </c>
      <c r="AF431" s="137">
        <f t="shared" ref="AF431:AF494" si="82">AD431*AE431</f>
        <v>22850.628387611308</v>
      </c>
      <c r="AG431" s="137">
        <v>17839.223236592599</v>
      </c>
      <c r="AH431" s="154"/>
      <c r="AI431" s="154"/>
      <c r="AJ431" s="135" t="s">
        <v>53</v>
      </c>
      <c r="AK431" s="119" t="s">
        <v>53</v>
      </c>
      <c r="AM431" s="131"/>
    </row>
    <row r="432" spans="1:39" s="119" customFormat="1" ht="15" customHeight="1" x14ac:dyDescent="0.3">
      <c r="A432" s="119">
        <v>2017</v>
      </c>
      <c r="B432" s="119" t="s">
        <v>38</v>
      </c>
      <c r="C432" s="119" t="s">
        <v>110</v>
      </c>
      <c r="D432" s="119" t="s">
        <v>111</v>
      </c>
      <c r="E432" s="119" t="s">
        <v>112</v>
      </c>
      <c r="F432" s="119" t="s">
        <v>113</v>
      </c>
      <c r="G432" s="119" t="s">
        <v>113</v>
      </c>
      <c r="H432" s="119" t="s">
        <v>113</v>
      </c>
      <c r="I432" s="163" t="s">
        <v>204</v>
      </c>
      <c r="J432" s="119" t="s">
        <v>575</v>
      </c>
      <c r="K432" s="119" t="s">
        <v>576</v>
      </c>
      <c r="L432" s="119" t="s">
        <v>114</v>
      </c>
      <c r="M432" s="119" t="s">
        <v>46</v>
      </c>
      <c r="N432" s="136">
        <v>0.02</v>
      </c>
      <c r="O432" s="135" t="s">
        <v>51</v>
      </c>
      <c r="P432" s="135"/>
      <c r="Q432" s="137">
        <v>0</v>
      </c>
      <c r="R432" s="137">
        <v>0</v>
      </c>
      <c r="S432" s="137">
        <v>296139.51</v>
      </c>
      <c r="T432" s="137">
        <f t="shared" si="72"/>
        <v>5922.7902000000004</v>
      </c>
      <c r="U432" s="137">
        <f t="shared" si="76"/>
        <v>302062.3002</v>
      </c>
      <c r="V432" s="137">
        <v>374582.34</v>
      </c>
      <c r="W432" s="137">
        <f t="shared" si="77"/>
        <v>-72520.039800000028</v>
      </c>
      <c r="X432" s="137">
        <f t="shared" si="73"/>
        <v>-71098.078235294146</v>
      </c>
      <c r="Y432" s="137">
        <f t="shared" si="78"/>
        <v>-1421.9615647058818</v>
      </c>
      <c r="Z432" s="137">
        <v>300721.84999999998</v>
      </c>
      <c r="AA432" s="137">
        <f t="shared" si="74"/>
        <v>73860.490000000049</v>
      </c>
      <c r="AB432" s="146">
        <f t="shared" si="81"/>
        <v>294825.34313725488</v>
      </c>
      <c r="AC432" s="147">
        <f t="shared" si="75"/>
        <v>5896.5068627450964</v>
      </c>
      <c r="AD432" s="137">
        <f t="shared" si="80"/>
        <v>294790.81853010925</v>
      </c>
      <c r="AE432" s="138">
        <v>0.1077</v>
      </c>
      <c r="AF432" s="137">
        <f t="shared" si="82"/>
        <v>31748.971155692769</v>
      </c>
      <c r="AG432" s="137">
        <v>26491.236382254901</v>
      </c>
      <c r="AH432" s="154"/>
      <c r="AI432" s="154"/>
      <c r="AJ432" s="136">
        <v>0.02</v>
      </c>
      <c r="AK432" s="156">
        <v>0.02</v>
      </c>
      <c r="AM432" s="131"/>
    </row>
    <row r="433" spans="1:39" s="119" customFormat="1" ht="15" customHeight="1" x14ac:dyDescent="0.3">
      <c r="A433" s="119">
        <v>2017</v>
      </c>
      <c r="B433" s="119" t="s">
        <v>38</v>
      </c>
      <c r="C433" s="119" t="s">
        <v>110</v>
      </c>
      <c r="D433" s="119" t="s">
        <v>111</v>
      </c>
      <c r="E433" s="119" t="s">
        <v>112</v>
      </c>
      <c r="F433" s="119" t="s">
        <v>147</v>
      </c>
      <c r="G433" s="119" t="s">
        <v>147</v>
      </c>
      <c r="H433" s="119" t="s">
        <v>147</v>
      </c>
      <c r="I433" s="163" t="s">
        <v>204</v>
      </c>
      <c r="J433" s="119" t="s">
        <v>575</v>
      </c>
      <c r="K433" s="119" t="s">
        <v>576</v>
      </c>
      <c r="L433" s="119" t="s">
        <v>148</v>
      </c>
      <c r="M433" s="119" t="s">
        <v>46</v>
      </c>
      <c r="N433" s="136">
        <v>0.02</v>
      </c>
      <c r="O433" s="135" t="s">
        <v>51</v>
      </c>
      <c r="P433" s="135"/>
      <c r="Q433" s="137">
        <v>551.83000000000004</v>
      </c>
      <c r="R433" s="137">
        <v>0</v>
      </c>
      <c r="S433" s="137">
        <v>237486.45</v>
      </c>
      <c r="T433" s="137">
        <f t="shared" si="72"/>
        <v>4749.7290000000003</v>
      </c>
      <c r="U433" s="137">
        <f t="shared" si="76"/>
        <v>242236.179</v>
      </c>
      <c r="V433" s="137">
        <v>295952.08</v>
      </c>
      <c r="W433" s="137">
        <f t="shared" si="77"/>
        <v>-53715.901000000013</v>
      </c>
      <c r="X433" s="137">
        <f t="shared" si="73"/>
        <v>-52662.648039215695</v>
      </c>
      <c r="Y433" s="137">
        <f t="shared" si="78"/>
        <v>-1053.2529607843171</v>
      </c>
      <c r="Z433" s="137">
        <v>242788.01</v>
      </c>
      <c r="AA433" s="137">
        <f t="shared" si="74"/>
        <v>53715.900000000023</v>
      </c>
      <c r="AB433" s="146">
        <f>IF(O433="返货",(Z433-Q433)/(1+N433),IF(O433="返现",(Z433-Q433),IF(O433="折扣",(Z433-Q433)*N433,IF(O433="无",(Z433-Q433)))))</f>
        <v>237486.45098039217</v>
      </c>
      <c r="AC433" s="147">
        <f t="shared" si="75"/>
        <v>5301.559019607841</v>
      </c>
      <c r="AD433" s="137">
        <f t="shared" si="80"/>
        <v>237999.58731697197</v>
      </c>
      <c r="AE433" s="138">
        <v>0.1077</v>
      </c>
      <c r="AF433" s="137">
        <f t="shared" si="82"/>
        <v>25632.555554037881</v>
      </c>
      <c r="AG433" s="137">
        <v>21387.7194613137</v>
      </c>
      <c r="AH433" s="154"/>
      <c r="AI433" s="154"/>
      <c r="AJ433" s="135" t="s">
        <v>173</v>
      </c>
      <c r="AK433" s="119" t="s">
        <v>173</v>
      </c>
      <c r="AM433" s="131"/>
    </row>
    <row r="434" spans="1:39" s="119" customFormat="1" ht="15" customHeight="1" x14ac:dyDescent="0.3">
      <c r="A434" s="119">
        <v>2017</v>
      </c>
      <c r="B434" s="119" t="s">
        <v>38</v>
      </c>
      <c r="C434" s="119" t="s">
        <v>110</v>
      </c>
      <c r="D434" s="119" t="s">
        <v>111</v>
      </c>
      <c r="E434" s="119" t="s">
        <v>112</v>
      </c>
      <c r="F434" s="119" t="s">
        <v>147</v>
      </c>
      <c r="G434" s="119" t="s">
        <v>147</v>
      </c>
      <c r="H434" s="119" t="s">
        <v>147</v>
      </c>
      <c r="I434" s="163" t="s">
        <v>204</v>
      </c>
      <c r="J434" s="119" t="s">
        <v>575</v>
      </c>
      <c r="K434" s="119" t="s">
        <v>576</v>
      </c>
      <c r="L434" s="119" t="s">
        <v>148</v>
      </c>
      <c r="M434" s="119" t="s">
        <v>185</v>
      </c>
      <c r="N434" s="136">
        <v>0.04</v>
      </c>
      <c r="O434" s="135" t="s">
        <v>51</v>
      </c>
      <c r="P434" s="135"/>
      <c r="Q434" s="137">
        <v>6619.42</v>
      </c>
      <c r="R434" s="137">
        <v>0</v>
      </c>
      <c r="S434" s="137">
        <v>52662.65</v>
      </c>
      <c r="T434" s="137">
        <f t="shared" si="72"/>
        <v>2106.5060000000003</v>
      </c>
      <c r="U434" s="137">
        <f t="shared" si="76"/>
        <v>54769.156000000003</v>
      </c>
      <c r="V434" s="137">
        <v>0</v>
      </c>
      <c r="W434" s="137">
        <f t="shared" si="77"/>
        <v>54769.156000000003</v>
      </c>
      <c r="X434" s="137">
        <f t="shared" si="73"/>
        <v>52662.65</v>
      </c>
      <c r="Y434" s="137">
        <f t="shared" si="78"/>
        <v>2106.5060000000012</v>
      </c>
      <c r="Z434" s="137">
        <v>60335.32</v>
      </c>
      <c r="AA434" s="137">
        <f t="shared" si="74"/>
        <v>-53715.9</v>
      </c>
      <c r="AB434" s="146">
        <f>IF(O434="返货",(Z434-Q434)/(1+N434),IF(O434="返现",(Z434-Q434),IF(O434="折扣",(Z434-Q434)*N434,IF(O434="无",(Z434-Q434)))))</f>
        <v>51649.903846153844</v>
      </c>
      <c r="AC434" s="147">
        <f t="shared" si="75"/>
        <v>8685.4161538461558</v>
      </c>
      <c r="AD434" s="137">
        <f t="shared" si="80"/>
        <v>59145.34766621072</v>
      </c>
      <c r="AE434" s="138">
        <v>0.31559999999999999</v>
      </c>
      <c r="AF434" s="137">
        <f t="shared" si="82"/>
        <v>18666.271723456102</v>
      </c>
      <c r="AG434" s="137">
        <v>16721.237761230801</v>
      </c>
      <c r="AH434" s="154"/>
      <c r="AI434" s="154"/>
      <c r="AJ434" s="135" t="s">
        <v>186</v>
      </c>
      <c r="AK434" s="119" t="s">
        <v>186</v>
      </c>
      <c r="AM434" s="131"/>
    </row>
    <row r="435" spans="1:39" s="119" customFormat="1" ht="15" customHeight="1" x14ac:dyDescent="0.3">
      <c r="A435" s="119">
        <v>2017</v>
      </c>
      <c r="B435" s="119" t="s">
        <v>199</v>
      </c>
      <c r="C435" s="119" t="s">
        <v>110</v>
      </c>
      <c r="D435" s="119" t="s">
        <v>111</v>
      </c>
      <c r="E435" s="119" t="s">
        <v>281</v>
      </c>
      <c r="F435" s="119" t="s">
        <v>614</v>
      </c>
      <c r="G435" s="119" t="s">
        <v>615</v>
      </c>
      <c r="H435" s="119" t="s">
        <v>615</v>
      </c>
      <c r="I435" s="163" t="s">
        <v>204</v>
      </c>
      <c r="J435" s="119" t="s">
        <v>575</v>
      </c>
      <c r="K435" s="119" t="s">
        <v>576</v>
      </c>
      <c r="L435" s="119" t="s">
        <v>614</v>
      </c>
      <c r="M435" s="119" t="s">
        <v>185</v>
      </c>
      <c r="N435" s="136">
        <v>0.1</v>
      </c>
      <c r="O435" s="135" t="s">
        <v>51</v>
      </c>
      <c r="P435" s="135"/>
      <c r="Q435" s="137">
        <v>0</v>
      </c>
      <c r="R435" s="137">
        <v>0</v>
      </c>
      <c r="S435" s="137">
        <v>183066.88</v>
      </c>
      <c r="T435" s="137">
        <f t="shared" si="72"/>
        <v>18306.688000000002</v>
      </c>
      <c r="U435" s="137">
        <f t="shared" si="76"/>
        <v>201373.568</v>
      </c>
      <c r="V435" s="137">
        <v>0</v>
      </c>
      <c r="W435" s="137">
        <f t="shared" si="77"/>
        <v>201373.568</v>
      </c>
      <c r="X435" s="137">
        <f t="shared" si="73"/>
        <v>183066.87999999998</v>
      </c>
      <c r="Y435" s="137">
        <f t="shared" si="78"/>
        <v>18306.688000000024</v>
      </c>
      <c r="Z435" s="137">
        <v>194283.15</v>
      </c>
      <c r="AA435" s="137">
        <f t="shared" si="74"/>
        <v>-194283.15</v>
      </c>
      <c r="AB435" s="146">
        <f t="shared" ref="AB435:AB449" si="83">IF(O435="返货",Z435/(1+N435),IF(O435="返现",Z435,IF(O435="折扣",Z435*N435,IF(O435="无",Z435))))</f>
        <v>176621.04545454544</v>
      </c>
      <c r="AC435" s="147">
        <f t="shared" si="75"/>
        <v>17662.104545454553</v>
      </c>
      <c r="AD435" s="137">
        <f t="shared" si="80"/>
        <v>190451.37164162827</v>
      </c>
      <c r="AE435" s="138">
        <v>0.31559999999999999</v>
      </c>
      <c r="AF435" s="137">
        <f t="shared" si="82"/>
        <v>60106.452890097877</v>
      </c>
      <c r="AG435" s="137">
        <v>43653.657594545402</v>
      </c>
      <c r="AH435" s="154"/>
      <c r="AI435" s="154"/>
      <c r="AJ435" s="135" t="s">
        <v>69</v>
      </c>
      <c r="AK435" s="119" t="s">
        <v>69</v>
      </c>
      <c r="AM435" s="131"/>
    </row>
    <row r="436" spans="1:39" s="119" customFormat="1" ht="15" customHeight="1" x14ac:dyDescent="0.3">
      <c r="A436" s="119">
        <v>2017</v>
      </c>
      <c r="B436" s="119" t="s">
        <v>199</v>
      </c>
      <c r="C436" s="119" t="s">
        <v>110</v>
      </c>
      <c r="D436" s="119" t="s">
        <v>111</v>
      </c>
      <c r="E436" s="119" t="s">
        <v>281</v>
      </c>
      <c r="F436" s="119" t="s">
        <v>614</v>
      </c>
      <c r="G436" s="119" t="s">
        <v>615</v>
      </c>
      <c r="H436" s="119" t="s">
        <v>615</v>
      </c>
      <c r="I436" s="163" t="s">
        <v>204</v>
      </c>
      <c r="J436" s="119" t="s">
        <v>575</v>
      </c>
      <c r="K436" s="119" t="s">
        <v>576</v>
      </c>
      <c r="L436" s="119" t="s">
        <v>614</v>
      </c>
      <c r="M436" s="119" t="s">
        <v>46</v>
      </c>
      <c r="N436" s="136">
        <v>0.03</v>
      </c>
      <c r="O436" s="135" t="s">
        <v>51</v>
      </c>
      <c r="P436" s="135"/>
      <c r="Q436" s="137">
        <v>0</v>
      </c>
      <c r="R436" s="137">
        <v>0</v>
      </c>
      <c r="S436" s="137">
        <v>367244.55</v>
      </c>
      <c r="T436" s="137">
        <f t="shared" si="72"/>
        <v>11017.336499999999</v>
      </c>
      <c r="U436" s="137">
        <f t="shared" si="76"/>
        <v>378261.88649999996</v>
      </c>
      <c r="V436" s="137">
        <v>769500</v>
      </c>
      <c r="W436" s="137">
        <f t="shared" si="77"/>
        <v>-391238.11350000004</v>
      </c>
      <c r="X436" s="137">
        <f t="shared" si="73"/>
        <v>-379842.82864077674</v>
      </c>
      <c r="Y436" s="137">
        <f t="shared" si="78"/>
        <v>-11395.284859223291</v>
      </c>
      <c r="Z436" s="137">
        <v>378280.07</v>
      </c>
      <c r="AA436" s="137">
        <f t="shared" si="74"/>
        <v>391219.93</v>
      </c>
      <c r="AB436" s="146">
        <f t="shared" si="83"/>
        <v>367262.20388349512</v>
      </c>
      <c r="AC436" s="147">
        <f t="shared" si="75"/>
        <v>11017.866116504883</v>
      </c>
      <c r="AD436" s="137">
        <f t="shared" si="80"/>
        <v>370819.38498624897</v>
      </c>
      <c r="AE436" s="138">
        <v>0.1077</v>
      </c>
      <c r="AF436" s="137">
        <f t="shared" si="82"/>
        <v>39937.247763019019</v>
      </c>
      <c r="AG436" s="137">
        <v>29722.897422495102</v>
      </c>
      <c r="AH436" s="154"/>
      <c r="AI436" s="154"/>
      <c r="AJ436" s="135" t="s">
        <v>189</v>
      </c>
      <c r="AK436" s="119" t="s">
        <v>189</v>
      </c>
      <c r="AM436" s="131"/>
    </row>
    <row r="437" spans="1:39" s="119" customFormat="1" ht="15" customHeight="1" x14ac:dyDescent="0.3">
      <c r="A437" s="119">
        <v>2017</v>
      </c>
      <c r="B437" s="119" t="s">
        <v>252</v>
      </c>
      <c r="C437" s="119" t="s">
        <v>110</v>
      </c>
      <c r="D437" s="119" t="s">
        <v>111</v>
      </c>
      <c r="E437" s="119" t="s">
        <v>281</v>
      </c>
      <c r="F437" s="119" t="s">
        <v>616</v>
      </c>
      <c r="G437" s="119" t="s">
        <v>617</v>
      </c>
      <c r="H437" s="119" t="s">
        <v>617</v>
      </c>
      <c r="I437" s="163" t="s">
        <v>204</v>
      </c>
      <c r="J437" s="119" t="s">
        <v>603</v>
      </c>
      <c r="K437" s="119" t="s">
        <v>618</v>
      </c>
      <c r="L437" s="119" t="s">
        <v>616</v>
      </c>
      <c r="M437" s="119" t="s">
        <v>46</v>
      </c>
      <c r="N437" s="136">
        <v>0.02</v>
      </c>
      <c r="O437" s="135" t="s">
        <v>51</v>
      </c>
      <c r="P437" s="135"/>
      <c r="Q437" s="137">
        <v>0</v>
      </c>
      <c r="R437" s="137">
        <v>0</v>
      </c>
      <c r="S437" s="137">
        <v>30396.37</v>
      </c>
      <c r="T437" s="137">
        <f t="shared" si="72"/>
        <v>607.92740000000003</v>
      </c>
      <c r="U437" s="137">
        <f t="shared" si="76"/>
        <v>31004.297399999999</v>
      </c>
      <c r="V437" s="137">
        <v>40600</v>
      </c>
      <c r="W437" s="137">
        <f t="shared" si="77"/>
        <v>-9595.7026000000005</v>
      </c>
      <c r="X437" s="137">
        <f t="shared" si="73"/>
        <v>-9407.5515686274521</v>
      </c>
      <c r="Y437" s="137">
        <f t="shared" si="78"/>
        <v>-188.15103137254846</v>
      </c>
      <c r="Z437" s="137">
        <v>31004.3</v>
      </c>
      <c r="AA437" s="137">
        <f t="shared" si="74"/>
        <v>9595.7000000000007</v>
      </c>
      <c r="AB437" s="146">
        <f t="shared" si="83"/>
        <v>30396.372549019608</v>
      </c>
      <c r="AC437" s="147">
        <f t="shared" si="75"/>
        <v>607.92745098039086</v>
      </c>
      <c r="AD437" s="137">
        <v>31004.3</v>
      </c>
      <c r="AE437" s="138">
        <v>7.0000000000000007E-2</v>
      </c>
      <c r="AF437" s="137">
        <f t="shared" si="82"/>
        <v>2170.3009999999999</v>
      </c>
      <c r="AG437" s="137">
        <v>1562.37354901961</v>
      </c>
      <c r="AH437" s="154"/>
      <c r="AI437" s="154"/>
      <c r="AJ437" s="135" t="s">
        <v>173</v>
      </c>
      <c r="AK437" s="119" t="s">
        <v>173</v>
      </c>
      <c r="AM437" s="131"/>
    </row>
    <row r="438" spans="1:39" s="119" customFormat="1" ht="15" customHeight="1" x14ac:dyDescent="0.3">
      <c r="A438" s="119">
        <v>2017</v>
      </c>
      <c r="B438" s="119" t="s">
        <v>199</v>
      </c>
      <c r="C438" s="119" t="s">
        <v>110</v>
      </c>
      <c r="D438" s="119" t="s">
        <v>111</v>
      </c>
      <c r="E438" s="119" t="s">
        <v>281</v>
      </c>
      <c r="F438" s="119" t="s">
        <v>619</v>
      </c>
      <c r="G438" s="119" t="s">
        <v>620</v>
      </c>
      <c r="H438" s="119" t="s">
        <v>620</v>
      </c>
      <c r="I438" s="163" t="s">
        <v>204</v>
      </c>
      <c r="J438" s="119" t="s">
        <v>603</v>
      </c>
      <c r="K438" s="119" t="s">
        <v>618</v>
      </c>
      <c r="L438" s="119" t="s">
        <v>619</v>
      </c>
      <c r="M438" s="119" t="s">
        <v>46</v>
      </c>
      <c r="N438" s="136">
        <v>0.02</v>
      </c>
      <c r="O438" s="135" t="s">
        <v>51</v>
      </c>
      <c r="P438" s="135"/>
      <c r="Q438" s="137">
        <v>0</v>
      </c>
      <c r="R438" s="137">
        <v>0</v>
      </c>
      <c r="S438" s="137">
        <v>28134.02</v>
      </c>
      <c r="T438" s="137">
        <f t="shared" si="72"/>
        <v>562.68040000000008</v>
      </c>
      <c r="U438" s="137">
        <f t="shared" si="76"/>
        <v>28696.700400000002</v>
      </c>
      <c r="V438" s="137">
        <v>0</v>
      </c>
      <c r="W438" s="137">
        <f t="shared" si="77"/>
        <v>28696.700400000002</v>
      </c>
      <c r="X438" s="137">
        <f t="shared" si="73"/>
        <v>28134.02</v>
      </c>
      <c r="Y438" s="137">
        <f t="shared" si="78"/>
        <v>562.6804000000011</v>
      </c>
      <c r="Z438" s="137">
        <v>18198.2</v>
      </c>
      <c r="AA438" s="137">
        <f t="shared" si="74"/>
        <v>-18198.2</v>
      </c>
      <c r="AB438" s="146">
        <f t="shared" si="83"/>
        <v>17841.372549019608</v>
      </c>
      <c r="AC438" s="147">
        <f t="shared" si="75"/>
        <v>356.82745098039231</v>
      </c>
      <c r="AD438" s="137">
        <v>18198.2</v>
      </c>
      <c r="AE438" s="138">
        <v>7.0000000000000007E-2</v>
      </c>
      <c r="AF438" s="137">
        <f t="shared" si="82"/>
        <v>1273.8740000000003</v>
      </c>
      <c r="AG438" s="137">
        <v>917.04654901960805</v>
      </c>
      <c r="AH438" s="154"/>
      <c r="AI438" s="154"/>
      <c r="AJ438" s="135" t="s">
        <v>173</v>
      </c>
      <c r="AK438" s="119" t="s">
        <v>173</v>
      </c>
      <c r="AM438" s="131"/>
    </row>
    <row r="439" spans="1:39" s="119" customFormat="1" ht="15" customHeight="1" x14ac:dyDescent="0.3">
      <c r="A439" s="119">
        <v>2017</v>
      </c>
      <c r="B439" s="119" t="s">
        <v>199</v>
      </c>
      <c r="C439" s="119" t="s">
        <v>110</v>
      </c>
      <c r="D439" s="119" t="s">
        <v>111</v>
      </c>
      <c r="E439" s="119" t="s">
        <v>281</v>
      </c>
      <c r="F439" s="119" t="s">
        <v>619</v>
      </c>
      <c r="G439" s="119" t="s">
        <v>620</v>
      </c>
      <c r="H439" s="119" t="s">
        <v>620</v>
      </c>
      <c r="I439" s="163" t="s">
        <v>204</v>
      </c>
      <c r="J439" s="119" t="s">
        <v>603</v>
      </c>
      <c r="K439" s="119" t="s">
        <v>618</v>
      </c>
      <c r="L439" s="119" t="s">
        <v>619</v>
      </c>
      <c r="M439" s="119" t="s">
        <v>185</v>
      </c>
      <c r="N439" s="136">
        <v>0.05</v>
      </c>
      <c r="O439" s="135" t="s">
        <v>51</v>
      </c>
      <c r="P439" s="135"/>
      <c r="Q439" s="137">
        <v>0</v>
      </c>
      <c r="R439" s="137">
        <v>0</v>
      </c>
      <c r="S439" s="137">
        <v>21865.98</v>
      </c>
      <c r="T439" s="137">
        <f t="shared" si="72"/>
        <v>1093.299</v>
      </c>
      <c r="U439" s="137">
        <f t="shared" si="76"/>
        <v>22959.278999999999</v>
      </c>
      <c r="V439" s="137">
        <v>0</v>
      </c>
      <c r="W439" s="137">
        <f t="shared" si="77"/>
        <v>22959.278999999999</v>
      </c>
      <c r="X439" s="137">
        <f t="shared" si="73"/>
        <v>21865.98</v>
      </c>
      <c r="Y439" s="137">
        <f t="shared" si="78"/>
        <v>1093.2989999999991</v>
      </c>
      <c r="Z439" s="137">
        <v>22303.3</v>
      </c>
      <c r="AA439" s="137">
        <f t="shared" si="74"/>
        <v>-22303.3</v>
      </c>
      <c r="AB439" s="146">
        <f t="shared" si="83"/>
        <v>21241.238095238095</v>
      </c>
      <c r="AC439" s="147">
        <f t="shared" si="75"/>
        <v>1062.0619047619039</v>
      </c>
      <c r="AD439" s="137">
        <v>22303.3</v>
      </c>
      <c r="AE439" s="138">
        <v>0.2</v>
      </c>
      <c r="AF439" s="137">
        <f t="shared" si="82"/>
        <v>4460.66</v>
      </c>
      <c r="AG439" s="137">
        <v>3398.5980952381001</v>
      </c>
      <c r="AH439" s="154"/>
      <c r="AI439" s="154"/>
      <c r="AJ439" s="135" t="s">
        <v>63</v>
      </c>
      <c r="AK439" s="119" t="s">
        <v>63</v>
      </c>
      <c r="AM439" s="131"/>
    </row>
    <row r="440" spans="1:39" s="119" customFormat="1" ht="15" customHeight="1" x14ac:dyDescent="0.3">
      <c r="A440" s="119">
        <v>2017</v>
      </c>
      <c r="B440" s="119" t="s">
        <v>199</v>
      </c>
      <c r="C440" s="119" t="s">
        <v>110</v>
      </c>
      <c r="D440" s="119" t="s">
        <v>111</v>
      </c>
      <c r="E440" s="119" t="s">
        <v>281</v>
      </c>
      <c r="F440" s="119" t="s">
        <v>619</v>
      </c>
      <c r="G440" s="119" t="s">
        <v>620</v>
      </c>
      <c r="H440" s="119" t="s">
        <v>620</v>
      </c>
      <c r="I440" s="163" t="s">
        <v>204</v>
      </c>
      <c r="J440" s="119" t="s">
        <v>205</v>
      </c>
      <c r="K440" s="119" t="s">
        <v>206</v>
      </c>
      <c r="L440" s="119" t="s">
        <v>619</v>
      </c>
      <c r="M440" s="119" t="s">
        <v>46</v>
      </c>
      <c r="N440" s="136">
        <v>0.02</v>
      </c>
      <c r="O440" s="135" t="s">
        <v>51</v>
      </c>
      <c r="P440" s="135"/>
      <c r="Q440" s="137">
        <v>0</v>
      </c>
      <c r="R440" s="137">
        <v>0</v>
      </c>
      <c r="S440" s="137">
        <v>150000</v>
      </c>
      <c r="T440" s="137">
        <f t="shared" si="72"/>
        <v>3000</v>
      </c>
      <c r="U440" s="137">
        <f t="shared" si="76"/>
        <v>153000</v>
      </c>
      <c r="V440" s="137">
        <v>153000</v>
      </c>
      <c r="W440" s="137">
        <f t="shared" si="77"/>
        <v>0</v>
      </c>
      <c r="X440" s="137">
        <f t="shared" si="73"/>
        <v>0</v>
      </c>
      <c r="Y440" s="137">
        <f t="shared" si="78"/>
        <v>0</v>
      </c>
      <c r="Z440" s="137">
        <v>112498.5</v>
      </c>
      <c r="AA440" s="137">
        <f t="shared" si="74"/>
        <v>40501.5</v>
      </c>
      <c r="AB440" s="146">
        <f t="shared" si="83"/>
        <v>110292.64705882352</v>
      </c>
      <c r="AC440" s="147">
        <f t="shared" si="75"/>
        <v>2205.8529411764757</v>
      </c>
      <c r="AD440" s="137">
        <v>112498.5</v>
      </c>
      <c r="AE440" s="138">
        <v>7.0000000000000007E-2</v>
      </c>
      <c r="AF440" s="137">
        <f t="shared" si="82"/>
        <v>7874.8950000000004</v>
      </c>
      <c r="AG440" s="137">
        <v>5669.0420588235202</v>
      </c>
      <c r="AH440" s="154"/>
      <c r="AI440" s="154"/>
      <c r="AJ440" s="135" t="s">
        <v>173</v>
      </c>
      <c r="AK440" s="119" t="s">
        <v>173</v>
      </c>
      <c r="AM440" s="131"/>
    </row>
    <row r="441" spans="1:39" s="119" customFormat="1" ht="15" customHeight="1" x14ac:dyDescent="0.3">
      <c r="A441" s="119">
        <v>2017</v>
      </c>
      <c r="B441" s="119" t="s">
        <v>199</v>
      </c>
      <c r="C441" s="119" t="s">
        <v>110</v>
      </c>
      <c r="D441" s="119" t="s">
        <v>111</v>
      </c>
      <c r="E441" s="119" t="s">
        <v>281</v>
      </c>
      <c r="F441" s="119" t="s">
        <v>621</v>
      </c>
      <c r="G441" s="119" t="s">
        <v>622</v>
      </c>
      <c r="H441" s="119" t="s">
        <v>622</v>
      </c>
      <c r="I441" s="163" t="s">
        <v>204</v>
      </c>
      <c r="J441" s="119" t="s">
        <v>575</v>
      </c>
      <c r="K441" s="119" t="s">
        <v>576</v>
      </c>
      <c r="L441" s="119" t="s">
        <v>621</v>
      </c>
      <c r="M441" s="119" t="s">
        <v>46</v>
      </c>
      <c r="N441" s="136">
        <v>0.02</v>
      </c>
      <c r="O441" s="135" t="s">
        <v>51</v>
      </c>
      <c r="P441" s="135"/>
      <c r="Q441" s="137">
        <v>0</v>
      </c>
      <c r="R441" s="137">
        <v>0</v>
      </c>
      <c r="S441" s="137">
        <v>28803.53</v>
      </c>
      <c r="T441" s="137">
        <f t="shared" si="72"/>
        <v>576.07060000000001</v>
      </c>
      <c r="U441" s="137">
        <f t="shared" si="76"/>
        <v>29379.600599999998</v>
      </c>
      <c r="V441" s="137">
        <v>30600</v>
      </c>
      <c r="W441" s="137">
        <f t="shared" si="77"/>
        <v>-1220.3994000000021</v>
      </c>
      <c r="X441" s="137">
        <f t="shared" si="73"/>
        <v>-1196.4700000000021</v>
      </c>
      <c r="Y441" s="137">
        <f t="shared" si="78"/>
        <v>-23.929399999999987</v>
      </c>
      <c r="Z441" s="137">
        <v>29379.599999999999</v>
      </c>
      <c r="AA441" s="137">
        <f t="shared" si="74"/>
        <v>1220.4000000000015</v>
      </c>
      <c r="AB441" s="146">
        <f t="shared" si="83"/>
        <v>28803.529411764703</v>
      </c>
      <c r="AC441" s="147">
        <f t="shared" si="75"/>
        <v>576.07058823529587</v>
      </c>
      <c r="AD441" s="137">
        <f>Z441*0.980277351080772</f>
        <v>28800.156463812647</v>
      </c>
      <c r="AE441" s="138">
        <v>0.1077</v>
      </c>
      <c r="AF441" s="137">
        <f t="shared" si="82"/>
        <v>3101.7768511526224</v>
      </c>
      <c r="AG441" s="137">
        <v>2588.1123317646998</v>
      </c>
      <c r="AH441" s="154"/>
      <c r="AI441" s="154"/>
      <c r="AJ441" s="135" t="s">
        <v>173</v>
      </c>
      <c r="AK441" s="119" t="s">
        <v>173</v>
      </c>
      <c r="AM441" s="131"/>
    </row>
    <row r="442" spans="1:39" s="119" customFormat="1" ht="15" customHeight="1" x14ac:dyDescent="0.3">
      <c r="A442" s="119">
        <v>2017</v>
      </c>
      <c r="B442" s="119" t="s">
        <v>199</v>
      </c>
      <c r="C442" s="119" t="s">
        <v>110</v>
      </c>
      <c r="D442" s="119" t="s">
        <v>111</v>
      </c>
      <c r="E442" s="119" t="s">
        <v>281</v>
      </c>
      <c r="F442" s="119" t="s">
        <v>621</v>
      </c>
      <c r="G442" s="119" t="s">
        <v>622</v>
      </c>
      <c r="H442" s="119" t="s">
        <v>622</v>
      </c>
      <c r="I442" s="163" t="s">
        <v>204</v>
      </c>
      <c r="J442" s="119" t="s">
        <v>575</v>
      </c>
      <c r="K442" s="119" t="s">
        <v>576</v>
      </c>
      <c r="L442" s="119" t="s">
        <v>621</v>
      </c>
      <c r="M442" s="119" t="s">
        <v>185</v>
      </c>
      <c r="N442" s="136">
        <v>0.08</v>
      </c>
      <c r="O442" s="135" t="s">
        <v>51</v>
      </c>
      <c r="P442" s="135"/>
      <c r="Q442" s="137">
        <v>0</v>
      </c>
      <c r="R442" s="137">
        <v>0</v>
      </c>
      <c r="S442" s="137">
        <v>1196.47</v>
      </c>
      <c r="T442" s="137">
        <f t="shared" si="72"/>
        <v>95.717600000000004</v>
      </c>
      <c r="U442" s="137">
        <f t="shared" si="76"/>
        <v>1292.1876</v>
      </c>
      <c r="V442" s="137">
        <v>0</v>
      </c>
      <c r="W442" s="137">
        <f t="shared" si="77"/>
        <v>1292.1876</v>
      </c>
      <c r="X442" s="137">
        <f t="shared" si="73"/>
        <v>1196.4699999999998</v>
      </c>
      <c r="Y442" s="137">
        <f t="shared" si="78"/>
        <v>95.717600000000175</v>
      </c>
      <c r="Z442" s="137">
        <v>1220.4000000000001</v>
      </c>
      <c r="AA442" s="137">
        <f t="shared" si="74"/>
        <v>-1220.4000000000001</v>
      </c>
      <c r="AB442" s="146">
        <f t="shared" si="83"/>
        <v>1130</v>
      </c>
      <c r="AC442" s="147">
        <f t="shared" si="75"/>
        <v>90.400000000000091</v>
      </c>
      <c r="AD442" s="137">
        <f>Z442*0.980277351080772</f>
        <v>1196.3304792589743</v>
      </c>
      <c r="AE442" s="138">
        <v>0.31559999999999999</v>
      </c>
      <c r="AF442" s="137">
        <f t="shared" si="82"/>
        <v>377.56189925413224</v>
      </c>
      <c r="AG442" s="137">
        <v>294.75824</v>
      </c>
      <c r="AH442" s="154"/>
      <c r="AI442" s="154"/>
      <c r="AJ442" s="135" t="s">
        <v>53</v>
      </c>
      <c r="AK442" s="119" t="s">
        <v>53</v>
      </c>
      <c r="AM442" s="131"/>
    </row>
    <row r="443" spans="1:39" s="119" customFormat="1" ht="15" customHeight="1" x14ac:dyDescent="0.3">
      <c r="A443" s="119">
        <v>2017</v>
      </c>
      <c r="B443" s="119" t="s">
        <v>38</v>
      </c>
      <c r="C443" s="119" t="s">
        <v>110</v>
      </c>
      <c r="D443" s="119" t="s">
        <v>111</v>
      </c>
      <c r="E443" s="119" t="s">
        <v>281</v>
      </c>
      <c r="F443" s="119" t="s">
        <v>623</v>
      </c>
      <c r="G443" s="119" t="s">
        <v>623</v>
      </c>
      <c r="H443" s="119" t="s">
        <v>623</v>
      </c>
      <c r="I443" s="163" t="s">
        <v>204</v>
      </c>
      <c r="J443" s="119" t="s">
        <v>624</v>
      </c>
      <c r="K443" s="119" t="s">
        <v>625</v>
      </c>
      <c r="L443" s="119" t="s">
        <v>623</v>
      </c>
      <c r="M443" s="119" t="s">
        <v>46</v>
      </c>
      <c r="N443" s="136">
        <v>0.02</v>
      </c>
      <c r="O443" s="135" t="s">
        <v>51</v>
      </c>
      <c r="P443" s="135"/>
      <c r="Q443" s="137">
        <v>0</v>
      </c>
      <c r="R443" s="137">
        <v>0</v>
      </c>
      <c r="S443" s="137">
        <v>78529.41</v>
      </c>
      <c r="T443" s="137">
        <f t="shared" si="72"/>
        <v>1570.5882000000001</v>
      </c>
      <c r="U443" s="137">
        <f t="shared" si="76"/>
        <v>80099.998200000002</v>
      </c>
      <c r="V443" s="137">
        <v>132600</v>
      </c>
      <c r="W443" s="137">
        <f t="shared" si="77"/>
        <v>-52500.001799999998</v>
      </c>
      <c r="X443" s="137">
        <f t="shared" si="73"/>
        <v>-51470.59</v>
      </c>
      <c r="Y443" s="137">
        <f t="shared" si="78"/>
        <v>-1029.4118000000017</v>
      </c>
      <c r="Z443" s="137">
        <v>131100</v>
      </c>
      <c r="AA443" s="137">
        <f t="shared" si="74"/>
        <v>1500</v>
      </c>
      <c r="AB443" s="146">
        <f t="shared" si="83"/>
        <v>128529.41176470587</v>
      </c>
      <c r="AC443" s="147">
        <f t="shared" si="75"/>
        <v>2570.5882352941262</v>
      </c>
      <c r="AD443" s="137">
        <f>Z443*0.905731236248844</f>
        <v>118741.36507222345</v>
      </c>
      <c r="AE443" s="138">
        <v>7.0000000000000007E-2</v>
      </c>
      <c r="AF443" s="137">
        <f t="shared" si="82"/>
        <v>8311.895555055642</v>
      </c>
      <c r="AG443" s="137">
        <v>6606.4117647058702</v>
      </c>
      <c r="AH443" s="154"/>
      <c r="AI443" s="154"/>
      <c r="AJ443" s="135" t="s">
        <v>173</v>
      </c>
      <c r="AK443" s="119" t="s">
        <v>173</v>
      </c>
      <c r="AM443" s="131"/>
    </row>
    <row r="444" spans="1:39" s="119" customFormat="1" ht="15" customHeight="1" x14ac:dyDescent="0.3">
      <c r="A444" s="119">
        <v>2017</v>
      </c>
      <c r="B444" s="119" t="s">
        <v>199</v>
      </c>
      <c r="C444" s="119" t="s">
        <v>75</v>
      </c>
      <c r="D444" s="119" t="s">
        <v>518</v>
      </c>
      <c r="F444" s="131" t="s">
        <v>626</v>
      </c>
      <c r="G444" s="131" t="s">
        <v>627</v>
      </c>
      <c r="H444" s="131" t="s">
        <v>628</v>
      </c>
      <c r="I444" s="131" t="s">
        <v>204</v>
      </c>
      <c r="J444" s="119" t="s">
        <v>624</v>
      </c>
      <c r="K444" s="119" t="s">
        <v>625</v>
      </c>
      <c r="L444" s="119" t="s">
        <v>626</v>
      </c>
      <c r="M444" s="119" t="s">
        <v>185</v>
      </c>
      <c r="N444" s="136">
        <v>0.05</v>
      </c>
      <c r="O444" s="135" t="s">
        <v>51</v>
      </c>
      <c r="P444" s="135"/>
      <c r="Q444" s="137">
        <v>0</v>
      </c>
      <c r="R444" s="137">
        <v>0</v>
      </c>
      <c r="S444" s="137"/>
      <c r="T444" s="137">
        <f t="shared" si="72"/>
        <v>0</v>
      </c>
      <c r="U444" s="137">
        <f t="shared" si="76"/>
        <v>0</v>
      </c>
      <c r="V444" s="137">
        <v>0</v>
      </c>
      <c r="W444" s="137">
        <f t="shared" si="77"/>
        <v>0</v>
      </c>
      <c r="X444" s="137">
        <f t="shared" si="73"/>
        <v>0</v>
      </c>
      <c r="Y444" s="137">
        <f t="shared" si="78"/>
        <v>0</v>
      </c>
      <c r="Z444" s="137">
        <v>122453.03</v>
      </c>
      <c r="AA444" s="137">
        <f t="shared" si="74"/>
        <v>-122453.03</v>
      </c>
      <c r="AB444" s="146">
        <f t="shared" si="83"/>
        <v>116621.93333333333</v>
      </c>
      <c r="AC444" s="147">
        <f t="shared" si="75"/>
        <v>5831.0966666666645</v>
      </c>
      <c r="AD444" s="137">
        <f>Z444*0.734226585667168</f>
        <v>89908.270121499299</v>
      </c>
      <c r="AE444" s="138">
        <v>0.2</v>
      </c>
      <c r="AF444" s="137">
        <f t="shared" si="82"/>
        <v>17981.65402429986</v>
      </c>
      <c r="AG444" s="137">
        <v>24490.606</v>
      </c>
      <c r="AH444" s="154"/>
      <c r="AI444" s="154"/>
      <c r="AJ444" s="136">
        <v>0.05</v>
      </c>
      <c r="AM444" s="131" t="s">
        <v>208</v>
      </c>
    </row>
    <row r="445" spans="1:39" s="119" customFormat="1" ht="15" customHeight="1" x14ac:dyDescent="0.3">
      <c r="A445" s="119">
        <v>2017</v>
      </c>
      <c r="B445" s="119" t="s">
        <v>38</v>
      </c>
      <c r="C445" s="119" t="s">
        <v>110</v>
      </c>
      <c r="D445" s="119" t="s">
        <v>111</v>
      </c>
      <c r="E445" s="119" t="s">
        <v>281</v>
      </c>
      <c r="F445" s="119" t="s">
        <v>623</v>
      </c>
      <c r="G445" s="119" t="s">
        <v>623</v>
      </c>
      <c r="H445" s="119" t="s">
        <v>623</v>
      </c>
      <c r="I445" s="163" t="s">
        <v>204</v>
      </c>
      <c r="J445" s="119" t="s">
        <v>575</v>
      </c>
      <c r="K445" s="119" t="s">
        <v>576</v>
      </c>
      <c r="L445" s="119" t="s">
        <v>623</v>
      </c>
      <c r="M445" s="119" t="s">
        <v>46</v>
      </c>
      <c r="N445" s="136">
        <v>0.02</v>
      </c>
      <c r="O445" s="135" t="s">
        <v>51</v>
      </c>
      <c r="P445" s="135"/>
      <c r="Q445" s="137">
        <v>0</v>
      </c>
      <c r="R445" s="137">
        <v>0</v>
      </c>
      <c r="S445" s="137">
        <v>50000</v>
      </c>
      <c r="T445" s="137">
        <f t="shared" si="72"/>
        <v>1000</v>
      </c>
      <c r="U445" s="137">
        <f t="shared" si="76"/>
        <v>51000</v>
      </c>
      <c r="V445" s="137">
        <v>0</v>
      </c>
      <c r="W445" s="137">
        <f t="shared" si="77"/>
        <v>51000</v>
      </c>
      <c r="X445" s="137">
        <f t="shared" si="73"/>
        <v>50000</v>
      </c>
      <c r="Y445" s="137">
        <f t="shared" si="78"/>
        <v>1000</v>
      </c>
      <c r="Z445" s="137">
        <v>0</v>
      </c>
      <c r="AA445" s="137">
        <f t="shared" si="74"/>
        <v>0</v>
      </c>
      <c r="AB445" s="146">
        <f t="shared" si="83"/>
        <v>0</v>
      </c>
      <c r="AC445" s="147">
        <f t="shared" si="75"/>
        <v>0</v>
      </c>
      <c r="AD445" s="137">
        <f t="shared" ref="AD445:AD455" si="84">Z445*0.980277351080772</f>
        <v>0</v>
      </c>
      <c r="AE445" s="138">
        <v>0.1077</v>
      </c>
      <c r="AF445" s="137">
        <f t="shared" si="82"/>
        <v>0</v>
      </c>
      <c r="AG445" s="137">
        <v>0</v>
      </c>
      <c r="AH445" s="154"/>
      <c r="AI445" s="154"/>
      <c r="AJ445" s="135" t="s">
        <v>629</v>
      </c>
      <c r="AK445" s="119" t="s">
        <v>629</v>
      </c>
      <c r="AM445" s="131"/>
    </row>
    <row r="446" spans="1:39" s="119" customFormat="1" ht="15" customHeight="1" x14ac:dyDescent="0.3">
      <c r="A446" s="119">
        <v>2017</v>
      </c>
      <c r="B446" s="119" t="s">
        <v>38</v>
      </c>
      <c r="C446" s="119" t="s">
        <v>110</v>
      </c>
      <c r="D446" s="119" t="s">
        <v>111</v>
      </c>
      <c r="E446" s="119" t="s">
        <v>253</v>
      </c>
      <c r="F446" s="119" t="s">
        <v>630</v>
      </c>
      <c r="G446" s="119" t="s">
        <v>630</v>
      </c>
      <c r="H446" s="119" t="s">
        <v>630</v>
      </c>
      <c r="I446" s="163" t="s">
        <v>204</v>
      </c>
      <c r="J446" s="119" t="s">
        <v>575</v>
      </c>
      <c r="K446" s="119" t="s">
        <v>576</v>
      </c>
      <c r="L446" s="119" t="s">
        <v>631</v>
      </c>
      <c r="M446" s="119" t="s">
        <v>46</v>
      </c>
      <c r="N446" s="136">
        <v>0.05</v>
      </c>
      <c r="O446" s="135" t="s">
        <v>51</v>
      </c>
      <c r="P446" s="135"/>
      <c r="Q446" s="137">
        <v>0</v>
      </c>
      <c r="R446" s="137">
        <v>0</v>
      </c>
      <c r="S446" s="137">
        <v>361409.23</v>
      </c>
      <c r="T446" s="137">
        <f t="shared" si="72"/>
        <v>18070.461500000001</v>
      </c>
      <c r="U446" s="137">
        <f t="shared" si="76"/>
        <v>379479.69149999996</v>
      </c>
      <c r="V446" s="137">
        <v>370000</v>
      </c>
      <c r="W446" s="137">
        <f t="shared" si="77"/>
        <v>9479.6914999999572</v>
      </c>
      <c r="X446" s="137">
        <f t="shared" si="73"/>
        <v>9028.2776190475779</v>
      </c>
      <c r="Y446" s="137">
        <f t="shared" si="78"/>
        <v>451.41388095237926</v>
      </c>
      <c r="Z446" s="137">
        <v>332168.49</v>
      </c>
      <c r="AA446" s="137">
        <f t="shared" si="74"/>
        <v>37831.510000000009</v>
      </c>
      <c r="AB446" s="146">
        <f t="shared" si="83"/>
        <v>316350.94285714283</v>
      </c>
      <c r="AC446" s="147">
        <f t="shared" si="75"/>
        <v>15817.547142857162</v>
      </c>
      <c r="AD446" s="137">
        <f t="shared" si="84"/>
        <v>325617.24748969986</v>
      </c>
      <c r="AE446" s="138">
        <v>0.1077</v>
      </c>
      <c r="AF446" s="137">
        <f t="shared" si="82"/>
        <v>35068.977554640674</v>
      </c>
      <c r="AG446" s="137">
        <v>19956.999230142799</v>
      </c>
      <c r="AH446" s="154"/>
      <c r="AI446" s="154"/>
      <c r="AJ446" s="136">
        <v>0.05</v>
      </c>
      <c r="AK446" s="156">
        <v>0.05</v>
      </c>
      <c r="AM446" s="131"/>
    </row>
    <row r="447" spans="1:39" s="119" customFormat="1" ht="15" customHeight="1" x14ac:dyDescent="0.3">
      <c r="A447" s="119">
        <v>2017</v>
      </c>
      <c r="B447" s="119" t="s">
        <v>38</v>
      </c>
      <c r="C447" s="119" t="s">
        <v>88</v>
      </c>
      <c r="D447" s="119" t="s">
        <v>89</v>
      </c>
      <c r="E447" s="119" t="s">
        <v>124</v>
      </c>
      <c r="F447" s="119" t="s">
        <v>632</v>
      </c>
      <c r="G447" s="119" t="s">
        <v>632</v>
      </c>
      <c r="H447" s="119" t="s">
        <v>632</v>
      </c>
      <c r="I447" s="163" t="s">
        <v>204</v>
      </c>
      <c r="J447" s="119" t="s">
        <v>575</v>
      </c>
      <c r="K447" s="119" t="s">
        <v>576</v>
      </c>
      <c r="L447" s="119" t="s">
        <v>632</v>
      </c>
      <c r="M447" s="119" t="s">
        <v>46</v>
      </c>
      <c r="N447" s="136">
        <v>0.02</v>
      </c>
      <c r="O447" s="135" t="s">
        <v>51</v>
      </c>
      <c r="P447" s="135"/>
      <c r="Q447" s="137">
        <v>0</v>
      </c>
      <c r="R447" s="137">
        <v>0</v>
      </c>
      <c r="S447" s="137">
        <v>10000</v>
      </c>
      <c r="T447" s="137">
        <f t="shared" si="72"/>
        <v>200</v>
      </c>
      <c r="U447" s="137">
        <f t="shared" si="76"/>
        <v>10200</v>
      </c>
      <c r="V447" s="137">
        <v>10200</v>
      </c>
      <c r="W447" s="137">
        <f t="shared" si="77"/>
        <v>0</v>
      </c>
      <c r="X447" s="137">
        <f t="shared" si="73"/>
        <v>0</v>
      </c>
      <c r="Y447" s="137">
        <f t="shared" si="78"/>
        <v>0</v>
      </c>
      <c r="Z447" s="137">
        <v>8799</v>
      </c>
      <c r="AA447" s="137">
        <f t="shared" si="74"/>
        <v>1401</v>
      </c>
      <c r="AB447" s="146">
        <f t="shared" si="83"/>
        <v>8626.4705882352937</v>
      </c>
      <c r="AC447" s="147">
        <f t="shared" si="75"/>
        <v>172.52941176470631</v>
      </c>
      <c r="AD447" s="137">
        <f t="shared" si="84"/>
        <v>8625.4604121597131</v>
      </c>
      <c r="AE447" s="138">
        <v>0.1077</v>
      </c>
      <c r="AF447" s="137">
        <f t="shared" si="82"/>
        <v>928.96208638960115</v>
      </c>
      <c r="AG447" s="137">
        <v>609.22922307692204</v>
      </c>
      <c r="AH447" s="154"/>
      <c r="AI447" s="154"/>
      <c r="AJ447" s="136">
        <v>0.02</v>
      </c>
      <c r="AK447" s="156">
        <v>0.02</v>
      </c>
      <c r="AM447" s="131"/>
    </row>
    <row r="448" spans="1:39" s="119" customFormat="1" ht="15" customHeight="1" x14ac:dyDescent="0.3">
      <c r="A448" s="119">
        <v>2017</v>
      </c>
      <c r="B448" s="119" t="s">
        <v>199</v>
      </c>
      <c r="C448" s="119" t="s">
        <v>88</v>
      </c>
      <c r="D448" s="119" t="s">
        <v>89</v>
      </c>
      <c r="E448" s="119" t="s">
        <v>277</v>
      </c>
      <c r="F448" s="119" t="s">
        <v>288</v>
      </c>
      <c r="G448" s="119" t="s">
        <v>289</v>
      </c>
      <c r="H448" s="119" t="s">
        <v>289</v>
      </c>
      <c r="I448" s="163" t="s">
        <v>204</v>
      </c>
      <c r="J448" s="119" t="s">
        <v>575</v>
      </c>
      <c r="K448" s="119" t="s">
        <v>576</v>
      </c>
      <c r="L448" s="119" t="s">
        <v>633</v>
      </c>
      <c r="M448" s="119" t="s">
        <v>46</v>
      </c>
      <c r="N448" s="136">
        <v>0.02</v>
      </c>
      <c r="O448" s="135" t="s">
        <v>51</v>
      </c>
      <c r="P448" s="135"/>
      <c r="Q448" s="137">
        <v>0</v>
      </c>
      <c r="R448" s="137">
        <v>0</v>
      </c>
      <c r="S448" s="137">
        <v>31072.35</v>
      </c>
      <c r="T448" s="137">
        <f t="shared" si="72"/>
        <v>621.447</v>
      </c>
      <c r="U448" s="137">
        <f t="shared" si="76"/>
        <v>31693.796999999999</v>
      </c>
      <c r="V448" s="137">
        <v>44154</v>
      </c>
      <c r="W448" s="137">
        <f t="shared" si="77"/>
        <v>-12460.203000000001</v>
      </c>
      <c r="X448" s="137">
        <f t="shared" si="73"/>
        <v>-12215.885294117648</v>
      </c>
      <c r="Y448" s="137">
        <f t="shared" si="78"/>
        <v>-244.31770588235304</v>
      </c>
      <c r="Z448" s="137">
        <v>31693.8</v>
      </c>
      <c r="AA448" s="137">
        <f t="shared" si="74"/>
        <v>12460.2</v>
      </c>
      <c r="AB448" s="146">
        <f t="shared" si="83"/>
        <v>31072.352941176468</v>
      </c>
      <c r="AC448" s="147">
        <f t="shared" si="75"/>
        <v>621.44705882353082</v>
      </c>
      <c r="AD448" s="137">
        <f t="shared" si="84"/>
        <v>31068.714309683768</v>
      </c>
      <c r="AE448" s="138">
        <v>0.1077</v>
      </c>
      <c r="AF448" s="137">
        <f t="shared" si="82"/>
        <v>3346.100531152942</v>
      </c>
      <c r="AG448" s="137">
        <v>2791.9752011764699</v>
      </c>
      <c r="AH448" s="154"/>
      <c r="AI448" s="154"/>
      <c r="AJ448" s="135" t="s">
        <v>173</v>
      </c>
      <c r="AK448" s="119" t="s">
        <v>173</v>
      </c>
      <c r="AM448" s="131"/>
    </row>
    <row r="449" spans="1:39" s="119" customFormat="1" ht="15" customHeight="1" x14ac:dyDescent="0.3">
      <c r="A449" s="119">
        <v>2017</v>
      </c>
      <c r="B449" s="119" t="s">
        <v>199</v>
      </c>
      <c r="C449" s="119" t="s">
        <v>88</v>
      </c>
      <c r="D449" s="119" t="s">
        <v>89</v>
      </c>
      <c r="E449" s="119" t="s">
        <v>194</v>
      </c>
      <c r="F449" s="119" t="s">
        <v>288</v>
      </c>
      <c r="G449" s="119" t="s">
        <v>289</v>
      </c>
      <c r="H449" s="119" t="s">
        <v>289</v>
      </c>
      <c r="I449" s="163" t="s">
        <v>204</v>
      </c>
      <c r="J449" s="119" t="s">
        <v>575</v>
      </c>
      <c r="K449" s="119" t="s">
        <v>576</v>
      </c>
      <c r="L449" s="119" t="s">
        <v>633</v>
      </c>
      <c r="M449" s="119" t="s">
        <v>185</v>
      </c>
      <c r="N449" s="136">
        <v>0.08</v>
      </c>
      <c r="O449" s="135" t="s">
        <v>51</v>
      </c>
      <c r="P449" s="135"/>
      <c r="Q449" s="137">
        <v>0</v>
      </c>
      <c r="R449" s="137">
        <v>0</v>
      </c>
      <c r="S449" s="137">
        <v>4844.5200000000004</v>
      </c>
      <c r="T449" s="137">
        <f t="shared" si="72"/>
        <v>387.56160000000006</v>
      </c>
      <c r="U449" s="137">
        <f t="shared" si="76"/>
        <v>5232.0816000000004</v>
      </c>
      <c r="V449" s="137">
        <v>0</v>
      </c>
      <c r="W449" s="137">
        <f t="shared" si="77"/>
        <v>5232.0816000000004</v>
      </c>
      <c r="X449" s="137">
        <f t="shared" si="73"/>
        <v>4844.5200000000004</v>
      </c>
      <c r="Y449" s="137">
        <f t="shared" si="78"/>
        <v>387.5616</v>
      </c>
      <c r="Z449" s="137">
        <v>4941.41</v>
      </c>
      <c r="AA449" s="137">
        <f t="shared" si="74"/>
        <v>-4941.41</v>
      </c>
      <c r="AB449" s="146">
        <f t="shared" si="83"/>
        <v>4575.3796296296296</v>
      </c>
      <c r="AC449" s="147">
        <f t="shared" si="75"/>
        <v>366.03037037037029</v>
      </c>
      <c r="AD449" s="137">
        <f t="shared" si="84"/>
        <v>4843.9523054040374</v>
      </c>
      <c r="AE449" s="138">
        <v>0.31559999999999999</v>
      </c>
      <c r="AF449" s="137">
        <f t="shared" si="82"/>
        <v>1528.7513475855142</v>
      </c>
      <c r="AG449" s="137">
        <v>1369.4547652307699</v>
      </c>
      <c r="AH449" s="154"/>
      <c r="AI449" s="154"/>
      <c r="AJ449" s="135" t="s">
        <v>612</v>
      </c>
      <c r="AK449" s="119" t="s">
        <v>612</v>
      </c>
      <c r="AM449" s="131"/>
    </row>
    <row r="450" spans="1:39" s="119" customFormat="1" ht="15" customHeight="1" x14ac:dyDescent="0.3">
      <c r="A450" s="119">
        <v>2017</v>
      </c>
      <c r="B450" s="120" t="s">
        <v>38</v>
      </c>
      <c r="C450" s="119" t="s">
        <v>75</v>
      </c>
      <c r="D450" s="119" t="s">
        <v>76</v>
      </c>
      <c r="E450" s="119" t="s">
        <v>167</v>
      </c>
      <c r="F450" s="119" t="s">
        <v>634</v>
      </c>
      <c r="G450" s="119" t="s">
        <v>634</v>
      </c>
      <c r="H450" s="119" t="s">
        <v>634</v>
      </c>
      <c r="I450" s="163" t="s">
        <v>204</v>
      </c>
      <c r="J450" s="119" t="s">
        <v>575</v>
      </c>
      <c r="K450" s="119" t="s">
        <v>576</v>
      </c>
      <c r="L450" s="119" t="s">
        <v>634</v>
      </c>
      <c r="M450" s="119" t="s">
        <v>46</v>
      </c>
      <c r="N450" s="136">
        <v>0.02</v>
      </c>
      <c r="O450" s="135" t="s">
        <v>495</v>
      </c>
      <c r="P450" s="135"/>
      <c r="Q450" s="137">
        <v>10271.1</v>
      </c>
      <c r="R450" s="137">
        <v>0</v>
      </c>
      <c r="S450" s="137">
        <v>20000</v>
      </c>
      <c r="T450" s="137">
        <f t="shared" ref="T450:T513" si="85">S450*N450</f>
        <v>400</v>
      </c>
      <c r="U450" s="137">
        <f t="shared" si="76"/>
        <v>20400</v>
      </c>
      <c r="V450" s="137">
        <v>20600</v>
      </c>
      <c r="W450" s="137">
        <f t="shared" si="77"/>
        <v>-200</v>
      </c>
      <c r="X450" s="137">
        <f t="shared" ref="X450:X513" si="86">W450/(1+N450)</f>
        <v>-196.07843137254901</v>
      </c>
      <c r="Y450" s="137">
        <f t="shared" si="78"/>
        <v>-3.9215686274509949</v>
      </c>
      <c r="Z450" s="137">
        <v>30871.1</v>
      </c>
      <c r="AA450" s="137">
        <f t="shared" ref="AA450:AA513" si="87">Q450+V450-Z450</f>
        <v>0</v>
      </c>
      <c r="AB450" s="146">
        <f>IF(O450="返货",(Z450-Q450)/(1+N450),IF(O450="返现",(Z450-Q450),IF(O450="折扣",(Z450-Q450)*N450,IF(O450="无",(Z450-Q450)))))</f>
        <v>20600</v>
      </c>
      <c r="AC450" s="147">
        <f t="shared" ref="AC450:AC513" si="88">IF(O450="返现",Z450*N450,Z450-AB450)</f>
        <v>617.42200000000003</v>
      </c>
      <c r="AD450" s="137">
        <f t="shared" si="84"/>
        <v>30262.240132949617</v>
      </c>
      <c r="AE450" s="138">
        <v>0.1077</v>
      </c>
      <c r="AF450" s="137">
        <f t="shared" si="82"/>
        <v>3259.2432623186737</v>
      </c>
      <c r="AG450" s="137">
        <v>2719.50178372549</v>
      </c>
      <c r="AH450" s="154"/>
      <c r="AI450" s="154"/>
      <c r="AJ450" s="136">
        <v>0.02</v>
      </c>
      <c r="AK450" s="156">
        <v>0.02</v>
      </c>
      <c r="AM450" s="131"/>
    </row>
    <row r="451" spans="1:39" s="119" customFormat="1" ht="15" customHeight="1" x14ac:dyDescent="0.3">
      <c r="A451" s="119">
        <v>2017</v>
      </c>
      <c r="B451" s="119" t="s">
        <v>38</v>
      </c>
      <c r="C451" s="119" t="s">
        <v>75</v>
      </c>
      <c r="D451" s="119" t="s">
        <v>76</v>
      </c>
      <c r="E451" s="119" t="s">
        <v>167</v>
      </c>
      <c r="F451" s="119" t="s">
        <v>168</v>
      </c>
      <c r="G451" s="119" t="s">
        <v>168</v>
      </c>
      <c r="H451" s="119" t="s">
        <v>168</v>
      </c>
      <c r="I451" s="163" t="s">
        <v>204</v>
      </c>
      <c r="J451" s="119" t="s">
        <v>575</v>
      </c>
      <c r="K451" s="119" t="s">
        <v>576</v>
      </c>
      <c r="L451" s="119" t="s">
        <v>168</v>
      </c>
      <c r="M451" s="119" t="s">
        <v>46</v>
      </c>
      <c r="N451" s="136">
        <v>0.02</v>
      </c>
      <c r="O451" s="135" t="s">
        <v>51</v>
      </c>
      <c r="P451" s="135"/>
      <c r="Q451" s="137">
        <v>0</v>
      </c>
      <c r="R451" s="137">
        <v>0</v>
      </c>
      <c r="S451" s="137">
        <v>3055630.1</v>
      </c>
      <c r="T451" s="137">
        <f t="shared" si="85"/>
        <v>61112.602000000006</v>
      </c>
      <c r="U451" s="137">
        <f t="shared" ref="U451:U514" si="89">R451+S451+T451</f>
        <v>3116742.702</v>
      </c>
      <c r="V451" s="137">
        <v>3534361.17</v>
      </c>
      <c r="W451" s="137">
        <f t="shared" ref="W451:W514" si="90">U451-V451</f>
        <v>-417618.46799999988</v>
      </c>
      <c r="X451" s="137">
        <f t="shared" si="86"/>
        <v>-409429.87058823515</v>
      </c>
      <c r="Y451" s="137">
        <f t="shared" ref="Y451:Y514" si="91">W451-X451</f>
        <v>-8188.5974117647274</v>
      </c>
      <c r="Z451" s="137">
        <v>3188142.7</v>
      </c>
      <c r="AA451" s="137">
        <f t="shared" si="87"/>
        <v>346218.46999999974</v>
      </c>
      <c r="AB451" s="146">
        <f>IF(O451="返货",Z451/(1+N451),IF(O451="返现",Z451,IF(O451="折扣",Z451*N451,IF(O451="无",Z451))))</f>
        <v>3125630.0980392159</v>
      </c>
      <c r="AC451" s="147">
        <f t="shared" si="88"/>
        <v>62512.60196078429</v>
      </c>
      <c r="AD451" s="137">
        <f t="shared" si="84"/>
        <v>3125264.0808235006</v>
      </c>
      <c r="AE451" s="138">
        <v>0.1077</v>
      </c>
      <c r="AF451" s="137">
        <f t="shared" si="82"/>
        <v>336590.94150469103</v>
      </c>
      <c r="AG451" s="137">
        <v>280850.36682921601</v>
      </c>
      <c r="AH451" s="154"/>
      <c r="AI451" s="154"/>
      <c r="AJ451" s="135" t="s">
        <v>173</v>
      </c>
      <c r="AK451" s="119" t="s">
        <v>173</v>
      </c>
      <c r="AM451" s="131"/>
    </row>
    <row r="452" spans="1:39" s="119" customFormat="1" ht="15" customHeight="1" x14ac:dyDescent="0.3">
      <c r="A452" s="119">
        <v>2017</v>
      </c>
      <c r="B452" s="119" t="s">
        <v>38</v>
      </c>
      <c r="C452" s="119" t="s">
        <v>75</v>
      </c>
      <c r="D452" s="119" t="s">
        <v>76</v>
      </c>
      <c r="E452" s="119" t="s">
        <v>167</v>
      </c>
      <c r="F452" s="119" t="s">
        <v>168</v>
      </c>
      <c r="G452" s="119" t="s">
        <v>168</v>
      </c>
      <c r="H452" s="119" t="s">
        <v>168</v>
      </c>
      <c r="I452" s="163" t="s">
        <v>204</v>
      </c>
      <c r="J452" s="119" t="s">
        <v>575</v>
      </c>
      <c r="K452" s="119" t="s">
        <v>576</v>
      </c>
      <c r="L452" s="119" t="s">
        <v>168</v>
      </c>
      <c r="M452" s="119" t="s">
        <v>185</v>
      </c>
      <c r="N452" s="136">
        <v>0.08</v>
      </c>
      <c r="O452" s="135" t="s">
        <v>51</v>
      </c>
      <c r="P452" s="135"/>
      <c r="Q452" s="137">
        <v>0</v>
      </c>
      <c r="R452" s="137">
        <v>0</v>
      </c>
      <c r="S452" s="137">
        <v>150462.48000000001</v>
      </c>
      <c r="T452" s="137">
        <f t="shared" si="85"/>
        <v>12036.9984</v>
      </c>
      <c r="U452" s="137">
        <f t="shared" si="89"/>
        <v>162499.47840000002</v>
      </c>
      <c r="V452" s="137">
        <v>0</v>
      </c>
      <c r="W452" s="137">
        <f t="shared" si="90"/>
        <v>162499.47840000002</v>
      </c>
      <c r="X452" s="137">
        <f t="shared" si="86"/>
        <v>150462.48000000001</v>
      </c>
      <c r="Y452" s="137">
        <f t="shared" si="91"/>
        <v>12036.998400000011</v>
      </c>
      <c r="Z452" s="137">
        <v>82071.73</v>
      </c>
      <c r="AA452" s="137">
        <f t="shared" si="87"/>
        <v>-82071.73</v>
      </c>
      <c r="AB452" s="146">
        <f>IF(O452="返货",Z452/(1+N452),IF(O452="返现",Z452,IF(O452="折扣",Z452*N452,IF(O452="无",Z452))))</f>
        <v>75992.342592592584</v>
      </c>
      <c r="AC452" s="147">
        <f t="shared" si="88"/>
        <v>6079.387407407412</v>
      </c>
      <c r="AD452" s="137">
        <f t="shared" si="84"/>
        <v>80453.058083016324</v>
      </c>
      <c r="AE452" s="138">
        <v>0.31559999999999999</v>
      </c>
      <c r="AF452" s="137">
        <f t="shared" si="82"/>
        <v>25390.98513099995</v>
      </c>
      <c r="AG452" s="137">
        <v>19822.450580592598</v>
      </c>
      <c r="AH452" s="154"/>
      <c r="AI452" s="154"/>
      <c r="AJ452" s="135" t="s">
        <v>53</v>
      </c>
      <c r="AK452" s="119" t="s">
        <v>53</v>
      </c>
      <c r="AM452" s="131"/>
    </row>
    <row r="453" spans="1:39" s="119" customFormat="1" ht="15" customHeight="1" x14ac:dyDescent="0.3">
      <c r="A453" s="119">
        <v>2017</v>
      </c>
      <c r="B453" s="119" t="s">
        <v>199</v>
      </c>
      <c r="C453" s="119" t="s">
        <v>75</v>
      </c>
      <c r="D453" s="119" t="s">
        <v>76</v>
      </c>
      <c r="E453" s="119" t="s">
        <v>167</v>
      </c>
      <c r="F453" s="119" t="s">
        <v>635</v>
      </c>
      <c r="G453" s="119" t="s">
        <v>636</v>
      </c>
      <c r="H453" s="119" t="s">
        <v>636</v>
      </c>
      <c r="I453" s="163" t="s">
        <v>204</v>
      </c>
      <c r="J453" s="119" t="s">
        <v>575</v>
      </c>
      <c r="K453" s="119" t="s">
        <v>576</v>
      </c>
      <c r="L453" s="119" t="s">
        <v>637</v>
      </c>
      <c r="M453" s="119" t="s">
        <v>46</v>
      </c>
      <c r="N453" s="136">
        <v>0.02</v>
      </c>
      <c r="O453" s="135" t="s">
        <v>51</v>
      </c>
      <c r="P453" s="135"/>
      <c r="Q453" s="137">
        <v>28728.39</v>
      </c>
      <c r="R453" s="137">
        <v>0</v>
      </c>
      <c r="S453" s="137">
        <v>5524126.73999999</v>
      </c>
      <c r="T453" s="137">
        <f t="shared" si="85"/>
        <v>110482.5347999998</v>
      </c>
      <c r="U453" s="137">
        <f t="shared" si="89"/>
        <v>5634609.2747999895</v>
      </c>
      <c r="V453" s="137">
        <v>107132190.3</v>
      </c>
      <c r="W453" s="137">
        <f t="shared" si="90"/>
        <v>-101497581.02520001</v>
      </c>
      <c r="X453" s="137">
        <f t="shared" si="86"/>
        <v>-99507432.377647072</v>
      </c>
      <c r="Y453" s="137">
        <f t="shared" si="91"/>
        <v>-1990148.6475529373</v>
      </c>
      <c r="Z453" s="137">
        <v>2320450.6804</v>
      </c>
      <c r="AA453" s="137">
        <f t="shared" si="87"/>
        <v>104840468.0096</v>
      </c>
      <c r="AB453" s="146">
        <f>IF(O453="返货",(Z453-Q453)/(1+N453),IF(O453="返现",(Z453-Q453),IF(O453="折扣",(Z453-Q453)*N453,IF(O453="无",(Z453-Q453)))))</f>
        <v>2246786.5592156863</v>
      </c>
      <c r="AC453" s="147">
        <f t="shared" si="88"/>
        <v>73664.12118431367</v>
      </c>
      <c r="AD453" s="137">
        <f t="shared" si="84"/>
        <v>2274685.2462960868</v>
      </c>
      <c r="AE453" s="138">
        <v>0.1077</v>
      </c>
      <c r="AF453" s="137">
        <f t="shared" si="82"/>
        <v>244983.60102608855</v>
      </c>
      <c r="AG453" s="137">
        <v>496604.203635666</v>
      </c>
      <c r="AH453" s="154"/>
      <c r="AI453" s="154"/>
      <c r="AJ453" s="135" t="s">
        <v>173</v>
      </c>
      <c r="AK453" s="119" t="s">
        <v>173</v>
      </c>
      <c r="AL453" s="119" t="s">
        <v>611</v>
      </c>
      <c r="AM453" s="131"/>
    </row>
    <row r="454" spans="1:39" s="119" customFormat="1" ht="15" customHeight="1" x14ac:dyDescent="0.3">
      <c r="A454" s="119">
        <v>2017</v>
      </c>
      <c r="B454" s="119" t="s">
        <v>199</v>
      </c>
      <c r="C454" s="119" t="s">
        <v>75</v>
      </c>
      <c r="D454" s="119" t="s">
        <v>76</v>
      </c>
      <c r="E454" s="119" t="s">
        <v>167</v>
      </c>
      <c r="F454" s="119" t="s">
        <v>635</v>
      </c>
      <c r="G454" s="119" t="s">
        <v>636</v>
      </c>
      <c r="H454" s="119" t="s">
        <v>636</v>
      </c>
      <c r="I454" s="163" t="s">
        <v>204</v>
      </c>
      <c r="J454" s="119" t="s">
        <v>575</v>
      </c>
      <c r="K454" s="119" t="s">
        <v>576</v>
      </c>
      <c r="L454" s="119" t="s">
        <v>637</v>
      </c>
      <c r="M454" s="119" t="s">
        <v>185</v>
      </c>
      <c r="N454" s="136">
        <v>0.08</v>
      </c>
      <c r="O454" s="135" t="s">
        <v>51</v>
      </c>
      <c r="P454" s="135"/>
      <c r="Q454" s="137">
        <v>51005.09</v>
      </c>
      <c r="R454" s="137">
        <v>0</v>
      </c>
      <c r="S454" s="137">
        <v>92158913.129999995</v>
      </c>
      <c r="T454" s="137">
        <f t="shared" si="85"/>
        <v>7372713.0504000001</v>
      </c>
      <c r="U454" s="137">
        <f t="shared" si="89"/>
        <v>99531626.180399999</v>
      </c>
      <c r="V454" s="137">
        <v>0</v>
      </c>
      <c r="W454" s="137">
        <f t="shared" si="90"/>
        <v>99531626.180399999</v>
      </c>
      <c r="X454" s="137">
        <f t="shared" si="86"/>
        <v>92158913.129999995</v>
      </c>
      <c r="Y454" s="137">
        <f t="shared" si="91"/>
        <v>7372713.0504000038</v>
      </c>
      <c r="Z454" s="137">
        <v>30136454.600000001</v>
      </c>
      <c r="AA454" s="137">
        <f t="shared" si="87"/>
        <v>-30085449.510000002</v>
      </c>
      <c r="AB454" s="146">
        <f>IF(O454="返货",(Z454-Q454)/(1+N454),IF(O454="返现",(Z454-Q454),IF(O454="折扣",(Z454-Q454)*N454,IF(O454="无",(Z454-Q454)))))</f>
        <v>27856897.694444444</v>
      </c>
      <c r="AC454" s="147">
        <f t="shared" si="88"/>
        <v>2279556.9055555575</v>
      </c>
      <c r="AD454" s="137">
        <f t="shared" si="84"/>
        <v>29542083.886253946</v>
      </c>
      <c r="AE454" s="138">
        <v>0.31559999999999999</v>
      </c>
      <c r="AF454" s="137">
        <f t="shared" si="82"/>
        <v>9323481.674501745</v>
      </c>
      <c r="AG454" s="137">
        <v>23658435.180615399</v>
      </c>
      <c r="AH454" s="154"/>
      <c r="AI454" s="154"/>
      <c r="AJ454" s="135" t="s">
        <v>53</v>
      </c>
      <c r="AK454" s="119" t="s">
        <v>53</v>
      </c>
      <c r="AM454" s="131"/>
    </row>
    <row r="455" spans="1:39" s="119" customFormat="1" ht="15" customHeight="1" x14ac:dyDescent="0.3">
      <c r="A455" s="119">
        <v>2017</v>
      </c>
      <c r="B455" s="119" t="s">
        <v>199</v>
      </c>
      <c r="C455" s="119" t="s">
        <v>75</v>
      </c>
      <c r="D455" s="119" t="s">
        <v>76</v>
      </c>
      <c r="E455" s="119" t="s">
        <v>167</v>
      </c>
      <c r="F455" s="119" t="s">
        <v>635</v>
      </c>
      <c r="G455" s="119" t="s">
        <v>636</v>
      </c>
      <c r="H455" s="119" t="s">
        <v>638</v>
      </c>
      <c r="I455" s="163" t="s">
        <v>204</v>
      </c>
      <c r="J455" s="119" t="s">
        <v>575</v>
      </c>
      <c r="K455" s="119" t="s">
        <v>576</v>
      </c>
      <c r="L455" s="119" t="s">
        <v>637</v>
      </c>
      <c r="M455" s="119" t="s">
        <v>595</v>
      </c>
      <c r="N455" s="136">
        <v>0.2732</v>
      </c>
      <c r="O455" s="135" t="s">
        <v>495</v>
      </c>
      <c r="P455" s="135"/>
      <c r="Q455" s="137">
        <v>0</v>
      </c>
      <c r="R455" s="137">
        <v>0</v>
      </c>
      <c r="S455" s="137">
        <v>4002125</v>
      </c>
      <c r="T455" s="137">
        <f t="shared" si="85"/>
        <v>1093380.55</v>
      </c>
      <c r="U455" s="137">
        <f t="shared" si="89"/>
        <v>5095505.55</v>
      </c>
      <c r="V455" s="137">
        <v>4002125</v>
      </c>
      <c r="W455" s="137">
        <f t="shared" si="90"/>
        <v>1093380.5499999998</v>
      </c>
      <c r="X455" s="137">
        <f t="shared" si="86"/>
        <v>858765.74772227439</v>
      </c>
      <c r="Y455" s="137">
        <f t="shared" si="91"/>
        <v>234614.80227772542</v>
      </c>
      <c r="Z455" s="137">
        <v>4002125</v>
      </c>
      <c r="AA455" s="137">
        <f t="shared" si="87"/>
        <v>0</v>
      </c>
      <c r="AB455" s="146">
        <f>IF(O455="返货",Z455/(1+N455),IF(O455="返现",Z455,IF(O455="折扣",Z455*N455,IF(O455="无",Z455))))</f>
        <v>4002125</v>
      </c>
      <c r="AC455" s="147">
        <f t="shared" si="88"/>
        <v>1093380.55</v>
      </c>
      <c r="AD455" s="137">
        <f t="shared" si="84"/>
        <v>3923192.4936941345</v>
      </c>
      <c r="AE455" s="138">
        <v>0.35339999999999999</v>
      </c>
      <c r="AF455" s="137">
        <f t="shared" si="82"/>
        <v>1386456.227271507</v>
      </c>
      <c r="AG455" s="137">
        <v>1117897.2712963</v>
      </c>
      <c r="AH455" s="154"/>
      <c r="AI455" s="154"/>
      <c r="AJ455" s="135" t="s">
        <v>53</v>
      </c>
      <c r="AK455" s="119" t="s">
        <v>53</v>
      </c>
      <c r="AM455" s="131"/>
    </row>
    <row r="456" spans="1:39" s="119" customFormat="1" ht="15" customHeight="1" x14ac:dyDescent="0.3">
      <c r="A456" s="119">
        <v>2017</v>
      </c>
      <c r="B456" s="119" t="s">
        <v>199</v>
      </c>
      <c r="C456" s="119" t="s">
        <v>75</v>
      </c>
      <c r="D456" s="119" t="s">
        <v>76</v>
      </c>
      <c r="E456" s="119" t="s">
        <v>167</v>
      </c>
      <c r="F456" s="119" t="s">
        <v>626</v>
      </c>
      <c r="G456" s="119" t="s">
        <v>627</v>
      </c>
      <c r="H456" s="163" t="s">
        <v>628</v>
      </c>
      <c r="I456" s="163" t="s">
        <v>204</v>
      </c>
      <c r="J456" s="119" t="s">
        <v>624</v>
      </c>
      <c r="K456" s="119" t="s">
        <v>625</v>
      </c>
      <c r="L456" s="119" t="s">
        <v>626</v>
      </c>
      <c r="M456" s="119" t="s">
        <v>46</v>
      </c>
      <c r="N456" s="136">
        <v>0.02</v>
      </c>
      <c r="O456" s="135" t="s">
        <v>51</v>
      </c>
      <c r="P456" s="135"/>
      <c r="Q456" s="137">
        <v>0</v>
      </c>
      <c r="R456" s="137">
        <v>0</v>
      </c>
      <c r="S456" s="137">
        <v>935000</v>
      </c>
      <c r="T456" s="137">
        <f t="shared" si="85"/>
        <v>18700</v>
      </c>
      <c r="U456" s="137">
        <f t="shared" si="89"/>
        <v>953700</v>
      </c>
      <c r="V456" s="137">
        <v>755000</v>
      </c>
      <c r="W456" s="137">
        <f t="shared" si="90"/>
        <v>198700</v>
      </c>
      <c r="X456" s="137">
        <f t="shared" si="86"/>
        <v>194803.92156862744</v>
      </c>
      <c r="Y456" s="137">
        <f t="shared" si="91"/>
        <v>3896.0784313725599</v>
      </c>
      <c r="Z456" s="137">
        <v>570692.81999999995</v>
      </c>
      <c r="AA456" s="137">
        <f t="shared" si="87"/>
        <v>184307.18000000005</v>
      </c>
      <c r="AB456" s="146">
        <f>IF(O456="返货",Z456/(1+N456),IF(O456="返现",Z456,IF(O456="折扣",Z456*N456,IF(O456="无",Z456))))</f>
        <v>559502.76470588229</v>
      </c>
      <c r="AC456" s="147">
        <f t="shared" si="88"/>
        <v>11190.055294117657</v>
      </c>
      <c r="AD456" s="137">
        <f>Z456*0.905731236248844</f>
        <v>516894.31337693898</v>
      </c>
      <c r="AE456" s="138">
        <v>7.0000000000000007E-2</v>
      </c>
      <c r="AF456" s="137">
        <f t="shared" si="82"/>
        <v>36182.601936385734</v>
      </c>
      <c r="AG456" s="137">
        <v>28758.442105882299</v>
      </c>
      <c r="AH456" s="154"/>
      <c r="AI456" s="154"/>
      <c r="AJ456" s="135" t="s">
        <v>173</v>
      </c>
      <c r="AK456" s="119" t="s">
        <v>173</v>
      </c>
      <c r="AM456" s="131"/>
    </row>
    <row r="457" spans="1:39" s="119" customFormat="1" ht="15" customHeight="1" x14ac:dyDescent="0.3">
      <c r="A457" s="119">
        <v>2017</v>
      </c>
      <c r="B457" s="119" t="s">
        <v>199</v>
      </c>
      <c r="C457" s="119" t="s">
        <v>75</v>
      </c>
      <c r="D457" s="119" t="s">
        <v>76</v>
      </c>
      <c r="E457" s="119" t="s">
        <v>167</v>
      </c>
      <c r="F457" s="119" t="s">
        <v>626</v>
      </c>
      <c r="G457" s="119" t="s">
        <v>627</v>
      </c>
      <c r="H457" s="163" t="s">
        <v>628</v>
      </c>
      <c r="I457" s="163" t="s">
        <v>204</v>
      </c>
      <c r="J457" s="119" t="s">
        <v>603</v>
      </c>
      <c r="K457" s="119" t="s">
        <v>639</v>
      </c>
      <c r="L457" s="119" t="s">
        <v>626</v>
      </c>
      <c r="M457" s="119" t="s">
        <v>46</v>
      </c>
      <c r="N457" s="136">
        <v>0.02</v>
      </c>
      <c r="O457" s="135" t="s">
        <v>51</v>
      </c>
      <c r="P457" s="135"/>
      <c r="Q457" s="137">
        <v>0</v>
      </c>
      <c r="R457" s="137">
        <v>0</v>
      </c>
      <c r="S457" s="137">
        <v>240000</v>
      </c>
      <c r="T457" s="137">
        <f t="shared" si="85"/>
        <v>4800</v>
      </c>
      <c r="U457" s="137">
        <f t="shared" si="89"/>
        <v>244800</v>
      </c>
      <c r="V457" s="137">
        <v>330000</v>
      </c>
      <c r="W457" s="137">
        <f t="shared" si="90"/>
        <v>-85200</v>
      </c>
      <c r="X457" s="137">
        <f t="shared" si="86"/>
        <v>-83529.411764705874</v>
      </c>
      <c r="Y457" s="137">
        <f t="shared" si="91"/>
        <v>-1670.5882352941262</v>
      </c>
      <c r="Z457" s="137">
        <v>202688.75</v>
      </c>
      <c r="AA457" s="137">
        <f t="shared" si="87"/>
        <v>127311.25</v>
      </c>
      <c r="AB457" s="146">
        <f>IF(O457="返货",Z457/(1+N457),IF(O457="返现",Z457,IF(O457="折扣",Z457*N457,IF(O457="无",Z457))))</f>
        <v>198714.46078431373</v>
      </c>
      <c r="AC457" s="147">
        <f t="shared" si="88"/>
        <v>3974.2892156862654</v>
      </c>
      <c r="AD457" s="137">
        <v>202688.75</v>
      </c>
      <c r="AE457" s="138">
        <v>7.0000000000000007E-2</v>
      </c>
      <c r="AF457" s="137">
        <f t="shared" si="82"/>
        <v>14188.212500000001</v>
      </c>
      <c r="AG457" s="137">
        <v>10213.9232843137</v>
      </c>
      <c r="AH457" s="154"/>
      <c r="AI457" s="154"/>
      <c r="AJ457" s="135" t="s">
        <v>173</v>
      </c>
      <c r="AK457" s="119" t="s">
        <v>173</v>
      </c>
      <c r="AM457" s="131"/>
    </row>
    <row r="458" spans="1:39" s="119" customFormat="1" ht="15" customHeight="1" x14ac:dyDescent="0.3">
      <c r="A458" s="119">
        <v>2017</v>
      </c>
      <c r="B458" s="119" t="s">
        <v>38</v>
      </c>
      <c r="C458" s="119" t="s">
        <v>75</v>
      </c>
      <c r="D458" s="119" t="s">
        <v>76</v>
      </c>
      <c r="E458" s="119" t="s">
        <v>296</v>
      </c>
      <c r="F458" s="119" t="s">
        <v>273</v>
      </c>
      <c r="G458" s="119" t="s">
        <v>273</v>
      </c>
      <c r="H458" s="119" t="s">
        <v>273</v>
      </c>
      <c r="I458" s="163" t="s">
        <v>204</v>
      </c>
      <c r="J458" s="119" t="s">
        <v>575</v>
      </c>
      <c r="K458" s="119" t="s">
        <v>576</v>
      </c>
      <c r="L458" s="119" t="s">
        <v>640</v>
      </c>
      <c r="M458" s="119" t="s">
        <v>46</v>
      </c>
      <c r="N458" s="136">
        <v>0.05</v>
      </c>
      <c r="O458" s="135" t="s">
        <v>51</v>
      </c>
      <c r="P458" s="135"/>
      <c r="Q458" s="137">
        <v>10000</v>
      </c>
      <c r="R458" s="137">
        <v>0</v>
      </c>
      <c r="S458" s="137">
        <v>140000</v>
      </c>
      <c r="T458" s="137">
        <f t="shared" si="85"/>
        <v>7000</v>
      </c>
      <c r="U458" s="137">
        <f t="shared" si="89"/>
        <v>147000</v>
      </c>
      <c r="V458" s="137">
        <v>119204</v>
      </c>
      <c r="W458" s="137">
        <f t="shared" si="90"/>
        <v>27796</v>
      </c>
      <c r="X458" s="137">
        <f t="shared" si="86"/>
        <v>26472.38095238095</v>
      </c>
      <c r="Y458" s="137">
        <f t="shared" si="91"/>
        <v>1323.6190476190495</v>
      </c>
      <c r="Z458" s="137">
        <v>205730.61</v>
      </c>
      <c r="AA458" s="137">
        <f t="shared" si="87"/>
        <v>-76526.609999999986</v>
      </c>
      <c r="AB458" s="146">
        <f>IF(O458="返货",(Z458-Q458)/(1+N458),IF(O458="返现",(Z458-Q458),IF(O458="折扣",(Z458-Q458)*N458,IF(O458="无",(Z458-Q458)))))</f>
        <v>186410.10476190475</v>
      </c>
      <c r="AC458" s="147">
        <f t="shared" si="88"/>
        <v>19320.50523809524</v>
      </c>
      <c r="AD458" s="137">
        <f t="shared" ref="AD458:AD475" si="92">Z458*0.980277351080772</f>
        <v>201673.05740703136</v>
      </c>
      <c r="AE458" s="138">
        <v>0.1077</v>
      </c>
      <c r="AF458" s="137">
        <f t="shared" si="82"/>
        <v>21720.188282737279</v>
      </c>
      <c r="AG458" s="137">
        <v>12360.4909827143</v>
      </c>
      <c r="AH458" s="154"/>
      <c r="AI458" s="154"/>
      <c r="AJ458" s="136">
        <v>0.05</v>
      </c>
      <c r="AK458" s="156">
        <v>0.05</v>
      </c>
      <c r="AL458" s="119" t="s">
        <v>589</v>
      </c>
      <c r="AM458" s="131"/>
    </row>
    <row r="459" spans="1:39" s="119" customFormat="1" ht="15" customHeight="1" x14ac:dyDescent="0.3">
      <c r="A459" s="119">
        <v>2017</v>
      </c>
      <c r="B459" s="119" t="s">
        <v>38</v>
      </c>
      <c r="C459" s="119" t="s">
        <v>75</v>
      </c>
      <c r="D459" s="119" t="s">
        <v>76</v>
      </c>
      <c r="E459" s="119" t="s">
        <v>296</v>
      </c>
      <c r="F459" s="119" t="s">
        <v>641</v>
      </c>
      <c r="G459" s="119" t="s">
        <v>641</v>
      </c>
      <c r="H459" s="119" t="s">
        <v>641</v>
      </c>
      <c r="I459" s="163" t="s">
        <v>204</v>
      </c>
      <c r="J459" s="119" t="s">
        <v>575</v>
      </c>
      <c r="K459" s="119" t="s">
        <v>576</v>
      </c>
      <c r="L459" s="119" t="s">
        <v>642</v>
      </c>
      <c r="M459" s="119" t="s">
        <v>185</v>
      </c>
      <c r="N459" s="136">
        <v>0.2</v>
      </c>
      <c r="O459" s="135" t="s">
        <v>51</v>
      </c>
      <c r="P459" s="135"/>
      <c r="Q459" s="137">
        <v>0</v>
      </c>
      <c r="R459" s="137">
        <v>0</v>
      </c>
      <c r="S459" s="137">
        <v>51313.79</v>
      </c>
      <c r="T459" s="137">
        <f t="shared" si="85"/>
        <v>10262.758000000002</v>
      </c>
      <c r="U459" s="137">
        <f t="shared" si="89"/>
        <v>61576.548000000003</v>
      </c>
      <c r="V459" s="137">
        <v>0</v>
      </c>
      <c r="W459" s="137">
        <f t="shared" si="90"/>
        <v>61576.548000000003</v>
      </c>
      <c r="X459" s="137">
        <f t="shared" si="86"/>
        <v>51313.79</v>
      </c>
      <c r="Y459" s="137">
        <f t="shared" si="91"/>
        <v>10262.758000000002</v>
      </c>
      <c r="Z459" s="137">
        <v>64013.31</v>
      </c>
      <c r="AA459" s="137">
        <f t="shared" si="87"/>
        <v>-64013.31</v>
      </c>
      <c r="AB459" s="146">
        <f>IF(O459="返货",Z459/(1+N459),IF(O459="返现",Z459,IF(O459="折扣",Z459*N459,IF(O459="无",Z459))))</f>
        <v>53344.425000000003</v>
      </c>
      <c r="AC459" s="147">
        <f t="shared" si="88"/>
        <v>10668.884999999995</v>
      </c>
      <c r="AD459" s="137">
        <f t="shared" si="92"/>
        <v>62750.797960712291</v>
      </c>
      <c r="AE459" s="138">
        <v>0.31559999999999999</v>
      </c>
      <c r="AF459" s="137">
        <f t="shared" si="82"/>
        <v>19804.151836400797</v>
      </c>
      <c r="AG459" s="137">
        <v>9533.7156360000008</v>
      </c>
      <c r="AH459" s="154"/>
      <c r="AI459" s="154"/>
      <c r="AJ459" s="135" t="s">
        <v>643</v>
      </c>
      <c r="AK459" s="119" t="s">
        <v>643</v>
      </c>
      <c r="AM459" s="131"/>
    </row>
    <row r="460" spans="1:39" s="119" customFormat="1" ht="15" customHeight="1" x14ac:dyDescent="0.3">
      <c r="A460" s="119">
        <v>2017</v>
      </c>
      <c r="B460" s="119" t="s">
        <v>38</v>
      </c>
      <c r="C460" s="119" t="s">
        <v>75</v>
      </c>
      <c r="D460" s="119" t="s">
        <v>76</v>
      </c>
      <c r="E460" s="119" t="s">
        <v>296</v>
      </c>
      <c r="F460" s="119" t="s">
        <v>641</v>
      </c>
      <c r="G460" s="119" t="s">
        <v>641</v>
      </c>
      <c r="H460" s="119" t="s">
        <v>641</v>
      </c>
      <c r="I460" s="163" t="s">
        <v>204</v>
      </c>
      <c r="J460" s="119" t="s">
        <v>575</v>
      </c>
      <c r="K460" s="119" t="s">
        <v>576</v>
      </c>
      <c r="L460" s="119" t="s">
        <v>642</v>
      </c>
      <c r="M460" s="119" t="s">
        <v>46</v>
      </c>
      <c r="N460" s="136">
        <v>7.0000000000000007E-2</v>
      </c>
      <c r="O460" s="135" t="s">
        <v>51</v>
      </c>
      <c r="P460" s="135"/>
      <c r="Q460" s="137">
        <v>20500</v>
      </c>
      <c r="R460" s="137">
        <v>0</v>
      </c>
      <c r="S460" s="137">
        <v>283786.02</v>
      </c>
      <c r="T460" s="137">
        <f t="shared" si="85"/>
        <v>19865.021400000001</v>
      </c>
      <c r="U460" s="137">
        <f t="shared" si="89"/>
        <v>303651.04140000005</v>
      </c>
      <c r="V460" s="137">
        <v>410175.59</v>
      </c>
      <c r="W460" s="137">
        <f t="shared" si="90"/>
        <v>-106524.54859999998</v>
      </c>
      <c r="X460" s="137">
        <f t="shared" si="86"/>
        <v>-99555.65289719624</v>
      </c>
      <c r="Y460" s="137">
        <f t="shared" si="91"/>
        <v>-6968.8957028037403</v>
      </c>
      <c r="Z460" s="137">
        <v>321762.09000000003</v>
      </c>
      <c r="AA460" s="137">
        <f t="shared" si="87"/>
        <v>108913.5</v>
      </c>
      <c r="AB460" s="146">
        <f>IF(O460="返货",(Z460-Q460)/(1+N460),IF(O460="返现",(Z460-Q460),IF(O460="折扣",(Z460-Q460)*N460,IF(O460="无",(Z460-Q460)))))</f>
        <v>281553.3551401869</v>
      </c>
      <c r="AC460" s="147">
        <f t="shared" si="88"/>
        <v>40208.734859813121</v>
      </c>
      <c r="AD460" s="137">
        <f t="shared" si="92"/>
        <v>315416.08926341299</v>
      </c>
      <c r="AE460" s="138">
        <v>0.1077</v>
      </c>
      <c r="AF460" s="137">
        <f t="shared" si="82"/>
        <v>33970.312813669581</v>
      </c>
      <c r="AG460" s="137">
        <v>13603.9207378598</v>
      </c>
      <c r="AH460" s="154"/>
      <c r="AI460" s="154"/>
      <c r="AJ460" s="136">
        <v>7.0000000000000007E-2</v>
      </c>
      <c r="AK460" s="156">
        <v>7.0000000000000007E-2</v>
      </c>
      <c r="AL460" s="119" t="s">
        <v>589</v>
      </c>
      <c r="AM460" s="131"/>
    </row>
    <row r="461" spans="1:39" s="119" customFormat="1" ht="15" customHeight="1" x14ac:dyDescent="0.3">
      <c r="A461" s="119">
        <v>2017</v>
      </c>
      <c r="B461" s="119" t="s">
        <v>38</v>
      </c>
      <c r="C461" s="119" t="s">
        <v>75</v>
      </c>
      <c r="D461" s="119" t="s">
        <v>76</v>
      </c>
      <c r="E461" s="119" t="s">
        <v>296</v>
      </c>
      <c r="F461" s="119" t="s">
        <v>573</v>
      </c>
      <c r="G461" s="119" t="s">
        <v>573</v>
      </c>
      <c r="H461" s="119" t="s">
        <v>573</v>
      </c>
      <c r="I461" s="163" t="s">
        <v>204</v>
      </c>
      <c r="J461" s="119" t="s">
        <v>575</v>
      </c>
      <c r="K461" s="119" t="s">
        <v>576</v>
      </c>
      <c r="L461" s="119" t="s">
        <v>577</v>
      </c>
      <c r="M461" s="119" t="s">
        <v>46</v>
      </c>
      <c r="N461" s="136">
        <v>0.05</v>
      </c>
      <c r="O461" s="135" t="s">
        <v>495</v>
      </c>
      <c r="P461" s="135"/>
      <c r="Q461" s="137">
        <v>0</v>
      </c>
      <c r="R461" s="137">
        <v>0</v>
      </c>
      <c r="S461" s="137">
        <v>5000</v>
      </c>
      <c r="T461" s="137">
        <f t="shared" si="85"/>
        <v>250</v>
      </c>
      <c r="U461" s="137">
        <f t="shared" si="89"/>
        <v>5250</v>
      </c>
      <c r="V461" s="137">
        <v>0</v>
      </c>
      <c r="W461" s="137">
        <f t="shared" si="90"/>
        <v>5250</v>
      </c>
      <c r="X461" s="137">
        <f t="shared" si="86"/>
        <v>5000</v>
      </c>
      <c r="Y461" s="137">
        <f t="shared" si="91"/>
        <v>250</v>
      </c>
      <c r="Z461" s="137">
        <v>0</v>
      </c>
      <c r="AA461" s="137">
        <f t="shared" si="87"/>
        <v>0</v>
      </c>
      <c r="AB461" s="146">
        <f>IF(O461="返货",Z461/(1+N461),IF(O461="返现",Z461,IF(O461="折扣",Z461*N461,IF(O461="无",Z461))))</f>
        <v>0</v>
      </c>
      <c r="AC461" s="147">
        <f t="shared" si="88"/>
        <v>0</v>
      </c>
      <c r="AD461" s="137">
        <f t="shared" si="92"/>
        <v>0</v>
      </c>
      <c r="AE461" s="138">
        <v>0.1077</v>
      </c>
      <c r="AF461" s="137">
        <f t="shared" si="82"/>
        <v>0</v>
      </c>
      <c r="AG461" s="137">
        <v>0</v>
      </c>
      <c r="AH461" s="154"/>
      <c r="AI461" s="154"/>
      <c r="AJ461" s="136">
        <v>0.05</v>
      </c>
      <c r="AK461" s="156">
        <v>0.05</v>
      </c>
      <c r="AM461" s="131"/>
    </row>
    <row r="462" spans="1:39" s="119" customFormat="1" ht="15" customHeight="1" x14ac:dyDescent="0.3">
      <c r="A462" s="119">
        <v>2017</v>
      </c>
      <c r="B462" s="119" t="s">
        <v>38</v>
      </c>
      <c r="C462" s="119" t="s">
        <v>75</v>
      </c>
      <c r="D462" s="119" t="s">
        <v>76</v>
      </c>
      <c r="E462" s="119" t="s">
        <v>296</v>
      </c>
      <c r="F462" s="119" t="s">
        <v>585</v>
      </c>
      <c r="G462" s="119" t="s">
        <v>585</v>
      </c>
      <c r="H462" s="119" t="s">
        <v>585</v>
      </c>
      <c r="I462" s="163" t="s">
        <v>204</v>
      </c>
      <c r="J462" s="119" t="s">
        <v>575</v>
      </c>
      <c r="K462" s="119" t="s">
        <v>576</v>
      </c>
      <c r="L462" s="119" t="s">
        <v>587</v>
      </c>
      <c r="M462" s="119" t="s">
        <v>46</v>
      </c>
      <c r="N462" s="136">
        <v>0.05</v>
      </c>
      <c r="O462" s="135" t="s">
        <v>51</v>
      </c>
      <c r="P462" s="135"/>
      <c r="Q462" s="137">
        <v>0</v>
      </c>
      <c r="R462" s="137">
        <v>0</v>
      </c>
      <c r="S462" s="137">
        <v>67500</v>
      </c>
      <c r="T462" s="137">
        <f t="shared" si="85"/>
        <v>3375</v>
      </c>
      <c r="U462" s="137">
        <f t="shared" si="89"/>
        <v>70875</v>
      </c>
      <c r="V462" s="137">
        <v>0</v>
      </c>
      <c r="W462" s="137">
        <f t="shared" si="90"/>
        <v>70875</v>
      </c>
      <c r="X462" s="137">
        <f t="shared" si="86"/>
        <v>67500</v>
      </c>
      <c r="Y462" s="137">
        <f t="shared" si="91"/>
        <v>3375</v>
      </c>
      <c r="Z462" s="137">
        <v>0</v>
      </c>
      <c r="AA462" s="137">
        <f t="shared" si="87"/>
        <v>0</v>
      </c>
      <c r="AB462" s="146">
        <f>IF(O462="返货",Z462/(1+N462),IF(O462="返现",Z462,IF(O462="折扣",Z462*N462,IF(O462="无",Z462))))</f>
        <v>0</v>
      </c>
      <c r="AC462" s="147">
        <f t="shared" si="88"/>
        <v>0</v>
      </c>
      <c r="AD462" s="137">
        <f t="shared" si="92"/>
        <v>0</v>
      </c>
      <c r="AE462" s="138">
        <v>0.1077</v>
      </c>
      <c r="AF462" s="137">
        <f t="shared" si="82"/>
        <v>0</v>
      </c>
      <c r="AG462" s="137">
        <v>0</v>
      </c>
      <c r="AH462" s="154"/>
      <c r="AI462" s="154"/>
      <c r="AJ462" s="136">
        <v>0.05</v>
      </c>
      <c r="AK462" s="156">
        <v>0.05</v>
      </c>
      <c r="AM462" s="131"/>
    </row>
    <row r="463" spans="1:39" s="119" customFormat="1" ht="15" customHeight="1" x14ac:dyDescent="0.3">
      <c r="A463" s="119">
        <v>2017</v>
      </c>
      <c r="B463" s="119" t="s">
        <v>38</v>
      </c>
      <c r="C463" s="119" t="s">
        <v>75</v>
      </c>
      <c r="D463" s="119" t="s">
        <v>76</v>
      </c>
      <c r="E463" s="119" t="s">
        <v>296</v>
      </c>
      <c r="F463" s="119" t="s">
        <v>205</v>
      </c>
      <c r="G463" s="119" t="s">
        <v>205</v>
      </c>
      <c r="H463" s="119" t="s">
        <v>205</v>
      </c>
      <c r="I463" s="163" t="s">
        <v>204</v>
      </c>
      <c r="J463" s="119" t="s">
        <v>575</v>
      </c>
      <c r="K463" s="119" t="s">
        <v>576</v>
      </c>
      <c r="L463" s="119" t="s">
        <v>644</v>
      </c>
      <c r="M463" s="119" t="s">
        <v>185</v>
      </c>
      <c r="N463" s="136">
        <v>0.2</v>
      </c>
      <c r="O463" s="135" t="s">
        <v>495</v>
      </c>
      <c r="P463" s="135"/>
      <c r="Q463" s="137">
        <v>2000</v>
      </c>
      <c r="R463" s="137">
        <v>0</v>
      </c>
      <c r="S463" s="137">
        <v>1131779.55</v>
      </c>
      <c r="T463" s="137">
        <f t="shared" si="85"/>
        <v>226355.91000000003</v>
      </c>
      <c r="U463" s="137">
        <f t="shared" si="89"/>
        <v>1358135.46</v>
      </c>
      <c r="V463" s="137">
        <v>0</v>
      </c>
      <c r="W463" s="137">
        <f t="shared" si="90"/>
        <v>1358135.46</v>
      </c>
      <c r="X463" s="137">
        <f t="shared" si="86"/>
        <v>1131779.55</v>
      </c>
      <c r="Y463" s="137">
        <f t="shared" si="91"/>
        <v>226355.90999999992</v>
      </c>
      <c r="Z463" s="137">
        <v>1131779.54</v>
      </c>
      <c r="AA463" s="137">
        <f t="shared" si="87"/>
        <v>-1129779.54</v>
      </c>
      <c r="AB463" s="146">
        <f>IF(O463="返货",(Z463-Q463)/(1+N463),IF(O463="返现",(Z463-Q463),IF(O463="折扣",(Z463-Q463)*N463,IF(O463="无",(Z463-Q463)))))</f>
        <v>1129779.54</v>
      </c>
      <c r="AC463" s="147">
        <f t="shared" si="88"/>
        <v>226355.90800000002</v>
      </c>
      <c r="AD463" s="137">
        <f t="shared" si="92"/>
        <v>1109457.8494786145</v>
      </c>
      <c r="AE463" s="138">
        <v>0.31559999999999999</v>
      </c>
      <c r="AF463" s="137">
        <f t="shared" si="82"/>
        <v>350144.89729545073</v>
      </c>
      <c r="AG463" s="137">
        <v>168559.699490667</v>
      </c>
      <c r="AH463" s="154"/>
      <c r="AI463" s="154"/>
      <c r="AJ463" s="136">
        <v>0.2</v>
      </c>
      <c r="AK463" s="156">
        <v>0.2</v>
      </c>
      <c r="AL463" s="119" t="s">
        <v>589</v>
      </c>
      <c r="AM463" s="131"/>
    </row>
    <row r="464" spans="1:39" s="119" customFormat="1" ht="15" customHeight="1" x14ac:dyDescent="0.3">
      <c r="A464" s="119">
        <v>2017</v>
      </c>
      <c r="B464" s="119" t="s">
        <v>38</v>
      </c>
      <c r="C464" s="119" t="s">
        <v>75</v>
      </c>
      <c r="D464" s="119" t="s">
        <v>76</v>
      </c>
      <c r="E464" s="119" t="s">
        <v>296</v>
      </c>
      <c r="F464" s="119" t="s">
        <v>205</v>
      </c>
      <c r="G464" s="119" t="s">
        <v>205</v>
      </c>
      <c r="H464" s="119" t="s">
        <v>205</v>
      </c>
      <c r="I464" s="163" t="s">
        <v>204</v>
      </c>
      <c r="J464" s="119" t="s">
        <v>575</v>
      </c>
      <c r="K464" s="119" t="s">
        <v>576</v>
      </c>
      <c r="L464" s="119" t="s">
        <v>644</v>
      </c>
      <c r="M464" s="119" t="s">
        <v>46</v>
      </c>
      <c r="N464" s="136">
        <v>7.0000000000000007E-2</v>
      </c>
      <c r="O464" s="135" t="s">
        <v>51</v>
      </c>
      <c r="P464" s="135"/>
      <c r="Q464" s="137">
        <v>75514.707599999994</v>
      </c>
      <c r="R464" s="137">
        <v>0</v>
      </c>
      <c r="S464" s="137">
        <v>2270962.41</v>
      </c>
      <c r="T464" s="137">
        <f t="shared" si="85"/>
        <v>158967.36870000002</v>
      </c>
      <c r="U464" s="137">
        <f t="shared" si="89"/>
        <v>2429929.7787000001</v>
      </c>
      <c r="V464" s="137">
        <v>7341965.29</v>
      </c>
      <c r="W464" s="137">
        <f t="shared" si="90"/>
        <v>-4912035.5112999994</v>
      </c>
      <c r="X464" s="137">
        <f t="shared" si="86"/>
        <v>-4590687.3937383173</v>
      </c>
      <c r="Y464" s="137">
        <f t="shared" si="91"/>
        <v>-321348.11756168213</v>
      </c>
      <c r="Z464" s="137">
        <v>5200962.41</v>
      </c>
      <c r="AA464" s="137">
        <f t="shared" si="87"/>
        <v>2216517.5876000002</v>
      </c>
      <c r="AB464" s="146">
        <f>IF(O464="返货",(Z464-Q464)/(1+N464),IF(O464="返现",(Z464-Q464),IF(O464="折扣",(Z464-Q464)*N464,IF(O464="无",(Z464-Q464)))))</f>
        <v>4790138.0396261681</v>
      </c>
      <c r="AC464" s="147">
        <f t="shared" si="88"/>
        <v>410824.37037383206</v>
      </c>
      <c r="AD464" s="137">
        <f t="shared" si="92"/>
        <v>5098385.6543454677</v>
      </c>
      <c r="AE464" s="138">
        <v>0.1077</v>
      </c>
      <c r="AF464" s="137">
        <f t="shared" si="82"/>
        <v>549096.13497300691</v>
      </c>
      <c r="AG464" s="137">
        <v>219893.77426728001</v>
      </c>
      <c r="AH464" s="154"/>
      <c r="AI464" s="154"/>
      <c r="AJ464" s="136">
        <v>7.0000000000000007E-2</v>
      </c>
      <c r="AK464" s="156">
        <v>7.0000000000000007E-2</v>
      </c>
      <c r="AL464" s="119" t="s">
        <v>589</v>
      </c>
      <c r="AM464" s="131"/>
    </row>
    <row r="465" spans="1:39" s="119" customFormat="1" ht="15" customHeight="1" x14ac:dyDescent="0.3">
      <c r="A465" s="119">
        <v>2017</v>
      </c>
      <c r="B465" s="119" t="s">
        <v>38</v>
      </c>
      <c r="C465" s="119" t="s">
        <v>75</v>
      </c>
      <c r="D465" s="119" t="s">
        <v>76</v>
      </c>
      <c r="E465" s="119" t="s">
        <v>296</v>
      </c>
      <c r="F465" s="119" t="s">
        <v>205</v>
      </c>
      <c r="G465" s="119" t="s">
        <v>645</v>
      </c>
      <c r="H465" s="119" t="s">
        <v>645</v>
      </c>
      <c r="I465" s="163" t="s">
        <v>204</v>
      </c>
      <c r="J465" s="119" t="s">
        <v>575</v>
      </c>
      <c r="K465" s="119" t="s">
        <v>576</v>
      </c>
      <c r="L465" s="119" t="s">
        <v>644</v>
      </c>
      <c r="M465" s="119" t="s">
        <v>595</v>
      </c>
      <c r="N465" s="136">
        <v>0</v>
      </c>
      <c r="O465" s="135" t="s">
        <v>47</v>
      </c>
      <c r="P465" s="135"/>
      <c r="Q465" s="137">
        <v>0</v>
      </c>
      <c r="R465" s="137">
        <v>0</v>
      </c>
      <c r="S465" s="137">
        <v>612810</v>
      </c>
      <c r="T465" s="137">
        <f t="shared" si="85"/>
        <v>0</v>
      </c>
      <c r="U465" s="137">
        <f t="shared" si="89"/>
        <v>612810</v>
      </c>
      <c r="V465" s="137">
        <v>369210</v>
      </c>
      <c r="W465" s="137">
        <f t="shared" si="90"/>
        <v>243600</v>
      </c>
      <c r="X465" s="137">
        <f t="shared" si="86"/>
        <v>243600</v>
      </c>
      <c r="Y465" s="137">
        <f t="shared" si="91"/>
        <v>0</v>
      </c>
      <c r="Z465" s="137">
        <v>369210</v>
      </c>
      <c r="AA465" s="137">
        <f t="shared" si="87"/>
        <v>0</v>
      </c>
      <c r="AB465" s="146">
        <f>IF(O465="返货",Z465/(1+N465),IF(O465="返现",Z465,IF(O465="折扣",Z465*N465,IF(O465="无",Z465))))</f>
        <v>369210</v>
      </c>
      <c r="AC465" s="147">
        <f t="shared" si="88"/>
        <v>0</v>
      </c>
      <c r="AD465" s="137">
        <f t="shared" si="92"/>
        <v>361928.20079253183</v>
      </c>
      <c r="AE465" s="138">
        <v>0.35339999999999999</v>
      </c>
      <c r="AF465" s="137">
        <f t="shared" si="82"/>
        <v>127905.42616008075</v>
      </c>
      <c r="AG465" s="137">
        <v>130478.814</v>
      </c>
      <c r="AH465" s="154"/>
      <c r="AI465" s="154"/>
      <c r="AJ465" s="135" t="s">
        <v>646</v>
      </c>
      <c r="AK465" s="119" t="s">
        <v>646</v>
      </c>
      <c r="AM465" s="131"/>
    </row>
    <row r="466" spans="1:39" s="119" customFormat="1" ht="15" customHeight="1" x14ac:dyDescent="0.3">
      <c r="A466" s="119">
        <v>2017</v>
      </c>
      <c r="B466" s="119" t="s">
        <v>38</v>
      </c>
      <c r="C466" s="119" t="s">
        <v>75</v>
      </c>
      <c r="D466" s="119" t="s">
        <v>76</v>
      </c>
      <c r="E466" s="119" t="s">
        <v>296</v>
      </c>
      <c r="F466" s="119" t="s">
        <v>205</v>
      </c>
      <c r="G466" s="119" t="s">
        <v>645</v>
      </c>
      <c r="H466" s="119" t="s">
        <v>645</v>
      </c>
      <c r="I466" s="163" t="s">
        <v>204</v>
      </c>
      <c r="J466" s="119" t="s">
        <v>575</v>
      </c>
      <c r="K466" s="119" t="s">
        <v>576</v>
      </c>
      <c r="L466" s="119" t="s">
        <v>644</v>
      </c>
      <c r="M466" s="119" t="s">
        <v>46</v>
      </c>
      <c r="N466" s="136">
        <v>0.04</v>
      </c>
      <c r="O466" s="135" t="s">
        <v>495</v>
      </c>
      <c r="P466" s="135"/>
      <c r="Q466" s="137">
        <v>0</v>
      </c>
      <c r="R466" s="137">
        <v>0</v>
      </c>
      <c r="S466" s="137">
        <v>2940000</v>
      </c>
      <c r="T466" s="137">
        <f t="shared" si="85"/>
        <v>117600</v>
      </c>
      <c r="U466" s="137">
        <f t="shared" si="89"/>
        <v>3057600</v>
      </c>
      <c r="V466" s="137">
        <v>0</v>
      </c>
      <c r="W466" s="137">
        <f t="shared" si="90"/>
        <v>3057600</v>
      </c>
      <c r="X466" s="137">
        <f t="shared" si="86"/>
        <v>2940000</v>
      </c>
      <c r="Y466" s="137">
        <f t="shared" si="91"/>
        <v>117600</v>
      </c>
      <c r="Z466" s="137">
        <v>0</v>
      </c>
      <c r="AA466" s="137">
        <f t="shared" si="87"/>
        <v>0</v>
      </c>
      <c r="AB466" s="146">
        <f>IF(O466="返货",Z466/(1+N466),IF(O466="返现",Z466,IF(O466="折扣",Z466*N466,IF(O466="无",Z466))))</f>
        <v>0</v>
      </c>
      <c r="AC466" s="147">
        <f t="shared" si="88"/>
        <v>0</v>
      </c>
      <c r="AD466" s="137">
        <f t="shared" si="92"/>
        <v>0</v>
      </c>
      <c r="AE466" s="138">
        <v>0.1077</v>
      </c>
      <c r="AF466" s="137">
        <f t="shared" si="82"/>
        <v>0</v>
      </c>
      <c r="AG466" s="137">
        <v>0</v>
      </c>
      <c r="AH466" s="154"/>
      <c r="AI466" s="154"/>
      <c r="AJ466" s="136">
        <v>0.04</v>
      </c>
      <c r="AK466" s="156">
        <v>0.04</v>
      </c>
      <c r="AM466" s="131"/>
    </row>
    <row r="467" spans="1:39" s="119" customFormat="1" ht="15" customHeight="1" x14ac:dyDescent="0.3">
      <c r="A467" s="119">
        <v>2017</v>
      </c>
      <c r="B467" s="119" t="s">
        <v>38</v>
      </c>
      <c r="C467" s="119" t="s">
        <v>75</v>
      </c>
      <c r="D467" s="119" t="s">
        <v>76</v>
      </c>
      <c r="E467" s="119" t="s">
        <v>296</v>
      </c>
      <c r="F467" s="119" t="s">
        <v>205</v>
      </c>
      <c r="G467" s="119" t="s">
        <v>645</v>
      </c>
      <c r="H467" s="119" t="s">
        <v>645</v>
      </c>
      <c r="I467" s="163" t="s">
        <v>204</v>
      </c>
      <c r="J467" s="119" t="s">
        <v>575</v>
      </c>
      <c r="K467" s="119" t="s">
        <v>576</v>
      </c>
      <c r="L467" s="119" t="s">
        <v>644</v>
      </c>
      <c r="M467" s="119" t="s">
        <v>160</v>
      </c>
      <c r="N467" s="136">
        <v>0.04</v>
      </c>
      <c r="O467" s="135" t="s">
        <v>495</v>
      </c>
      <c r="P467" s="135"/>
      <c r="Q467" s="137">
        <v>0</v>
      </c>
      <c r="R467" s="137">
        <v>0</v>
      </c>
      <c r="S467" s="137">
        <v>250000</v>
      </c>
      <c r="T467" s="137">
        <f t="shared" si="85"/>
        <v>10000</v>
      </c>
      <c r="U467" s="137">
        <f t="shared" si="89"/>
        <v>260000</v>
      </c>
      <c r="V467" s="137">
        <v>493600</v>
      </c>
      <c r="W467" s="137">
        <f t="shared" si="90"/>
        <v>-233600</v>
      </c>
      <c r="X467" s="137">
        <f t="shared" si="86"/>
        <v>-224615.3846153846</v>
      </c>
      <c r="Y467" s="137">
        <f t="shared" si="91"/>
        <v>-8984.6153846154048</v>
      </c>
      <c r="Z467" s="137">
        <v>493600</v>
      </c>
      <c r="AA467" s="137">
        <f t="shared" si="87"/>
        <v>0</v>
      </c>
      <c r="AB467" s="146">
        <f>IF(O467="返货",Z467/(1+N467),IF(O467="返现",Z467,IF(O467="折扣",Z467*N467,IF(O467="无",Z467))))</f>
        <v>493600</v>
      </c>
      <c r="AC467" s="147">
        <f t="shared" si="88"/>
        <v>19744</v>
      </c>
      <c r="AD467" s="137">
        <f t="shared" si="92"/>
        <v>483864.90049346903</v>
      </c>
      <c r="AE467" s="138">
        <v>0.1077</v>
      </c>
      <c r="AF467" s="137">
        <f t="shared" si="82"/>
        <v>52112.249783146617</v>
      </c>
      <c r="AG467" s="137">
        <v>34176.104615384596</v>
      </c>
      <c r="AH467" s="154"/>
      <c r="AI467" s="154"/>
      <c r="AJ467" s="136">
        <v>0.04</v>
      </c>
      <c r="AK467" s="156">
        <v>0.04</v>
      </c>
      <c r="AM467" s="131"/>
    </row>
    <row r="468" spans="1:39" s="119" customFormat="1" ht="15" customHeight="1" x14ac:dyDescent="0.3">
      <c r="A468" s="119">
        <v>2017</v>
      </c>
      <c r="B468" s="119" t="s">
        <v>38</v>
      </c>
      <c r="C468" s="119" t="s">
        <v>75</v>
      </c>
      <c r="D468" s="119" t="s">
        <v>76</v>
      </c>
      <c r="E468" s="119" t="s">
        <v>647</v>
      </c>
      <c r="F468" s="119" t="s">
        <v>538</v>
      </c>
      <c r="G468" s="119" t="s">
        <v>538</v>
      </c>
      <c r="H468" s="119" t="s">
        <v>538</v>
      </c>
      <c r="I468" s="163" t="s">
        <v>204</v>
      </c>
      <c r="J468" s="119" t="s">
        <v>575</v>
      </c>
      <c r="K468" s="119" t="s">
        <v>576</v>
      </c>
      <c r="L468" s="119" t="s">
        <v>539</v>
      </c>
      <c r="M468" s="119" t="s">
        <v>46</v>
      </c>
      <c r="N468" s="136">
        <v>0.02</v>
      </c>
      <c r="O468" s="135" t="s">
        <v>51</v>
      </c>
      <c r="P468" s="135"/>
      <c r="Q468" s="137">
        <v>105789.6</v>
      </c>
      <c r="R468" s="137">
        <v>0</v>
      </c>
      <c r="S468" s="137">
        <v>46464059.82</v>
      </c>
      <c r="T468" s="137">
        <f t="shared" si="85"/>
        <v>929281.19640000002</v>
      </c>
      <c r="U468" s="137">
        <f t="shared" si="89"/>
        <v>47393341.016400002</v>
      </c>
      <c r="V468" s="137">
        <v>76227179.569999993</v>
      </c>
      <c r="W468" s="137">
        <f t="shared" si="90"/>
        <v>-28833838.553599991</v>
      </c>
      <c r="X468" s="137">
        <f t="shared" si="86"/>
        <v>-28268469.170196068</v>
      </c>
      <c r="Y468" s="137">
        <f t="shared" si="91"/>
        <v>-565369.38340392336</v>
      </c>
      <c r="Z468" s="137">
        <v>47499240.75</v>
      </c>
      <c r="AA468" s="137">
        <f t="shared" si="87"/>
        <v>28833728.419999987</v>
      </c>
      <c r="AB468" s="146">
        <f>IF(O468="返货",(Z468-Q468)/(1+N468),IF(O468="返现",(Z468-Q468),IF(O468="折扣",(Z468-Q468)*N468,IF(O468="无",(Z468-Q468)))))</f>
        <v>46464167.794117644</v>
      </c>
      <c r="AC468" s="147">
        <f t="shared" si="88"/>
        <v>1035072.9558823556</v>
      </c>
      <c r="AD468" s="137">
        <f t="shared" si="92"/>
        <v>46562429.900757857</v>
      </c>
      <c r="AE468" s="138">
        <v>0.1077</v>
      </c>
      <c r="AF468" s="137">
        <f t="shared" si="82"/>
        <v>5014773.7003116217</v>
      </c>
      <c r="AG468" s="137">
        <v>4184310.5670102998</v>
      </c>
      <c r="AH468" s="154"/>
      <c r="AI468" s="154"/>
      <c r="AJ468" s="135" t="s">
        <v>173</v>
      </c>
      <c r="AK468" s="119" t="s">
        <v>173</v>
      </c>
      <c r="AL468" s="119" t="s">
        <v>611</v>
      </c>
      <c r="AM468" s="131"/>
    </row>
    <row r="469" spans="1:39" s="119" customFormat="1" ht="15" customHeight="1" x14ac:dyDescent="0.3">
      <c r="A469" s="119">
        <v>2017</v>
      </c>
      <c r="B469" s="119" t="s">
        <v>38</v>
      </c>
      <c r="C469" s="119" t="s">
        <v>75</v>
      </c>
      <c r="D469" s="119" t="s">
        <v>76</v>
      </c>
      <c r="E469" s="119" t="s">
        <v>647</v>
      </c>
      <c r="F469" s="119" t="s">
        <v>538</v>
      </c>
      <c r="G469" s="119" t="s">
        <v>538</v>
      </c>
      <c r="H469" s="119" t="s">
        <v>538</v>
      </c>
      <c r="I469" s="163" t="s">
        <v>204</v>
      </c>
      <c r="J469" s="119" t="s">
        <v>575</v>
      </c>
      <c r="K469" s="119" t="s">
        <v>576</v>
      </c>
      <c r="L469" s="119" t="s">
        <v>539</v>
      </c>
      <c r="M469" s="119" t="s">
        <v>185</v>
      </c>
      <c r="N469" s="136">
        <v>0.08</v>
      </c>
      <c r="O469" s="135" t="s">
        <v>51</v>
      </c>
      <c r="P469" s="135"/>
      <c r="Q469" s="137">
        <v>75694.240000000005</v>
      </c>
      <c r="R469" s="137">
        <v>0</v>
      </c>
      <c r="S469" s="137">
        <v>25533590.120000001</v>
      </c>
      <c r="T469" s="137">
        <f t="shared" si="85"/>
        <v>2042687.2096000002</v>
      </c>
      <c r="U469" s="137">
        <f t="shared" si="89"/>
        <v>27576277.329600003</v>
      </c>
      <c r="V469" s="137">
        <v>0</v>
      </c>
      <c r="W469" s="137">
        <f t="shared" si="90"/>
        <v>27576277.329600003</v>
      </c>
      <c r="X469" s="137">
        <f t="shared" si="86"/>
        <v>25533590.120000001</v>
      </c>
      <c r="Y469" s="137">
        <f t="shared" si="91"/>
        <v>2042687.2096000016</v>
      </c>
      <c r="Z469" s="137">
        <v>28840237.210000001</v>
      </c>
      <c r="AA469" s="137">
        <f t="shared" si="87"/>
        <v>-28764542.970000003</v>
      </c>
      <c r="AB469" s="146">
        <f>IF(O469="返货",(Z469-Q469)/(1+N469),IF(O469="返现",(Z469-Q469),IF(O469="折扣",(Z469-Q469)*N469,IF(O469="无",(Z469-Q469)))))</f>
        <v>26633836.083333332</v>
      </c>
      <c r="AC469" s="147">
        <f t="shared" si="88"/>
        <v>2206401.1266666688</v>
      </c>
      <c r="AD469" s="137">
        <f t="shared" si="92"/>
        <v>28271431.336759914</v>
      </c>
      <c r="AE469" s="138">
        <v>0.31559999999999999</v>
      </c>
      <c r="AF469" s="137">
        <f t="shared" si="82"/>
        <v>8922463.7298814282</v>
      </c>
      <c r="AG469" s="137">
        <v>6965664.9960685903</v>
      </c>
      <c r="AH469" s="154"/>
      <c r="AI469" s="154"/>
      <c r="AJ469" s="135" t="s">
        <v>53</v>
      </c>
      <c r="AK469" s="119" t="s">
        <v>53</v>
      </c>
      <c r="AM469" s="131"/>
    </row>
    <row r="470" spans="1:39" s="119" customFormat="1" ht="15" customHeight="1" x14ac:dyDescent="0.3">
      <c r="A470" s="119">
        <v>2017</v>
      </c>
      <c r="B470" s="119" t="s">
        <v>38</v>
      </c>
      <c r="C470" s="119" t="s">
        <v>75</v>
      </c>
      <c r="D470" s="119" t="s">
        <v>76</v>
      </c>
      <c r="E470" s="119" t="s">
        <v>647</v>
      </c>
      <c r="F470" s="119" t="s">
        <v>538</v>
      </c>
      <c r="G470" s="119" t="s">
        <v>538</v>
      </c>
      <c r="H470" s="119" t="s">
        <v>538</v>
      </c>
      <c r="I470" s="163" t="s">
        <v>204</v>
      </c>
      <c r="J470" s="119" t="s">
        <v>575</v>
      </c>
      <c r="K470" s="119" t="s">
        <v>576</v>
      </c>
      <c r="L470" s="119" t="s">
        <v>539</v>
      </c>
      <c r="M470" s="119" t="s">
        <v>595</v>
      </c>
      <c r="N470" s="136">
        <v>0.08</v>
      </c>
      <c r="O470" s="135" t="s">
        <v>51</v>
      </c>
      <c r="P470" s="135"/>
      <c r="Q470" s="137">
        <v>0</v>
      </c>
      <c r="R470" s="137">
        <v>0</v>
      </c>
      <c r="S470" s="137">
        <v>246868.9</v>
      </c>
      <c r="T470" s="137">
        <f t="shared" si="85"/>
        <v>19749.511999999999</v>
      </c>
      <c r="U470" s="137">
        <f t="shared" si="89"/>
        <v>266618.41200000001</v>
      </c>
      <c r="V470" s="137">
        <v>252424.46</v>
      </c>
      <c r="W470" s="137">
        <f t="shared" si="90"/>
        <v>14193.952000000019</v>
      </c>
      <c r="X470" s="137">
        <f t="shared" si="86"/>
        <v>13142.548148148166</v>
      </c>
      <c r="Y470" s="137">
        <f t="shared" si="91"/>
        <v>1051.4038518518537</v>
      </c>
      <c r="Z470" s="137">
        <v>252424.46</v>
      </c>
      <c r="AA470" s="137">
        <f t="shared" si="87"/>
        <v>0</v>
      </c>
      <c r="AB470" s="146">
        <f>IF(O470="返货",Z470/(1+N470),IF(O470="返现",Z470,IF(O470="折扣",Z470*N470,IF(O470="无",Z470))))</f>
        <v>233726.35185185182</v>
      </c>
      <c r="AC470" s="147">
        <f t="shared" si="88"/>
        <v>18698.108148148167</v>
      </c>
      <c r="AD470" s="137">
        <f t="shared" si="92"/>
        <v>247445.98099679427</v>
      </c>
      <c r="AE470" s="138">
        <v>0.35339999999999999</v>
      </c>
      <c r="AF470" s="137">
        <f t="shared" si="82"/>
        <v>87447.409684267099</v>
      </c>
      <c r="AG470" s="137">
        <v>70508.696015851805</v>
      </c>
      <c r="AH470" s="154"/>
      <c r="AI470" s="154"/>
      <c r="AJ470" s="135" t="s">
        <v>53</v>
      </c>
      <c r="AK470" s="119" t="s">
        <v>53</v>
      </c>
      <c r="AM470" s="131"/>
    </row>
    <row r="471" spans="1:39" s="119" customFormat="1" ht="15" customHeight="1" x14ac:dyDescent="0.3">
      <c r="A471" s="119">
        <v>2017</v>
      </c>
      <c r="B471" s="119" t="s">
        <v>38</v>
      </c>
      <c r="C471" s="119" t="s">
        <v>75</v>
      </c>
      <c r="D471" s="119" t="s">
        <v>76</v>
      </c>
      <c r="E471" s="119" t="s">
        <v>647</v>
      </c>
      <c r="F471" s="119" t="s">
        <v>538</v>
      </c>
      <c r="G471" s="119" t="s">
        <v>538</v>
      </c>
      <c r="H471" s="119" t="s">
        <v>538</v>
      </c>
      <c r="I471" s="163" t="s">
        <v>204</v>
      </c>
      <c r="J471" s="119" t="s">
        <v>575</v>
      </c>
      <c r="K471" s="119" t="s">
        <v>576</v>
      </c>
      <c r="L471" s="119" t="s">
        <v>539</v>
      </c>
      <c r="M471" s="119" t="s">
        <v>160</v>
      </c>
      <c r="N471" s="135">
        <v>0</v>
      </c>
      <c r="O471" s="135" t="s">
        <v>47</v>
      </c>
      <c r="P471" s="135"/>
      <c r="Q471" s="137">
        <v>0</v>
      </c>
      <c r="R471" s="137">
        <v>0</v>
      </c>
      <c r="S471" s="137">
        <v>2110500</v>
      </c>
      <c r="T471" s="137">
        <f t="shared" si="85"/>
        <v>0</v>
      </c>
      <c r="U471" s="137">
        <f t="shared" si="89"/>
        <v>2110500</v>
      </c>
      <c r="V471" s="137">
        <v>1877419.36</v>
      </c>
      <c r="W471" s="137">
        <f t="shared" si="90"/>
        <v>233080.6399999999</v>
      </c>
      <c r="X471" s="137">
        <f t="shared" si="86"/>
        <v>233080.6399999999</v>
      </c>
      <c r="Y471" s="137">
        <f t="shared" si="91"/>
        <v>0</v>
      </c>
      <c r="Z471" s="137">
        <v>1877419.36</v>
      </c>
      <c r="AA471" s="137">
        <f t="shared" si="87"/>
        <v>0</v>
      </c>
      <c r="AB471" s="146">
        <f>IF(O471="返货",Z471/(1+N471),IF(O471="返现",Z471,IF(O471="折扣",Z471*N471,IF(O471="无",Z471))))</f>
        <v>1877419.36</v>
      </c>
      <c r="AC471" s="147">
        <f t="shared" si="88"/>
        <v>0</v>
      </c>
      <c r="AD471" s="137">
        <f t="shared" si="92"/>
        <v>1840391.6770885582</v>
      </c>
      <c r="AE471" s="138">
        <v>0.1077</v>
      </c>
      <c r="AF471" s="137">
        <f t="shared" si="82"/>
        <v>198210.18362243773</v>
      </c>
      <c r="AG471" s="137">
        <v>202198.065072</v>
      </c>
      <c r="AH471" s="154"/>
      <c r="AI471" s="154"/>
      <c r="AJ471" s="135" t="s">
        <v>47</v>
      </c>
      <c r="AK471" s="119" t="s">
        <v>47</v>
      </c>
      <c r="AM471" s="131"/>
    </row>
    <row r="472" spans="1:39" s="119" customFormat="1" ht="15" customHeight="1" x14ac:dyDescent="0.3">
      <c r="A472" s="119">
        <v>2017</v>
      </c>
      <c r="B472" s="119" t="s">
        <v>38</v>
      </c>
      <c r="C472" s="119" t="s">
        <v>75</v>
      </c>
      <c r="D472" s="119" t="s">
        <v>76</v>
      </c>
      <c r="E472" s="119" t="s">
        <v>647</v>
      </c>
      <c r="F472" s="119" t="s">
        <v>648</v>
      </c>
      <c r="G472" s="119" t="s">
        <v>648</v>
      </c>
      <c r="H472" s="119" t="s">
        <v>648</v>
      </c>
      <c r="I472" s="163" t="s">
        <v>204</v>
      </c>
      <c r="J472" s="119" t="s">
        <v>575</v>
      </c>
      <c r="K472" s="119" t="s">
        <v>576</v>
      </c>
      <c r="L472" s="119" t="s">
        <v>648</v>
      </c>
      <c r="M472" s="119" t="s">
        <v>46</v>
      </c>
      <c r="N472" s="136">
        <v>0.02</v>
      </c>
      <c r="O472" s="135" t="s">
        <v>51</v>
      </c>
      <c r="P472" s="135"/>
      <c r="Q472" s="137">
        <v>5321.91</v>
      </c>
      <c r="R472" s="137">
        <v>0</v>
      </c>
      <c r="S472" s="137">
        <v>20000</v>
      </c>
      <c r="T472" s="137">
        <f t="shared" si="85"/>
        <v>400</v>
      </c>
      <c r="U472" s="137">
        <f t="shared" si="89"/>
        <v>20400</v>
      </c>
      <c r="V472" s="137">
        <v>22400</v>
      </c>
      <c r="W472" s="137">
        <f t="shared" si="90"/>
        <v>-2000</v>
      </c>
      <c r="X472" s="137">
        <f t="shared" si="86"/>
        <v>-1960.7843137254902</v>
      </c>
      <c r="Y472" s="137">
        <f t="shared" si="91"/>
        <v>-39.215686274509835</v>
      </c>
      <c r="Z472" s="137">
        <v>26121.91</v>
      </c>
      <c r="AA472" s="137">
        <f t="shared" si="87"/>
        <v>1600</v>
      </c>
      <c r="AB472" s="146">
        <f>IF(O472="返货",(Z472-Q472)/(1+N472),IF(O472="返现",(Z472-Q472),IF(O472="折扣",(Z472-Q472)*N472,IF(O472="无",(Z472-Q472)))))</f>
        <v>20392.156862745098</v>
      </c>
      <c r="AC472" s="147">
        <f t="shared" si="88"/>
        <v>5729.753137254902</v>
      </c>
      <c r="AD472" s="137">
        <f t="shared" si="92"/>
        <v>25606.716739970328</v>
      </c>
      <c r="AE472" s="138">
        <v>0.1077</v>
      </c>
      <c r="AF472" s="137">
        <f t="shared" si="82"/>
        <v>2757.8433928948043</v>
      </c>
      <c r="AG472" s="137">
        <v>2301.1353932745101</v>
      </c>
      <c r="AH472" s="154"/>
      <c r="AI472" s="154"/>
      <c r="AJ472" s="135" t="s">
        <v>173</v>
      </c>
      <c r="AK472" s="119" t="s">
        <v>173</v>
      </c>
      <c r="AM472" s="131"/>
    </row>
    <row r="473" spans="1:39" s="119" customFormat="1" ht="15" customHeight="1" x14ac:dyDescent="0.3">
      <c r="A473" s="119">
        <v>2017</v>
      </c>
      <c r="B473" s="119" t="s">
        <v>38</v>
      </c>
      <c r="C473" s="119" t="s">
        <v>75</v>
      </c>
      <c r="D473" s="119" t="s">
        <v>76</v>
      </c>
      <c r="E473" s="119" t="s">
        <v>315</v>
      </c>
      <c r="F473" s="119" t="s">
        <v>649</v>
      </c>
      <c r="G473" s="119" t="s">
        <v>649</v>
      </c>
      <c r="H473" s="119" t="s">
        <v>649</v>
      </c>
      <c r="I473" s="163" t="s">
        <v>204</v>
      </c>
      <c r="J473" s="119" t="s">
        <v>575</v>
      </c>
      <c r="K473" s="119" t="s">
        <v>576</v>
      </c>
      <c r="L473" s="119" t="s">
        <v>649</v>
      </c>
      <c r="M473" s="119" t="s">
        <v>46</v>
      </c>
      <c r="N473" s="135">
        <v>0.05</v>
      </c>
      <c r="O473" s="135" t="s">
        <v>51</v>
      </c>
      <c r="P473" s="135"/>
      <c r="Q473" s="137">
        <v>0</v>
      </c>
      <c r="R473" s="137">
        <v>0</v>
      </c>
      <c r="S473" s="137">
        <v>572307.68000000005</v>
      </c>
      <c r="T473" s="137">
        <f t="shared" si="85"/>
        <v>28615.384000000005</v>
      </c>
      <c r="U473" s="137">
        <f t="shared" si="89"/>
        <v>600923.06400000001</v>
      </c>
      <c r="V473" s="137">
        <v>702341.62</v>
      </c>
      <c r="W473" s="137">
        <f t="shared" si="90"/>
        <v>-101418.55599999998</v>
      </c>
      <c r="X473" s="137">
        <f t="shared" si="86"/>
        <v>-96589.100952380933</v>
      </c>
      <c r="Y473" s="137">
        <f t="shared" si="91"/>
        <v>-4829.4550476190489</v>
      </c>
      <c r="Z473" s="137">
        <v>600923.06000000006</v>
      </c>
      <c r="AA473" s="137">
        <f t="shared" si="87"/>
        <v>101418.55999999994</v>
      </c>
      <c r="AB473" s="146">
        <f>IF(O473="返货",Z473/(1+N473),IF(O473="返现",Z473,IF(O473="折扣",Z473*N473,IF(O473="无",Z473))))</f>
        <v>572307.67619047617</v>
      </c>
      <c r="AC473" s="147">
        <f t="shared" si="88"/>
        <v>28615.38380952389</v>
      </c>
      <c r="AD473" s="137">
        <f t="shared" si="92"/>
        <v>589071.26546015183</v>
      </c>
      <c r="AE473" s="138">
        <v>0.1077</v>
      </c>
      <c r="AF473" s="137">
        <f t="shared" si="82"/>
        <v>63442.975290058355</v>
      </c>
      <c r="AG473" s="137">
        <v>36104.029752476097</v>
      </c>
      <c r="AH473" s="154"/>
      <c r="AI473" s="154"/>
      <c r="AJ473" s="135" t="s">
        <v>63</v>
      </c>
      <c r="AK473" s="156">
        <v>0.05</v>
      </c>
      <c r="AM473" s="131"/>
    </row>
    <row r="474" spans="1:39" s="119" customFormat="1" ht="15" customHeight="1" x14ac:dyDescent="0.3">
      <c r="A474" s="119">
        <v>2017</v>
      </c>
      <c r="B474" s="119" t="s">
        <v>38</v>
      </c>
      <c r="C474" s="119" t="s">
        <v>75</v>
      </c>
      <c r="D474" s="119" t="s">
        <v>76</v>
      </c>
      <c r="E474" s="119" t="s">
        <v>315</v>
      </c>
      <c r="F474" s="119" t="s">
        <v>650</v>
      </c>
      <c r="G474" s="119" t="s">
        <v>650</v>
      </c>
      <c r="H474" s="119" t="s">
        <v>650</v>
      </c>
      <c r="I474" s="163" t="s">
        <v>204</v>
      </c>
      <c r="J474" s="119" t="s">
        <v>575</v>
      </c>
      <c r="K474" s="119" t="s">
        <v>576</v>
      </c>
      <c r="L474" s="119" t="s">
        <v>650</v>
      </c>
      <c r="M474" s="119" t="s">
        <v>46</v>
      </c>
      <c r="N474" s="136">
        <v>0.02</v>
      </c>
      <c r="O474" s="135" t="s">
        <v>51</v>
      </c>
      <c r="P474" s="135"/>
      <c r="Q474" s="137">
        <v>0</v>
      </c>
      <c r="R474" s="137">
        <v>0</v>
      </c>
      <c r="S474" s="137">
        <v>32849.61</v>
      </c>
      <c r="T474" s="137">
        <f t="shared" si="85"/>
        <v>656.99220000000003</v>
      </c>
      <c r="U474" s="137">
        <f t="shared" si="89"/>
        <v>33506.602200000001</v>
      </c>
      <c r="V474" s="137">
        <v>35700</v>
      </c>
      <c r="W474" s="137">
        <f t="shared" si="90"/>
        <v>-2193.3977999999988</v>
      </c>
      <c r="X474" s="137">
        <f t="shared" si="86"/>
        <v>-2150.389999999999</v>
      </c>
      <c r="Y474" s="137">
        <f t="shared" si="91"/>
        <v>-43.007799999999861</v>
      </c>
      <c r="Z474" s="137">
        <v>33505.99</v>
      </c>
      <c r="AA474" s="137">
        <f t="shared" si="87"/>
        <v>2194.010000000002</v>
      </c>
      <c r="AB474" s="146">
        <f>IF(O474="返货",Z474/(1+N474),IF(O474="返现",Z474,IF(O474="折扣",Z474*N474,IF(O474="无",Z474))))</f>
        <v>32849.009803921566</v>
      </c>
      <c r="AC474" s="147">
        <f t="shared" si="88"/>
        <v>656.98019607843162</v>
      </c>
      <c r="AD474" s="137">
        <f t="shared" si="92"/>
        <v>32845.163122538834</v>
      </c>
      <c r="AE474" s="138">
        <v>0.1077</v>
      </c>
      <c r="AF474" s="137">
        <f t="shared" si="82"/>
        <v>3537.4240682974323</v>
      </c>
      <c r="AG474" s="137">
        <v>2951.6149269215698</v>
      </c>
      <c r="AH474" s="154"/>
      <c r="AI474" s="154"/>
      <c r="AJ474" s="136">
        <v>0.02</v>
      </c>
      <c r="AK474" s="156">
        <v>0.02</v>
      </c>
      <c r="AM474" s="131"/>
    </row>
    <row r="475" spans="1:39" s="119" customFormat="1" ht="15" customHeight="1" x14ac:dyDescent="0.3">
      <c r="A475" s="119">
        <v>2017</v>
      </c>
      <c r="B475" s="119" t="s">
        <v>38</v>
      </c>
      <c r="C475" s="119" t="s">
        <v>75</v>
      </c>
      <c r="D475" s="119" t="s">
        <v>76</v>
      </c>
      <c r="E475" s="119" t="s">
        <v>315</v>
      </c>
      <c r="F475" s="119" t="s">
        <v>651</v>
      </c>
      <c r="G475" s="119" t="s">
        <v>651</v>
      </c>
      <c r="H475" s="119" t="s">
        <v>651</v>
      </c>
      <c r="I475" s="163" t="s">
        <v>204</v>
      </c>
      <c r="J475" s="119" t="s">
        <v>575</v>
      </c>
      <c r="K475" s="119" t="s">
        <v>576</v>
      </c>
      <c r="L475" s="119" t="s">
        <v>652</v>
      </c>
      <c r="M475" s="119" t="s">
        <v>46</v>
      </c>
      <c r="N475" s="136">
        <v>0.02</v>
      </c>
      <c r="O475" s="135" t="s">
        <v>51</v>
      </c>
      <c r="P475" s="135"/>
      <c r="Q475" s="137">
        <v>8389.41</v>
      </c>
      <c r="R475" s="137">
        <v>0</v>
      </c>
      <c r="S475" s="137">
        <v>45857.96</v>
      </c>
      <c r="T475" s="137">
        <f t="shared" si="85"/>
        <v>917.15920000000006</v>
      </c>
      <c r="U475" s="137">
        <f t="shared" si="89"/>
        <v>46775.119200000001</v>
      </c>
      <c r="V475" s="137">
        <v>71400</v>
      </c>
      <c r="W475" s="137">
        <f t="shared" si="90"/>
        <v>-24624.880799999999</v>
      </c>
      <c r="X475" s="137">
        <f t="shared" si="86"/>
        <v>-24142.039999999997</v>
      </c>
      <c r="Y475" s="137">
        <f t="shared" si="91"/>
        <v>-482.84080000000176</v>
      </c>
      <c r="Z475" s="137">
        <v>55167.31</v>
      </c>
      <c r="AA475" s="137">
        <f t="shared" si="87"/>
        <v>24622.100000000006</v>
      </c>
      <c r="AB475" s="146">
        <f>IF(O475="返货",(Z475-Q475)/(1+N475),IF(O475="返现",(Z475-Q475),IF(O475="折扣",(Z475-Q475)*N475,IF(O475="无",(Z475-Q475)))))</f>
        <v>45860.686274509797</v>
      </c>
      <c r="AC475" s="147">
        <f t="shared" si="88"/>
        <v>9306.6237254902007</v>
      </c>
      <c r="AD475" s="137">
        <f t="shared" si="92"/>
        <v>54079.264513051778</v>
      </c>
      <c r="AE475" s="138">
        <v>0.1077</v>
      </c>
      <c r="AF475" s="137">
        <f t="shared" si="82"/>
        <v>5824.3367880556771</v>
      </c>
      <c r="AG475" s="137">
        <v>4859.8073262156904</v>
      </c>
      <c r="AH475" s="154"/>
      <c r="AI475" s="154"/>
      <c r="AJ475" s="135" t="s">
        <v>173</v>
      </c>
      <c r="AK475" s="156">
        <v>0.02</v>
      </c>
      <c r="AM475" s="131"/>
    </row>
    <row r="476" spans="1:39" s="119" customFormat="1" ht="15" customHeight="1" x14ac:dyDescent="0.3">
      <c r="A476" s="119">
        <v>2017</v>
      </c>
      <c r="B476" s="119" t="s">
        <v>252</v>
      </c>
      <c r="C476" s="119" t="s">
        <v>75</v>
      </c>
      <c r="D476" s="119" t="s">
        <v>76</v>
      </c>
      <c r="E476" s="119" t="s">
        <v>315</v>
      </c>
      <c r="F476" s="119" t="s">
        <v>519</v>
      </c>
      <c r="G476" s="119" t="s">
        <v>520</v>
      </c>
      <c r="H476" s="131" t="s">
        <v>521</v>
      </c>
      <c r="I476" s="163" t="s">
        <v>204</v>
      </c>
      <c r="J476" s="119" t="s">
        <v>205</v>
      </c>
      <c r="K476" s="119" t="s">
        <v>206</v>
      </c>
      <c r="L476" s="119" t="s">
        <v>653</v>
      </c>
      <c r="M476" s="119" t="s">
        <v>46</v>
      </c>
      <c r="N476" s="136">
        <v>0.02</v>
      </c>
      <c r="O476" s="135" t="s">
        <v>51</v>
      </c>
      <c r="P476" s="135"/>
      <c r="Q476" s="137">
        <v>0</v>
      </c>
      <c r="R476" s="137">
        <v>0</v>
      </c>
      <c r="S476" s="137">
        <v>650000</v>
      </c>
      <c r="T476" s="137">
        <f t="shared" si="85"/>
        <v>13000</v>
      </c>
      <c r="U476" s="137">
        <f t="shared" si="89"/>
        <v>663000</v>
      </c>
      <c r="V476" s="137">
        <v>1241936</v>
      </c>
      <c r="W476" s="137">
        <f t="shared" si="90"/>
        <v>-578936</v>
      </c>
      <c r="X476" s="137">
        <f t="shared" si="86"/>
        <v>-567584.31372549024</v>
      </c>
      <c r="Y476" s="137">
        <f t="shared" si="91"/>
        <v>-11351.686274509761</v>
      </c>
      <c r="Z476" s="137">
        <v>1050319.04</v>
      </c>
      <c r="AA476" s="137">
        <f t="shared" si="87"/>
        <v>191616.95999999996</v>
      </c>
      <c r="AB476" s="146">
        <f>IF(O476="返货",Z476/(1+N476),IF(O476="返现",Z476,IF(O476="折扣",Z476*N476,IF(O476="无",Z476))))</f>
        <v>1029724.5490196078</v>
      </c>
      <c r="AC476" s="147">
        <f t="shared" si="88"/>
        <v>20594.490980392206</v>
      </c>
      <c r="AD476" s="137">
        <v>1050319.04</v>
      </c>
      <c r="AE476" s="138">
        <v>7.0000000000000007E-2</v>
      </c>
      <c r="AF476" s="137">
        <f t="shared" si="82"/>
        <v>73522.332800000004</v>
      </c>
      <c r="AG476" s="137">
        <v>52927.841819607798</v>
      </c>
      <c r="AH476" s="154"/>
      <c r="AI476" s="154"/>
      <c r="AJ476" s="135" t="s">
        <v>173</v>
      </c>
      <c r="AK476" s="119" t="s">
        <v>173</v>
      </c>
      <c r="AM476" s="131"/>
    </row>
    <row r="477" spans="1:39" s="119" customFormat="1" ht="15" customHeight="1" x14ac:dyDescent="0.3">
      <c r="A477" s="119">
        <v>2017</v>
      </c>
      <c r="B477" s="119" t="s">
        <v>199</v>
      </c>
      <c r="C477" s="119" t="s">
        <v>75</v>
      </c>
      <c r="D477" s="119" t="s">
        <v>76</v>
      </c>
      <c r="E477" s="119" t="s">
        <v>315</v>
      </c>
      <c r="F477" s="119" t="s">
        <v>547</v>
      </c>
      <c r="G477" s="119" t="s">
        <v>548</v>
      </c>
      <c r="H477" s="163" t="s">
        <v>549</v>
      </c>
      <c r="I477" s="163" t="s">
        <v>204</v>
      </c>
      <c r="J477" s="119" t="s">
        <v>205</v>
      </c>
      <c r="K477" s="119" t="s">
        <v>206</v>
      </c>
      <c r="L477" s="119" t="s">
        <v>547</v>
      </c>
      <c r="M477" s="119" t="s">
        <v>46</v>
      </c>
      <c r="N477" s="136">
        <v>0.02</v>
      </c>
      <c r="O477" s="135" t="s">
        <v>51</v>
      </c>
      <c r="P477" s="135"/>
      <c r="Q477" s="137">
        <v>0</v>
      </c>
      <c r="R477" s="137">
        <v>0</v>
      </c>
      <c r="S477" s="137">
        <v>614363.51</v>
      </c>
      <c r="T477" s="137">
        <f t="shared" si="85"/>
        <v>12287.270200000001</v>
      </c>
      <c r="U477" s="137">
        <f t="shared" si="89"/>
        <v>626650.78020000004</v>
      </c>
      <c r="V477" s="137">
        <v>626650.78</v>
      </c>
      <c r="W477" s="137">
        <f t="shared" si="90"/>
        <v>2.0000000949949026E-4</v>
      </c>
      <c r="X477" s="137">
        <f t="shared" si="86"/>
        <v>1.9607844068577477E-4</v>
      </c>
      <c r="Y477" s="137">
        <f t="shared" si="91"/>
        <v>3.9215688137154948E-6</v>
      </c>
      <c r="Z477" s="137">
        <v>452484.28</v>
      </c>
      <c r="AA477" s="137">
        <f t="shared" si="87"/>
        <v>174166.5</v>
      </c>
      <c r="AB477" s="146">
        <f>IF(O477="返货",Z477/(1+N477),IF(O477="返现",Z477,IF(O477="折扣",Z477*N477,IF(O477="无",Z477))))</f>
        <v>443612.03921568627</v>
      </c>
      <c r="AC477" s="147">
        <f t="shared" si="88"/>
        <v>8872.2407843137626</v>
      </c>
      <c r="AD477" s="137">
        <v>452484.28</v>
      </c>
      <c r="AE477" s="138">
        <v>7.0000000000000007E-2</v>
      </c>
      <c r="AF477" s="137">
        <f t="shared" si="82"/>
        <v>31673.899600000004</v>
      </c>
      <c r="AG477" s="137">
        <v>22801.658815686202</v>
      </c>
      <c r="AH477" s="154"/>
      <c r="AI477" s="154"/>
      <c r="AJ477" s="135" t="s">
        <v>173</v>
      </c>
      <c r="AK477" s="119" t="s">
        <v>173</v>
      </c>
      <c r="AM477" s="131"/>
    </row>
    <row r="478" spans="1:39" s="119" customFormat="1" ht="15" customHeight="1" x14ac:dyDescent="0.3">
      <c r="A478" s="119">
        <v>2017</v>
      </c>
      <c r="B478" s="119" t="s">
        <v>38</v>
      </c>
      <c r="C478" s="119" t="s">
        <v>75</v>
      </c>
      <c r="D478" s="119" t="s">
        <v>76</v>
      </c>
      <c r="E478" s="119" t="s">
        <v>150</v>
      </c>
      <c r="F478" s="119" t="s">
        <v>624</v>
      </c>
      <c r="G478" s="119" t="s">
        <v>624</v>
      </c>
      <c r="H478" s="119" t="s">
        <v>624</v>
      </c>
      <c r="I478" s="163" t="s">
        <v>204</v>
      </c>
      <c r="J478" s="119" t="s">
        <v>575</v>
      </c>
      <c r="K478" s="119" t="s">
        <v>576</v>
      </c>
      <c r="L478" s="119" t="s">
        <v>654</v>
      </c>
      <c r="M478" s="119" t="s">
        <v>185</v>
      </c>
      <c r="N478" s="136">
        <v>0.2</v>
      </c>
      <c r="O478" s="135" t="s">
        <v>51</v>
      </c>
      <c r="P478" s="135"/>
      <c r="Q478" s="137">
        <v>0</v>
      </c>
      <c r="R478" s="137">
        <v>0</v>
      </c>
      <c r="S478" s="137">
        <v>204474.41</v>
      </c>
      <c r="T478" s="137">
        <f t="shared" si="85"/>
        <v>40894.882000000005</v>
      </c>
      <c r="U478" s="137">
        <f t="shared" si="89"/>
        <v>245369.29200000002</v>
      </c>
      <c r="V478" s="137">
        <v>0</v>
      </c>
      <c r="W478" s="137">
        <f t="shared" si="90"/>
        <v>245369.29200000002</v>
      </c>
      <c r="X478" s="137">
        <f t="shared" si="86"/>
        <v>204474.41000000003</v>
      </c>
      <c r="Y478" s="137">
        <f t="shared" si="91"/>
        <v>40894.881999999983</v>
      </c>
      <c r="Z478" s="137">
        <v>261113.62</v>
      </c>
      <c r="AA478" s="137">
        <f t="shared" si="87"/>
        <v>-261113.62</v>
      </c>
      <c r="AB478" s="146">
        <f>IF(O478="返货",Z478/(1+N478),IF(O478="返现",Z478,IF(O478="折扣",Z478*N478,IF(O478="无",Z478))))</f>
        <v>217594.68333333335</v>
      </c>
      <c r="AC478" s="147">
        <f t="shared" si="88"/>
        <v>43518.936666666646</v>
      </c>
      <c r="AD478" s="137">
        <f t="shared" ref="AD478:AD489" si="93">Z478*0.980277351080772</f>
        <v>255963.76774471128</v>
      </c>
      <c r="AE478" s="138">
        <v>0.31559999999999999</v>
      </c>
      <c r="AF478" s="137">
        <f t="shared" si="82"/>
        <v>80782.165100230879</v>
      </c>
      <c r="AG478" s="137">
        <v>35416.921805333302</v>
      </c>
      <c r="AH478" s="154"/>
      <c r="AI478" s="154"/>
      <c r="AJ478" s="135" t="s">
        <v>643</v>
      </c>
      <c r="AK478" s="119" t="s">
        <v>643</v>
      </c>
      <c r="AM478" s="131"/>
    </row>
    <row r="479" spans="1:39" s="119" customFormat="1" ht="15" customHeight="1" x14ac:dyDescent="0.3">
      <c r="A479" s="119">
        <v>2017</v>
      </c>
      <c r="B479" s="119" t="s">
        <v>38</v>
      </c>
      <c r="C479" s="119" t="s">
        <v>75</v>
      </c>
      <c r="D479" s="119" t="s">
        <v>76</v>
      </c>
      <c r="E479" s="119" t="s">
        <v>150</v>
      </c>
      <c r="F479" s="119" t="s">
        <v>624</v>
      </c>
      <c r="G479" s="119" t="s">
        <v>624</v>
      </c>
      <c r="H479" s="119" t="s">
        <v>624</v>
      </c>
      <c r="I479" s="163" t="s">
        <v>204</v>
      </c>
      <c r="J479" s="119" t="s">
        <v>575</v>
      </c>
      <c r="K479" s="119" t="s">
        <v>576</v>
      </c>
      <c r="L479" s="119" t="s">
        <v>654</v>
      </c>
      <c r="M479" s="119" t="s">
        <v>46</v>
      </c>
      <c r="N479" s="136">
        <v>7.0000000000000007E-2</v>
      </c>
      <c r="O479" s="135" t="s">
        <v>51</v>
      </c>
      <c r="P479" s="135"/>
      <c r="Q479" s="137">
        <v>0</v>
      </c>
      <c r="R479" s="137">
        <v>0</v>
      </c>
      <c r="S479" s="137">
        <v>4426831.91</v>
      </c>
      <c r="T479" s="137">
        <f t="shared" si="85"/>
        <v>309878.23370000004</v>
      </c>
      <c r="U479" s="137">
        <f t="shared" si="89"/>
        <v>4736710.1436999999</v>
      </c>
      <c r="V479" s="137">
        <v>5279164.41</v>
      </c>
      <c r="W479" s="137">
        <f t="shared" si="90"/>
        <v>-542454.26630000025</v>
      </c>
      <c r="X479" s="137">
        <f t="shared" si="86"/>
        <v>-506966.60401869181</v>
      </c>
      <c r="Y479" s="137">
        <f t="shared" si="91"/>
        <v>-35487.66228130844</v>
      </c>
      <c r="Z479" s="137">
        <v>4741417.71</v>
      </c>
      <c r="AA479" s="137">
        <f t="shared" si="87"/>
        <v>537746.70000000019</v>
      </c>
      <c r="AB479" s="146">
        <f>IF(O479="返货",Z479/(1+N479),IF(O479="返现",Z479,IF(O479="折扣",Z479*N479,IF(O479="无",Z479))))</f>
        <v>4431231.504672897</v>
      </c>
      <c r="AC479" s="147">
        <f t="shared" si="88"/>
        <v>310186.20532710291</v>
      </c>
      <c r="AD479" s="137">
        <f t="shared" si="93"/>
        <v>4647904.3931262596</v>
      </c>
      <c r="AE479" s="138">
        <v>0.1077</v>
      </c>
      <c r="AF479" s="137">
        <f t="shared" si="82"/>
        <v>500579.30313969817</v>
      </c>
      <c r="AG479" s="137">
        <v>199355.17203989701</v>
      </c>
      <c r="AH479" s="154"/>
      <c r="AI479" s="154"/>
      <c r="AJ479" s="135" t="s">
        <v>509</v>
      </c>
      <c r="AK479" s="119" t="s">
        <v>509</v>
      </c>
      <c r="AM479" s="131"/>
    </row>
    <row r="480" spans="1:39" s="119" customFormat="1" ht="15" customHeight="1" x14ac:dyDescent="0.3">
      <c r="A480" s="119">
        <v>2017</v>
      </c>
      <c r="B480" s="119" t="s">
        <v>38</v>
      </c>
      <c r="C480" s="119" t="s">
        <v>75</v>
      </c>
      <c r="D480" s="119" t="s">
        <v>76</v>
      </c>
      <c r="E480" s="119" t="s">
        <v>150</v>
      </c>
      <c r="F480" s="119" t="s">
        <v>655</v>
      </c>
      <c r="G480" s="119" t="s">
        <v>655</v>
      </c>
      <c r="H480" s="119" t="s">
        <v>655</v>
      </c>
      <c r="I480" s="163" t="s">
        <v>204</v>
      </c>
      <c r="J480" s="119" t="s">
        <v>575</v>
      </c>
      <c r="K480" s="119" t="s">
        <v>576</v>
      </c>
      <c r="L480" s="119" t="s">
        <v>655</v>
      </c>
      <c r="M480" s="119" t="s">
        <v>46</v>
      </c>
      <c r="N480" s="136">
        <v>0.02</v>
      </c>
      <c r="O480" s="135" t="s">
        <v>51</v>
      </c>
      <c r="P480" s="135"/>
      <c r="Q480" s="137">
        <v>489233.99</v>
      </c>
      <c r="R480" s="137">
        <v>0</v>
      </c>
      <c r="S480" s="137">
        <v>8798299.7300000004</v>
      </c>
      <c r="T480" s="137">
        <f t="shared" si="85"/>
        <v>175965.99460000001</v>
      </c>
      <c r="U480" s="137">
        <f t="shared" si="89"/>
        <v>8974265.7246000003</v>
      </c>
      <c r="V480" s="137">
        <v>9563000</v>
      </c>
      <c r="W480" s="137">
        <f t="shared" si="90"/>
        <v>-588734.27539999969</v>
      </c>
      <c r="X480" s="137">
        <f t="shared" si="86"/>
        <v>-577190.46607843111</v>
      </c>
      <c r="Y480" s="137">
        <f t="shared" si="91"/>
        <v>-11543.80932156858</v>
      </c>
      <c r="Z480" s="137">
        <v>9463497.2100000009</v>
      </c>
      <c r="AA480" s="137">
        <f t="shared" si="87"/>
        <v>588736.77999999933</v>
      </c>
      <c r="AB480" s="146">
        <f>IF(O480="返货",(Z480-Q480)/(1+N480),IF(O480="返现",(Z480-Q480),IF(O480="折扣",(Z480-Q480)*N480,IF(O480="无",(Z480-Q480)))))</f>
        <v>8798297.2745098043</v>
      </c>
      <c r="AC480" s="147">
        <f t="shared" si="88"/>
        <v>665199.93549019657</v>
      </c>
      <c r="AD480" s="137">
        <f t="shared" si="93"/>
        <v>9276851.9769790769</v>
      </c>
      <c r="AE480" s="138">
        <v>0.1077</v>
      </c>
      <c r="AF480" s="137">
        <f t="shared" si="82"/>
        <v>999116.95792064664</v>
      </c>
      <c r="AG480" s="137">
        <v>833659.88069347199</v>
      </c>
      <c r="AH480" s="154"/>
      <c r="AI480" s="154"/>
      <c r="AJ480" s="135" t="s">
        <v>173</v>
      </c>
      <c r="AK480" s="119" t="s">
        <v>173</v>
      </c>
      <c r="AL480" s="119" t="s">
        <v>611</v>
      </c>
      <c r="AM480" s="131"/>
    </row>
    <row r="481" spans="1:39" s="119" customFormat="1" ht="15" customHeight="1" x14ac:dyDescent="0.3">
      <c r="A481" s="119">
        <v>2017</v>
      </c>
      <c r="B481" s="119" t="s">
        <v>38</v>
      </c>
      <c r="C481" s="119" t="s">
        <v>75</v>
      </c>
      <c r="D481" s="119" t="s">
        <v>76</v>
      </c>
      <c r="E481" s="119" t="s">
        <v>150</v>
      </c>
      <c r="F481" s="119" t="s">
        <v>655</v>
      </c>
      <c r="G481" s="119" t="s">
        <v>655</v>
      </c>
      <c r="H481" s="119" t="s">
        <v>655</v>
      </c>
      <c r="I481" s="163" t="s">
        <v>204</v>
      </c>
      <c r="J481" s="119" t="s">
        <v>575</v>
      </c>
      <c r="K481" s="119" t="s">
        <v>576</v>
      </c>
      <c r="L481" s="119" t="s">
        <v>655</v>
      </c>
      <c r="M481" s="119" t="s">
        <v>185</v>
      </c>
      <c r="N481" s="136">
        <v>0.08</v>
      </c>
      <c r="O481" s="135" t="s">
        <v>51</v>
      </c>
      <c r="P481" s="135"/>
      <c r="Q481" s="137">
        <v>184577.12880000001</v>
      </c>
      <c r="R481" s="137">
        <v>0</v>
      </c>
      <c r="S481" s="137">
        <v>423476.23</v>
      </c>
      <c r="T481" s="137">
        <f t="shared" si="85"/>
        <v>33878.098400000003</v>
      </c>
      <c r="U481" s="137">
        <f t="shared" si="89"/>
        <v>457354.3284</v>
      </c>
      <c r="V481" s="137">
        <v>0</v>
      </c>
      <c r="W481" s="137">
        <f t="shared" si="90"/>
        <v>457354.3284</v>
      </c>
      <c r="X481" s="137">
        <f t="shared" si="86"/>
        <v>423476.23</v>
      </c>
      <c r="Y481" s="137">
        <f t="shared" si="91"/>
        <v>33878.098400000017</v>
      </c>
      <c r="Z481" s="137">
        <v>617363.17000000004</v>
      </c>
      <c r="AA481" s="137">
        <f t="shared" si="87"/>
        <v>-432786.04120000004</v>
      </c>
      <c r="AB481" s="146">
        <f>IF(O481="返货",(Z481-Q481)/(1+N481),IF(O481="返现",(Z481-Q481),IF(O481="折扣",(Z481-Q481)*N481,IF(O481="无",(Z481-Q481)))))</f>
        <v>400727.81592592591</v>
      </c>
      <c r="AC481" s="147">
        <f t="shared" si="88"/>
        <v>216635.35407407413</v>
      </c>
      <c r="AD481" s="137">
        <f t="shared" si="93"/>
        <v>605187.13294242835</v>
      </c>
      <c r="AE481" s="138">
        <v>0.31559999999999999</v>
      </c>
      <c r="AF481" s="137">
        <f t="shared" si="82"/>
        <v>190997.05915663039</v>
      </c>
      <c r="AG481" s="137">
        <v>149109.21126681499</v>
      </c>
      <c r="AH481" s="154"/>
      <c r="AI481" s="154"/>
      <c r="AJ481" s="135" t="s">
        <v>53</v>
      </c>
      <c r="AK481" s="119" t="s">
        <v>53</v>
      </c>
      <c r="AM481" s="131"/>
    </row>
    <row r="482" spans="1:39" s="119" customFormat="1" ht="15" customHeight="1" x14ac:dyDescent="0.3">
      <c r="A482" s="119">
        <v>2017</v>
      </c>
      <c r="B482" s="119" t="s">
        <v>252</v>
      </c>
      <c r="C482" s="119" t="s">
        <v>75</v>
      </c>
      <c r="D482" s="119" t="s">
        <v>76</v>
      </c>
      <c r="E482" s="119" t="s">
        <v>150</v>
      </c>
      <c r="F482" s="119" t="s">
        <v>656</v>
      </c>
      <c r="G482" s="119" t="s">
        <v>657</v>
      </c>
      <c r="H482" s="119" t="s">
        <v>658</v>
      </c>
      <c r="I482" s="163" t="s">
        <v>204</v>
      </c>
      <c r="J482" s="119" t="s">
        <v>575</v>
      </c>
      <c r="K482" s="119" t="s">
        <v>576</v>
      </c>
      <c r="L482" s="119" t="s">
        <v>656</v>
      </c>
      <c r="M482" s="119" t="s">
        <v>46</v>
      </c>
      <c r="N482" s="136">
        <v>0.02</v>
      </c>
      <c r="O482" s="135" t="s">
        <v>51</v>
      </c>
      <c r="P482" s="135"/>
      <c r="Q482" s="137">
        <v>139980.356</v>
      </c>
      <c r="R482" s="137">
        <v>0</v>
      </c>
      <c r="S482" s="137">
        <v>3200000</v>
      </c>
      <c r="T482" s="137">
        <f t="shared" si="85"/>
        <v>64000</v>
      </c>
      <c r="U482" s="137">
        <f t="shared" si="89"/>
        <v>3264000</v>
      </c>
      <c r="V482" s="137">
        <v>3250000</v>
      </c>
      <c r="W482" s="137">
        <f t="shared" si="90"/>
        <v>14000</v>
      </c>
      <c r="X482" s="137">
        <f t="shared" si="86"/>
        <v>13725.490196078432</v>
      </c>
      <c r="Y482" s="137">
        <f t="shared" si="91"/>
        <v>274.50980392156816</v>
      </c>
      <c r="Z482" s="137">
        <v>3247091.48</v>
      </c>
      <c r="AA482" s="137">
        <f t="shared" si="87"/>
        <v>142888.87600000016</v>
      </c>
      <c r="AB482" s="146">
        <f>IF(O482="返货",(Z482-Q482)/(1+N482),IF(O482="返现",(Z482-Q482),IF(O482="折扣",(Z482-Q482)*N482,IF(O482="无",(Z482-Q482)))))</f>
        <v>3046187.3764705881</v>
      </c>
      <c r="AC482" s="147">
        <f t="shared" si="88"/>
        <v>200904.10352941183</v>
      </c>
      <c r="AD482" s="137">
        <f t="shared" si="93"/>
        <v>3183050.2347313436</v>
      </c>
      <c r="AE482" s="138">
        <v>0.1077</v>
      </c>
      <c r="AF482" s="137">
        <f t="shared" si="82"/>
        <v>342814.51028056571</v>
      </c>
      <c r="AG482" s="137">
        <v>286043.292003843</v>
      </c>
      <c r="AH482" s="154"/>
      <c r="AI482" s="154"/>
      <c r="AJ482" s="135" t="s">
        <v>173</v>
      </c>
      <c r="AK482" s="119" t="s">
        <v>173</v>
      </c>
      <c r="AM482" s="131"/>
    </row>
    <row r="483" spans="1:39" s="119" customFormat="1" ht="15" customHeight="1" x14ac:dyDescent="0.3">
      <c r="A483" s="119">
        <v>2017</v>
      </c>
      <c r="B483" s="119" t="s">
        <v>252</v>
      </c>
      <c r="C483" s="119" t="s">
        <v>75</v>
      </c>
      <c r="D483" s="119" t="s">
        <v>76</v>
      </c>
      <c r="E483" s="119" t="s">
        <v>150</v>
      </c>
      <c r="F483" s="119" t="s">
        <v>656</v>
      </c>
      <c r="G483" s="119" t="s">
        <v>657</v>
      </c>
      <c r="H483" s="119" t="s">
        <v>658</v>
      </c>
      <c r="I483" s="163" t="s">
        <v>204</v>
      </c>
      <c r="J483" s="119" t="s">
        <v>575</v>
      </c>
      <c r="K483" s="119" t="s">
        <v>576</v>
      </c>
      <c r="L483" s="119" t="s">
        <v>656</v>
      </c>
      <c r="M483" s="119" t="s">
        <v>160</v>
      </c>
      <c r="N483" s="136">
        <v>0</v>
      </c>
      <c r="O483" s="135" t="s">
        <v>47</v>
      </c>
      <c r="P483" s="135"/>
      <c r="Q483" s="137">
        <v>0</v>
      </c>
      <c r="R483" s="137">
        <v>0</v>
      </c>
      <c r="S483" s="137">
        <v>550000</v>
      </c>
      <c r="T483" s="137">
        <f t="shared" si="85"/>
        <v>0</v>
      </c>
      <c r="U483" s="137">
        <f t="shared" si="89"/>
        <v>550000</v>
      </c>
      <c r="V483" s="137">
        <v>550000</v>
      </c>
      <c r="W483" s="137">
        <f t="shared" si="90"/>
        <v>0</v>
      </c>
      <c r="X483" s="137">
        <f t="shared" si="86"/>
        <v>0</v>
      </c>
      <c r="Y483" s="137">
        <f t="shared" si="91"/>
        <v>0</v>
      </c>
      <c r="Z483" s="137">
        <v>550000</v>
      </c>
      <c r="AA483" s="137">
        <f t="shared" si="87"/>
        <v>0</v>
      </c>
      <c r="AB483" s="146">
        <f>IF(O483="返货",Z483/(1+N483),IF(O483="返现",Z483,IF(O483="折扣",Z483*N483,IF(O483="无",Z483))))</f>
        <v>550000</v>
      </c>
      <c r="AC483" s="147">
        <f t="shared" si="88"/>
        <v>0</v>
      </c>
      <c r="AD483" s="137">
        <f t="shared" si="93"/>
        <v>539152.54309442453</v>
      </c>
      <c r="AE483" s="138">
        <v>0.1077</v>
      </c>
      <c r="AF483" s="137">
        <f t="shared" si="82"/>
        <v>58066.728891269522</v>
      </c>
      <c r="AG483" s="137">
        <v>59235</v>
      </c>
      <c r="AH483" s="154"/>
      <c r="AI483" s="154"/>
      <c r="AJ483" s="135" t="s">
        <v>646</v>
      </c>
      <c r="AK483" s="119" t="s">
        <v>646</v>
      </c>
      <c r="AM483" s="131"/>
    </row>
    <row r="484" spans="1:39" s="119" customFormat="1" ht="15" customHeight="1" x14ac:dyDescent="0.3">
      <c r="A484" s="119">
        <v>2017</v>
      </c>
      <c r="B484" s="119" t="s">
        <v>38</v>
      </c>
      <c r="C484" s="119" t="s">
        <v>75</v>
      </c>
      <c r="D484" s="119" t="s">
        <v>76</v>
      </c>
      <c r="E484" s="119" t="s">
        <v>150</v>
      </c>
      <c r="F484" s="119" t="s">
        <v>659</v>
      </c>
      <c r="G484" s="119" t="s">
        <v>659</v>
      </c>
      <c r="H484" s="119" t="s">
        <v>659</v>
      </c>
      <c r="I484" s="163" t="s">
        <v>204</v>
      </c>
      <c r="J484" s="119" t="s">
        <v>575</v>
      </c>
      <c r="K484" s="119" t="s">
        <v>576</v>
      </c>
      <c r="L484" s="119" t="s">
        <v>660</v>
      </c>
      <c r="M484" s="119" t="s">
        <v>46</v>
      </c>
      <c r="N484" s="136">
        <v>0.02</v>
      </c>
      <c r="O484" s="135" t="s">
        <v>51</v>
      </c>
      <c r="P484" s="135"/>
      <c r="Q484" s="137">
        <v>0</v>
      </c>
      <c r="R484" s="137">
        <v>0</v>
      </c>
      <c r="S484" s="137">
        <v>70000</v>
      </c>
      <c r="T484" s="137">
        <f t="shared" si="85"/>
        <v>1400</v>
      </c>
      <c r="U484" s="137">
        <f t="shared" si="89"/>
        <v>71400</v>
      </c>
      <c r="V484" s="137">
        <v>0</v>
      </c>
      <c r="W484" s="137">
        <f t="shared" si="90"/>
        <v>71400</v>
      </c>
      <c r="X484" s="137">
        <f t="shared" si="86"/>
        <v>70000</v>
      </c>
      <c r="Y484" s="137">
        <f t="shared" si="91"/>
        <v>1400</v>
      </c>
      <c r="Z484" s="137">
        <v>0</v>
      </c>
      <c r="AA484" s="137">
        <f t="shared" si="87"/>
        <v>0</v>
      </c>
      <c r="AB484" s="146">
        <f>IF(O484="返货",Z484/(1+N484),IF(O484="返现",Z484,IF(O484="折扣",Z484*N484,IF(O484="无",Z484))))</f>
        <v>0</v>
      </c>
      <c r="AC484" s="147">
        <f t="shared" si="88"/>
        <v>0</v>
      </c>
      <c r="AD484" s="137">
        <f t="shared" si="93"/>
        <v>0</v>
      </c>
      <c r="AE484" s="138">
        <v>0.1077</v>
      </c>
      <c r="AF484" s="137">
        <f t="shared" si="82"/>
        <v>0</v>
      </c>
      <c r="AG484" s="137">
        <v>0</v>
      </c>
      <c r="AH484" s="154"/>
      <c r="AI484" s="154"/>
      <c r="AJ484" s="135" t="s">
        <v>173</v>
      </c>
      <c r="AK484" s="119" t="s">
        <v>173</v>
      </c>
      <c r="AM484" s="131"/>
    </row>
    <row r="485" spans="1:39" s="119" customFormat="1" ht="15" customHeight="1" x14ac:dyDescent="0.3">
      <c r="A485" s="119">
        <v>2017</v>
      </c>
      <c r="B485" s="119" t="s">
        <v>38</v>
      </c>
      <c r="C485" s="119" t="s">
        <v>75</v>
      </c>
      <c r="D485" s="119" t="s">
        <v>76</v>
      </c>
      <c r="E485" s="119" t="s">
        <v>150</v>
      </c>
      <c r="F485" s="119" t="s">
        <v>263</v>
      </c>
      <c r="G485" s="119" t="s">
        <v>263</v>
      </c>
      <c r="H485" s="119" t="s">
        <v>263</v>
      </c>
      <c r="I485" s="163" t="s">
        <v>204</v>
      </c>
      <c r="J485" s="119" t="s">
        <v>575</v>
      </c>
      <c r="K485" s="119" t="s">
        <v>576</v>
      </c>
      <c r="L485" s="119" t="s">
        <v>661</v>
      </c>
      <c r="M485" s="119" t="s">
        <v>185</v>
      </c>
      <c r="N485" s="136">
        <v>0.15</v>
      </c>
      <c r="O485" s="135" t="s">
        <v>51</v>
      </c>
      <c r="P485" s="135"/>
      <c r="Q485" s="137">
        <v>0</v>
      </c>
      <c r="R485" s="137">
        <v>0</v>
      </c>
      <c r="S485" s="137">
        <v>249764.49</v>
      </c>
      <c r="T485" s="137">
        <f t="shared" si="85"/>
        <v>37464.673499999997</v>
      </c>
      <c r="U485" s="137">
        <f t="shared" si="89"/>
        <v>287229.16349999997</v>
      </c>
      <c r="V485" s="137">
        <v>0</v>
      </c>
      <c r="W485" s="137">
        <f t="shared" si="90"/>
        <v>287229.16349999997</v>
      </c>
      <c r="X485" s="137">
        <f t="shared" si="86"/>
        <v>249764.49</v>
      </c>
      <c r="Y485" s="137">
        <f t="shared" si="91"/>
        <v>37464.673499999975</v>
      </c>
      <c r="Z485" s="137">
        <v>249764.49</v>
      </c>
      <c r="AA485" s="137">
        <f t="shared" si="87"/>
        <v>-249764.49</v>
      </c>
      <c r="AB485" s="146">
        <f>IF(O485="返货",Z485/(1+N485),IF(O485="返现",Z485,IF(O485="折扣",Z485*N485,IF(O485="无",Z485))))</f>
        <v>217186.51304347828</v>
      </c>
      <c r="AC485" s="147">
        <f t="shared" si="88"/>
        <v>32577.976956521714</v>
      </c>
      <c r="AD485" s="137">
        <f t="shared" si="93"/>
        <v>244838.47265123995</v>
      </c>
      <c r="AE485" s="138">
        <v>0.31559999999999999</v>
      </c>
      <c r="AF485" s="137">
        <f t="shared" si="82"/>
        <v>77271.021968731322</v>
      </c>
      <c r="AG485" s="137">
        <v>46247.696087478304</v>
      </c>
      <c r="AH485" s="154"/>
      <c r="AI485" s="154"/>
      <c r="AJ485" s="135" t="s">
        <v>662</v>
      </c>
      <c r="AK485" s="119" t="s">
        <v>662</v>
      </c>
      <c r="AM485" s="131"/>
    </row>
    <row r="486" spans="1:39" s="119" customFormat="1" ht="15" customHeight="1" x14ac:dyDescent="0.3">
      <c r="A486" s="119">
        <v>2017</v>
      </c>
      <c r="B486" s="119" t="s">
        <v>38</v>
      </c>
      <c r="C486" s="119" t="s">
        <v>75</v>
      </c>
      <c r="D486" s="119" t="s">
        <v>76</v>
      </c>
      <c r="E486" s="119" t="s">
        <v>150</v>
      </c>
      <c r="F486" s="119" t="s">
        <v>263</v>
      </c>
      <c r="G486" s="119" t="s">
        <v>263</v>
      </c>
      <c r="H486" s="119" t="s">
        <v>263</v>
      </c>
      <c r="I486" s="163" t="s">
        <v>204</v>
      </c>
      <c r="J486" s="119" t="s">
        <v>575</v>
      </c>
      <c r="K486" s="119" t="s">
        <v>576</v>
      </c>
      <c r="L486" s="119" t="s">
        <v>661</v>
      </c>
      <c r="M486" s="119" t="s">
        <v>46</v>
      </c>
      <c r="N486" s="135">
        <v>0.05</v>
      </c>
      <c r="O486" s="135" t="s">
        <v>51</v>
      </c>
      <c r="P486" s="135"/>
      <c r="Q486" s="137">
        <v>0</v>
      </c>
      <c r="R486" s="137">
        <v>0</v>
      </c>
      <c r="S486" s="137">
        <v>3475094.99</v>
      </c>
      <c r="T486" s="137">
        <f t="shared" si="85"/>
        <v>173754.74950000003</v>
      </c>
      <c r="U486" s="137">
        <f t="shared" si="89"/>
        <v>3648849.7395000001</v>
      </c>
      <c r="V486" s="137">
        <v>3952543.24</v>
      </c>
      <c r="W486" s="137">
        <f t="shared" si="90"/>
        <v>-303693.50050000008</v>
      </c>
      <c r="X486" s="137">
        <f t="shared" si="86"/>
        <v>-289231.90523809532</v>
      </c>
      <c r="Y486" s="137">
        <f t="shared" si="91"/>
        <v>-14461.59526190476</v>
      </c>
      <c r="Z486" s="137">
        <v>3628585.71</v>
      </c>
      <c r="AA486" s="137">
        <f t="shared" si="87"/>
        <v>323957.53000000026</v>
      </c>
      <c r="AB486" s="146">
        <f>IF(O486="返货",Z486/(1+N486),IF(O486="返现",Z486,IF(O486="折扣",Z486*N486,IF(O486="无",Z486))))</f>
        <v>3455795.9142857143</v>
      </c>
      <c r="AC486" s="147">
        <f t="shared" si="88"/>
        <v>172789.79571428569</v>
      </c>
      <c r="AD486" s="137">
        <f t="shared" si="93"/>
        <v>3557020.3879683423</v>
      </c>
      <c r="AE486" s="138">
        <v>0.1077</v>
      </c>
      <c r="AF486" s="137">
        <f t="shared" si="82"/>
        <v>383091.09578419046</v>
      </c>
      <c r="AG486" s="137">
        <v>218008.88525271401</v>
      </c>
      <c r="AH486" s="154"/>
      <c r="AI486" s="154"/>
      <c r="AJ486" s="135" t="s">
        <v>63</v>
      </c>
      <c r="AK486" s="119" t="s">
        <v>63</v>
      </c>
      <c r="AM486" s="131"/>
    </row>
    <row r="487" spans="1:39" s="119" customFormat="1" ht="15" customHeight="1" x14ac:dyDescent="0.3">
      <c r="A487" s="119">
        <v>2017</v>
      </c>
      <c r="B487" s="119" t="s">
        <v>38</v>
      </c>
      <c r="C487" s="119" t="s">
        <v>75</v>
      </c>
      <c r="D487" s="119" t="s">
        <v>76</v>
      </c>
      <c r="E487" s="119" t="s">
        <v>150</v>
      </c>
      <c r="F487" s="119" t="s">
        <v>663</v>
      </c>
      <c r="G487" s="119" t="s">
        <v>663</v>
      </c>
      <c r="H487" s="119" t="s">
        <v>663</v>
      </c>
      <c r="I487" s="163" t="s">
        <v>204</v>
      </c>
      <c r="J487" s="119" t="s">
        <v>575</v>
      </c>
      <c r="K487" s="119" t="s">
        <v>576</v>
      </c>
      <c r="L487" s="119" t="s">
        <v>664</v>
      </c>
      <c r="M487" s="119" t="s">
        <v>185</v>
      </c>
      <c r="N487" s="136">
        <v>0.15</v>
      </c>
      <c r="O487" s="135" t="s">
        <v>495</v>
      </c>
      <c r="P487" s="135"/>
      <c r="Q487" s="137">
        <v>37586</v>
      </c>
      <c r="R487" s="137">
        <v>0</v>
      </c>
      <c r="S487" s="137">
        <v>583881.76</v>
      </c>
      <c r="T487" s="137">
        <f t="shared" si="85"/>
        <v>87582.263999999996</v>
      </c>
      <c r="U487" s="137">
        <f t="shared" si="89"/>
        <v>671464.02399999998</v>
      </c>
      <c r="V487" s="137">
        <v>0</v>
      </c>
      <c r="W487" s="137">
        <f t="shared" si="90"/>
        <v>671464.02399999998</v>
      </c>
      <c r="X487" s="137">
        <f t="shared" si="86"/>
        <v>583881.76</v>
      </c>
      <c r="Y487" s="137">
        <f t="shared" si="91"/>
        <v>87582.263999999966</v>
      </c>
      <c r="Z487" s="137">
        <v>583881.76</v>
      </c>
      <c r="AA487" s="137">
        <f t="shared" si="87"/>
        <v>-546295.76</v>
      </c>
      <c r="AB487" s="146">
        <f>IF(O487="返货",(Z487-Q487)/(1+N487),IF(O487="返现",(Z487-Q487),IF(O487="折扣",(Z487-Q487)*N487,IF(O487="无",(Z487-Q487)))))</f>
        <v>546295.76</v>
      </c>
      <c r="AC487" s="147">
        <f t="shared" si="88"/>
        <v>87582.263999999996</v>
      </c>
      <c r="AD487" s="137">
        <f t="shared" si="93"/>
        <v>572366.06503717904</v>
      </c>
      <c r="AE487" s="138">
        <v>0.31559999999999999</v>
      </c>
      <c r="AF487" s="137">
        <f t="shared" si="82"/>
        <v>180638.73012573371</v>
      </c>
      <c r="AG487" s="137">
        <v>108114.59302121701</v>
      </c>
      <c r="AH487" s="154"/>
      <c r="AI487" s="154"/>
      <c r="AJ487" s="135" t="s">
        <v>662</v>
      </c>
      <c r="AK487" s="119" t="s">
        <v>662</v>
      </c>
      <c r="AL487" s="119" t="s">
        <v>589</v>
      </c>
      <c r="AM487" s="131"/>
    </row>
    <row r="488" spans="1:39" s="119" customFormat="1" ht="15" customHeight="1" x14ac:dyDescent="0.3">
      <c r="A488" s="119">
        <v>2017</v>
      </c>
      <c r="B488" s="119" t="s">
        <v>38</v>
      </c>
      <c r="C488" s="119" t="s">
        <v>75</v>
      </c>
      <c r="D488" s="119" t="s">
        <v>76</v>
      </c>
      <c r="E488" s="119" t="s">
        <v>150</v>
      </c>
      <c r="F488" s="119" t="s">
        <v>663</v>
      </c>
      <c r="G488" s="119" t="s">
        <v>663</v>
      </c>
      <c r="H488" s="119" t="s">
        <v>663</v>
      </c>
      <c r="I488" s="163" t="s">
        <v>204</v>
      </c>
      <c r="J488" s="119" t="s">
        <v>575</v>
      </c>
      <c r="K488" s="119" t="s">
        <v>576</v>
      </c>
      <c r="L488" s="119" t="s">
        <v>664</v>
      </c>
      <c r="M488" s="119" t="s">
        <v>46</v>
      </c>
      <c r="N488" s="136">
        <v>0.05</v>
      </c>
      <c r="O488" s="135" t="s">
        <v>495</v>
      </c>
      <c r="P488" s="135" t="s">
        <v>665</v>
      </c>
      <c r="Q488" s="137">
        <v>0</v>
      </c>
      <c r="R488" s="137">
        <v>0</v>
      </c>
      <c r="S488" s="137">
        <v>2937534.9</v>
      </c>
      <c r="T488" s="137">
        <f t="shared" si="85"/>
        <v>146876.745</v>
      </c>
      <c r="U488" s="137">
        <f t="shared" si="89"/>
        <v>3084411.645</v>
      </c>
      <c r="V488" s="137">
        <v>3324784</v>
      </c>
      <c r="W488" s="137">
        <f t="shared" si="90"/>
        <v>-240372.35499999998</v>
      </c>
      <c r="X488" s="137">
        <f t="shared" si="86"/>
        <v>-228926.05238095234</v>
      </c>
      <c r="Y488" s="137">
        <f t="shared" si="91"/>
        <v>-11446.302619047638</v>
      </c>
      <c r="Z488" s="137">
        <f>2927734.9-Z1173</f>
        <v>2767234.9</v>
      </c>
      <c r="AA488" s="137">
        <f t="shared" si="87"/>
        <v>557549.10000000009</v>
      </c>
      <c r="AB488" s="146">
        <f>IF(O488="返货",Z488/(1+N488),IF(O488="返现",(Z488-124508.94),IF(O488="折扣",Z488*N488,IF(O488="无",Z488))))</f>
        <v>2642725.96</v>
      </c>
      <c r="AC488" s="147">
        <f t="shared" si="88"/>
        <v>138361.745</v>
      </c>
      <c r="AD488" s="137">
        <f t="shared" si="93"/>
        <v>2712657.697590265</v>
      </c>
      <c r="AE488" s="138">
        <v>0.1077</v>
      </c>
      <c r="AF488" s="137">
        <f t="shared" si="82"/>
        <v>292153.23403047153</v>
      </c>
      <c r="AG488" s="137">
        <v>175901.101110952</v>
      </c>
      <c r="AH488" s="154"/>
      <c r="AI488" s="154"/>
      <c r="AJ488" s="135" t="s">
        <v>63</v>
      </c>
      <c r="AK488" s="119" t="s">
        <v>63</v>
      </c>
      <c r="AM488" s="131"/>
    </row>
    <row r="489" spans="1:39" s="119" customFormat="1" ht="15" customHeight="1" x14ac:dyDescent="0.3">
      <c r="A489" s="119">
        <v>2017</v>
      </c>
      <c r="B489" s="119" t="s">
        <v>38</v>
      </c>
      <c r="C489" s="119" t="s">
        <v>75</v>
      </c>
      <c r="D489" s="119" t="s">
        <v>76</v>
      </c>
      <c r="E489" s="119" t="s">
        <v>150</v>
      </c>
      <c r="F489" s="119" t="s">
        <v>663</v>
      </c>
      <c r="G489" s="119" t="s">
        <v>663</v>
      </c>
      <c r="H489" s="119" t="s">
        <v>663</v>
      </c>
      <c r="I489" s="163" t="s">
        <v>204</v>
      </c>
      <c r="J489" s="119" t="s">
        <v>575</v>
      </c>
      <c r="K489" s="119" t="s">
        <v>576</v>
      </c>
      <c r="L489" s="119" t="s">
        <v>664</v>
      </c>
      <c r="M489" s="119" t="s">
        <v>160</v>
      </c>
      <c r="N489" s="136">
        <v>0</v>
      </c>
      <c r="O489" s="135" t="s">
        <v>47</v>
      </c>
      <c r="P489" s="135"/>
      <c r="Q489" s="137">
        <v>0</v>
      </c>
      <c r="R489" s="137">
        <v>0</v>
      </c>
      <c r="S489" s="137">
        <v>530000</v>
      </c>
      <c r="T489" s="137">
        <f t="shared" si="85"/>
        <v>0</v>
      </c>
      <c r="U489" s="137">
        <f t="shared" si="89"/>
        <v>530000</v>
      </c>
      <c r="V489" s="137">
        <v>550000</v>
      </c>
      <c r="W489" s="137">
        <f t="shared" si="90"/>
        <v>-20000</v>
      </c>
      <c r="X489" s="137">
        <f t="shared" si="86"/>
        <v>-20000</v>
      </c>
      <c r="Y489" s="137">
        <f t="shared" si="91"/>
        <v>0</v>
      </c>
      <c r="Z489" s="137">
        <v>550000</v>
      </c>
      <c r="AA489" s="137">
        <f t="shared" si="87"/>
        <v>0</v>
      </c>
      <c r="AB489" s="146">
        <f>IF(O489="返货",Z489/(1+N489),IF(O489="返现",Z489,IF(O489="折扣",Z489*N489,IF(O489="无",Z489))))</f>
        <v>550000</v>
      </c>
      <c r="AC489" s="147">
        <f t="shared" si="88"/>
        <v>0</v>
      </c>
      <c r="AD489" s="137">
        <f t="shared" si="93"/>
        <v>539152.54309442453</v>
      </c>
      <c r="AE489" s="138">
        <v>0.1077</v>
      </c>
      <c r="AF489" s="137">
        <f t="shared" si="82"/>
        <v>58066.728891269522</v>
      </c>
      <c r="AG489" s="137">
        <v>59235</v>
      </c>
      <c r="AH489" s="154"/>
      <c r="AI489" s="154"/>
      <c r="AJ489" s="135" t="s">
        <v>646</v>
      </c>
      <c r="AK489" s="119" t="s">
        <v>646</v>
      </c>
      <c r="AM489" s="131"/>
    </row>
    <row r="490" spans="1:39" s="119" customFormat="1" ht="15" customHeight="1" x14ac:dyDescent="0.3">
      <c r="A490" s="119">
        <v>2017</v>
      </c>
      <c r="B490" s="119" t="s">
        <v>38</v>
      </c>
      <c r="C490" s="119" t="s">
        <v>75</v>
      </c>
      <c r="D490" s="119" t="s">
        <v>76</v>
      </c>
      <c r="E490" s="119" t="s">
        <v>77</v>
      </c>
      <c r="F490" s="119" t="s">
        <v>303</v>
      </c>
      <c r="G490" s="119" t="s">
        <v>303</v>
      </c>
      <c r="H490" s="119" t="s">
        <v>303</v>
      </c>
      <c r="I490" s="163" t="s">
        <v>204</v>
      </c>
      <c r="J490" s="119" t="s">
        <v>205</v>
      </c>
      <c r="K490" s="119" t="s">
        <v>206</v>
      </c>
      <c r="L490" s="119" t="s">
        <v>303</v>
      </c>
      <c r="M490" s="119" t="s">
        <v>46</v>
      </c>
      <c r="N490" s="136">
        <v>0.02</v>
      </c>
      <c r="O490" s="135" t="s">
        <v>51</v>
      </c>
      <c r="P490" s="135"/>
      <c r="Q490" s="137">
        <v>0</v>
      </c>
      <c r="R490" s="137">
        <v>0</v>
      </c>
      <c r="S490" s="137">
        <v>360000</v>
      </c>
      <c r="T490" s="137">
        <f t="shared" si="85"/>
        <v>7200</v>
      </c>
      <c r="U490" s="137">
        <f t="shared" si="89"/>
        <v>367200</v>
      </c>
      <c r="V490" s="137">
        <v>310000</v>
      </c>
      <c r="W490" s="137">
        <f t="shared" si="90"/>
        <v>57200</v>
      </c>
      <c r="X490" s="137">
        <f t="shared" si="86"/>
        <v>56078.431372549021</v>
      </c>
      <c r="Y490" s="137">
        <f t="shared" si="91"/>
        <v>1121.568627450979</v>
      </c>
      <c r="Z490" s="137">
        <v>276959.12</v>
      </c>
      <c r="AA490" s="137">
        <f t="shared" si="87"/>
        <v>33040.880000000005</v>
      </c>
      <c r="AB490" s="146">
        <f>IF(O490="返货",Z490/(1+N490),IF(O490="返现",Z490,IF(O490="折扣",Z490*N490,IF(O490="无",Z490))))</f>
        <v>271528.54901960783</v>
      </c>
      <c r="AC490" s="147">
        <f t="shared" si="88"/>
        <v>5430.5709803921636</v>
      </c>
      <c r="AD490" s="137">
        <v>276959.12</v>
      </c>
      <c r="AE490" s="138">
        <v>7.0000000000000007E-2</v>
      </c>
      <c r="AF490" s="137">
        <f t="shared" si="82"/>
        <v>19387.1384</v>
      </c>
      <c r="AG490" s="137">
        <v>13956.5674196078</v>
      </c>
      <c r="AH490" s="154"/>
      <c r="AI490" s="154"/>
      <c r="AJ490" s="136">
        <v>0.02</v>
      </c>
      <c r="AK490" s="156">
        <v>0.02</v>
      </c>
      <c r="AM490" s="131"/>
    </row>
    <row r="491" spans="1:39" s="119" customFormat="1" ht="15" customHeight="1" x14ac:dyDescent="0.3">
      <c r="A491" s="119">
        <v>2017</v>
      </c>
      <c r="B491" s="119" t="s">
        <v>38</v>
      </c>
      <c r="C491" s="119" t="s">
        <v>75</v>
      </c>
      <c r="D491" s="119" t="s">
        <v>76</v>
      </c>
      <c r="E491" s="119" t="s">
        <v>77</v>
      </c>
      <c r="F491" s="119" t="s">
        <v>78</v>
      </c>
      <c r="G491" s="119" t="s">
        <v>78</v>
      </c>
      <c r="H491" s="119" t="s">
        <v>78</v>
      </c>
      <c r="I491" s="163" t="s">
        <v>204</v>
      </c>
      <c r="J491" s="119" t="s">
        <v>575</v>
      </c>
      <c r="K491" s="119" t="s">
        <v>576</v>
      </c>
      <c r="L491" s="119" t="s">
        <v>79</v>
      </c>
      <c r="M491" s="119" t="s">
        <v>160</v>
      </c>
      <c r="N491" s="136">
        <v>0.02</v>
      </c>
      <c r="O491" s="135" t="s">
        <v>51</v>
      </c>
      <c r="P491" s="135"/>
      <c r="Q491" s="137">
        <v>0</v>
      </c>
      <c r="R491" s="137">
        <v>0</v>
      </c>
      <c r="S491" s="137">
        <v>50000</v>
      </c>
      <c r="T491" s="137">
        <f t="shared" si="85"/>
        <v>1000</v>
      </c>
      <c r="U491" s="137">
        <f t="shared" si="89"/>
        <v>51000</v>
      </c>
      <c r="V491" s="137">
        <v>50000</v>
      </c>
      <c r="W491" s="137">
        <f t="shared" si="90"/>
        <v>1000</v>
      </c>
      <c r="X491" s="137">
        <f t="shared" si="86"/>
        <v>980.39215686274508</v>
      </c>
      <c r="Y491" s="137">
        <f t="shared" si="91"/>
        <v>19.607843137254918</v>
      </c>
      <c r="Z491" s="137">
        <v>50000</v>
      </c>
      <c r="AA491" s="137">
        <f t="shared" si="87"/>
        <v>0</v>
      </c>
      <c r="AB491" s="146">
        <f>IF(O491="返货",Z491/(1+N491),IF(O491="返现",Z491,IF(O491="折扣",Z491*N491,IF(O491="无",Z491))))</f>
        <v>49019.607843137252</v>
      </c>
      <c r="AC491" s="147">
        <f t="shared" si="88"/>
        <v>980.39215686274838</v>
      </c>
      <c r="AD491" s="137">
        <f>Z491*0.980277351080772</f>
        <v>49013.867554038596</v>
      </c>
      <c r="AE491" s="138">
        <v>0.1077</v>
      </c>
      <c r="AF491" s="137">
        <f t="shared" si="82"/>
        <v>5278.7935355699574</v>
      </c>
      <c r="AG491" s="137">
        <v>4404.6078431372498</v>
      </c>
      <c r="AH491" s="154"/>
      <c r="AI491" s="154"/>
      <c r="AJ491" s="135" t="s">
        <v>173</v>
      </c>
      <c r="AK491" s="119" t="s">
        <v>173</v>
      </c>
      <c r="AM491" s="131"/>
    </row>
    <row r="492" spans="1:39" s="119" customFormat="1" ht="15" customHeight="1" x14ac:dyDescent="0.3">
      <c r="A492" s="119">
        <v>2017</v>
      </c>
      <c r="B492" s="119" t="s">
        <v>38</v>
      </c>
      <c r="C492" s="119" t="s">
        <v>75</v>
      </c>
      <c r="D492" s="119" t="s">
        <v>76</v>
      </c>
      <c r="E492" s="119" t="s">
        <v>77</v>
      </c>
      <c r="F492" s="119" t="s">
        <v>78</v>
      </c>
      <c r="G492" s="119" t="s">
        <v>78</v>
      </c>
      <c r="H492" s="119" t="s">
        <v>78</v>
      </c>
      <c r="I492" s="163" t="s">
        <v>204</v>
      </c>
      <c r="J492" s="119" t="s">
        <v>575</v>
      </c>
      <c r="K492" s="119" t="s">
        <v>576</v>
      </c>
      <c r="L492" s="119" t="s">
        <v>79</v>
      </c>
      <c r="M492" s="119" t="s">
        <v>46</v>
      </c>
      <c r="N492" s="136">
        <v>0.02</v>
      </c>
      <c r="O492" s="135" t="s">
        <v>51</v>
      </c>
      <c r="P492" s="135"/>
      <c r="Q492" s="137">
        <v>59961.45</v>
      </c>
      <c r="R492" s="137">
        <v>0</v>
      </c>
      <c r="S492" s="137">
        <v>827563.72</v>
      </c>
      <c r="T492" s="137">
        <f t="shared" si="85"/>
        <v>16551.274399999998</v>
      </c>
      <c r="U492" s="137">
        <f t="shared" si="89"/>
        <v>844114.99439999997</v>
      </c>
      <c r="V492" s="137">
        <v>978036.35</v>
      </c>
      <c r="W492" s="137">
        <f t="shared" si="90"/>
        <v>-133921.35560000001</v>
      </c>
      <c r="X492" s="137">
        <f t="shared" si="86"/>
        <v>-131295.44666666668</v>
      </c>
      <c r="Y492" s="137">
        <f t="shared" si="91"/>
        <v>-2625.908933333325</v>
      </c>
      <c r="Z492" s="137">
        <v>904120.02</v>
      </c>
      <c r="AA492" s="137">
        <f t="shared" si="87"/>
        <v>133877.77999999991</v>
      </c>
      <c r="AB492" s="146">
        <f>IF(O492="返货",(Z492-Q492)/(1+N492),IF(O492="返现",(Z492-Q492),IF(O492="折扣",(Z492-Q492)*N492,IF(O492="无",(Z492-Q492)))))</f>
        <v>827606.4411764706</v>
      </c>
      <c r="AC492" s="147">
        <f t="shared" si="88"/>
        <v>76513.578823529417</v>
      </c>
      <c r="AD492" s="137">
        <f>Z492*0.980277351080772</f>
        <v>886288.37826469459</v>
      </c>
      <c r="AE492" s="138">
        <v>0.1077</v>
      </c>
      <c r="AF492" s="137">
        <f t="shared" si="82"/>
        <v>95453.258339107604</v>
      </c>
      <c r="AG492" s="137">
        <v>79645.882624588194</v>
      </c>
      <c r="AH492" s="154"/>
      <c r="AI492" s="154"/>
      <c r="AJ492" s="136">
        <v>0.02</v>
      </c>
      <c r="AK492" s="156">
        <v>0.02</v>
      </c>
      <c r="AL492" s="119" t="s">
        <v>611</v>
      </c>
      <c r="AM492" s="131"/>
    </row>
    <row r="493" spans="1:39" s="119" customFormat="1" ht="15" customHeight="1" x14ac:dyDescent="0.3">
      <c r="A493" s="119">
        <v>2017</v>
      </c>
      <c r="B493" s="119" t="s">
        <v>38</v>
      </c>
      <c r="C493" s="119" t="s">
        <v>75</v>
      </c>
      <c r="D493" s="119" t="s">
        <v>76</v>
      </c>
      <c r="E493" s="119" t="s">
        <v>77</v>
      </c>
      <c r="F493" s="119" t="s">
        <v>78</v>
      </c>
      <c r="G493" s="119" t="s">
        <v>78</v>
      </c>
      <c r="H493" s="119" t="s">
        <v>78</v>
      </c>
      <c r="I493" s="163" t="s">
        <v>204</v>
      </c>
      <c r="J493" s="119" t="s">
        <v>575</v>
      </c>
      <c r="K493" s="119" t="s">
        <v>576</v>
      </c>
      <c r="L493" s="119" t="s">
        <v>79</v>
      </c>
      <c r="M493" s="119" t="s">
        <v>185</v>
      </c>
      <c r="N493" s="136">
        <v>0.08</v>
      </c>
      <c r="O493" s="135" t="s">
        <v>51</v>
      </c>
      <c r="P493" s="135"/>
      <c r="Q493" s="137">
        <v>63212.304400000001</v>
      </c>
      <c r="R493" s="137">
        <v>0</v>
      </c>
      <c r="S493" s="137">
        <v>124000.44</v>
      </c>
      <c r="T493" s="137">
        <f t="shared" si="85"/>
        <v>9920.0352000000003</v>
      </c>
      <c r="U493" s="137">
        <f t="shared" si="89"/>
        <v>133920.47520000002</v>
      </c>
      <c r="V493" s="137">
        <v>0</v>
      </c>
      <c r="W493" s="137">
        <f t="shared" si="90"/>
        <v>133920.47520000002</v>
      </c>
      <c r="X493" s="137">
        <f t="shared" si="86"/>
        <v>124000.44</v>
      </c>
      <c r="Y493" s="137">
        <f t="shared" si="91"/>
        <v>9920.035200000013</v>
      </c>
      <c r="Z493" s="137">
        <v>197132.78</v>
      </c>
      <c r="AA493" s="137">
        <f t="shared" si="87"/>
        <v>-133920.47560000001</v>
      </c>
      <c r="AB493" s="146">
        <f>IF(O493="返货",(Z493-Q493)/(1+N493),IF(O493="返现",(Z493-Q493),IF(O493="折扣",(Z493-Q493)*N493,IF(O493="无",(Z493-Q493)))))</f>
        <v>124000.44037037037</v>
      </c>
      <c r="AC493" s="147">
        <f t="shared" si="88"/>
        <v>73132.339629629627</v>
      </c>
      <c r="AD493" s="137">
        <f>Z493*0.980277351080772</f>
        <v>193244.79938958859</v>
      </c>
      <c r="AE493" s="138">
        <v>0.31559999999999999</v>
      </c>
      <c r="AF493" s="137">
        <f t="shared" si="82"/>
        <v>60988.058687354154</v>
      </c>
      <c r="AG493" s="137">
        <v>47612.677219851801</v>
      </c>
      <c r="AH493" s="154"/>
      <c r="AI493" s="154"/>
      <c r="AJ493" s="136">
        <v>0.08</v>
      </c>
      <c r="AK493" s="156">
        <v>0.08</v>
      </c>
      <c r="AM493" s="131"/>
    </row>
    <row r="494" spans="1:39" s="119" customFormat="1" ht="15" customHeight="1" x14ac:dyDescent="0.3">
      <c r="A494" s="119">
        <v>2017</v>
      </c>
      <c r="B494" s="119" t="s">
        <v>38</v>
      </c>
      <c r="C494" s="119" t="s">
        <v>75</v>
      </c>
      <c r="D494" s="119" t="s">
        <v>76</v>
      </c>
      <c r="E494" s="119" t="s">
        <v>257</v>
      </c>
      <c r="F494" s="119" t="s">
        <v>650</v>
      </c>
      <c r="G494" s="119" t="s">
        <v>650</v>
      </c>
      <c r="H494" s="119" t="s">
        <v>650</v>
      </c>
      <c r="I494" s="163" t="s">
        <v>204</v>
      </c>
      <c r="J494" s="119" t="s">
        <v>575</v>
      </c>
      <c r="K494" s="119" t="s">
        <v>576</v>
      </c>
      <c r="L494" s="119" t="s">
        <v>650</v>
      </c>
      <c r="M494" s="119" t="s">
        <v>185</v>
      </c>
      <c r="N494" s="136">
        <v>0.04</v>
      </c>
      <c r="O494" s="135" t="s">
        <v>51</v>
      </c>
      <c r="P494" s="135"/>
      <c r="Q494" s="137">
        <v>0</v>
      </c>
      <c r="R494" s="137">
        <v>0</v>
      </c>
      <c r="S494" s="137">
        <v>2150.39</v>
      </c>
      <c r="T494" s="137">
        <f t="shared" si="85"/>
        <v>86.015599999999992</v>
      </c>
      <c r="U494" s="137">
        <f t="shared" si="89"/>
        <v>2236.4056</v>
      </c>
      <c r="V494" s="137">
        <v>0</v>
      </c>
      <c r="W494" s="137">
        <f t="shared" si="90"/>
        <v>2236.4056</v>
      </c>
      <c r="X494" s="137">
        <f t="shared" si="86"/>
        <v>2150.39</v>
      </c>
      <c r="Y494" s="137">
        <f t="shared" si="91"/>
        <v>86.015600000000177</v>
      </c>
      <c r="Z494" s="137">
        <v>2194.0100000000002</v>
      </c>
      <c r="AA494" s="137">
        <f t="shared" si="87"/>
        <v>-2194.0100000000002</v>
      </c>
      <c r="AB494" s="146">
        <f>IF(O494="返货",Z494/(1+N494),IF(O494="返现",Z494,IF(O494="折扣",Z494*N494,IF(O494="无",Z494))))</f>
        <v>2109.625</v>
      </c>
      <c r="AC494" s="147">
        <f t="shared" si="88"/>
        <v>84.385000000000218</v>
      </c>
      <c r="AD494" s="137">
        <f>Z494*0.980277351080772</f>
        <v>2150.7383110447249</v>
      </c>
      <c r="AE494" s="138">
        <v>0.31559999999999999</v>
      </c>
      <c r="AF494" s="137">
        <f t="shared" si="82"/>
        <v>678.77301096571512</v>
      </c>
      <c r="AG494" s="137">
        <v>608.04455600000006</v>
      </c>
      <c r="AH494" s="154"/>
      <c r="AI494" s="154"/>
      <c r="AJ494" s="136">
        <v>0.04</v>
      </c>
      <c r="AK494" s="156">
        <v>0.04</v>
      </c>
      <c r="AM494" s="131"/>
    </row>
    <row r="495" spans="1:39" s="119" customFormat="1" ht="15" customHeight="1" x14ac:dyDescent="0.3">
      <c r="A495" s="119">
        <v>2017</v>
      </c>
      <c r="B495" s="119" t="s">
        <v>252</v>
      </c>
      <c r="C495" s="119" t="s">
        <v>75</v>
      </c>
      <c r="D495" s="119" t="s">
        <v>76</v>
      </c>
      <c r="E495" s="119" t="s">
        <v>257</v>
      </c>
      <c r="F495" s="119" t="s">
        <v>666</v>
      </c>
      <c r="G495" s="119" t="s">
        <v>667</v>
      </c>
      <c r="H495" s="119" t="s">
        <v>668</v>
      </c>
      <c r="I495" s="163" t="s">
        <v>204</v>
      </c>
      <c r="J495" s="119" t="s">
        <v>575</v>
      </c>
      <c r="K495" s="119" t="s">
        <v>576</v>
      </c>
      <c r="L495" s="119" t="s">
        <v>666</v>
      </c>
      <c r="M495" s="119" t="s">
        <v>46</v>
      </c>
      <c r="N495" s="136">
        <v>0.02</v>
      </c>
      <c r="O495" s="135" t="s">
        <v>51</v>
      </c>
      <c r="P495" s="135"/>
      <c r="Q495" s="137">
        <v>212257.63399999999</v>
      </c>
      <c r="R495" s="137">
        <v>0</v>
      </c>
      <c r="S495" s="137">
        <v>20462124.309999999</v>
      </c>
      <c r="T495" s="137">
        <f t="shared" si="85"/>
        <v>409242.48619999998</v>
      </c>
      <c r="U495" s="137">
        <f t="shared" si="89"/>
        <v>20871366.7962</v>
      </c>
      <c r="V495" s="137">
        <v>27939064.969999999</v>
      </c>
      <c r="W495" s="137">
        <f t="shared" si="90"/>
        <v>-7067698.1737999991</v>
      </c>
      <c r="X495" s="137">
        <f t="shared" si="86"/>
        <v>-6929115.8566666655</v>
      </c>
      <c r="Y495" s="137">
        <f t="shared" si="91"/>
        <v>-138582.31713333353</v>
      </c>
      <c r="Z495" s="137">
        <v>21083620.440000001</v>
      </c>
      <c r="AA495" s="137">
        <f t="shared" si="87"/>
        <v>7067702.1639999971</v>
      </c>
      <c r="AB495" s="146">
        <f>IF(O495="返货",(Z495-Q495)/(1+N495),IF(O495="返现",(Z495-Q495),IF(O495="折扣",(Z495-Q495)*N495,IF(O495="无",(Z495-Q495)))))</f>
        <v>20462120.398039218</v>
      </c>
      <c r="AC495" s="147">
        <f t="shared" si="88"/>
        <v>621500.0419607833</v>
      </c>
      <c r="AD495" s="137">
        <f>Z495*0.980277351080772</f>
        <v>20667795.596115623</v>
      </c>
      <c r="AE495" s="138">
        <v>0.1077</v>
      </c>
      <c r="AF495" s="137">
        <f t="shared" ref="AF495:AF558" si="94">AD495*AE495</f>
        <v>2225921.5857016528</v>
      </c>
      <c r="AG495" s="137">
        <v>1857301.59903506</v>
      </c>
      <c r="AH495" s="154"/>
      <c r="AI495" s="154"/>
      <c r="AJ495" s="135" t="s">
        <v>173</v>
      </c>
      <c r="AK495" s="119" t="s">
        <v>173</v>
      </c>
      <c r="AL495" s="119" t="s">
        <v>611</v>
      </c>
      <c r="AM495" s="131"/>
    </row>
    <row r="496" spans="1:39" s="119" customFormat="1" ht="15" customHeight="1" x14ac:dyDescent="0.3">
      <c r="A496" s="119">
        <v>2017</v>
      </c>
      <c r="B496" s="119" t="s">
        <v>38</v>
      </c>
      <c r="C496" s="119" t="s">
        <v>75</v>
      </c>
      <c r="D496" s="119" t="s">
        <v>76</v>
      </c>
      <c r="E496" s="119" t="s">
        <v>175</v>
      </c>
      <c r="F496" s="119" t="s">
        <v>669</v>
      </c>
      <c r="G496" s="119" t="s">
        <v>669</v>
      </c>
      <c r="H496" s="119" t="s">
        <v>669</v>
      </c>
      <c r="I496" s="163" t="s">
        <v>204</v>
      </c>
      <c r="J496" s="119" t="s">
        <v>624</v>
      </c>
      <c r="K496" s="119" t="s">
        <v>625</v>
      </c>
      <c r="L496" s="119" t="s">
        <v>669</v>
      </c>
      <c r="M496" s="119" t="s">
        <v>46</v>
      </c>
      <c r="N496" s="136">
        <v>0.03</v>
      </c>
      <c r="O496" s="135" t="s">
        <v>51</v>
      </c>
      <c r="P496" s="135"/>
      <c r="Q496" s="137">
        <v>0</v>
      </c>
      <c r="R496" s="137">
        <v>0</v>
      </c>
      <c r="S496" s="137">
        <v>100000</v>
      </c>
      <c r="T496" s="137">
        <f t="shared" si="85"/>
        <v>3000</v>
      </c>
      <c r="U496" s="137">
        <f t="shared" si="89"/>
        <v>103000</v>
      </c>
      <c r="V496" s="137">
        <v>103000</v>
      </c>
      <c r="W496" s="137">
        <f t="shared" si="90"/>
        <v>0</v>
      </c>
      <c r="X496" s="137">
        <f t="shared" si="86"/>
        <v>0</v>
      </c>
      <c r="Y496" s="137">
        <f t="shared" si="91"/>
        <v>0</v>
      </c>
      <c r="Z496" s="137">
        <v>59277.919999999998</v>
      </c>
      <c r="AA496" s="137">
        <f t="shared" si="87"/>
        <v>43722.080000000002</v>
      </c>
      <c r="AB496" s="146">
        <f t="shared" ref="AB496:AB504" si="95">IF(O496="返货",Z496/(1+N496),IF(O496="返现",Z496,IF(O496="折扣",Z496*N496,IF(O496="无",Z496))))</f>
        <v>57551.378640776697</v>
      </c>
      <c r="AC496" s="147">
        <f t="shared" si="88"/>
        <v>1726.5413592233017</v>
      </c>
      <c r="AD496" s="137">
        <f>Z496*0.905731236248844</f>
        <v>53689.86376386007</v>
      </c>
      <c r="AE496" s="138">
        <v>7.0000000000000007E-2</v>
      </c>
      <c r="AF496" s="137">
        <f t="shared" si="94"/>
        <v>3758.2904634702054</v>
      </c>
      <c r="AG496" s="137">
        <v>2422.9130407767002</v>
      </c>
      <c r="AH496" s="154"/>
      <c r="AI496" s="154"/>
      <c r="AJ496" s="135" t="s">
        <v>189</v>
      </c>
      <c r="AK496" s="119" t="s">
        <v>189</v>
      </c>
      <c r="AM496" s="131"/>
    </row>
    <row r="497" spans="1:39" s="119" customFormat="1" ht="15" customHeight="1" x14ac:dyDescent="0.3">
      <c r="A497" s="119">
        <v>2017</v>
      </c>
      <c r="B497" s="119" t="s">
        <v>38</v>
      </c>
      <c r="C497" s="119" t="s">
        <v>75</v>
      </c>
      <c r="D497" s="119" t="s">
        <v>76</v>
      </c>
      <c r="E497" s="119" t="s">
        <v>175</v>
      </c>
      <c r="F497" s="119" t="s">
        <v>670</v>
      </c>
      <c r="G497" s="119" t="s">
        <v>670</v>
      </c>
      <c r="H497" s="119" t="s">
        <v>670</v>
      </c>
      <c r="I497" s="163" t="s">
        <v>204</v>
      </c>
      <c r="J497" s="119" t="s">
        <v>575</v>
      </c>
      <c r="K497" s="119" t="s">
        <v>576</v>
      </c>
      <c r="L497" s="119" t="s">
        <v>670</v>
      </c>
      <c r="M497" s="119" t="s">
        <v>46</v>
      </c>
      <c r="N497" s="136">
        <v>0.02</v>
      </c>
      <c r="O497" s="135" t="s">
        <v>51</v>
      </c>
      <c r="P497" s="135"/>
      <c r="Q497" s="137">
        <v>0</v>
      </c>
      <c r="R497" s="137">
        <v>0</v>
      </c>
      <c r="S497" s="137">
        <v>132.20000000000101</v>
      </c>
      <c r="T497" s="137">
        <f t="shared" si="85"/>
        <v>2.6440000000000201</v>
      </c>
      <c r="U497" s="137">
        <f t="shared" si="89"/>
        <v>134.84400000000105</v>
      </c>
      <c r="V497" s="137">
        <v>10000</v>
      </c>
      <c r="W497" s="137">
        <f t="shared" si="90"/>
        <v>-9865.155999999999</v>
      </c>
      <c r="X497" s="137">
        <f t="shared" si="86"/>
        <v>-9671.7215686274503</v>
      </c>
      <c r="Y497" s="137">
        <f t="shared" si="91"/>
        <v>-193.43443137254872</v>
      </c>
      <c r="Z497" s="137">
        <v>132.19999999999999</v>
      </c>
      <c r="AA497" s="137">
        <f t="shared" si="87"/>
        <v>9867.7999999999993</v>
      </c>
      <c r="AB497" s="146">
        <f t="shared" si="95"/>
        <v>129.60784313725489</v>
      </c>
      <c r="AC497" s="147">
        <f t="shared" si="88"/>
        <v>2.5921568627450995</v>
      </c>
      <c r="AD497" s="137">
        <f t="shared" ref="AD497:AD528" si="96">Z497*0.980277351080772</f>
        <v>129.59266581287804</v>
      </c>
      <c r="AE497" s="138">
        <v>0.1077</v>
      </c>
      <c r="AF497" s="137">
        <f t="shared" si="94"/>
        <v>13.957130108046965</v>
      </c>
      <c r="AG497" s="137">
        <v>11.645783137254901</v>
      </c>
      <c r="AH497" s="154"/>
      <c r="AI497" s="154"/>
      <c r="AJ497" s="135" t="s">
        <v>173</v>
      </c>
      <c r="AK497" s="119" t="s">
        <v>173</v>
      </c>
      <c r="AM497" s="131"/>
    </row>
    <row r="498" spans="1:39" s="119" customFormat="1" ht="15" customHeight="1" x14ac:dyDescent="0.3">
      <c r="A498" s="119">
        <v>2017</v>
      </c>
      <c r="B498" s="119" t="s">
        <v>38</v>
      </c>
      <c r="C498" s="119" t="s">
        <v>75</v>
      </c>
      <c r="D498" s="119" t="s">
        <v>76</v>
      </c>
      <c r="E498" s="119" t="s">
        <v>175</v>
      </c>
      <c r="F498" s="119" t="s">
        <v>670</v>
      </c>
      <c r="G498" s="119" t="s">
        <v>670</v>
      </c>
      <c r="H498" s="119" t="s">
        <v>670</v>
      </c>
      <c r="I498" s="163" t="s">
        <v>204</v>
      </c>
      <c r="J498" s="119" t="s">
        <v>575</v>
      </c>
      <c r="K498" s="119" t="s">
        <v>576</v>
      </c>
      <c r="L498" s="119" t="s">
        <v>670</v>
      </c>
      <c r="M498" s="119" t="s">
        <v>185</v>
      </c>
      <c r="N498" s="136">
        <v>0.08</v>
      </c>
      <c r="O498" s="135" t="s">
        <v>51</v>
      </c>
      <c r="P498" s="135"/>
      <c r="Q498" s="137">
        <v>0</v>
      </c>
      <c r="R498" s="137">
        <v>0</v>
      </c>
      <c r="S498" s="137">
        <v>622.51</v>
      </c>
      <c r="T498" s="137">
        <f t="shared" si="85"/>
        <v>49.800800000000002</v>
      </c>
      <c r="U498" s="137">
        <f t="shared" si="89"/>
        <v>672.31079999999997</v>
      </c>
      <c r="V498" s="137">
        <v>0</v>
      </c>
      <c r="W498" s="137">
        <f t="shared" si="90"/>
        <v>672.31079999999997</v>
      </c>
      <c r="X498" s="137">
        <f t="shared" si="86"/>
        <v>622.50999999999988</v>
      </c>
      <c r="Y498" s="137">
        <f t="shared" si="91"/>
        <v>49.800800000000095</v>
      </c>
      <c r="Z498" s="137">
        <v>622.51</v>
      </c>
      <c r="AA498" s="137">
        <f t="shared" si="87"/>
        <v>-622.51</v>
      </c>
      <c r="AB498" s="146">
        <f t="shared" si="95"/>
        <v>576.39814814814815</v>
      </c>
      <c r="AC498" s="147">
        <f t="shared" si="88"/>
        <v>46.111851851851839</v>
      </c>
      <c r="AD498" s="137">
        <f t="shared" si="96"/>
        <v>610.2324538212913</v>
      </c>
      <c r="AE498" s="138">
        <v>0.31559999999999999</v>
      </c>
      <c r="AF498" s="137">
        <f t="shared" si="94"/>
        <v>192.58936242599952</v>
      </c>
      <c r="AG498" s="137">
        <v>150.35230414814799</v>
      </c>
      <c r="AH498" s="154"/>
      <c r="AI498" s="154"/>
      <c r="AJ498" s="135" t="s">
        <v>53</v>
      </c>
      <c r="AK498" s="119" t="s">
        <v>53</v>
      </c>
      <c r="AM498" s="131"/>
    </row>
    <row r="499" spans="1:39" s="119" customFormat="1" ht="15" customHeight="1" x14ac:dyDescent="0.3">
      <c r="A499" s="119">
        <v>2017</v>
      </c>
      <c r="B499" s="119" t="s">
        <v>38</v>
      </c>
      <c r="C499" s="119" t="s">
        <v>75</v>
      </c>
      <c r="D499" s="119" t="s">
        <v>76</v>
      </c>
      <c r="E499" s="119" t="s">
        <v>304</v>
      </c>
      <c r="F499" s="119" t="s">
        <v>671</v>
      </c>
      <c r="G499" s="119" t="s">
        <v>671</v>
      </c>
      <c r="H499" s="119" t="s">
        <v>671</v>
      </c>
      <c r="I499" s="163" t="s">
        <v>204</v>
      </c>
      <c r="J499" s="119" t="s">
        <v>575</v>
      </c>
      <c r="K499" s="119" t="s">
        <v>576</v>
      </c>
      <c r="L499" s="119" t="s">
        <v>671</v>
      </c>
      <c r="M499" s="119" t="s">
        <v>46</v>
      </c>
      <c r="N499" s="136">
        <v>0.02</v>
      </c>
      <c r="O499" s="135" t="s">
        <v>51</v>
      </c>
      <c r="P499" s="135"/>
      <c r="Q499" s="137">
        <v>0</v>
      </c>
      <c r="R499" s="137">
        <v>0</v>
      </c>
      <c r="S499" s="137">
        <v>10169.02</v>
      </c>
      <c r="T499" s="137">
        <f t="shared" si="85"/>
        <v>203.38040000000001</v>
      </c>
      <c r="U499" s="137">
        <f t="shared" si="89"/>
        <v>10372.4004</v>
      </c>
      <c r="V499" s="137">
        <v>20400</v>
      </c>
      <c r="W499" s="137">
        <f t="shared" si="90"/>
        <v>-10027.5996</v>
      </c>
      <c r="X499" s="137">
        <f t="shared" si="86"/>
        <v>-9830.98</v>
      </c>
      <c r="Y499" s="137">
        <f t="shared" si="91"/>
        <v>-196.61959999999999</v>
      </c>
      <c r="Z499" s="137">
        <v>10372.4</v>
      </c>
      <c r="AA499" s="137">
        <f t="shared" si="87"/>
        <v>10027.6</v>
      </c>
      <c r="AB499" s="146">
        <f t="shared" si="95"/>
        <v>10169.019607843136</v>
      </c>
      <c r="AC499" s="147">
        <f t="shared" si="88"/>
        <v>203.38039215686331</v>
      </c>
      <c r="AD499" s="137">
        <f t="shared" si="96"/>
        <v>10167.828796350199</v>
      </c>
      <c r="AE499" s="138">
        <v>0.1077</v>
      </c>
      <c r="AF499" s="137">
        <f t="shared" si="94"/>
        <v>1095.0751613669165</v>
      </c>
      <c r="AG499" s="137">
        <v>913.72708784313704</v>
      </c>
      <c r="AH499" s="154"/>
      <c r="AI499" s="154"/>
      <c r="AJ499" s="135" t="s">
        <v>173</v>
      </c>
      <c r="AK499" s="119" t="s">
        <v>173</v>
      </c>
      <c r="AM499" s="131"/>
    </row>
    <row r="500" spans="1:39" s="119" customFormat="1" ht="15" customHeight="1" x14ac:dyDescent="0.3">
      <c r="A500" s="119">
        <v>2017</v>
      </c>
      <c r="B500" s="119" t="s">
        <v>38</v>
      </c>
      <c r="C500" s="119" t="s">
        <v>75</v>
      </c>
      <c r="D500" s="119" t="s">
        <v>76</v>
      </c>
      <c r="E500" s="119" t="s">
        <v>304</v>
      </c>
      <c r="F500" s="119" t="s">
        <v>671</v>
      </c>
      <c r="G500" s="119" t="s">
        <v>671</v>
      </c>
      <c r="H500" s="119" t="s">
        <v>671</v>
      </c>
      <c r="I500" s="163" t="s">
        <v>204</v>
      </c>
      <c r="J500" s="119" t="s">
        <v>575</v>
      </c>
      <c r="K500" s="119" t="s">
        <v>576</v>
      </c>
      <c r="L500" s="119" t="s">
        <v>671</v>
      </c>
      <c r="M500" s="119" t="s">
        <v>185</v>
      </c>
      <c r="N500" s="136">
        <v>0.08</v>
      </c>
      <c r="O500" s="135" t="s">
        <v>51</v>
      </c>
      <c r="P500" s="135"/>
      <c r="Q500" s="137">
        <v>0</v>
      </c>
      <c r="R500" s="137">
        <v>0</v>
      </c>
      <c r="S500" s="137">
        <v>441.18</v>
      </c>
      <c r="T500" s="137">
        <f t="shared" si="85"/>
        <v>35.294400000000003</v>
      </c>
      <c r="U500" s="137">
        <f t="shared" si="89"/>
        <v>476.4744</v>
      </c>
      <c r="V500" s="137">
        <v>0</v>
      </c>
      <c r="W500" s="137">
        <f t="shared" si="90"/>
        <v>476.4744</v>
      </c>
      <c r="X500" s="137">
        <f t="shared" si="86"/>
        <v>441.17999999999995</v>
      </c>
      <c r="Y500" s="137">
        <f t="shared" si="91"/>
        <v>35.294400000000053</v>
      </c>
      <c r="Z500" s="137">
        <v>450</v>
      </c>
      <c r="AA500" s="137">
        <f t="shared" si="87"/>
        <v>-450</v>
      </c>
      <c r="AB500" s="146">
        <f t="shared" si="95"/>
        <v>416.66666666666663</v>
      </c>
      <c r="AC500" s="147">
        <f t="shared" si="88"/>
        <v>33.333333333333371</v>
      </c>
      <c r="AD500" s="137">
        <f t="shared" si="96"/>
        <v>441.12480798634738</v>
      </c>
      <c r="AE500" s="138">
        <v>0.31559999999999999</v>
      </c>
      <c r="AF500" s="137">
        <f t="shared" si="94"/>
        <v>139.21898940049124</v>
      </c>
      <c r="AG500" s="137">
        <v>108.68666666666699</v>
      </c>
      <c r="AH500" s="154"/>
      <c r="AI500" s="154"/>
      <c r="AJ500" s="135" t="s">
        <v>53</v>
      </c>
      <c r="AK500" s="119" t="s">
        <v>53</v>
      </c>
      <c r="AM500" s="131"/>
    </row>
    <row r="501" spans="1:39" s="119" customFormat="1" ht="15" customHeight="1" x14ac:dyDescent="0.3">
      <c r="A501" s="119">
        <v>2017</v>
      </c>
      <c r="B501" s="119" t="s">
        <v>38</v>
      </c>
      <c r="C501" s="119" t="s">
        <v>75</v>
      </c>
      <c r="D501" s="119" t="s">
        <v>76</v>
      </c>
      <c r="E501" s="119" t="s">
        <v>304</v>
      </c>
      <c r="F501" s="119" t="s">
        <v>649</v>
      </c>
      <c r="G501" s="119" t="s">
        <v>649</v>
      </c>
      <c r="H501" s="119" t="s">
        <v>649</v>
      </c>
      <c r="I501" s="163" t="s">
        <v>204</v>
      </c>
      <c r="J501" s="119" t="s">
        <v>575</v>
      </c>
      <c r="K501" s="119" t="s">
        <v>576</v>
      </c>
      <c r="L501" s="119" t="s">
        <v>649</v>
      </c>
      <c r="M501" s="119" t="s">
        <v>185</v>
      </c>
      <c r="N501" s="136">
        <v>0.15</v>
      </c>
      <c r="O501" s="135" t="s">
        <v>51</v>
      </c>
      <c r="P501" s="135"/>
      <c r="Q501" s="137">
        <v>0</v>
      </c>
      <c r="R501" s="137">
        <v>0</v>
      </c>
      <c r="S501" s="137">
        <v>87692.32</v>
      </c>
      <c r="T501" s="137">
        <f t="shared" si="85"/>
        <v>13153.848</v>
      </c>
      <c r="U501" s="137">
        <f t="shared" si="89"/>
        <v>100846.16800000001</v>
      </c>
      <c r="V501" s="137">
        <v>0</v>
      </c>
      <c r="W501" s="137">
        <f t="shared" si="90"/>
        <v>100846.16800000001</v>
      </c>
      <c r="X501" s="137">
        <f t="shared" si="86"/>
        <v>87692.32</v>
      </c>
      <c r="Y501" s="137">
        <f t="shared" si="91"/>
        <v>13153.847999999998</v>
      </c>
      <c r="Z501" s="137">
        <v>101418.56</v>
      </c>
      <c r="AA501" s="137">
        <f t="shared" si="87"/>
        <v>-101418.56</v>
      </c>
      <c r="AB501" s="146">
        <f t="shared" si="95"/>
        <v>88190.052173913049</v>
      </c>
      <c r="AC501" s="147">
        <f t="shared" si="88"/>
        <v>13228.507826086949</v>
      </c>
      <c r="AD501" s="137">
        <f t="shared" si="96"/>
        <v>99418.31734722633</v>
      </c>
      <c r="AE501" s="138">
        <v>0.31559999999999999</v>
      </c>
      <c r="AF501" s="137">
        <f t="shared" si="94"/>
        <v>31376.420954784629</v>
      </c>
      <c r="AG501" s="137">
        <v>18779.189709913098</v>
      </c>
      <c r="AH501" s="154"/>
      <c r="AI501" s="154"/>
      <c r="AJ501" s="135" t="s">
        <v>662</v>
      </c>
      <c r="AK501" s="119" t="s">
        <v>662</v>
      </c>
      <c r="AM501" s="131"/>
    </row>
    <row r="502" spans="1:39" s="119" customFormat="1" ht="15" customHeight="1" x14ac:dyDescent="0.3">
      <c r="A502" s="119">
        <v>2017</v>
      </c>
      <c r="B502" s="119" t="s">
        <v>38</v>
      </c>
      <c r="C502" s="119" t="s">
        <v>75</v>
      </c>
      <c r="D502" s="119" t="s">
        <v>76</v>
      </c>
      <c r="E502" s="119" t="s">
        <v>304</v>
      </c>
      <c r="F502" s="119" t="s">
        <v>672</v>
      </c>
      <c r="G502" s="119" t="s">
        <v>672</v>
      </c>
      <c r="H502" s="119" t="s">
        <v>672</v>
      </c>
      <c r="I502" s="163" t="s">
        <v>204</v>
      </c>
      <c r="J502" s="119" t="s">
        <v>575</v>
      </c>
      <c r="K502" s="119" t="s">
        <v>576</v>
      </c>
      <c r="L502" s="119" t="s">
        <v>672</v>
      </c>
      <c r="M502" s="119" t="s">
        <v>46</v>
      </c>
      <c r="N502" s="136">
        <v>0.02</v>
      </c>
      <c r="O502" s="135" t="s">
        <v>51</v>
      </c>
      <c r="P502" s="135" t="s">
        <v>440</v>
      </c>
      <c r="Q502" s="137">
        <v>0</v>
      </c>
      <c r="R502" s="137">
        <v>0</v>
      </c>
      <c r="S502" s="137">
        <v>2000000</v>
      </c>
      <c r="T502" s="137">
        <f t="shared" si="85"/>
        <v>40000</v>
      </c>
      <c r="U502" s="137">
        <f t="shared" si="89"/>
        <v>2040000</v>
      </c>
      <c r="V502" s="137">
        <v>2080000</v>
      </c>
      <c r="W502" s="137">
        <f t="shared" si="90"/>
        <v>-40000</v>
      </c>
      <c r="X502" s="137">
        <f t="shared" si="86"/>
        <v>-39215.686274509804</v>
      </c>
      <c r="Y502" s="137">
        <f t="shared" si="91"/>
        <v>-784.31372549019579</v>
      </c>
      <c r="Z502" s="137">
        <v>1632000</v>
      </c>
      <c r="AA502" s="137">
        <f t="shared" si="87"/>
        <v>448000</v>
      </c>
      <c r="AB502" s="146">
        <f t="shared" si="95"/>
        <v>1600000</v>
      </c>
      <c r="AC502" s="147">
        <f t="shared" si="88"/>
        <v>32000</v>
      </c>
      <c r="AD502" s="137">
        <f t="shared" si="96"/>
        <v>1599812.6369638199</v>
      </c>
      <c r="AE502" s="138">
        <v>0.1077</v>
      </c>
      <c r="AF502" s="137">
        <f t="shared" si="94"/>
        <v>172299.82100100341</v>
      </c>
      <c r="AG502" s="137">
        <v>182316.144488235</v>
      </c>
      <c r="AH502" s="154"/>
      <c r="AI502" s="154"/>
      <c r="AJ502" s="135" t="s">
        <v>173</v>
      </c>
      <c r="AK502" s="119" t="s">
        <v>173</v>
      </c>
      <c r="AM502" s="131"/>
    </row>
    <row r="503" spans="1:39" s="119" customFormat="1" ht="15" customHeight="1" x14ac:dyDescent="0.3">
      <c r="A503" s="119">
        <v>2017</v>
      </c>
      <c r="B503" s="119" t="s">
        <v>38</v>
      </c>
      <c r="C503" s="119" t="s">
        <v>75</v>
      </c>
      <c r="D503" s="119" t="s">
        <v>76</v>
      </c>
      <c r="E503" s="119" t="s">
        <v>304</v>
      </c>
      <c r="F503" s="119" t="s">
        <v>672</v>
      </c>
      <c r="G503" s="119" t="s">
        <v>672</v>
      </c>
      <c r="H503" s="119" t="s">
        <v>672</v>
      </c>
      <c r="I503" s="163" t="s">
        <v>204</v>
      </c>
      <c r="J503" s="119" t="s">
        <v>575</v>
      </c>
      <c r="K503" s="119" t="s">
        <v>576</v>
      </c>
      <c r="L503" s="119" t="s">
        <v>672</v>
      </c>
      <c r="M503" s="119" t="s">
        <v>160</v>
      </c>
      <c r="N503" s="136">
        <v>0.04</v>
      </c>
      <c r="O503" s="135" t="s">
        <v>51</v>
      </c>
      <c r="P503" s="135"/>
      <c r="Q503" s="137">
        <v>0</v>
      </c>
      <c r="R503" s="137">
        <v>0</v>
      </c>
      <c r="S503" s="137">
        <v>800000</v>
      </c>
      <c r="T503" s="137">
        <f t="shared" si="85"/>
        <v>32000</v>
      </c>
      <c r="U503" s="137">
        <f t="shared" si="89"/>
        <v>832000</v>
      </c>
      <c r="V503" s="137">
        <v>800000</v>
      </c>
      <c r="W503" s="137">
        <f t="shared" si="90"/>
        <v>32000</v>
      </c>
      <c r="X503" s="137">
        <f t="shared" si="86"/>
        <v>30769.23076923077</v>
      </c>
      <c r="Y503" s="137">
        <f t="shared" si="91"/>
        <v>1230.7692307692305</v>
      </c>
      <c r="Z503" s="137">
        <v>800000</v>
      </c>
      <c r="AA503" s="137">
        <f t="shared" si="87"/>
        <v>0</v>
      </c>
      <c r="AB503" s="146">
        <f t="shared" si="95"/>
        <v>769230.76923076925</v>
      </c>
      <c r="AC503" s="147">
        <f t="shared" si="88"/>
        <v>30769.230769230751</v>
      </c>
      <c r="AD503" s="137">
        <f t="shared" si="96"/>
        <v>784221.88086461753</v>
      </c>
      <c r="AE503" s="138">
        <v>0.1077</v>
      </c>
      <c r="AF503" s="137">
        <f t="shared" si="94"/>
        <v>84460.696569119318</v>
      </c>
      <c r="AG503" s="137">
        <v>55390.769230769198</v>
      </c>
      <c r="AH503" s="154"/>
      <c r="AI503" s="154"/>
      <c r="AJ503" s="135" t="s">
        <v>186</v>
      </c>
      <c r="AK503" s="119" t="s">
        <v>186</v>
      </c>
      <c r="AM503" s="131"/>
    </row>
    <row r="504" spans="1:39" s="119" customFormat="1" ht="15" customHeight="1" x14ac:dyDescent="0.3">
      <c r="A504" s="119">
        <v>2017</v>
      </c>
      <c r="B504" s="119" t="s">
        <v>252</v>
      </c>
      <c r="C504" s="119" t="s">
        <v>75</v>
      </c>
      <c r="D504" s="119" t="s">
        <v>76</v>
      </c>
      <c r="E504" s="119" t="s">
        <v>304</v>
      </c>
      <c r="F504" s="119" t="s">
        <v>309</v>
      </c>
      <c r="G504" s="119" t="s">
        <v>310</v>
      </c>
      <c r="H504" s="119" t="s">
        <v>311</v>
      </c>
      <c r="I504" s="163" t="s">
        <v>204</v>
      </c>
      <c r="J504" s="119" t="s">
        <v>575</v>
      </c>
      <c r="K504" s="119" t="s">
        <v>576</v>
      </c>
      <c r="L504" s="119" t="s">
        <v>309</v>
      </c>
      <c r="M504" s="119" t="s">
        <v>185</v>
      </c>
      <c r="N504" s="136">
        <v>0.14000000000000001</v>
      </c>
      <c r="O504" s="135" t="s">
        <v>51</v>
      </c>
      <c r="P504" s="135"/>
      <c r="Q504" s="137">
        <v>0</v>
      </c>
      <c r="R504" s="137">
        <v>0</v>
      </c>
      <c r="S504" s="137">
        <v>3094.97</v>
      </c>
      <c r="T504" s="137">
        <f t="shared" si="85"/>
        <v>433.29579999999999</v>
      </c>
      <c r="U504" s="137">
        <f t="shared" si="89"/>
        <v>3528.2657999999997</v>
      </c>
      <c r="V504" s="137">
        <v>0</v>
      </c>
      <c r="W504" s="137">
        <f t="shared" si="90"/>
        <v>3528.2657999999997</v>
      </c>
      <c r="X504" s="137">
        <f t="shared" si="86"/>
        <v>3094.9699999999993</v>
      </c>
      <c r="Y504" s="137">
        <f t="shared" si="91"/>
        <v>433.29580000000033</v>
      </c>
      <c r="Z504" s="137">
        <v>3576.01</v>
      </c>
      <c r="AA504" s="137">
        <f t="shared" si="87"/>
        <v>-3576.01</v>
      </c>
      <c r="AB504" s="146">
        <f t="shared" si="95"/>
        <v>3136.8508771929824</v>
      </c>
      <c r="AC504" s="147">
        <f t="shared" si="88"/>
        <v>439.15912280701787</v>
      </c>
      <c r="AD504" s="137">
        <f t="shared" si="96"/>
        <v>3505.4816102383515</v>
      </c>
      <c r="AE504" s="138">
        <v>0.31559999999999999</v>
      </c>
      <c r="AF504" s="137">
        <f t="shared" si="94"/>
        <v>1106.3299961912237</v>
      </c>
      <c r="AG504" s="137">
        <v>689.42963319298201</v>
      </c>
      <c r="AH504" s="154"/>
      <c r="AI504" s="154"/>
      <c r="AJ504" s="135" t="s">
        <v>673</v>
      </c>
      <c r="AK504" s="119" t="s">
        <v>673</v>
      </c>
      <c r="AM504" s="131"/>
    </row>
    <row r="505" spans="1:39" s="119" customFormat="1" ht="15" customHeight="1" x14ac:dyDescent="0.3">
      <c r="A505" s="119">
        <v>2017</v>
      </c>
      <c r="B505" s="119" t="s">
        <v>252</v>
      </c>
      <c r="C505" s="119" t="s">
        <v>75</v>
      </c>
      <c r="D505" s="119" t="s">
        <v>76</v>
      </c>
      <c r="E505" s="119" t="s">
        <v>304</v>
      </c>
      <c r="F505" s="119" t="s">
        <v>309</v>
      </c>
      <c r="G505" s="119" t="s">
        <v>310</v>
      </c>
      <c r="H505" s="119" t="s">
        <v>311</v>
      </c>
      <c r="I505" s="163" t="s">
        <v>204</v>
      </c>
      <c r="J505" s="119" t="s">
        <v>575</v>
      </c>
      <c r="K505" s="119" t="s">
        <v>576</v>
      </c>
      <c r="L505" s="119" t="s">
        <v>309</v>
      </c>
      <c r="M505" s="119" t="s">
        <v>46</v>
      </c>
      <c r="N505" s="136">
        <v>0.04</v>
      </c>
      <c r="O505" s="135" t="s">
        <v>51</v>
      </c>
      <c r="P505" s="135"/>
      <c r="Q505" s="137">
        <v>60146.26</v>
      </c>
      <c r="R505" s="137">
        <v>0</v>
      </c>
      <c r="S505" s="137">
        <v>576905.03</v>
      </c>
      <c r="T505" s="137">
        <f t="shared" si="85"/>
        <v>23076.201200000003</v>
      </c>
      <c r="U505" s="137">
        <f t="shared" si="89"/>
        <v>599981.23120000004</v>
      </c>
      <c r="V505" s="137">
        <v>603543.6</v>
      </c>
      <c r="W505" s="137">
        <f t="shared" si="90"/>
        <v>-3562.3687999999383</v>
      </c>
      <c r="X505" s="137">
        <f t="shared" si="86"/>
        <v>-3425.3546153845559</v>
      </c>
      <c r="Y505" s="137">
        <f t="shared" si="91"/>
        <v>-137.01418461538242</v>
      </c>
      <c r="Z505" s="137">
        <v>660113.85</v>
      </c>
      <c r="AA505" s="137">
        <f t="shared" si="87"/>
        <v>3576.0100000000093</v>
      </c>
      <c r="AB505" s="146">
        <f>IF(O505="返货",(Z505-Q505)/(1+N505),IF(O505="返现",(Z505-Q505),IF(O505="折扣",(Z505-Q505)*N505,IF(O505="无",(Z505-Q505)))))</f>
        <v>576891.91346153838</v>
      </c>
      <c r="AC505" s="147">
        <f t="shared" si="88"/>
        <v>83221.936538461596</v>
      </c>
      <c r="AD505" s="137">
        <f t="shared" si="96"/>
        <v>647094.65628972999</v>
      </c>
      <c r="AE505" s="138">
        <v>0.1077</v>
      </c>
      <c r="AF505" s="137">
        <f t="shared" si="94"/>
        <v>69692.094482403918</v>
      </c>
      <c r="AG505" s="137">
        <v>45705.267414230802</v>
      </c>
      <c r="AH505" s="154"/>
      <c r="AI505" s="154"/>
      <c r="AJ505" s="135" t="s">
        <v>186</v>
      </c>
      <c r="AK505" s="119" t="s">
        <v>186</v>
      </c>
      <c r="AM505" s="131"/>
    </row>
    <row r="506" spans="1:39" s="119" customFormat="1" ht="15" customHeight="1" x14ac:dyDescent="0.3">
      <c r="A506" s="119">
        <v>2017</v>
      </c>
      <c r="B506" s="119" t="s">
        <v>38</v>
      </c>
      <c r="C506" s="119" t="s">
        <v>75</v>
      </c>
      <c r="D506" s="119" t="s">
        <v>76</v>
      </c>
      <c r="E506" s="119" t="s">
        <v>304</v>
      </c>
      <c r="F506" s="119" t="s">
        <v>674</v>
      </c>
      <c r="G506" s="119" t="s">
        <v>674</v>
      </c>
      <c r="H506" s="119" t="s">
        <v>674</v>
      </c>
      <c r="I506" s="163" t="s">
        <v>204</v>
      </c>
      <c r="J506" s="119" t="s">
        <v>575</v>
      </c>
      <c r="K506" s="119" t="s">
        <v>576</v>
      </c>
      <c r="L506" s="119" t="s">
        <v>674</v>
      </c>
      <c r="M506" s="119" t="s">
        <v>46</v>
      </c>
      <c r="N506" s="136">
        <v>0.02</v>
      </c>
      <c r="O506" s="135" t="s">
        <v>51</v>
      </c>
      <c r="P506" s="135"/>
      <c r="Q506" s="137">
        <v>233471.31</v>
      </c>
      <c r="R506" s="137">
        <v>0</v>
      </c>
      <c r="S506" s="137">
        <v>6016974.2300000004</v>
      </c>
      <c r="T506" s="137">
        <f t="shared" si="85"/>
        <v>120339.48460000001</v>
      </c>
      <c r="U506" s="137">
        <f t="shared" si="89"/>
        <v>6137313.7146000005</v>
      </c>
      <c r="V506" s="137">
        <v>8819672.5500000007</v>
      </c>
      <c r="W506" s="137">
        <f t="shared" si="90"/>
        <v>-2682358.8354000002</v>
      </c>
      <c r="X506" s="137">
        <f t="shared" si="86"/>
        <v>-2629763.5641176472</v>
      </c>
      <c r="Y506" s="137">
        <f t="shared" si="91"/>
        <v>-52595.271282352973</v>
      </c>
      <c r="Z506" s="137">
        <v>6421785.0099999998</v>
      </c>
      <c r="AA506" s="137">
        <f t="shared" si="87"/>
        <v>2631358.8500000015</v>
      </c>
      <c r="AB506" s="146">
        <f>IF(O506="返货",(Z506-Q506)/(1+N506),IF(O506="返现",(Z506-Q506),IF(O506="折扣",(Z506-Q506)*N506,IF(O506="无",(Z506-Q506)))))</f>
        <v>6066974.2156862747</v>
      </c>
      <c r="AC506" s="147">
        <f t="shared" si="88"/>
        <v>354810.79431372508</v>
      </c>
      <c r="AD506" s="137">
        <f t="shared" si="96"/>
        <v>6295130.3988130083</v>
      </c>
      <c r="AE506" s="138">
        <v>0.1077</v>
      </c>
      <c r="AF506" s="137">
        <f t="shared" si="94"/>
        <v>677985.54395216098</v>
      </c>
      <c r="AG506" s="137">
        <v>565708.89243974502</v>
      </c>
      <c r="AH506" s="154"/>
      <c r="AI506" s="154"/>
      <c r="AJ506" s="135" t="s">
        <v>173</v>
      </c>
      <c r="AK506" s="119" t="s">
        <v>173</v>
      </c>
      <c r="AM506" s="131"/>
    </row>
    <row r="507" spans="1:39" s="119" customFormat="1" ht="15" customHeight="1" x14ac:dyDescent="0.3">
      <c r="A507" s="119">
        <v>2017</v>
      </c>
      <c r="B507" s="119" t="s">
        <v>38</v>
      </c>
      <c r="C507" s="119" t="s">
        <v>75</v>
      </c>
      <c r="D507" s="119" t="s">
        <v>76</v>
      </c>
      <c r="E507" s="119" t="s">
        <v>304</v>
      </c>
      <c r="F507" s="119" t="s">
        <v>674</v>
      </c>
      <c r="G507" s="119" t="s">
        <v>674</v>
      </c>
      <c r="H507" s="119" t="s">
        <v>674</v>
      </c>
      <c r="I507" s="163" t="s">
        <v>204</v>
      </c>
      <c r="J507" s="119" t="s">
        <v>575</v>
      </c>
      <c r="K507" s="119" t="s">
        <v>576</v>
      </c>
      <c r="L507" s="119" t="s">
        <v>674</v>
      </c>
      <c r="M507" s="119" t="s">
        <v>160</v>
      </c>
      <c r="N507" s="136">
        <v>0.02</v>
      </c>
      <c r="O507" s="135" t="s">
        <v>51</v>
      </c>
      <c r="P507" s="135"/>
      <c r="Q507" s="137">
        <v>0</v>
      </c>
      <c r="R507" s="137">
        <v>0</v>
      </c>
      <c r="S507" s="137">
        <v>50000</v>
      </c>
      <c r="T507" s="137">
        <f t="shared" si="85"/>
        <v>1000</v>
      </c>
      <c r="U507" s="137">
        <f t="shared" si="89"/>
        <v>51000</v>
      </c>
      <c r="V507" s="137">
        <v>50000</v>
      </c>
      <c r="W507" s="137">
        <f t="shared" si="90"/>
        <v>1000</v>
      </c>
      <c r="X507" s="137">
        <f t="shared" si="86"/>
        <v>980.39215686274508</v>
      </c>
      <c r="Y507" s="137">
        <f t="shared" si="91"/>
        <v>19.607843137254918</v>
      </c>
      <c r="Z507" s="137">
        <v>50000</v>
      </c>
      <c r="AA507" s="137">
        <f t="shared" si="87"/>
        <v>0</v>
      </c>
      <c r="AB507" s="146">
        <f>IF(O507="返货",Z507/(1+N507),IF(O507="返现",Z507,IF(O507="折扣",Z507*N507,IF(O507="无",Z507))))</f>
        <v>49019.607843137252</v>
      </c>
      <c r="AC507" s="147">
        <f t="shared" si="88"/>
        <v>980.39215686274838</v>
      </c>
      <c r="AD507" s="137">
        <f t="shared" si="96"/>
        <v>49013.867554038596</v>
      </c>
      <c r="AE507" s="138">
        <v>0.1077</v>
      </c>
      <c r="AF507" s="137">
        <f t="shared" si="94"/>
        <v>5278.7935355699574</v>
      </c>
      <c r="AG507" s="137">
        <v>4404.6078431372498</v>
      </c>
      <c r="AH507" s="154"/>
      <c r="AI507" s="154"/>
      <c r="AJ507" s="135" t="s">
        <v>173</v>
      </c>
      <c r="AK507" s="119" t="s">
        <v>173</v>
      </c>
      <c r="AM507" s="131"/>
    </row>
    <row r="508" spans="1:39" s="119" customFormat="1" ht="15" customHeight="1" x14ac:dyDescent="0.3">
      <c r="A508" s="119">
        <v>2017</v>
      </c>
      <c r="B508" s="119" t="s">
        <v>38</v>
      </c>
      <c r="C508" s="119" t="s">
        <v>75</v>
      </c>
      <c r="D508" s="119" t="s">
        <v>76</v>
      </c>
      <c r="E508" s="119" t="s">
        <v>304</v>
      </c>
      <c r="F508" s="119" t="s">
        <v>674</v>
      </c>
      <c r="G508" s="119" t="s">
        <v>674</v>
      </c>
      <c r="H508" s="119" t="s">
        <v>674</v>
      </c>
      <c r="I508" s="163" t="s">
        <v>204</v>
      </c>
      <c r="J508" s="119" t="s">
        <v>575</v>
      </c>
      <c r="K508" s="119" t="s">
        <v>576</v>
      </c>
      <c r="L508" s="119" t="s">
        <v>674</v>
      </c>
      <c r="M508" s="119" t="s">
        <v>185</v>
      </c>
      <c r="N508" s="136">
        <v>0.08</v>
      </c>
      <c r="O508" s="135" t="s">
        <v>51</v>
      </c>
      <c r="P508" s="135"/>
      <c r="Q508" s="137">
        <v>0</v>
      </c>
      <c r="R508" s="137">
        <v>0</v>
      </c>
      <c r="S508" s="137">
        <v>2382775.02</v>
      </c>
      <c r="T508" s="137">
        <f t="shared" si="85"/>
        <v>190622.00160000002</v>
      </c>
      <c r="U508" s="137">
        <f t="shared" si="89"/>
        <v>2573397.0216000001</v>
      </c>
      <c r="V508" s="137">
        <v>0</v>
      </c>
      <c r="W508" s="137">
        <f t="shared" si="90"/>
        <v>2573397.0216000001</v>
      </c>
      <c r="X508" s="137">
        <f t="shared" si="86"/>
        <v>2382775.02</v>
      </c>
      <c r="Y508" s="137">
        <f t="shared" si="91"/>
        <v>190622.00160000008</v>
      </c>
      <c r="Z508" s="137">
        <v>2489303.0699999998</v>
      </c>
      <c r="AA508" s="137">
        <f t="shared" si="87"/>
        <v>-2489303.0699999998</v>
      </c>
      <c r="AB508" s="146">
        <f>IF(O508="返货",Z508/(1+N508),IF(O508="返现",Z508,IF(O508="折扣",Z508*N508,IF(O508="无",Z508))))</f>
        <v>2304910.2499999995</v>
      </c>
      <c r="AC508" s="147">
        <f t="shared" si="88"/>
        <v>184392.8200000003</v>
      </c>
      <c r="AD508" s="137">
        <f t="shared" si="96"/>
        <v>2440207.4194968333</v>
      </c>
      <c r="AE508" s="138">
        <v>0.31559999999999999</v>
      </c>
      <c r="AF508" s="137">
        <f t="shared" si="94"/>
        <v>770129.46159320057</v>
      </c>
      <c r="AG508" s="137">
        <v>601231.22889200004</v>
      </c>
      <c r="AH508" s="154"/>
      <c r="AI508" s="154"/>
      <c r="AJ508" s="135" t="s">
        <v>53</v>
      </c>
      <c r="AK508" s="119" t="s">
        <v>53</v>
      </c>
      <c r="AM508" s="131"/>
    </row>
    <row r="509" spans="1:39" s="119" customFormat="1" ht="15" customHeight="1" x14ac:dyDescent="0.3">
      <c r="A509" s="119">
        <v>2017</v>
      </c>
      <c r="B509" s="119" t="s">
        <v>38</v>
      </c>
      <c r="C509" s="119" t="s">
        <v>75</v>
      </c>
      <c r="D509" s="119" t="s">
        <v>76</v>
      </c>
      <c r="E509" s="119" t="s">
        <v>225</v>
      </c>
      <c r="F509" s="119" t="s">
        <v>651</v>
      </c>
      <c r="G509" s="119" t="s">
        <v>651</v>
      </c>
      <c r="H509" s="119" t="s">
        <v>651</v>
      </c>
      <c r="I509" s="163" t="s">
        <v>204</v>
      </c>
      <c r="J509" s="119" t="s">
        <v>575</v>
      </c>
      <c r="K509" s="119" t="s">
        <v>576</v>
      </c>
      <c r="L509" s="119" t="s">
        <v>652</v>
      </c>
      <c r="M509" s="119" t="s">
        <v>185</v>
      </c>
      <c r="N509" s="136">
        <v>0.08</v>
      </c>
      <c r="O509" s="135" t="s">
        <v>51</v>
      </c>
      <c r="P509" s="135"/>
      <c r="Q509" s="137">
        <v>3541.5358000000001</v>
      </c>
      <c r="R509" s="137">
        <v>0</v>
      </c>
      <c r="S509" s="137">
        <v>24142.04</v>
      </c>
      <c r="T509" s="137">
        <f t="shared" si="85"/>
        <v>1931.3632</v>
      </c>
      <c r="U509" s="137">
        <f t="shared" si="89"/>
        <v>26073.403200000001</v>
      </c>
      <c r="V509" s="137">
        <v>0</v>
      </c>
      <c r="W509" s="137">
        <f t="shared" si="90"/>
        <v>26073.403200000001</v>
      </c>
      <c r="X509" s="137">
        <f t="shared" si="86"/>
        <v>24142.039999999997</v>
      </c>
      <c r="Y509" s="137">
        <f t="shared" si="91"/>
        <v>1931.3632000000034</v>
      </c>
      <c r="Z509" s="137">
        <v>28166.42</v>
      </c>
      <c r="AA509" s="137">
        <f t="shared" si="87"/>
        <v>-24624.884199999997</v>
      </c>
      <c r="AB509" s="146">
        <f>IF(O509="返货",(Z509-Q509)/(1+N509),IF(O509="返现",(Z509-Q509),IF(O509="折扣",(Z509-Q509)*N509,IF(O509="无",(Z509-Q509)))))</f>
        <v>22800.818703703699</v>
      </c>
      <c r="AC509" s="147">
        <f t="shared" si="88"/>
        <v>5365.6012962962996</v>
      </c>
      <c r="AD509" s="137">
        <f t="shared" si="96"/>
        <v>27610.903587028475</v>
      </c>
      <c r="AE509" s="138">
        <v>0.31559999999999999</v>
      </c>
      <c r="AF509" s="137">
        <f t="shared" si="94"/>
        <v>8714.001172066186</v>
      </c>
      <c r="AG509" s="137">
        <v>6802.9206705185197</v>
      </c>
      <c r="AH509" s="154"/>
      <c r="AI509" s="154"/>
      <c r="AJ509" s="135" t="s">
        <v>53</v>
      </c>
      <c r="AK509" s="119" t="s">
        <v>53</v>
      </c>
      <c r="AM509" s="131"/>
    </row>
    <row r="510" spans="1:39" s="119" customFormat="1" ht="15" customHeight="1" x14ac:dyDescent="0.3">
      <c r="A510" s="119">
        <v>2017</v>
      </c>
      <c r="B510" s="119" t="s">
        <v>252</v>
      </c>
      <c r="C510" s="119" t="s">
        <v>75</v>
      </c>
      <c r="D510" s="119" t="s">
        <v>76</v>
      </c>
      <c r="E510" s="119" t="s">
        <v>225</v>
      </c>
      <c r="F510" s="119" t="s">
        <v>666</v>
      </c>
      <c r="G510" s="119" t="s">
        <v>667</v>
      </c>
      <c r="H510" s="119" t="s">
        <v>668</v>
      </c>
      <c r="I510" s="163" t="s">
        <v>204</v>
      </c>
      <c r="J510" s="119" t="s">
        <v>575</v>
      </c>
      <c r="K510" s="119" t="s">
        <v>576</v>
      </c>
      <c r="L510" s="119" t="s">
        <v>666</v>
      </c>
      <c r="M510" s="119" t="s">
        <v>185</v>
      </c>
      <c r="N510" s="136">
        <v>0.08</v>
      </c>
      <c r="O510" s="135" t="s">
        <v>51</v>
      </c>
      <c r="P510" s="135"/>
      <c r="Q510" s="137">
        <v>128860.56</v>
      </c>
      <c r="R510" s="137">
        <v>0</v>
      </c>
      <c r="S510" s="137">
        <v>6499874.8700000001</v>
      </c>
      <c r="T510" s="137">
        <f t="shared" si="85"/>
        <v>519989.98960000003</v>
      </c>
      <c r="U510" s="137">
        <f t="shared" si="89"/>
        <v>7019864.8596000001</v>
      </c>
      <c r="V510" s="137">
        <v>0</v>
      </c>
      <c r="W510" s="137">
        <f t="shared" si="90"/>
        <v>7019864.8596000001</v>
      </c>
      <c r="X510" s="137">
        <f t="shared" si="86"/>
        <v>6499874.8700000001</v>
      </c>
      <c r="Y510" s="137">
        <f t="shared" si="91"/>
        <v>519989.98959999997</v>
      </c>
      <c r="Z510" s="137">
        <v>7143397.9000000004</v>
      </c>
      <c r="AA510" s="137">
        <f t="shared" si="87"/>
        <v>-7014537.3400000008</v>
      </c>
      <c r="AB510" s="146">
        <f>IF(O510="返货",(Z510-Q510)/(1+N510),IF(O510="返现",(Z510-Q510),IF(O510="折扣",(Z510-Q510)*N510,IF(O510="无",(Z510-Q510)))))</f>
        <v>6494941.9814814813</v>
      </c>
      <c r="AC510" s="147">
        <f t="shared" si="88"/>
        <v>648455.91851851903</v>
      </c>
      <c r="AD510" s="137">
        <f t="shared" si="96"/>
        <v>7002511.1711279498</v>
      </c>
      <c r="AE510" s="138">
        <v>0.31559999999999999</v>
      </c>
      <c r="AF510" s="137">
        <f t="shared" si="94"/>
        <v>2209992.5256079808</v>
      </c>
      <c r="AG510" s="137">
        <v>1725315.7920548101</v>
      </c>
      <c r="AH510" s="154"/>
      <c r="AI510" s="154"/>
      <c r="AJ510" s="135" t="s">
        <v>53</v>
      </c>
      <c r="AK510" s="119" t="s">
        <v>53</v>
      </c>
      <c r="AM510" s="131"/>
    </row>
    <row r="511" spans="1:39" s="119" customFormat="1" ht="15" customHeight="1" x14ac:dyDescent="0.3">
      <c r="A511" s="119">
        <v>2017</v>
      </c>
      <c r="B511" s="119" t="s">
        <v>38</v>
      </c>
      <c r="C511" s="119" t="s">
        <v>75</v>
      </c>
      <c r="D511" s="119" t="s">
        <v>76</v>
      </c>
      <c r="E511" s="119" t="s">
        <v>118</v>
      </c>
      <c r="F511" s="119" t="s">
        <v>675</v>
      </c>
      <c r="G511" s="119" t="s">
        <v>675</v>
      </c>
      <c r="H511" s="119" t="s">
        <v>675</v>
      </c>
      <c r="I511" s="163" t="s">
        <v>204</v>
      </c>
      <c r="J511" s="119" t="s">
        <v>575</v>
      </c>
      <c r="K511" s="119" t="s">
        <v>576</v>
      </c>
      <c r="L511" s="119" t="s">
        <v>676</v>
      </c>
      <c r="M511" s="119" t="s">
        <v>46</v>
      </c>
      <c r="N511" s="135">
        <v>0.05</v>
      </c>
      <c r="O511" s="135" t="s">
        <v>51</v>
      </c>
      <c r="P511" s="135"/>
      <c r="Q511" s="137">
        <v>0</v>
      </c>
      <c r="R511" s="137">
        <v>0</v>
      </c>
      <c r="S511" s="137">
        <v>19048</v>
      </c>
      <c r="T511" s="137">
        <f t="shared" si="85"/>
        <v>952.40000000000009</v>
      </c>
      <c r="U511" s="137">
        <f t="shared" si="89"/>
        <v>20000.400000000001</v>
      </c>
      <c r="V511" s="137">
        <v>20000</v>
      </c>
      <c r="W511" s="137">
        <f t="shared" si="90"/>
        <v>0.40000000000145519</v>
      </c>
      <c r="X511" s="137">
        <f t="shared" si="86"/>
        <v>0.38095238095376682</v>
      </c>
      <c r="Y511" s="137">
        <f t="shared" si="91"/>
        <v>1.9047619047688369E-2</v>
      </c>
      <c r="Z511" s="137">
        <v>20000</v>
      </c>
      <c r="AA511" s="137">
        <f t="shared" si="87"/>
        <v>0</v>
      </c>
      <c r="AB511" s="146">
        <f>IF(O511="返货",Z511/(1+N511),IF(O511="返现",Z511,IF(O511="折扣",Z511*N511,IF(O511="无",Z511))))</f>
        <v>19047.619047619046</v>
      </c>
      <c r="AC511" s="147">
        <f t="shared" si="88"/>
        <v>952.38095238095411</v>
      </c>
      <c r="AD511" s="137">
        <f t="shared" si="96"/>
        <v>19605.547021615439</v>
      </c>
      <c r="AE511" s="138">
        <v>0.1077</v>
      </c>
      <c r="AF511" s="137">
        <f t="shared" si="94"/>
        <v>2111.517414227983</v>
      </c>
      <c r="AG511" s="137">
        <v>1201.61904761905</v>
      </c>
      <c r="AH511" s="154"/>
      <c r="AI511" s="154"/>
      <c r="AJ511" s="135" t="s">
        <v>63</v>
      </c>
      <c r="AK511" s="119" t="s">
        <v>63</v>
      </c>
      <c r="AM511" s="131"/>
    </row>
    <row r="512" spans="1:39" s="119" customFormat="1" ht="15" customHeight="1" x14ac:dyDescent="0.3">
      <c r="A512" s="119">
        <v>2017</v>
      </c>
      <c r="B512" s="119" t="s">
        <v>38</v>
      </c>
      <c r="C512" s="119" t="s">
        <v>75</v>
      </c>
      <c r="D512" s="119" t="s">
        <v>76</v>
      </c>
      <c r="E512" s="119" t="s">
        <v>118</v>
      </c>
      <c r="F512" s="119" t="s">
        <v>677</v>
      </c>
      <c r="G512" s="119" t="s">
        <v>677</v>
      </c>
      <c r="H512" s="119" t="s">
        <v>677</v>
      </c>
      <c r="I512" s="163" t="s">
        <v>204</v>
      </c>
      <c r="J512" s="119" t="s">
        <v>575</v>
      </c>
      <c r="K512" s="119" t="s">
        <v>576</v>
      </c>
      <c r="L512" s="119" t="s">
        <v>678</v>
      </c>
      <c r="M512" s="119" t="s">
        <v>46</v>
      </c>
      <c r="N512" s="135">
        <v>0.05</v>
      </c>
      <c r="O512" s="135" t="s">
        <v>51</v>
      </c>
      <c r="P512" s="135"/>
      <c r="Q512" s="137">
        <v>0</v>
      </c>
      <c r="R512" s="137">
        <v>0</v>
      </c>
      <c r="S512" s="137">
        <v>1892.5</v>
      </c>
      <c r="T512" s="137">
        <f t="shared" si="85"/>
        <v>94.625</v>
      </c>
      <c r="U512" s="137">
        <f t="shared" si="89"/>
        <v>1987.125</v>
      </c>
      <c r="V512" s="137">
        <v>0</v>
      </c>
      <c r="W512" s="137">
        <f t="shared" si="90"/>
        <v>1987.125</v>
      </c>
      <c r="X512" s="137">
        <f t="shared" si="86"/>
        <v>1892.5</v>
      </c>
      <c r="Y512" s="137">
        <f t="shared" si="91"/>
        <v>94.625</v>
      </c>
      <c r="Z512" s="137">
        <v>0</v>
      </c>
      <c r="AA512" s="137">
        <f t="shared" si="87"/>
        <v>0</v>
      </c>
      <c r="AB512" s="146">
        <f>IF(O512="返货",Z512/(1+N512),IF(O512="返现",Z512,IF(O512="折扣",Z512*N512,IF(O512="无",Z512))))</f>
        <v>0</v>
      </c>
      <c r="AC512" s="147">
        <f t="shared" si="88"/>
        <v>0</v>
      </c>
      <c r="AD512" s="137">
        <f t="shared" si="96"/>
        <v>0</v>
      </c>
      <c r="AE512" s="138">
        <v>0.1077</v>
      </c>
      <c r="AF512" s="137">
        <f t="shared" si="94"/>
        <v>0</v>
      </c>
      <c r="AG512" s="137">
        <v>0</v>
      </c>
      <c r="AH512" s="154"/>
      <c r="AI512" s="154"/>
      <c r="AJ512" s="135" t="s">
        <v>63</v>
      </c>
      <c r="AK512" s="119" t="s">
        <v>63</v>
      </c>
      <c r="AM512" s="131"/>
    </row>
    <row r="513" spans="1:39" s="119" customFormat="1" ht="15" customHeight="1" x14ac:dyDescent="0.3">
      <c r="A513" s="119">
        <v>2017</v>
      </c>
      <c r="B513" s="119" t="s">
        <v>38</v>
      </c>
      <c r="C513" s="119" t="s">
        <v>75</v>
      </c>
      <c r="D513" s="119" t="s">
        <v>76</v>
      </c>
      <c r="E513" s="119" t="s">
        <v>118</v>
      </c>
      <c r="F513" s="119" t="s">
        <v>679</v>
      </c>
      <c r="G513" s="119" t="s">
        <v>679</v>
      </c>
      <c r="H513" s="119" t="s">
        <v>679</v>
      </c>
      <c r="I513" s="163" t="s">
        <v>204</v>
      </c>
      <c r="J513" s="119" t="s">
        <v>575</v>
      </c>
      <c r="K513" s="119" t="s">
        <v>576</v>
      </c>
      <c r="L513" s="119" t="s">
        <v>680</v>
      </c>
      <c r="M513" s="119" t="s">
        <v>46</v>
      </c>
      <c r="N513" s="135">
        <v>0.05</v>
      </c>
      <c r="O513" s="135" t="s">
        <v>51</v>
      </c>
      <c r="P513" s="135"/>
      <c r="Q513" s="137">
        <v>0</v>
      </c>
      <c r="R513" s="137">
        <v>0</v>
      </c>
      <c r="S513" s="137">
        <v>31436.42</v>
      </c>
      <c r="T513" s="137">
        <f t="shared" si="85"/>
        <v>1571.8209999999999</v>
      </c>
      <c r="U513" s="137">
        <f t="shared" si="89"/>
        <v>33008.240999999995</v>
      </c>
      <c r="V513" s="137">
        <v>40701.01</v>
      </c>
      <c r="W513" s="137">
        <f t="shared" si="90"/>
        <v>-7692.7690000000075</v>
      </c>
      <c r="X513" s="137">
        <f t="shared" si="86"/>
        <v>-7326.4466666666731</v>
      </c>
      <c r="Y513" s="137">
        <f t="shared" si="91"/>
        <v>-366.32233333333443</v>
      </c>
      <c r="Z513" s="137">
        <v>31436.42</v>
      </c>
      <c r="AA513" s="137">
        <f t="shared" si="87"/>
        <v>9264.5900000000038</v>
      </c>
      <c r="AB513" s="146">
        <f>IF(O513="返货",Z513/(1+N513),IF(O513="返现",Z513,IF(O513="折扣",Z513*N513,IF(O513="无",Z513))))</f>
        <v>29939.447619047616</v>
      </c>
      <c r="AC513" s="147">
        <f t="shared" si="88"/>
        <v>1496.9723809523821</v>
      </c>
      <c r="AD513" s="137">
        <f t="shared" si="96"/>
        <v>30816.410525062598</v>
      </c>
      <c r="AE513" s="138">
        <v>0.1077</v>
      </c>
      <c r="AF513" s="137">
        <f t="shared" si="94"/>
        <v>3318.9274135492419</v>
      </c>
      <c r="AG513" s="137">
        <v>1888.73005304762</v>
      </c>
      <c r="AH513" s="154"/>
      <c r="AI513" s="154"/>
      <c r="AJ513" s="135" t="s">
        <v>63</v>
      </c>
      <c r="AK513" s="119" t="s">
        <v>63</v>
      </c>
      <c r="AM513" s="131"/>
    </row>
    <row r="514" spans="1:39" s="119" customFormat="1" ht="15" customHeight="1" x14ac:dyDescent="0.3">
      <c r="A514" s="119">
        <v>2017</v>
      </c>
      <c r="B514" s="119" t="s">
        <v>38</v>
      </c>
      <c r="C514" s="119" t="s">
        <v>75</v>
      </c>
      <c r="D514" s="119" t="s">
        <v>76</v>
      </c>
      <c r="E514" s="119" t="s">
        <v>118</v>
      </c>
      <c r="F514" s="119" t="s">
        <v>681</v>
      </c>
      <c r="G514" s="119" t="s">
        <v>681</v>
      </c>
      <c r="H514" s="119" t="s">
        <v>681</v>
      </c>
      <c r="I514" s="163" t="s">
        <v>204</v>
      </c>
      <c r="J514" s="119" t="s">
        <v>575</v>
      </c>
      <c r="K514" s="119" t="s">
        <v>576</v>
      </c>
      <c r="L514" s="119" t="s">
        <v>682</v>
      </c>
      <c r="M514" s="119" t="s">
        <v>46</v>
      </c>
      <c r="N514" s="135">
        <v>0.05</v>
      </c>
      <c r="O514" s="135" t="s">
        <v>51</v>
      </c>
      <c r="P514" s="135"/>
      <c r="Q514" s="137">
        <v>0</v>
      </c>
      <c r="R514" s="137">
        <v>0</v>
      </c>
      <c r="S514" s="137">
        <v>10000</v>
      </c>
      <c r="T514" s="137">
        <f t="shared" ref="T514:T577" si="97">S514*N514</f>
        <v>500</v>
      </c>
      <c r="U514" s="137">
        <f t="shared" si="89"/>
        <v>10500</v>
      </c>
      <c r="V514" s="137">
        <v>10000</v>
      </c>
      <c r="W514" s="137">
        <f t="shared" si="90"/>
        <v>500</v>
      </c>
      <c r="X514" s="137">
        <f t="shared" ref="X514:X577" si="98">W514/(1+N514)</f>
        <v>476.19047619047615</v>
      </c>
      <c r="Y514" s="137">
        <f t="shared" si="91"/>
        <v>23.809523809523853</v>
      </c>
      <c r="Z514" s="137">
        <v>0</v>
      </c>
      <c r="AA514" s="137">
        <f t="shared" ref="AA514:AA577" si="99">Q514+V514-Z514</f>
        <v>10000</v>
      </c>
      <c r="AB514" s="146">
        <f>IF(O514="返货",Z514/(1+N514),IF(O514="返现",Z514,IF(O514="折扣",Z514*N514,IF(O514="无",Z514))))</f>
        <v>0</v>
      </c>
      <c r="AC514" s="147">
        <f t="shared" ref="AC514:AC577" si="100">IF(O514="返现",Z514*N514,Z514-AB514)</f>
        <v>0</v>
      </c>
      <c r="AD514" s="137">
        <f t="shared" si="96"/>
        <v>0</v>
      </c>
      <c r="AE514" s="138">
        <v>0.1077</v>
      </c>
      <c r="AF514" s="137">
        <f t="shared" si="94"/>
        <v>0</v>
      </c>
      <c r="AG514" s="137">
        <v>0</v>
      </c>
      <c r="AH514" s="154"/>
      <c r="AI514" s="154"/>
      <c r="AJ514" s="135" t="s">
        <v>63</v>
      </c>
      <c r="AK514" s="119" t="s">
        <v>63</v>
      </c>
      <c r="AM514" s="131"/>
    </row>
    <row r="515" spans="1:39" s="119" customFormat="1" ht="15" customHeight="1" x14ac:dyDescent="0.3">
      <c r="A515" s="119">
        <v>2017</v>
      </c>
      <c r="B515" s="119" t="s">
        <v>38</v>
      </c>
      <c r="C515" s="119" t="s">
        <v>75</v>
      </c>
      <c r="D515" s="119" t="s">
        <v>76</v>
      </c>
      <c r="E515" s="119" t="s">
        <v>118</v>
      </c>
      <c r="F515" s="119" t="s">
        <v>683</v>
      </c>
      <c r="G515" s="119" t="s">
        <v>683</v>
      </c>
      <c r="H515" s="119" t="s">
        <v>683</v>
      </c>
      <c r="I515" s="163" t="s">
        <v>204</v>
      </c>
      <c r="J515" s="119" t="s">
        <v>575</v>
      </c>
      <c r="K515" s="119" t="s">
        <v>576</v>
      </c>
      <c r="L515" s="119" t="s">
        <v>684</v>
      </c>
      <c r="M515" s="119" t="s">
        <v>185</v>
      </c>
      <c r="N515" s="136">
        <v>0.15</v>
      </c>
      <c r="O515" s="135" t="s">
        <v>51</v>
      </c>
      <c r="P515" s="135"/>
      <c r="Q515" s="137">
        <v>3400</v>
      </c>
      <c r="R515" s="137">
        <v>0</v>
      </c>
      <c r="S515" s="137">
        <v>40816.25</v>
      </c>
      <c r="T515" s="137">
        <f t="shared" si="97"/>
        <v>6122.4375</v>
      </c>
      <c r="U515" s="137">
        <f t="shared" ref="U515:U578" si="101">R515+S515+T515</f>
        <v>46938.6875</v>
      </c>
      <c r="V515" s="137">
        <v>0</v>
      </c>
      <c r="W515" s="137">
        <f t="shared" ref="W515:W578" si="102">U515-V515</f>
        <v>46938.6875</v>
      </c>
      <c r="X515" s="137">
        <f t="shared" si="98"/>
        <v>40816.25</v>
      </c>
      <c r="Y515" s="137">
        <f t="shared" ref="Y515:Y578" si="103">W515-X515</f>
        <v>6122.4375</v>
      </c>
      <c r="Z515" s="137">
        <v>47989.56</v>
      </c>
      <c r="AA515" s="137">
        <f t="shared" si="99"/>
        <v>-44589.56</v>
      </c>
      <c r="AB515" s="146">
        <f>IF(O515="返货",(Z515-Q515)/(1+N515),IF(O515="返现",(Z515-Q515),IF(O515="折扣",(Z515-Q515)*N515,IF(O515="无",(Z515-Q515)))))</f>
        <v>38773.53043478261</v>
      </c>
      <c r="AC515" s="147">
        <f t="shared" si="100"/>
        <v>9216.0295652173882</v>
      </c>
      <c r="AD515" s="137">
        <f t="shared" si="96"/>
        <v>47043.078756331772</v>
      </c>
      <c r="AE515" s="138">
        <v>0.31559999999999999</v>
      </c>
      <c r="AF515" s="137">
        <f t="shared" si="94"/>
        <v>14846.795655498307</v>
      </c>
      <c r="AG515" s="137">
        <v>2140.9183659130399</v>
      </c>
      <c r="AH515" s="154"/>
      <c r="AI515" s="154"/>
      <c r="AJ515" s="135" t="s">
        <v>662</v>
      </c>
      <c r="AK515" s="119" t="s">
        <v>662</v>
      </c>
      <c r="AL515" s="119" t="s">
        <v>589</v>
      </c>
      <c r="AM515" s="131"/>
    </row>
    <row r="516" spans="1:39" s="119" customFormat="1" ht="15" customHeight="1" x14ac:dyDescent="0.3">
      <c r="A516" s="119">
        <v>2017</v>
      </c>
      <c r="B516" s="119" t="s">
        <v>38</v>
      </c>
      <c r="C516" s="119" t="s">
        <v>75</v>
      </c>
      <c r="D516" s="119" t="s">
        <v>76</v>
      </c>
      <c r="E516" s="119" t="s">
        <v>118</v>
      </c>
      <c r="F516" s="119" t="s">
        <v>683</v>
      </c>
      <c r="G516" s="119" t="s">
        <v>683</v>
      </c>
      <c r="H516" s="119" t="s">
        <v>683</v>
      </c>
      <c r="I516" s="163" t="s">
        <v>204</v>
      </c>
      <c r="J516" s="119" t="s">
        <v>575</v>
      </c>
      <c r="K516" s="119" t="s">
        <v>576</v>
      </c>
      <c r="L516" s="119" t="s">
        <v>684</v>
      </c>
      <c r="M516" s="119" t="s">
        <v>46</v>
      </c>
      <c r="N516" s="135">
        <v>0.05</v>
      </c>
      <c r="O516" s="135" t="s">
        <v>51</v>
      </c>
      <c r="P516" s="135"/>
      <c r="Q516" s="137">
        <v>2000</v>
      </c>
      <c r="R516" s="137">
        <v>0</v>
      </c>
      <c r="S516" s="137">
        <v>53191.1</v>
      </c>
      <c r="T516" s="137">
        <f t="shared" si="97"/>
        <v>2659.5550000000003</v>
      </c>
      <c r="U516" s="137">
        <f t="shared" si="101"/>
        <v>55850.654999999999</v>
      </c>
      <c r="V516" s="137">
        <v>346160.87</v>
      </c>
      <c r="W516" s="137">
        <f t="shared" si="102"/>
        <v>-290310.21499999997</v>
      </c>
      <c r="X516" s="137">
        <f t="shared" si="98"/>
        <v>-276485.91904761898</v>
      </c>
      <c r="Y516" s="137">
        <f t="shared" si="103"/>
        <v>-13824.295952380984</v>
      </c>
      <c r="Z516" s="137">
        <v>271362.45</v>
      </c>
      <c r="AA516" s="137">
        <f t="shared" si="99"/>
        <v>76798.419999999984</v>
      </c>
      <c r="AB516" s="146">
        <f>IF(O516="返货",(Z516-Q516)/(1+N516),IF(O516="返现",(Z516-Q516),IF(O516="折扣",(Z516-Q516)*N516,IF(O516="无",(Z516-Q516)))))</f>
        <v>256535.66666666666</v>
      </c>
      <c r="AC516" s="147">
        <f t="shared" si="100"/>
        <v>14826.783333333355</v>
      </c>
      <c r="AD516" s="137">
        <f t="shared" si="96"/>
        <v>266010.46366878843</v>
      </c>
      <c r="AE516" s="138">
        <v>0.1077</v>
      </c>
      <c r="AF516" s="137">
        <f t="shared" si="94"/>
        <v>28649.326937128517</v>
      </c>
      <c r="AG516" s="137">
        <v>3244.03828442857</v>
      </c>
      <c r="AH516" s="154"/>
      <c r="AI516" s="154"/>
      <c r="AJ516" s="135" t="s">
        <v>63</v>
      </c>
      <c r="AK516" s="119" t="s">
        <v>63</v>
      </c>
      <c r="AL516" s="119" t="s">
        <v>589</v>
      </c>
      <c r="AM516" s="131"/>
    </row>
    <row r="517" spans="1:39" s="119" customFormat="1" ht="15" customHeight="1" x14ac:dyDescent="0.3">
      <c r="A517" s="119">
        <v>2017</v>
      </c>
      <c r="B517" s="119" t="s">
        <v>38</v>
      </c>
      <c r="C517" s="119" t="s">
        <v>75</v>
      </c>
      <c r="D517" s="119" t="s">
        <v>76</v>
      </c>
      <c r="E517" s="119" t="s">
        <v>118</v>
      </c>
      <c r="F517" s="119" t="s">
        <v>445</v>
      </c>
      <c r="G517" s="119" t="s">
        <v>445</v>
      </c>
      <c r="H517" s="119" t="s">
        <v>445</v>
      </c>
      <c r="I517" s="163" t="s">
        <v>204</v>
      </c>
      <c r="J517" s="119" t="s">
        <v>575</v>
      </c>
      <c r="K517" s="119" t="s">
        <v>576</v>
      </c>
      <c r="L517" s="119" t="s">
        <v>684</v>
      </c>
      <c r="M517" s="119" t="s">
        <v>46</v>
      </c>
      <c r="N517" s="135">
        <v>0.05</v>
      </c>
      <c r="O517" s="135" t="s">
        <v>51</v>
      </c>
      <c r="P517" s="135"/>
      <c r="Q517" s="137">
        <v>0</v>
      </c>
      <c r="R517" s="137">
        <v>0</v>
      </c>
      <c r="S517" s="137">
        <v>161045</v>
      </c>
      <c r="T517" s="137">
        <f t="shared" si="97"/>
        <v>8052.25</v>
      </c>
      <c r="U517" s="137">
        <f t="shared" si="101"/>
        <v>169097.25</v>
      </c>
      <c r="V517" s="137">
        <v>0</v>
      </c>
      <c r="W517" s="137">
        <f t="shared" si="102"/>
        <v>169097.25</v>
      </c>
      <c r="X517" s="137">
        <f t="shared" si="98"/>
        <v>161045</v>
      </c>
      <c r="Y517" s="137">
        <f t="shared" si="103"/>
        <v>8052.25</v>
      </c>
      <c r="Z517" s="137">
        <v>0</v>
      </c>
      <c r="AA517" s="137">
        <f t="shared" si="99"/>
        <v>0</v>
      </c>
      <c r="AB517" s="146">
        <f>IF(O517="返货",Z517/(1+N517),IF(O517="返现",Z517,IF(O517="折扣",Z517*N517,IF(O517="无",Z517))))</f>
        <v>0</v>
      </c>
      <c r="AC517" s="147">
        <f t="shared" si="100"/>
        <v>0</v>
      </c>
      <c r="AD517" s="137">
        <f t="shared" si="96"/>
        <v>0</v>
      </c>
      <c r="AE517" s="138">
        <v>0.1077</v>
      </c>
      <c r="AF517" s="137">
        <f t="shared" si="94"/>
        <v>0</v>
      </c>
      <c r="AG517" s="137">
        <v>0</v>
      </c>
      <c r="AH517" s="154"/>
      <c r="AI517" s="154"/>
      <c r="AJ517" s="135" t="s">
        <v>63</v>
      </c>
      <c r="AK517" s="119" t="s">
        <v>63</v>
      </c>
      <c r="AM517" s="131"/>
    </row>
    <row r="518" spans="1:39" s="119" customFormat="1" ht="15" customHeight="1" x14ac:dyDescent="0.3">
      <c r="A518" s="119">
        <v>2017</v>
      </c>
      <c r="B518" s="119" t="s">
        <v>38</v>
      </c>
      <c r="C518" s="119" t="s">
        <v>75</v>
      </c>
      <c r="D518" s="119" t="s">
        <v>256</v>
      </c>
      <c r="E518" s="119" t="s">
        <v>167</v>
      </c>
      <c r="F518" s="119" t="s">
        <v>355</v>
      </c>
      <c r="G518" s="119" t="s">
        <v>355</v>
      </c>
      <c r="H518" s="119" t="s">
        <v>355</v>
      </c>
      <c r="I518" s="163" t="s">
        <v>204</v>
      </c>
      <c r="J518" s="119" t="s">
        <v>575</v>
      </c>
      <c r="K518" s="119" t="s">
        <v>576</v>
      </c>
      <c r="L518" s="119" t="s">
        <v>355</v>
      </c>
      <c r="M518" s="119" t="s">
        <v>46</v>
      </c>
      <c r="N518" s="136">
        <v>0.02</v>
      </c>
      <c r="O518" s="135" t="s">
        <v>51</v>
      </c>
      <c r="P518" s="135" t="s">
        <v>15</v>
      </c>
      <c r="Q518" s="137">
        <v>0</v>
      </c>
      <c r="R518" s="137">
        <v>0</v>
      </c>
      <c r="S518" s="137">
        <v>4997385.88</v>
      </c>
      <c r="T518" s="137">
        <f t="shared" si="97"/>
        <v>99947.717600000004</v>
      </c>
      <c r="U518" s="137">
        <f t="shared" si="101"/>
        <v>5097333.5976</v>
      </c>
      <c r="V518" s="137">
        <v>8767368.9100000001</v>
      </c>
      <c r="W518" s="137">
        <f t="shared" si="102"/>
        <v>-3670035.3124000002</v>
      </c>
      <c r="X518" s="137">
        <f t="shared" si="98"/>
        <v>-3598073.8356862748</v>
      </c>
      <c r="Y518" s="137">
        <f t="shared" si="103"/>
        <v>-71961.476713725366</v>
      </c>
      <c r="Z518" s="137">
        <v>5432806.9800000004</v>
      </c>
      <c r="AA518" s="137">
        <f t="shared" si="99"/>
        <v>3334561.9299999997</v>
      </c>
      <c r="AB518" s="146">
        <f>IF(O518="返货",(Z518-60000)/(1+N518),IF(O518="返现",Z518,IF(O518="折扣",Z518*N518,IF(O518="无",Z518))))</f>
        <v>5267457.823529412</v>
      </c>
      <c r="AC518" s="147">
        <f t="shared" si="100"/>
        <v>165349.15647058841</v>
      </c>
      <c r="AD518" s="137">
        <f t="shared" si="96"/>
        <v>5325657.6352875289</v>
      </c>
      <c r="AE518" s="138">
        <v>0.1077</v>
      </c>
      <c r="AF518" s="137">
        <f t="shared" si="94"/>
        <v>573573.32732046687</v>
      </c>
      <c r="AG518" s="137">
        <v>478587.68468717602</v>
      </c>
      <c r="AH518" s="154"/>
      <c r="AI518" s="154"/>
      <c r="AJ518" s="135" t="s">
        <v>173</v>
      </c>
      <c r="AK518" s="119" t="s">
        <v>173</v>
      </c>
      <c r="AM518" s="131"/>
    </row>
    <row r="519" spans="1:39" s="119" customFormat="1" ht="15" customHeight="1" x14ac:dyDescent="0.3">
      <c r="A519" s="119">
        <v>2017</v>
      </c>
      <c r="B519" s="119" t="s">
        <v>38</v>
      </c>
      <c r="C519" s="119" t="s">
        <v>75</v>
      </c>
      <c r="D519" s="119" t="s">
        <v>256</v>
      </c>
      <c r="E519" s="119" t="s">
        <v>167</v>
      </c>
      <c r="F519" s="119" t="s">
        <v>355</v>
      </c>
      <c r="G519" s="119" t="s">
        <v>355</v>
      </c>
      <c r="H519" s="119" t="s">
        <v>355</v>
      </c>
      <c r="I519" s="163" t="s">
        <v>204</v>
      </c>
      <c r="J519" s="119" t="s">
        <v>575</v>
      </c>
      <c r="K519" s="119" t="s">
        <v>576</v>
      </c>
      <c r="L519" s="119" t="s">
        <v>355</v>
      </c>
      <c r="M519" s="119" t="s">
        <v>185</v>
      </c>
      <c r="N519" s="136">
        <v>0.08</v>
      </c>
      <c r="O519" s="135" t="s">
        <v>51</v>
      </c>
      <c r="P519" s="135"/>
      <c r="Q519" s="137">
        <v>0</v>
      </c>
      <c r="R519" s="137">
        <v>0</v>
      </c>
      <c r="S519" s="137">
        <v>3334561.93</v>
      </c>
      <c r="T519" s="137">
        <f t="shared" si="97"/>
        <v>266764.95440000005</v>
      </c>
      <c r="U519" s="137">
        <f t="shared" si="101"/>
        <v>3601326.8844000003</v>
      </c>
      <c r="V519" s="137">
        <v>0</v>
      </c>
      <c r="W519" s="137">
        <f t="shared" si="102"/>
        <v>3601326.8844000003</v>
      </c>
      <c r="X519" s="137">
        <f t="shared" si="98"/>
        <v>3334561.93</v>
      </c>
      <c r="Y519" s="137">
        <f t="shared" si="103"/>
        <v>266764.95440000016</v>
      </c>
      <c r="Z519" s="137">
        <v>3334561.93</v>
      </c>
      <c r="AA519" s="137">
        <f t="shared" si="99"/>
        <v>-3334561.93</v>
      </c>
      <c r="AB519" s="146">
        <f>IF(O519="返货",Z519/(1+N519),IF(O519="返现",Z519,IF(O519="折扣",Z519*N519,IF(O519="无",Z519))))</f>
        <v>3087557.3425925924</v>
      </c>
      <c r="AC519" s="147">
        <f t="shared" si="100"/>
        <v>247004.58740740782</v>
      </c>
      <c r="AD519" s="137">
        <f t="shared" si="96"/>
        <v>3268795.5357551868</v>
      </c>
      <c r="AE519" s="138">
        <v>0.31559999999999999</v>
      </c>
      <c r="AF519" s="137">
        <f t="shared" si="94"/>
        <v>1031631.8710843369</v>
      </c>
      <c r="AG519" s="137">
        <v>805383.15770059195</v>
      </c>
      <c r="AH519" s="154"/>
      <c r="AI519" s="154"/>
      <c r="AJ519" s="135" t="s">
        <v>53</v>
      </c>
      <c r="AK519" s="119" t="s">
        <v>53</v>
      </c>
      <c r="AM519" s="131"/>
    </row>
    <row r="520" spans="1:39" s="119" customFormat="1" ht="15" customHeight="1" x14ac:dyDescent="0.3">
      <c r="A520" s="119">
        <v>2017</v>
      </c>
      <c r="B520" s="119" t="s">
        <v>38</v>
      </c>
      <c r="C520" s="119" t="s">
        <v>75</v>
      </c>
      <c r="D520" s="119" t="s">
        <v>256</v>
      </c>
      <c r="E520" s="119" t="s">
        <v>167</v>
      </c>
      <c r="F520" s="119" t="s">
        <v>355</v>
      </c>
      <c r="G520" s="119" t="s">
        <v>355</v>
      </c>
      <c r="H520" s="119" t="s">
        <v>355</v>
      </c>
      <c r="I520" s="163" t="s">
        <v>204</v>
      </c>
      <c r="J520" s="119" t="s">
        <v>575</v>
      </c>
      <c r="K520" s="119" t="s">
        <v>576</v>
      </c>
      <c r="L520" s="119" t="s">
        <v>355</v>
      </c>
      <c r="M520" s="119" t="s">
        <v>160</v>
      </c>
      <c r="N520" s="135">
        <v>0</v>
      </c>
      <c r="O520" s="135" t="s">
        <v>47</v>
      </c>
      <c r="P520" s="135"/>
      <c r="Q520" s="137">
        <v>0</v>
      </c>
      <c r="R520" s="137">
        <v>0</v>
      </c>
      <c r="S520" s="137">
        <v>1151737.5</v>
      </c>
      <c r="T520" s="137">
        <f t="shared" si="97"/>
        <v>0</v>
      </c>
      <c r="U520" s="137">
        <f t="shared" si="101"/>
        <v>1151737.5</v>
      </c>
      <c r="V520" s="137">
        <v>413447.5</v>
      </c>
      <c r="W520" s="137">
        <f t="shared" si="102"/>
        <v>738290</v>
      </c>
      <c r="X520" s="137">
        <f t="shared" si="98"/>
        <v>738290</v>
      </c>
      <c r="Y520" s="137">
        <f t="shared" si="103"/>
        <v>0</v>
      </c>
      <c r="Z520" s="137">
        <v>413447.5</v>
      </c>
      <c r="AA520" s="137">
        <f t="shared" si="99"/>
        <v>0</v>
      </c>
      <c r="AB520" s="146">
        <f>IF(O520="返货",Z520/(1+N520),IF(O520="返现",Z520,IF(O520="折扣",Z520*N520,IF(O520="无",Z520))))</f>
        <v>413447.5</v>
      </c>
      <c r="AC520" s="147">
        <f t="shared" si="100"/>
        <v>0</v>
      </c>
      <c r="AD520" s="137">
        <f t="shared" si="96"/>
        <v>405293.22011096746</v>
      </c>
      <c r="AE520" s="138">
        <v>0.1077</v>
      </c>
      <c r="AF520" s="137">
        <f t="shared" si="94"/>
        <v>43650.079805951194</v>
      </c>
      <c r="AG520" s="137">
        <v>44528.295749999997</v>
      </c>
      <c r="AH520" s="154"/>
      <c r="AI520" s="154"/>
      <c r="AJ520" s="135" t="s">
        <v>47</v>
      </c>
      <c r="AK520" s="119" t="s">
        <v>47</v>
      </c>
      <c r="AM520" s="131"/>
    </row>
    <row r="521" spans="1:39" s="119" customFormat="1" ht="15" customHeight="1" x14ac:dyDescent="0.3">
      <c r="A521" s="119">
        <v>2017</v>
      </c>
      <c r="B521" s="119" t="s">
        <v>38</v>
      </c>
      <c r="C521" s="119" t="s">
        <v>75</v>
      </c>
      <c r="D521" s="119" t="s">
        <v>256</v>
      </c>
      <c r="E521" s="119" t="s">
        <v>647</v>
      </c>
      <c r="F521" s="119" t="s">
        <v>685</v>
      </c>
      <c r="G521" s="119" t="s">
        <v>685</v>
      </c>
      <c r="H521" s="119" t="s">
        <v>685</v>
      </c>
      <c r="I521" s="163" t="s">
        <v>204</v>
      </c>
      <c r="J521" s="119" t="s">
        <v>575</v>
      </c>
      <c r="K521" s="119" t="s">
        <v>576</v>
      </c>
      <c r="L521" s="119" t="s">
        <v>685</v>
      </c>
      <c r="M521" s="119" t="s">
        <v>46</v>
      </c>
      <c r="N521" s="136">
        <v>0.02</v>
      </c>
      <c r="O521" s="135" t="s">
        <v>51</v>
      </c>
      <c r="P521" s="135"/>
      <c r="Q521" s="137">
        <v>410093.96</v>
      </c>
      <c r="R521" s="137">
        <v>0</v>
      </c>
      <c r="S521" s="137">
        <v>248298.3</v>
      </c>
      <c r="T521" s="137">
        <f t="shared" si="97"/>
        <v>4965.9659999999994</v>
      </c>
      <c r="U521" s="137">
        <f t="shared" si="101"/>
        <v>253264.26599999997</v>
      </c>
      <c r="V521" s="137">
        <v>259000</v>
      </c>
      <c r="W521" s="137">
        <f t="shared" si="102"/>
        <v>-5735.7340000000258</v>
      </c>
      <c r="X521" s="137">
        <f t="shared" si="98"/>
        <v>-5623.2686274510061</v>
      </c>
      <c r="Y521" s="137">
        <f t="shared" si="103"/>
        <v>-112.46537254901978</v>
      </c>
      <c r="Z521" s="137">
        <v>665358.23</v>
      </c>
      <c r="AA521" s="137">
        <f t="shared" si="99"/>
        <v>3735.7299999999814</v>
      </c>
      <c r="AB521" s="146">
        <f>IF(O521="返货",(Z521-Q521)/(1+N521),IF(O521="返现",(Z521-Q521),IF(O521="折扣",(Z521-Q521)*N521,IF(O521="无",(Z521-Q521)))))</f>
        <v>250259.08823529407</v>
      </c>
      <c r="AC521" s="147">
        <f t="shared" si="100"/>
        <v>415099.14176470588</v>
      </c>
      <c r="AD521" s="137">
        <f t="shared" si="96"/>
        <v>652235.603224191</v>
      </c>
      <c r="AE521" s="138">
        <v>0.1077</v>
      </c>
      <c r="AF521" s="137">
        <f t="shared" si="94"/>
        <v>70245.77446724537</v>
      </c>
      <c r="AG521" s="137">
        <v>58612.841567078503</v>
      </c>
      <c r="AH521" s="154"/>
      <c r="AI521" s="154"/>
      <c r="AJ521" s="135" t="s">
        <v>173</v>
      </c>
      <c r="AK521" s="119" t="s">
        <v>173</v>
      </c>
      <c r="AM521" s="131"/>
    </row>
    <row r="522" spans="1:39" s="119" customFormat="1" ht="15" customHeight="1" x14ac:dyDescent="0.3">
      <c r="A522" s="119">
        <v>2017</v>
      </c>
      <c r="B522" s="119" t="s">
        <v>38</v>
      </c>
      <c r="C522" s="119" t="s">
        <v>75</v>
      </c>
      <c r="D522" s="119" t="s">
        <v>256</v>
      </c>
      <c r="E522" s="119" t="s">
        <v>647</v>
      </c>
      <c r="F522" s="119" t="s">
        <v>685</v>
      </c>
      <c r="G522" s="119" t="s">
        <v>685</v>
      </c>
      <c r="H522" s="119" t="s">
        <v>685</v>
      </c>
      <c r="I522" s="163" t="s">
        <v>204</v>
      </c>
      <c r="J522" s="119" t="s">
        <v>575</v>
      </c>
      <c r="K522" s="119" t="s">
        <v>576</v>
      </c>
      <c r="L522" s="119" t="s">
        <v>685</v>
      </c>
      <c r="M522" s="119" t="s">
        <v>185</v>
      </c>
      <c r="N522" s="136">
        <v>0.08</v>
      </c>
      <c r="O522" s="135" t="s">
        <v>51</v>
      </c>
      <c r="P522" s="135"/>
      <c r="Q522" s="137">
        <v>48593.4928</v>
      </c>
      <c r="R522" s="137">
        <v>0</v>
      </c>
      <c r="S522" s="137">
        <v>1701.7</v>
      </c>
      <c r="T522" s="137">
        <f t="shared" si="97"/>
        <v>136.136</v>
      </c>
      <c r="U522" s="137">
        <f t="shared" si="101"/>
        <v>1837.836</v>
      </c>
      <c r="V522" s="137">
        <v>0</v>
      </c>
      <c r="W522" s="137">
        <f t="shared" si="102"/>
        <v>1837.836</v>
      </c>
      <c r="X522" s="137">
        <f t="shared" si="98"/>
        <v>1701.6999999999998</v>
      </c>
      <c r="Y522" s="137">
        <f t="shared" si="103"/>
        <v>136.13600000000019</v>
      </c>
      <c r="Z522" s="137">
        <v>52329.22</v>
      </c>
      <c r="AA522" s="137">
        <f t="shared" si="99"/>
        <v>-3735.7272000000012</v>
      </c>
      <c r="AB522" s="146">
        <f>IF(O522="返货",(Z522-Q522)/(1+N522),IF(O522="返现",(Z522-Q522),IF(O522="折扣",(Z522-Q522)*N522,IF(O522="无",(Z522-Q522)))))</f>
        <v>3459.0066666666676</v>
      </c>
      <c r="AC522" s="147">
        <f t="shared" si="100"/>
        <v>48870.213333333333</v>
      </c>
      <c r="AD522" s="137">
        <f t="shared" si="96"/>
        <v>51297.149165722956</v>
      </c>
      <c r="AE522" s="138">
        <v>0.31559999999999999</v>
      </c>
      <c r="AF522" s="137">
        <f t="shared" si="94"/>
        <v>16189.380276702164</v>
      </c>
      <c r="AG522" s="137">
        <v>12638.863313481501</v>
      </c>
      <c r="AH522" s="154"/>
      <c r="AI522" s="154"/>
      <c r="AJ522" s="135" t="s">
        <v>53</v>
      </c>
      <c r="AK522" s="119" t="s">
        <v>53</v>
      </c>
      <c r="AM522" s="131"/>
    </row>
    <row r="523" spans="1:39" s="119" customFormat="1" ht="15" customHeight="1" x14ac:dyDescent="0.3">
      <c r="A523" s="119">
        <v>2017</v>
      </c>
      <c r="B523" s="119" t="s">
        <v>252</v>
      </c>
      <c r="C523" s="119" t="s">
        <v>75</v>
      </c>
      <c r="D523" s="119" t="s">
        <v>256</v>
      </c>
      <c r="E523" s="119" t="s">
        <v>647</v>
      </c>
      <c r="F523" s="119" t="s">
        <v>686</v>
      </c>
      <c r="G523" s="119" t="s">
        <v>687</v>
      </c>
      <c r="H523" s="119" t="s">
        <v>687</v>
      </c>
      <c r="I523" s="163" t="s">
        <v>204</v>
      </c>
      <c r="J523" s="119" t="s">
        <v>575</v>
      </c>
      <c r="K523" s="119" t="s">
        <v>576</v>
      </c>
      <c r="L523" s="119" t="s">
        <v>686</v>
      </c>
      <c r="M523" s="119" t="s">
        <v>46</v>
      </c>
      <c r="N523" s="136">
        <v>0.02</v>
      </c>
      <c r="O523" s="135" t="s">
        <v>51</v>
      </c>
      <c r="P523" s="135"/>
      <c r="Q523" s="137">
        <v>0</v>
      </c>
      <c r="R523" s="137">
        <v>0</v>
      </c>
      <c r="S523" s="137">
        <v>3704550.13</v>
      </c>
      <c r="T523" s="137">
        <f t="shared" si="97"/>
        <v>74091.002599999993</v>
      </c>
      <c r="U523" s="137">
        <f t="shared" si="101"/>
        <v>3778641.1325999997</v>
      </c>
      <c r="V523" s="137">
        <v>3750000</v>
      </c>
      <c r="W523" s="137">
        <f t="shared" si="102"/>
        <v>28641.132599999662</v>
      </c>
      <c r="X523" s="137">
        <f t="shared" si="98"/>
        <v>28079.541764705551</v>
      </c>
      <c r="Y523" s="137">
        <f t="shared" si="103"/>
        <v>561.59083529411146</v>
      </c>
      <c r="Z523" s="137">
        <v>3704550.13</v>
      </c>
      <c r="AA523" s="137">
        <f t="shared" si="99"/>
        <v>45449.870000000112</v>
      </c>
      <c r="AB523" s="146">
        <f>IF(O523="返货",Z523/(1+N523),IF(O523="返现",Z523,IF(O523="折扣",Z523*N523,IF(O523="无",Z523))))</f>
        <v>3631911.8921568627</v>
      </c>
      <c r="AC523" s="147">
        <f t="shared" si="100"/>
        <v>72638.237843137234</v>
      </c>
      <c r="AD523" s="137">
        <f t="shared" si="96"/>
        <v>3631486.5883823293</v>
      </c>
      <c r="AE523" s="138">
        <v>0.1077</v>
      </c>
      <c r="AF523" s="137">
        <f t="shared" si="94"/>
        <v>391111.1055687769</v>
      </c>
      <c r="AG523" s="137">
        <v>326341.81115786301</v>
      </c>
      <c r="AH523" s="154"/>
      <c r="AI523" s="154"/>
      <c r="AJ523" s="135" t="s">
        <v>173</v>
      </c>
      <c r="AK523" s="119" t="s">
        <v>173</v>
      </c>
      <c r="AM523" s="131"/>
    </row>
    <row r="524" spans="1:39" s="119" customFormat="1" ht="15" customHeight="1" x14ac:dyDescent="0.3">
      <c r="A524" s="119">
        <v>2017</v>
      </c>
      <c r="B524" s="119" t="s">
        <v>38</v>
      </c>
      <c r="C524" s="119" t="s">
        <v>75</v>
      </c>
      <c r="D524" s="119" t="s">
        <v>256</v>
      </c>
      <c r="E524" s="119" t="s">
        <v>315</v>
      </c>
      <c r="F524" s="119" t="s">
        <v>688</v>
      </c>
      <c r="G524" s="119" t="s">
        <v>688</v>
      </c>
      <c r="H524" s="119" t="s">
        <v>688</v>
      </c>
      <c r="I524" s="163" t="s">
        <v>204</v>
      </c>
      <c r="J524" s="119" t="s">
        <v>575</v>
      </c>
      <c r="K524" s="119" t="s">
        <v>576</v>
      </c>
      <c r="L524" s="119" t="s">
        <v>688</v>
      </c>
      <c r="M524" s="119" t="s">
        <v>46</v>
      </c>
      <c r="N524" s="136">
        <v>0.02</v>
      </c>
      <c r="O524" s="135" t="s">
        <v>51</v>
      </c>
      <c r="P524" s="135"/>
      <c r="Q524" s="137">
        <v>0</v>
      </c>
      <c r="R524" s="137">
        <v>0</v>
      </c>
      <c r="S524" s="137">
        <v>1281059.32</v>
      </c>
      <c r="T524" s="137">
        <f t="shared" si="97"/>
        <v>25621.186400000002</v>
      </c>
      <c r="U524" s="137">
        <f t="shared" si="101"/>
        <v>1306680.5064000001</v>
      </c>
      <c r="V524" s="137">
        <v>1428000</v>
      </c>
      <c r="W524" s="137">
        <f t="shared" si="102"/>
        <v>-121319.49359999993</v>
      </c>
      <c r="X524" s="137">
        <f t="shared" si="98"/>
        <v>-118940.67999999993</v>
      </c>
      <c r="Y524" s="137">
        <f t="shared" si="103"/>
        <v>-2378.813599999994</v>
      </c>
      <c r="Z524" s="137">
        <v>1306680.51</v>
      </c>
      <c r="AA524" s="137">
        <f t="shared" si="99"/>
        <v>121319.48999999999</v>
      </c>
      <c r="AB524" s="146">
        <f>IF(O524="返货",Z524/(1+N524),IF(O524="返现",Z524,IF(O524="折扣",Z524*N524,IF(O524="无",Z524))))</f>
        <v>1281059.3235294118</v>
      </c>
      <c r="AC524" s="147">
        <f t="shared" si="100"/>
        <v>25621.186470588204</v>
      </c>
      <c r="AD524" s="137">
        <f t="shared" si="96"/>
        <v>1280909.3090516722</v>
      </c>
      <c r="AE524" s="138">
        <v>0.1077</v>
      </c>
      <c r="AF524" s="137">
        <f t="shared" si="94"/>
        <v>137953.93258486511</v>
      </c>
      <c r="AG524" s="137">
        <v>115108.30445641201</v>
      </c>
      <c r="AH524" s="154"/>
      <c r="AI524" s="154"/>
      <c r="AJ524" s="135" t="s">
        <v>173</v>
      </c>
      <c r="AK524" s="119" t="s">
        <v>173</v>
      </c>
      <c r="AM524" s="131"/>
    </row>
    <row r="525" spans="1:39" s="119" customFormat="1" ht="15" customHeight="1" x14ac:dyDescent="0.3">
      <c r="A525" s="119">
        <v>2017</v>
      </c>
      <c r="B525" s="119" t="s">
        <v>38</v>
      </c>
      <c r="C525" s="119" t="s">
        <v>75</v>
      </c>
      <c r="D525" s="119" t="s">
        <v>256</v>
      </c>
      <c r="E525" s="119" t="s">
        <v>315</v>
      </c>
      <c r="F525" s="119" t="s">
        <v>689</v>
      </c>
      <c r="G525" s="119" t="s">
        <v>689</v>
      </c>
      <c r="H525" s="119" t="s">
        <v>689</v>
      </c>
      <c r="I525" s="163" t="s">
        <v>204</v>
      </c>
      <c r="J525" s="119" t="s">
        <v>575</v>
      </c>
      <c r="K525" s="119" t="s">
        <v>576</v>
      </c>
      <c r="L525" s="119" t="s">
        <v>689</v>
      </c>
      <c r="M525" s="119" t="s">
        <v>46</v>
      </c>
      <c r="N525" s="136">
        <v>0.02</v>
      </c>
      <c r="O525" s="135" t="s">
        <v>51</v>
      </c>
      <c r="P525" s="135"/>
      <c r="Q525" s="137">
        <v>37927.440000000002</v>
      </c>
      <c r="R525" s="137">
        <v>0</v>
      </c>
      <c r="S525" s="137">
        <v>429905.38</v>
      </c>
      <c r="T525" s="137">
        <f t="shared" si="97"/>
        <v>8598.1075999999994</v>
      </c>
      <c r="U525" s="137">
        <f t="shared" si="101"/>
        <v>438503.48759999999</v>
      </c>
      <c r="V525" s="137">
        <v>448386.46</v>
      </c>
      <c r="W525" s="137">
        <f t="shared" si="102"/>
        <v>-9882.9724000000278</v>
      </c>
      <c r="X525" s="137">
        <f t="shared" si="98"/>
        <v>-9689.1886274510071</v>
      </c>
      <c r="Y525" s="137">
        <f t="shared" si="103"/>
        <v>-193.7837725490208</v>
      </c>
      <c r="Z525" s="137">
        <v>487912.31</v>
      </c>
      <c r="AA525" s="137">
        <f t="shared" si="99"/>
        <v>-1598.4099999999744</v>
      </c>
      <c r="AB525" s="146">
        <f>IF(O525="返货",(Z525-Q525)/(1+N525),IF(O525="返现",(Z525-Q525),IF(O525="折扣",(Z525-Q525)*N525,IF(O525="无",(Z525-Q525)))))</f>
        <v>441161.63725490193</v>
      </c>
      <c r="AC525" s="147">
        <f t="shared" si="100"/>
        <v>46750.672745098069</v>
      </c>
      <c r="AD525" s="137">
        <f t="shared" si="96"/>
        <v>478289.38680650044</v>
      </c>
      <c r="AE525" s="138">
        <v>0.1077</v>
      </c>
      <c r="AF525" s="137">
        <f t="shared" si="94"/>
        <v>51511.7669590601</v>
      </c>
      <c r="AG525" s="137">
        <v>42981.247747784299</v>
      </c>
      <c r="AH525" s="154"/>
      <c r="AI525" s="154"/>
      <c r="AJ525" s="136">
        <v>0.02</v>
      </c>
      <c r="AK525" s="119" t="s">
        <v>173</v>
      </c>
      <c r="AM525" s="131"/>
    </row>
    <row r="526" spans="1:39" s="119" customFormat="1" ht="15" customHeight="1" x14ac:dyDescent="0.3">
      <c r="A526" s="119">
        <v>2017</v>
      </c>
      <c r="B526" s="119" t="s">
        <v>38</v>
      </c>
      <c r="C526" s="119" t="s">
        <v>75</v>
      </c>
      <c r="D526" s="119" t="s">
        <v>256</v>
      </c>
      <c r="E526" s="119" t="s">
        <v>315</v>
      </c>
      <c r="F526" s="119" t="s">
        <v>690</v>
      </c>
      <c r="G526" s="119" t="s">
        <v>690</v>
      </c>
      <c r="H526" s="119" t="s">
        <v>690</v>
      </c>
      <c r="I526" s="163" t="s">
        <v>204</v>
      </c>
      <c r="J526" s="119" t="s">
        <v>575</v>
      </c>
      <c r="K526" s="119" t="s">
        <v>576</v>
      </c>
      <c r="L526" s="119" t="s">
        <v>690</v>
      </c>
      <c r="M526" s="119" t="s">
        <v>46</v>
      </c>
      <c r="N526" s="136">
        <v>0.02</v>
      </c>
      <c r="O526" s="135" t="s">
        <v>51</v>
      </c>
      <c r="P526" s="135"/>
      <c r="Q526" s="137">
        <v>44808.095500000003</v>
      </c>
      <c r="R526" s="137">
        <v>0</v>
      </c>
      <c r="S526" s="137">
        <v>278298.39</v>
      </c>
      <c r="T526" s="137">
        <f t="shared" si="97"/>
        <v>5565.9678000000004</v>
      </c>
      <c r="U526" s="137">
        <f t="shared" si="101"/>
        <v>283864.3578</v>
      </c>
      <c r="V526" s="137">
        <v>273981.39</v>
      </c>
      <c r="W526" s="137">
        <f t="shared" si="102"/>
        <v>9882.967799999984</v>
      </c>
      <c r="X526" s="137">
        <f t="shared" si="98"/>
        <v>9689.1841176470425</v>
      </c>
      <c r="Y526" s="137">
        <f t="shared" si="103"/>
        <v>193.78368235294147</v>
      </c>
      <c r="Z526" s="137">
        <v>328672.46000000002</v>
      </c>
      <c r="AA526" s="137">
        <f t="shared" si="99"/>
        <v>-9882.9745000000112</v>
      </c>
      <c r="AB526" s="146">
        <f>IF(O526="返货",(Z526-Q526)/(1+N526),IF(O526="返现",(Z526-Q526),IF(O526="折扣",(Z526-Q526)*N526,IF(O526="无",(Z526-Q526)))))</f>
        <v>278298.39656862745</v>
      </c>
      <c r="AC526" s="147">
        <f t="shared" si="100"/>
        <v>50374.063431372575</v>
      </c>
      <c r="AD526" s="137">
        <f t="shared" si="96"/>
        <v>322190.16846200102</v>
      </c>
      <c r="AE526" s="138">
        <v>0.1077</v>
      </c>
      <c r="AF526" s="137">
        <f t="shared" si="94"/>
        <v>34699.88114335751</v>
      </c>
      <c r="AG526" s="137">
        <v>28953.465902784301</v>
      </c>
      <c r="AH526" s="154"/>
      <c r="AI526" s="154"/>
      <c r="AJ526" s="136">
        <v>0.02</v>
      </c>
      <c r="AK526" s="156">
        <v>0.02</v>
      </c>
      <c r="AM526" s="131"/>
    </row>
    <row r="527" spans="1:39" s="119" customFormat="1" ht="15" customHeight="1" x14ac:dyDescent="0.3">
      <c r="A527" s="119">
        <v>2017</v>
      </c>
      <c r="B527" s="119" t="s">
        <v>38</v>
      </c>
      <c r="C527" s="119" t="s">
        <v>75</v>
      </c>
      <c r="D527" s="119" t="s">
        <v>256</v>
      </c>
      <c r="E527" s="119" t="s">
        <v>150</v>
      </c>
      <c r="F527" s="119" t="s">
        <v>691</v>
      </c>
      <c r="G527" s="119" t="s">
        <v>691</v>
      </c>
      <c r="H527" s="119" t="s">
        <v>691</v>
      </c>
      <c r="I527" s="163" t="s">
        <v>204</v>
      </c>
      <c r="J527" s="119" t="s">
        <v>575</v>
      </c>
      <c r="K527" s="119" t="s">
        <v>576</v>
      </c>
      <c r="L527" s="119" t="s">
        <v>692</v>
      </c>
      <c r="M527" s="119" t="s">
        <v>46</v>
      </c>
      <c r="N527" s="136">
        <v>0.02</v>
      </c>
      <c r="O527" s="135" t="s">
        <v>51</v>
      </c>
      <c r="P527" s="135"/>
      <c r="Q527" s="137">
        <v>9668.02</v>
      </c>
      <c r="R527" s="137">
        <v>0</v>
      </c>
      <c r="S527" s="137">
        <v>19030</v>
      </c>
      <c r="T527" s="137">
        <f t="shared" si="97"/>
        <v>380.6</v>
      </c>
      <c r="U527" s="137">
        <f t="shared" si="101"/>
        <v>19410.599999999999</v>
      </c>
      <c r="V527" s="137">
        <v>20000</v>
      </c>
      <c r="W527" s="137">
        <f t="shared" si="102"/>
        <v>-589.40000000000146</v>
      </c>
      <c r="X527" s="137">
        <f t="shared" si="98"/>
        <v>-577.84313725490335</v>
      </c>
      <c r="Y527" s="137">
        <f t="shared" si="103"/>
        <v>-11.556862745098101</v>
      </c>
      <c r="Z527" s="137">
        <v>28698.02</v>
      </c>
      <c r="AA527" s="137">
        <f t="shared" si="99"/>
        <v>970</v>
      </c>
      <c r="AB527" s="146">
        <f>IF(O527="返货",(Z527-Q527)/(1+N527),IF(O527="返现",(Z527-Q527),IF(O527="折扣",(Z527-Q527)*N527,IF(O527="无",(Z527-Q527)))))</f>
        <v>18656.862745098038</v>
      </c>
      <c r="AC527" s="147">
        <f t="shared" si="100"/>
        <v>10041.157254901962</v>
      </c>
      <c r="AD527" s="137">
        <f t="shared" si="96"/>
        <v>28132.019026863018</v>
      </c>
      <c r="AE527" s="138">
        <v>0.1077</v>
      </c>
      <c r="AF527" s="137">
        <f t="shared" si="94"/>
        <v>3029.818449193147</v>
      </c>
      <c r="AG527" s="137">
        <v>2528.0704794901999</v>
      </c>
      <c r="AH527" s="154"/>
      <c r="AI527" s="154"/>
      <c r="AJ527" s="135" t="s">
        <v>173</v>
      </c>
      <c r="AK527" s="119" t="s">
        <v>173</v>
      </c>
      <c r="AM527" s="131"/>
    </row>
    <row r="528" spans="1:39" s="119" customFormat="1" ht="15" customHeight="1" x14ac:dyDescent="0.3">
      <c r="A528" s="119">
        <v>2017</v>
      </c>
      <c r="B528" s="119" t="s">
        <v>38</v>
      </c>
      <c r="C528" s="119" t="s">
        <v>75</v>
      </c>
      <c r="D528" s="119" t="s">
        <v>256</v>
      </c>
      <c r="E528" s="119" t="s">
        <v>150</v>
      </c>
      <c r="F528" s="119" t="s">
        <v>691</v>
      </c>
      <c r="G528" s="119" t="s">
        <v>691</v>
      </c>
      <c r="H528" s="119" t="s">
        <v>691</v>
      </c>
      <c r="I528" s="163" t="s">
        <v>204</v>
      </c>
      <c r="J528" s="119" t="s">
        <v>575</v>
      </c>
      <c r="K528" s="119" t="s">
        <v>576</v>
      </c>
      <c r="L528" s="119" t="s">
        <v>692</v>
      </c>
      <c r="M528" s="119" t="s">
        <v>185</v>
      </c>
      <c r="N528" s="136">
        <v>0.08</v>
      </c>
      <c r="O528" s="135" t="s">
        <v>51</v>
      </c>
      <c r="P528" s="135"/>
      <c r="Q528" s="137">
        <v>0</v>
      </c>
      <c r="R528" s="137">
        <v>0</v>
      </c>
      <c r="S528" s="137">
        <v>970</v>
      </c>
      <c r="T528" s="137">
        <f t="shared" si="97"/>
        <v>77.600000000000009</v>
      </c>
      <c r="U528" s="137">
        <f t="shared" si="101"/>
        <v>1047.5999999999999</v>
      </c>
      <c r="V528" s="137">
        <v>0</v>
      </c>
      <c r="W528" s="137">
        <f t="shared" si="102"/>
        <v>1047.5999999999999</v>
      </c>
      <c r="X528" s="137">
        <f t="shared" si="98"/>
        <v>969.99999999999989</v>
      </c>
      <c r="Y528" s="137">
        <f t="shared" si="103"/>
        <v>77.600000000000023</v>
      </c>
      <c r="Z528" s="137">
        <v>970</v>
      </c>
      <c r="AA528" s="137">
        <f t="shared" si="99"/>
        <v>-970</v>
      </c>
      <c r="AB528" s="146">
        <f t="shared" ref="AB528:AB533" si="104">IF(O528="返货",Z528/(1+N528),IF(O528="返现",Z528,IF(O528="折扣",Z528*N528,IF(O528="无",Z528))))</f>
        <v>898.14814814814804</v>
      </c>
      <c r="AC528" s="147">
        <f t="shared" si="100"/>
        <v>71.851851851851961</v>
      </c>
      <c r="AD528" s="137">
        <f t="shared" si="96"/>
        <v>950.86903054834886</v>
      </c>
      <c r="AE528" s="138">
        <v>0.31559999999999999</v>
      </c>
      <c r="AF528" s="137">
        <f t="shared" si="94"/>
        <v>300.09426604105892</v>
      </c>
      <c r="AG528" s="137">
        <v>234.28014814814799</v>
      </c>
      <c r="AH528" s="154"/>
      <c r="AI528" s="154"/>
      <c r="AJ528" s="135" t="s">
        <v>53</v>
      </c>
      <c r="AK528" s="119" t="s">
        <v>53</v>
      </c>
      <c r="AM528" s="131"/>
    </row>
    <row r="529" spans="1:39" s="119" customFormat="1" ht="15" customHeight="1" x14ac:dyDescent="0.3">
      <c r="A529" s="119">
        <v>2017</v>
      </c>
      <c r="B529" s="119" t="s">
        <v>38</v>
      </c>
      <c r="C529" s="119" t="s">
        <v>75</v>
      </c>
      <c r="D529" s="119" t="s">
        <v>256</v>
      </c>
      <c r="E529" s="119" t="s">
        <v>257</v>
      </c>
      <c r="F529" s="119" t="s">
        <v>688</v>
      </c>
      <c r="G529" s="119" t="s">
        <v>688</v>
      </c>
      <c r="H529" s="119" t="s">
        <v>688</v>
      </c>
      <c r="I529" s="163" t="s">
        <v>204</v>
      </c>
      <c r="J529" s="119" t="s">
        <v>575</v>
      </c>
      <c r="K529" s="119" t="s">
        <v>576</v>
      </c>
      <c r="L529" s="119" t="s">
        <v>688</v>
      </c>
      <c r="M529" s="119" t="s">
        <v>185</v>
      </c>
      <c r="N529" s="136">
        <v>0.04</v>
      </c>
      <c r="O529" s="135" t="s">
        <v>51</v>
      </c>
      <c r="P529" s="135"/>
      <c r="Q529" s="137">
        <v>0</v>
      </c>
      <c r="R529" s="137">
        <v>0</v>
      </c>
      <c r="S529" s="137">
        <v>29247.439999999999</v>
      </c>
      <c r="T529" s="137">
        <f t="shared" si="97"/>
        <v>1169.8976</v>
      </c>
      <c r="U529" s="137">
        <f t="shared" si="101"/>
        <v>30417.337599999999</v>
      </c>
      <c r="V529" s="137">
        <v>0</v>
      </c>
      <c r="W529" s="137">
        <f t="shared" si="102"/>
        <v>30417.337599999999</v>
      </c>
      <c r="X529" s="137">
        <f t="shared" si="98"/>
        <v>29247.439999999999</v>
      </c>
      <c r="Y529" s="137">
        <f t="shared" si="103"/>
        <v>1169.8976000000002</v>
      </c>
      <c r="Z529" s="137">
        <v>29832.39</v>
      </c>
      <c r="AA529" s="137">
        <f t="shared" si="99"/>
        <v>-29832.39</v>
      </c>
      <c r="AB529" s="146">
        <f t="shared" si="104"/>
        <v>28684.990384615383</v>
      </c>
      <c r="AC529" s="147">
        <f t="shared" si="100"/>
        <v>1147.3996153846165</v>
      </c>
      <c r="AD529" s="137">
        <f t="shared" ref="AD529:AD557" si="105">Z529*0.980277351080772</f>
        <v>29244.016245608509</v>
      </c>
      <c r="AE529" s="138">
        <v>0.31559999999999999</v>
      </c>
      <c r="AF529" s="137">
        <f t="shared" si="94"/>
        <v>9229.4115271140454</v>
      </c>
      <c r="AG529" s="137">
        <v>8267.7026686153804</v>
      </c>
      <c r="AH529" s="154"/>
      <c r="AI529" s="154"/>
      <c r="AJ529" s="136">
        <v>0.04</v>
      </c>
      <c r="AK529" s="156">
        <v>0.04</v>
      </c>
      <c r="AM529" s="131"/>
    </row>
    <row r="530" spans="1:39" s="119" customFormat="1" ht="15" customHeight="1" x14ac:dyDescent="0.3">
      <c r="A530" s="119">
        <v>2017</v>
      </c>
      <c r="B530" s="119" t="s">
        <v>252</v>
      </c>
      <c r="C530" s="119" t="s">
        <v>75</v>
      </c>
      <c r="D530" s="119" t="s">
        <v>256</v>
      </c>
      <c r="E530" s="119" t="s">
        <v>257</v>
      </c>
      <c r="F530" s="119" t="s">
        <v>686</v>
      </c>
      <c r="G530" s="119" t="s">
        <v>687</v>
      </c>
      <c r="H530" s="119" t="s">
        <v>687</v>
      </c>
      <c r="I530" s="163" t="s">
        <v>204</v>
      </c>
      <c r="J530" s="119" t="s">
        <v>575</v>
      </c>
      <c r="K530" s="119" t="s">
        <v>576</v>
      </c>
      <c r="L530" s="119" t="s">
        <v>686</v>
      </c>
      <c r="M530" s="119" t="s">
        <v>185</v>
      </c>
      <c r="N530" s="136">
        <v>0.08</v>
      </c>
      <c r="O530" s="135" t="s">
        <v>51</v>
      </c>
      <c r="P530" s="135"/>
      <c r="Q530" s="137">
        <v>0</v>
      </c>
      <c r="R530" s="137">
        <v>0</v>
      </c>
      <c r="S530" s="137">
        <v>14000</v>
      </c>
      <c r="T530" s="137">
        <f t="shared" si="97"/>
        <v>1120</v>
      </c>
      <c r="U530" s="137">
        <f t="shared" si="101"/>
        <v>15120</v>
      </c>
      <c r="V530" s="137">
        <v>0</v>
      </c>
      <c r="W530" s="137">
        <f t="shared" si="102"/>
        <v>15120</v>
      </c>
      <c r="X530" s="137">
        <f t="shared" si="98"/>
        <v>13999.999999999998</v>
      </c>
      <c r="Y530" s="137">
        <f t="shared" si="103"/>
        <v>1120.0000000000018</v>
      </c>
      <c r="Z530" s="137">
        <v>14000</v>
      </c>
      <c r="AA530" s="137">
        <f t="shared" si="99"/>
        <v>-14000</v>
      </c>
      <c r="AB530" s="146">
        <f t="shared" si="104"/>
        <v>12962.962962962962</v>
      </c>
      <c r="AC530" s="147">
        <f t="shared" si="100"/>
        <v>1037.0370370370383</v>
      </c>
      <c r="AD530" s="137">
        <f t="shared" si="105"/>
        <v>13723.882915130807</v>
      </c>
      <c r="AE530" s="138">
        <v>0.31559999999999999</v>
      </c>
      <c r="AF530" s="137">
        <f t="shared" si="94"/>
        <v>4331.2574480152825</v>
      </c>
      <c r="AG530" s="137">
        <v>3381.36296296296</v>
      </c>
      <c r="AH530" s="154"/>
      <c r="AI530" s="154"/>
      <c r="AJ530" s="135" t="s">
        <v>53</v>
      </c>
      <c r="AK530" s="119" t="s">
        <v>53</v>
      </c>
      <c r="AM530" s="131"/>
    </row>
    <row r="531" spans="1:39" s="119" customFormat="1" ht="15" customHeight="1" x14ac:dyDescent="0.3">
      <c r="A531" s="119">
        <v>2017</v>
      </c>
      <c r="B531" s="119" t="s">
        <v>38</v>
      </c>
      <c r="C531" s="119" t="s">
        <v>75</v>
      </c>
      <c r="D531" s="119" t="s">
        <v>256</v>
      </c>
      <c r="E531" s="119" t="s">
        <v>175</v>
      </c>
      <c r="F531" s="119" t="s">
        <v>693</v>
      </c>
      <c r="G531" s="119" t="s">
        <v>693</v>
      </c>
      <c r="H531" s="119" t="s">
        <v>693</v>
      </c>
      <c r="I531" s="163" t="s">
        <v>204</v>
      </c>
      <c r="J531" s="119" t="s">
        <v>575</v>
      </c>
      <c r="K531" s="119" t="s">
        <v>576</v>
      </c>
      <c r="L531" s="119" t="s">
        <v>693</v>
      </c>
      <c r="M531" s="119" t="s">
        <v>46</v>
      </c>
      <c r="N531" s="136">
        <v>0.04</v>
      </c>
      <c r="O531" s="135" t="s">
        <v>51</v>
      </c>
      <c r="P531" s="135"/>
      <c r="Q531" s="137">
        <v>0</v>
      </c>
      <c r="R531" s="137">
        <v>0</v>
      </c>
      <c r="S531" s="137">
        <v>15124.09</v>
      </c>
      <c r="T531" s="137">
        <f t="shared" si="97"/>
        <v>604.96360000000004</v>
      </c>
      <c r="U531" s="137">
        <f t="shared" si="101"/>
        <v>15729.053599999999</v>
      </c>
      <c r="V531" s="137">
        <v>15426.57</v>
      </c>
      <c r="W531" s="137">
        <f t="shared" si="102"/>
        <v>302.48359999999957</v>
      </c>
      <c r="X531" s="137">
        <f t="shared" si="98"/>
        <v>290.84961538461494</v>
      </c>
      <c r="Y531" s="137">
        <f t="shared" si="103"/>
        <v>11.633984615384634</v>
      </c>
      <c r="Z531" s="137">
        <v>15426.57</v>
      </c>
      <c r="AA531" s="137">
        <f t="shared" si="99"/>
        <v>0</v>
      </c>
      <c r="AB531" s="146">
        <f t="shared" si="104"/>
        <v>14833.240384615383</v>
      </c>
      <c r="AC531" s="147">
        <f t="shared" si="100"/>
        <v>593.32961538461677</v>
      </c>
      <c r="AD531" s="137">
        <f t="shared" si="105"/>
        <v>15122.317175862105</v>
      </c>
      <c r="AE531" s="138">
        <v>0.1077</v>
      </c>
      <c r="AF531" s="137">
        <f t="shared" si="94"/>
        <v>1628.6735598403488</v>
      </c>
      <c r="AG531" s="137">
        <v>1068.1119736153801</v>
      </c>
      <c r="AH531" s="154"/>
      <c r="AI531" s="154"/>
      <c r="AJ531" s="135" t="s">
        <v>186</v>
      </c>
      <c r="AK531" s="119" t="s">
        <v>186</v>
      </c>
      <c r="AM531" s="131"/>
    </row>
    <row r="532" spans="1:39" s="119" customFormat="1" ht="15" customHeight="1" x14ac:dyDescent="0.3">
      <c r="A532" s="119">
        <v>2017</v>
      </c>
      <c r="B532" s="119" t="s">
        <v>199</v>
      </c>
      <c r="C532" s="119" t="s">
        <v>75</v>
      </c>
      <c r="D532" s="119" t="s">
        <v>256</v>
      </c>
      <c r="E532" s="119" t="s">
        <v>175</v>
      </c>
      <c r="F532" s="119" t="s">
        <v>694</v>
      </c>
      <c r="G532" s="119" t="s">
        <v>695</v>
      </c>
      <c r="H532" s="119" t="s">
        <v>696</v>
      </c>
      <c r="I532" s="163" t="s">
        <v>204</v>
      </c>
      <c r="J532" s="119" t="s">
        <v>575</v>
      </c>
      <c r="K532" s="119" t="s">
        <v>576</v>
      </c>
      <c r="L532" s="119" t="s">
        <v>694</v>
      </c>
      <c r="M532" s="119" t="s">
        <v>46</v>
      </c>
      <c r="N532" s="136">
        <v>0.02</v>
      </c>
      <c r="O532" s="135" t="s">
        <v>51</v>
      </c>
      <c r="P532" s="135"/>
      <c r="Q532" s="137">
        <v>0</v>
      </c>
      <c r="R532" s="137">
        <v>0</v>
      </c>
      <c r="S532" s="137">
        <v>96521.45</v>
      </c>
      <c r="T532" s="137">
        <f t="shared" si="97"/>
        <v>1930.4290000000001</v>
      </c>
      <c r="U532" s="137">
        <f t="shared" si="101"/>
        <v>98451.879000000001</v>
      </c>
      <c r="V532" s="137">
        <v>112200</v>
      </c>
      <c r="W532" s="137">
        <f t="shared" si="102"/>
        <v>-13748.120999999999</v>
      </c>
      <c r="X532" s="137">
        <f t="shared" si="98"/>
        <v>-13478.55</v>
      </c>
      <c r="Y532" s="137">
        <f t="shared" si="103"/>
        <v>-269.57099999999991</v>
      </c>
      <c r="Z532" s="137">
        <v>98451.88</v>
      </c>
      <c r="AA532" s="137">
        <f t="shared" si="99"/>
        <v>13748.119999999995</v>
      </c>
      <c r="AB532" s="146">
        <f t="shared" si="104"/>
        <v>96521.450980392154</v>
      </c>
      <c r="AC532" s="147">
        <f t="shared" si="100"/>
        <v>1930.4290196078509</v>
      </c>
      <c r="AD532" s="137">
        <f t="shared" si="105"/>
        <v>96510.14813532203</v>
      </c>
      <c r="AE532" s="138">
        <v>0.1077</v>
      </c>
      <c r="AF532" s="137">
        <f t="shared" si="94"/>
        <v>10394.142954174184</v>
      </c>
      <c r="AG532" s="137">
        <v>8672.83845639215</v>
      </c>
      <c r="AH532" s="154"/>
      <c r="AI532" s="154"/>
      <c r="AJ532" s="135" t="s">
        <v>173</v>
      </c>
      <c r="AK532" s="119" t="s">
        <v>173</v>
      </c>
      <c r="AM532" s="131"/>
    </row>
    <row r="533" spans="1:39" s="119" customFormat="1" ht="15" customHeight="1" x14ac:dyDescent="0.3">
      <c r="A533" s="119">
        <v>2017</v>
      </c>
      <c r="B533" s="119" t="s">
        <v>199</v>
      </c>
      <c r="C533" s="119" t="s">
        <v>75</v>
      </c>
      <c r="D533" s="119" t="s">
        <v>256</v>
      </c>
      <c r="E533" s="119" t="s">
        <v>175</v>
      </c>
      <c r="F533" s="119" t="s">
        <v>694</v>
      </c>
      <c r="G533" s="119" t="s">
        <v>695</v>
      </c>
      <c r="H533" s="119" t="s">
        <v>696</v>
      </c>
      <c r="I533" s="163" t="s">
        <v>204</v>
      </c>
      <c r="J533" s="119" t="s">
        <v>575</v>
      </c>
      <c r="K533" s="119" t="s">
        <v>576</v>
      </c>
      <c r="L533" s="119" t="s">
        <v>694</v>
      </c>
      <c r="M533" s="119" t="s">
        <v>185</v>
      </c>
      <c r="N533" s="136">
        <v>0.08</v>
      </c>
      <c r="O533" s="135" t="s">
        <v>51</v>
      </c>
      <c r="P533" s="135"/>
      <c r="Q533" s="137">
        <v>0</v>
      </c>
      <c r="R533" s="137">
        <v>0</v>
      </c>
      <c r="S533" s="137">
        <v>1570.1</v>
      </c>
      <c r="T533" s="137">
        <f t="shared" si="97"/>
        <v>125.60799999999999</v>
      </c>
      <c r="U533" s="137">
        <f t="shared" si="101"/>
        <v>1695.7079999999999</v>
      </c>
      <c r="V533" s="137">
        <v>0</v>
      </c>
      <c r="W533" s="137">
        <f t="shared" si="102"/>
        <v>1695.7079999999999</v>
      </c>
      <c r="X533" s="137">
        <f t="shared" si="98"/>
        <v>1570.0999999999997</v>
      </c>
      <c r="Y533" s="137">
        <f t="shared" si="103"/>
        <v>125.60800000000017</v>
      </c>
      <c r="Z533" s="137">
        <v>1601.5</v>
      </c>
      <c r="AA533" s="137">
        <f t="shared" si="99"/>
        <v>-1601.5</v>
      </c>
      <c r="AB533" s="146">
        <f t="shared" si="104"/>
        <v>1482.8703703703702</v>
      </c>
      <c r="AC533" s="147">
        <f t="shared" si="100"/>
        <v>118.62962962962979</v>
      </c>
      <c r="AD533" s="137">
        <f t="shared" si="105"/>
        <v>1569.9141777558564</v>
      </c>
      <c r="AE533" s="138">
        <v>0.31559999999999999</v>
      </c>
      <c r="AF533" s="137">
        <f t="shared" si="94"/>
        <v>495.46491449974826</v>
      </c>
      <c r="AG533" s="137">
        <v>386.80377037036999</v>
      </c>
      <c r="AH533" s="154"/>
      <c r="AI533" s="154"/>
      <c r="AJ533" s="135" t="s">
        <v>53</v>
      </c>
      <c r="AK533" s="119" t="s">
        <v>53</v>
      </c>
      <c r="AM533" s="131"/>
    </row>
    <row r="534" spans="1:39" s="119" customFormat="1" ht="15" customHeight="1" x14ac:dyDescent="0.3">
      <c r="A534" s="119">
        <v>2017</v>
      </c>
      <c r="B534" s="119" t="s">
        <v>38</v>
      </c>
      <c r="C534" s="119" t="s">
        <v>75</v>
      </c>
      <c r="D534" s="119" t="s">
        <v>256</v>
      </c>
      <c r="E534" s="119" t="s">
        <v>304</v>
      </c>
      <c r="F534" s="119" t="s">
        <v>145</v>
      </c>
      <c r="G534" s="119" t="s">
        <v>145</v>
      </c>
      <c r="H534" s="119" t="s">
        <v>145</v>
      </c>
      <c r="I534" s="163" t="s">
        <v>204</v>
      </c>
      <c r="J534" s="119" t="s">
        <v>575</v>
      </c>
      <c r="K534" s="119" t="s">
        <v>576</v>
      </c>
      <c r="L534" s="119" t="s">
        <v>145</v>
      </c>
      <c r="M534" s="119" t="s">
        <v>46</v>
      </c>
      <c r="N534" s="136">
        <v>0.02</v>
      </c>
      <c r="O534" s="135" t="s">
        <v>51</v>
      </c>
      <c r="P534" s="135"/>
      <c r="Q534" s="137">
        <v>11378.866239999999</v>
      </c>
      <c r="R534" s="137">
        <v>0</v>
      </c>
      <c r="S534" s="137">
        <v>230000</v>
      </c>
      <c r="T534" s="137">
        <f t="shared" si="97"/>
        <v>4600</v>
      </c>
      <c r="U534" s="137">
        <f t="shared" si="101"/>
        <v>234600</v>
      </c>
      <c r="V534" s="137">
        <v>337400</v>
      </c>
      <c r="W534" s="137">
        <f t="shared" si="102"/>
        <v>-102800</v>
      </c>
      <c r="X534" s="137">
        <f t="shared" si="98"/>
        <v>-100784.3137254902</v>
      </c>
      <c r="Y534" s="137">
        <f t="shared" si="103"/>
        <v>-2015.6862745098042</v>
      </c>
      <c r="Z534" s="137">
        <v>306257.03000000003</v>
      </c>
      <c r="AA534" s="137">
        <f t="shared" si="99"/>
        <v>42521.836239999975</v>
      </c>
      <c r="AB534" s="146">
        <f>IF(O534="返货",(Z534-Q534)/(1+N534),IF(O534="返现",(Z534-Q534),IF(O534="折扣",(Z534-Q534)*N534,IF(O534="无",(Z534-Q534)))))</f>
        <v>289096.23898039217</v>
      </c>
      <c r="AC534" s="147">
        <f t="shared" si="100"/>
        <v>17160.791019607859</v>
      </c>
      <c r="AD534" s="137">
        <f t="shared" si="105"/>
        <v>300216.83011826454</v>
      </c>
      <c r="AE534" s="138">
        <v>0.1077</v>
      </c>
      <c r="AF534" s="137">
        <f t="shared" si="94"/>
        <v>32333.35260373709</v>
      </c>
      <c r="AG534" s="137">
        <v>26978.842327078401</v>
      </c>
      <c r="AH534" s="154"/>
      <c r="AI534" s="154"/>
      <c r="AJ534" s="135" t="s">
        <v>173</v>
      </c>
      <c r="AK534" s="119" t="s">
        <v>173</v>
      </c>
      <c r="AM534" s="131"/>
    </row>
    <row r="535" spans="1:39" s="119" customFormat="1" ht="15" customHeight="1" x14ac:dyDescent="0.3">
      <c r="A535" s="119">
        <v>2017</v>
      </c>
      <c r="B535" s="119" t="s">
        <v>38</v>
      </c>
      <c r="C535" s="119" t="s">
        <v>75</v>
      </c>
      <c r="D535" s="119" t="s">
        <v>256</v>
      </c>
      <c r="E535" s="119" t="s">
        <v>304</v>
      </c>
      <c r="F535" s="119" t="s">
        <v>145</v>
      </c>
      <c r="G535" s="119" t="s">
        <v>145</v>
      </c>
      <c r="H535" s="119" t="s">
        <v>145</v>
      </c>
      <c r="I535" s="163" t="s">
        <v>204</v>
      </c>
      <c r="J535" s="119" t="s">
        <v>575</v>
      </c>
      <c r="K535" s="119" t="s">
        <v>576</v>
      </c>
      <c r="L535" s="119" t="s">
        <v>145</v>
      </c>
      <c r="M535" s="119" t="s">
        <v>185</v>
      </c>
      <c r="N535" s="136">
        <v>0.08</v>
      </c>
      <c r="O535" s="135" t="s">
        <v>51</v>
      </c>
      <c r="P535" s="135"/>
      <c r="Q535" s="137">
        <v>0</v>
      </c>
      <c r="R535" s="137">
        <v>0</v>
      </c>
      <c r="S535" s="137">
        <v>0</v>
      </c>
      <c r="T535" s="137">
        <f t="shared" si="97"/>
        <v>0</v>
      </c>
      <c r="U535" s="137">
        <f t="shared" si="101"/>
        <v>0</v>
      </c>
      <c r="V535" s="137">
        <v>0</v>
      </c>
      <c r="W535" s="137">
        <f t="shared" si="102"/>
        <v>0</v>
      </c>
      <c r="X535" s="137">
        <f t="shared" si="98"/>
        <v>0</v>
      </c>
      <c r="Y535" s="137">
        <f t="shared" si="103"/>
        <v>0</v>
      </c>
      <c r="Z535" s="137">
        <v>0</v>
      </c>
      <c r="AA535" s="137">
        <f t="shared" si="99"/>
        <v>0</v>
      </c>
      <c r="AB535" s="146">
        <f>IF(O535="返货",Z535/(1+N535),IF(O535="返现",Z535,IF(O535="折扣",Z535*N535,IF(O535="无",Z535))))</f>
        <v>0</v>
      </c>
      <c r="AC535" s="147">
        <f t="shared" si="100"/>
        <v>0</v>
      </c>
      <c r="AD535" s="137">
        <f t="shared" si="105"/>
        <v>0</v>
      </c>
      <c r="AE535" s="138">
        <v>0.31559999999999999</v>
      </c>
      <c r="AF535" s="137">
        <f t="shared" si="94"/>
        <v>0</v>
      </c>
      <c r="AG535" s="137">
        <v>0</v>
      </c>
      <c r="AH535" s="154"/>
      <c r="AI535" s="154"/>
      <c r="AJ535" s="135" t="s">
        <v>53</v>
      </c>
      <c r="AK535" s="119" t="s">
        <v>53</v>
      </c>
      <c r="AM535" s="131"/>
    </row>
    <row r="536" spans="1:39" s="119" customFormat="1" ht="15" customHeight="1" x14ac:dyDescent="0.3">
      <c r="A536" s="119">
        <v>2017</v>
      </c>
      <c r="B536" s="119" t="s">
        <v>38</v>
      </c>
      <c r="C536" s="119" t="s">
        <v>75</v>
      </c>
      <c r="D536" s="119" t="s">
        <v>256</v>
      </c>
      <c r="E536" s="119" t="s">
        <v>118</v>
      </c>
      <c r="F536" s="119" t="s">
        <v>697</v>
      </c>
      <c r="G536" s="119" t="s">
        <v>697</v>
      </c>
      <c r="H536" s="119" t="s">
        <v>697</v>
      </c>
      <c r="I536" s="163" t="s">
        <v>204</v>
      </c>
      <c r="J536" s="119" t="s">
        <v>575</v>
      </c>
      <c r="K536" s="119" t="s">
        <v>576</v>
      </c>
      <c r="L536" s="119" t="s">
        <v>698</v>
      </c>
      <c r="M536" s="119" t="s">
        <v>46</v>
      </c>
      <c r="N536" s="136">
        <v>0.05</v>
      </c>
      <c r="O536" s="135" t="s">
        <v>51</v>
      </c>
      <c r="P536" s="135" t="s">
        <v>15</v>
      </c>
      <c r="Q536" s="137">
        <v>0</v>
      </c>
      <c r="R536" s="137">
        <v>0</v>
      </c>
      <c r="S536" s="137">
        <v>1220570.6399999999</v>
      </c>
      <c r="T536" s="137">
        <f t="shared" si="97"/>
        <v>61028.531999999999</v>
      </c>
      <c r="U536" s="137">
        <f t="shared" si="101"/>
        <v>1281599.1719999998</v>
      </c>
      <c r="V536" s="137">
        <v>1342481.32</v>
      </c>
      <c r="W536" s="137">
        <f t="shared" si="102"/>
        <v>-60882.148000000278</v>
      </c>
      <c r="X536" s="137">
        <f t="shared" si="98"/>
        <v>-57982.998095238356</v>
      </c>
      <c r="Y536" s="137">
        <f t="shared" si="103"/>
        <v>-2899.1499047619218</v>
      </c>
      <c r="Z536" s="137">
        <v>1220570.6499999999</v>
      </c>
      <c r="AA536" s="137">
        <f t="shared" si="99"/>
        <v>121910.67000000016</v>
      </c>
      <c r="AB536" s="146">
        <f>IF(O536="返货",(Z536-5268.09)/(1+N536),IF(O536="返现",Z536,IF(O536="折扣",Z536*N536,IF(O536="无",Z536))))</f>
        <v>1157431.0095238094</v>
      </c>
      <c r="AC536" s="147">
        <f t="shared" si="100"/>
        <v>63139.640476190485</v>
      </c>
      <c r="AD536" s="137">
        <f t="shared" si="105"/>
        <v>1196497.7635889358</v>
      </c>
      <c r="AE536" s="138">
        <v>0.1077</v>
      </c>
      <c r="AF536" s="137">
        <f t="shared" si="94"/>
        <v>128862.80913852839</v>
      </c>
      <c r="AG536" s="137">
        <v>69322.568350237998</v>
      </c>
      <c r="AH536" s="154"/>
      <c r="AI536" s="154"/>
      <c r="AJ536" s="136">
        <v>0.05</v>
      </c>
      <c r="AK536" s="119" t="s">
        <v>63</v>
      </c>
      <c r="AM536" s="131"/>
    </row>
    <row r="537" spans="1:39" s="119" customFormat="1" ht="15" customHeight="1" x14ac:dyDescent="0.3">
      <c r="A537" s="119">
        <v>2017</v>
      </c>
      <c r="B537" s="119" t="s">
        <v>38</v>
      </c>
      <c r="C537" s="119" t="s">
        <v>75</v>
      </c>
      <c r="D537" s="119" t="s">
        <v>256</v>
      </c>
      <c r="E537" s="119" t="s">
        <v>118</v>
      </c>
      <c r="F537" s="119" t="s">
        <v>697</v>
      </c>
      <c r="G537" s="119" t="s">
        <v>697</v>
      </c>
      <c r="H537" s="119" t="s">
        <v>697</v>
      </c>
      <c r="I537" s="163" t="s">
        <v>204</v>
      </c>
      <c r="J537" s="119" t="s">
        <v>575</v>
      </c>
      <c r="K537" s="119" t="s">
        <v>576</v>
      </c>
      <c r="L537" s="119" t="s">
        <v>698</v>
      </c>
      <c r="M537" s="119" t="s">
        <v>185</v>
      </c>
      <c r="N537" s="136">
        <v>0.15</v>
      </c>
      <c r="O537" s="135" t="s">
        <v>495</v>
      </c>
      <c r="P537" s="135"/>
      <c r="Q537" s="137">
        <v>0</v>
      </c>
      <c r="R537" s="137">
        <v>0</v>
      </c>
      <c r="S537" s="137">
        <v>177328.53</v>
      </c>
      <c r="T537" s="137">
        <f t="shared" si="97"/>
        <v>26599.279500000001</v>
      </c>
      <c r="U537" s="137">
        <f t="shared" si="101"/>
        <v>203927.8095</v>
      </c>
      <c r="V537" s="137">
        <v>0</v>
      </c>
      <c r="W537" s="137">
        <f t="shared" si="102"/>
        <v>203927.8095</v>
      </c>
      <c r="X537" s="137">
        <f t="shared" si="98"/>
        <v>177328.53000000003</v>
      </c>
      <c r="Y537" s="137">
        <f t="shared" si="103"/>
        <v>26599.279499999975</v>
      </c>
      <c r="Z537" s="137">
        <v>177328.55</v>
      </c>
      <c r="AA537" s="137">
        <f t="shared" si="99"/>
        <v>-177328.55</v>
      </c>
      <c r="AB537" s="146">
        <f>IF(O537="返货",Z537/(1+N537),IF(O537="返现",Z537,IF(O537="折扣",Z537*N537,IF(O537="无",Z537))))</f>
        <v>177328.55</v>
      </c>
      <c r="AC537" s="147">
        <f t="shared" si="100"/>
        <v>26599.282499999998</v>
      </c>
      <c r="AD537" s="137">
        <f t="shared" si="105"/>
        <v>173831.16126499421</v>
      </c>
      <c r="AE537" s="138">
        <v>0.31559999999999999</v>
      </c>
      <c r="AF537" s="137">
        <f t="shared" si="94"/>
        <v>54861.11449523217</v>
      </c>
      <c r="AG537" s="137">
        <v>32835.0795104348</v>
      </c>
      <c r="AH537" s="154"/>
      <c r="AI537" s="154"/>
      <c r="AJ537" s="136">
        <v>0.15</v>
      </c>
      <c r="AK537" s="156">
        <v>0.15</v>
      </c>
      <c r="AM537" s="131"/>
    </row>
    <row r="538" spans="1:39" s="119" customFormat="1" ht="15" customHeight="1" x14ac:dyDescent="0.3">
      <c r="A538" s="119">
        <v>2017</v>
      </c>
      <c r="B538" s="119" t="s">
        <v>38</v>
      </c>
      <c r="C538" s="119" t="s">
        <v>75</v>
      </c>
      <c r="D538" s="119" t="s">
        <v>256</v>
      </c>
      <c r="E538" s="119" t="s">
        <v>321</v>
      </c>
      <c r="F538" s="119" t="s">
        <v>699</v>
      </c>
      <c r="G538" s="119" t="s">
        <v>699</v>
      </c>
      <c r="H538" s="119" t="s">
        <v>699</v>
      </c>
      <c r="I538" s="163" t="s">
        <v>204</v>
      </c>
      <c r="J538" s="119" t="s">
        <v>575</v>
      </c>
      <c r="K538" s="119" t="s">
        <v>576</v>
      </c>
      <c r="L538" s="119" t="s">
        <v>700</v>
      </c>
      <c r="M538" s="119" t="s">
        <v>46</v>
      </c>
      <c r="N538" s="136">
        <v>0.02</v>
      </c>
      <c r="O538" s="135" t="s">
        <v>51</v>
      </c>
      <c r="P538" s="135"/>
      <c r="Q538" s="137">
        <v>169110.52</v>
      </c>
      <c r="R538" s="137">
        <v>0</v>
      </c>
      <c r="S538" s="137">
        <v>3361842.05</v>
      </c>
      <c r="T538" s="137">
        <f t="shared" si="97"/>
        <v>67236.841</v>
      </c>
      <c r="U538" s="137">
        <f t="shared" si="101"/>
        <v>3429078.8909999998</v>
      </c>
      <c r="V538" s="137">
        <v>3863826.04</v>
      </c>
      <c r="W538" s="137">
        <f t="shared" si="102"/>
        <v>-434747.14900000021</v>
      </c>
      <c r="X538" s="137">
        <f t="shared" si="98"/>
        <v>-426222.6950980394</v>
      </c>
      <c r="Y538" s="137">
        <f t="shared" si="103"/>
        <v>-8524.4539019608055</v>
      </c>
      <c r="Z538" s="137">
        <v>3598189.41</v>
      </c>
      <c r="AA538" s="137">
        <f t="shared" si="99"/>
        <v>434747.14999999991</v>
      </c>
      <c r="AB538" s="146">
        <f>IF(O538="返货",(Z538-Q538)/(1+N538),IF(O538="返现",(Z538-Q538),IF(O538="折扣",(Z538-Q538)*N538,IF(O538="无",(Z538-Q538)))))</f>
        <v>3361842.0490196077</v>
      </c>
      <c r="AC538" s="147">
        <f t="shared" si="100"/>
        <v>236347.36098039243</v>
      </c>
      <c r="AD538" s="137">
        <f t="shared" si="105"/>
        <v>3527223.583521686</v>
      </c>
      <c r="AE538" s="138">
        <v>0.1077</v>
      </c>
      <c r="AF538" s="137">
        <f t="shared" si="94"/>
        <v>379881.9799452856</v>
      </c>
      <c r="AG538" s="137">
        <v>316972.26592758799</v>
      </c>
      <c r="AH538" s="154"/>
      <c r="AI538" s="154"/>
      <c r="AJ538" s="135" t="s">
        <v>173</v>
      </c>
      <c r="AK538" s="119" t="s">
        <v>173</v>
      </c>
      <c r="AM538" s="131"/>
    </row>
    <row r="539" spans="1:39" s="119" customFormat="1" ht="15" customHeight="1" x14ac:dyDescent="0.3">
      <c r="A539" s="119">
        <v>2017</v>
      </c>
      <c r="B539" s="119" t="s">
        <v>38</v>
      </c>
      <c r="C539" s="119" t="s">
        <v>75</v>
      </c>
      <c r="D539" s="119" t="s">
        <v>256</v>
      </c>
      <c r="E539" s="119" t="s">
        <v>321</v>
      </c>
      <c r="F539" s="119" t="s">
        <v>699</v>
      </c>
      <c r="G539" s="119" t="s">
        <v>699</v>
      </c>
      <c r="H539" s="119" t="s">
        <v>699</v>
      </c>
      <c r="I539" s="163" t="s">
        <v>204</v>
      </c>
      <c r="J539" s="119" t="s">
        <v>575</v>
      </c>
      <c r="K539" s="119" t="s">
        <v>576</v>
      </c>
      <c r="L539" s="119" t="s">
        <v>700</v>
      </c>
      <c r="M539" s="119" t="s">
        <v>185</v>
      </c>
      <c r="N539" s="136">
        <v>0.08</v>
      </c>
      <c r="O539" s="135" t="s">
        <v>51</v>
      </c>
      <c r="P539" s="135"/>
      <c r="Q539" s="137">
        <v>134558.88</v>
      </c>
      <c r="R539" s="137">
        <v>0</v>
      </c>
      <c r="S539" s="137">
        <v>237940.33</v>
      </c>
      <c r="T539" s="137">
        <f t="shared" si="97"/>
        <v>19035.2264</v>
      </c>
      <c r="U539" s="137">
        <f t="shared" si="101"/>
        <v>256975.5564</v>
      </c>
      <c r="V539" s="137">
        <v>0</v>
      </c>
      <c r="W539" s="137">
        <f t="shared" si="102"/>
        <v>256975.5564</v>
      </c>
      <c r="X539" s="137">
        <f t="shared" si="98"/>
        <v>237940.33</v>
      </c>
      <c r="Y539" s="137">
        <f t="shared" si="103"/>
        <v>19035.226400000014</v>
      </c>
      <c r="Z539" s="137">
        <v>389197.18</v>
      </c>
      <c r="AA539" s="137">
        <f t="shared" si="99"/>
        <v>-254638.3</v>
      </c>
      <c r="AB539" s="146">
        <f>IF(O539="返货",(Z539-Q539)/(1+N539),IF(O539="返现",(Z539-Q539),IF(O539="折扣",(Z539-Q539)*N539,IF(O539="无",(Z539-Q539)))))</f>
        <v>235776.20370370368</v>
      </c>
      <c r="AC539" s="147">
        <f t="shared" si="100"/>
        <v>153420.97629629631</v>
      </c>
      <c r="AD539" s="137">
        <f t="shared" si="105"/>
        <v>381521.1806585064</v>
      </c>
      <c r="AE539" s="138">
        <v>0.31559999999999999</v>
      </c>
      <c r="AF539" s="137">
        <f t="shared" si="94"/>
        <v>120408.08461582461</v>
      </c>
      <c r="AG539" s="137">
        <v>94001.209267259197</v>
      </c>
      <c r="AH539" s="154"/>
      <c r="AI539" s="154"/>
      <c r="AJ539" s="135" t="s">
        <v>53</v>
      </c>
      <c r="AK539" s="119" t="s">
        <v>53</v>
      </c>
      <c r="AM539" s="131"/>
    </row>
    <row r="540" spans="1:39" s="119" customFormat="1" ht="15" customHeight="1" x14ac:dyDescent="0.3">
      <c r="A540" s="119">
        <v>2017</v>
      </c>
      <c r="B540" s="119" t="s">
        <v>38</v>
      </c>
      <c r="C540" s="119" t="s">
        <v>75</v>
      </c>
      <c r="D540" s="119" t="s">
        <v>256</v>
      </c>
      <c r="E540" s="119" t="s">
        <v>321</v>
      </c>
      <c r="F540" s="119" t="s">
        <v>451</v>
      </c>
      <c r="G540" s="119" t="s">
        <v>451</v>
      </c>
      <c r="H540" s="119" t="s">
        <v>451</v>
      </c>
      <c r="I540" s="163" t="s">
        <v>204</v>
      </c>
      <c r="J540" s="119" t="s">
        <v>575</v>
      </c>
      <c r="K540" s="119" t="s">
        <v>576</v>
      </c>
      <c r="L540" s="119" t="s">
        <v>451</v>
      </c>
      <c r="M540" s="119" t="s">
        <v>46</v>
      </c>
      <c r="N540" s="136">
        <v>0.02</v>
      </c>
      <c r="O540" s="135" t="s">
        <v>51</v>
      </c>
      <c r="P540" s="135"/>
      <c r="Q540" s="137">
        <v>0</v>
      </c>
      <c r="R540" s="137">
        <v>0</v>
      </c>
      <c r="S540" s="137">
        <v>3130.88</v>
      </c>
      <c r="T540" s="137">
        <f t="shared" si="97"/>
        <v>62.617600000000003</v>
      </c>
      <c r="U540" s="137">
        <f t="shared" si="101"/>
        <v>3193.4976000000001</v>
      </c>
      <c r="V540" s="137">
        <v>10200</v>
      </c>
      <c r="W540" s="137">
        <f t="shared" si="102"/>
        <v>-7006.5023999999994</v>
      </c>
      <c r="X540" s="137">
        <f t="shared" si="98"/>
        <v>-6869.119999999999</v>
      </c>
      <c r="Y540" s="137">
        <f t="shared" si="103"/>
        <v>-137.38240000000042</v>
      </c>
      <c r="Z540" s="137">
        <v>3193.5</v>
      </c>
      <c r="AA540" s="137">
        <f t="shared" si="99"/>
        <v>7006.5</v>
      </c>
      <c r="AB540" s="146">
        <f t="shared" ref="AB540:AB545" si="106">IF(O540="返货",Z540/(1+N540),IF(O540="返现",Z540,IF(O540="折扣",Z540*N540,IF(O540="无",Z540))))</f>
        <v>3130.8823529411766</v>
      </c>
      <c r="AC540" s="147">
        <f t="shared" si="100"/>
        <v>62.617647058823422</v>
      </c>
      <c r="AD540" s="137">
        <f t="shared" si="105"/>
        <v>3130.5157206764452</v>
      </c>
      <c r="AE540" s="138">
        <v>0.1077</v>
      </c>
      <c r="AF540" s="137">
        <f t="shared" si="94"/>
        <v>337.15654311685319</v>
      </c>
      <c r="AG540" s="137">
        <v>281.32230294117699</v>
      </c>
      <c r="AH540" s="154"/>
      <c r="AI540" s="154"/>
      <c r="AJ540" s="135" t="s">
        <v>173</v>
      </c>
      <c r="AK540" s="119" t="s">
        <v>173</v>
      </c>
      <c r="AM540" s="131"/>
    </row>
    <row r="541" spans="1:39" s="119" customFormat="1" ht="15" customHeight="1" x14ac:dyDescent="0.3">
      <c r="A541" s="119">
        <v>2017</v>
      </c>
      <c r="B541" s="119" t="s">
        <v>38</v>
      </c>
      <c r="C541" s="119" t="s">
        <v>75</v>
      </c>
      <c r="D541" s="119" t="s">
        <v>256</v>
      </c>
      <c r="E541" s="119" t="s">
        <v>321</v>
      </c>
      <c r="F541" s="119" t="s">
        <v>451</v>
      </c>
      <c r="G541" s="119" t="s">
        <v>451</v>
      </c>
      <c r="H541" s="119" t="s">
        <v>451</v>
      </c>
      <c r="I541" s="163" t="s">
        <v>204</v>
      </c>
      <c r="J541" s="119" t="s">
        <v>575</v>
      </c>
      <c r="K541" s="119" t="s">
        <v>576</v>
      </c>
      <c r="L541" s="119" t="s">
        <v>451</v>
      </c>
      <c r="M541" s="119" t="s">
        <v>185</v>
      </c>
      <c r="N541" s="136">
        <v>0.02</v>
      </c>
      <c r="O541" s="135" t="s">
        <v>51</v>
      </c>
      <c r="P541" s="135"/>
      <c r="Q541" s="137">
        <v>0</v>
      </c>
      <c r="R541" s="137">
        <v>0</v>
      </c>
      <c r="S541" s="137">
        <v>682.71</v>
      </c>
      <c r="T541" s="137">
        <f t="shared" si="97"/>
        <v>13.654200000000001</v>
      </c>
      <c r="U541" s="137">
        <f t="shared" si="101"/>
        <v>696.36419999999998</v>
      </c>
      <c r="V541" s="137">
        <v>0</v>
      </c>
      <c r="W541" s="137">
        <f t="shared" si="102"/>
        <v>696.36419999999998</v>
      </c>
      <c r="X541" s="137">
        <f t="shared" si="98"/>
        <v>682.70999999999992</v>
      </c>
      <c r="Y541" s="137">
        <f t="shared" si="103"/>
        <v>13.65420000000006</v>
      </c>
      <c r="Z541" s="137">
        <v>696.36</v>
      </c>
      <c r="AA541" s="137">
        <f t="shared" si="99"/>
        <v>-696.36</v>
      </c>
      <c r="AB541" s="146">
        <f t="shared" si="106"/>
        <v>682.70588235294122</v>
      </c>
      <c r="AC541" s="147">
        <f t="shared" si="100"/>
        <v>13.654117647058797</v>
      </c>
      <c r="AD541" s="137">
        <f t="shared" si="105"/>
        <v>682.62593619860638</v>
      </c>
      <c r="AE541" s="138">
        <v>0.31559999999999999</v>
      </c>
      <c r="AF541" s="137">
        <f t="shared" si="94"/>
        <v>215.43674546428016</v>
      </c>
      <c r="AG541" s="137">
        <v>168.18899377777799</v>
      </c>
      <c r="AH541" s="154"/>
      <c r="AI541" s="154"/>
      <c r="AJ541" s="135" t="s">
        <v>53</v>
      </c>
      <c r="AK541" s="119" t="s">
        <v>53</v>
      </c>
      <c r="AM541" s="131"/>
    </row>
    <row r="542" spans="1:39" s="119" customFormat="1" ht="15" customHeight="1" x14ac:dyDescent="0.3">
      <c r="A542" s="119">
        <v>2017</v>
      </c>
      <c r="B542" s="119" t="s">
        <v>38</v>
      </c>
      <c r="C542" s="119" t="s">
        <v>75</v>
      </c>
      <c r="D542" s="119" t="s">
        <v>256</v>
      </c>
      <c r="E542" s="119" t="s">
        <v>321</v>
      </c>
      <c r="F542" s="119" t="s">
        <v>323</v>
      </c>
      <c r="G542" s="119" t="s">
        <v>701</v>
      </c>
      <c r="H542" s="119" t="s">
        <v>701</v>
      </c>
      <c r="I542" s="163" t="s">
        <v>204</v>
      </c>
      <c r="J542" s="119" t="s">
        <v>575</v>
      </c>
      <c r="K542" s="119" t="s">
        <v>576</v>
      </c>
      <c r="L542" s="119" t="s">
        <v>323</v>
      </c>
      <c r="M542" s="119" t="s">
        <v>46</v>
      </c>
      <c r="N542" s="136">
        <v>0.02</v>
      </c>
      <c r="O542" s="135" t="s">
        <v>51</v>
      </c>
      <c r="P542" s="135"/>
      <c r="Q542" s="137">
        <v>0</v>
      </c>
      <c r="R542" s="137">
        <v>0</v>
      </c>
      <c r="S542" s="137">
        <v>323130.53999999998</v>
      </c>
      <c r="T542" s="137">
        <f t="shared" si="97"/>
        <v>6462.6107999999995</v>
      </c>
      <c r="U542" s="137">
        <f t="shared" si="101"/>
        <v>329593.1508</v>
      </c>
      <c r="V542" s="137">
        <v>357000</v>
      </c>
      <c r="W542" s="137">
        <f t="shared" si="102"/>
        <v>-27406.849199999997</v>
      </c>
      <c r="X542" s="137">
        <f t="shared" si="98"/>
        <v>-26869.459999999995</v>
      </c>
      <c r="Y542" s="137">
        <f t="shared" si="103"/>
        <v>-537.38920000000144</v>
      </c>
      <c r="Z542" s="137">
        <v>329593.15000000002</v>
      </c>
      <c r="AA542" s="137">
        <f t="shared" si="99"/>
        <v>27406.849999999977</v>
      </c>
      <c r="AB542" s="146">
        <f t="shared" si="106"/>
        <v>323130.53921568627</v>
      </c>
      <c r="AC542" s="147">
        <f t="shared" si="100"/>
        <v>6462.6107843137579</v>
      </c>
      <c r="AD542" s="137">
        <f t="shared" si="105"/>
        <v>323092.70001636754</v>
      </c>
      <c r="AE542" s="138">
        <v>0.1077</v>
      </c>
      <c r="AF542" s="137">
        <f t="shared" si="94"/>
        <v>34797.083791762787</v>
      </c>
      <c r="AG542" s="137">
        <v>29034.571470686202</v>
      </c>
      <c r="AH542" s="154"/>
      <c r="AI542" s="154"/>
      <c r="AJ542" s="136">
        <v>0.02</v>
      </c>
      <c r="AK542" s="119" t="s">
        <v>173</v>
      </c>
      <c r="AM542" s="131"/>
    </row>
    <row r="543" spans="1:39" s="119" customFormat="1" ht="15" customHeight="1" x14ac:dyDescent="0.3">
      <c r="A543" s="119">
        <v>2017</v>
      </c>
      <c r="B543" s="119" t="s">
        <v>38</v>
      </c>
      <c r="C543" s="119" t="s">
        <v>75</v>
      </c>
      <c r="D543" s="119" t="s">
        <v>256</v>
      </c>
      <c r="E543" s="119" t="s">
        <v>321</v>
      </c>
      <c r="F543" s="119" t="s">
        <v>323</v>
      </c>
      <c r="G543" s="119" t="s">
        <v>701</v>
      </c>
      <c r="H543" s="119" t="s">
        <v>701</v>
      </c>
      <c r="I543" s="163" t="s">
        <v>204</v>
      </c>
      <c r="J543" s="119" t="s">
        <v>575</v>
      </c>
      <c r="K543" s="119" t="s">
        <v>576</v>
      </c>
      <c r="L543" s="119" t="s">
        <v>323</v>
      </c>
      <c r="M543" s="119" t="s">
        <v>160</v>
      </c>
      <c r="N543" s="135">
        <v>0</v>
      </c>
      <c r="O543" s="135" t="s">
        <v>47</v>
      </c>
      <c r="P543" s="135"/>
      <c r="Q543" s="137">
        <v>0</v>
      </c>
      <c r="R543" s="137">
        <v>0</v>
      </c>
      <c r="S543" s="137">
        <v>50000</v>
      </c>
      <c r="T543" s="137">
        <f t="shared" si="97"/>
        <v>0</v>
      </c>
      <c r="U543" s="137">
        <f t="shared" si="101"/>
        <v>50000</v>
      </c>
      <c r="V543" s="137">
        <v>50000</v>
      </c>
      <c r="W543" s="137">
        <f t="shared" si="102"/>
        <v>0</v>
      </c>
      <c r="X543" s="137">
        <f t="shared" si="98"/>
        <v>0</v>
      </c>
      <c r="Y543" s="137">
        <f t="shared" si="103"/>
        <v>0</v>
      </c>
      <c r="Z543" s="137">
        <v>50000</v>
      </c>
      <c r="AA543" s="137">
        <f t="shared" si="99"/>
        <v>0</v>
      </c>
      <c r="AB543" s="146">
        <f t="shared" si="106"/>
        <v>50000</v>
      </c>
      <c r="AC543" s="147">
        <f t="shared" si="100"/>
        <v>0</v>
      </c>
      <c r="AD543" s="137">
        <f t="shared" si="105"/>
        <v>49013.867554038596</v>
      </c>
      <c r="AE543" s="138">
        <v>0.1077</v>
      </c>
      <c r="AF543" s="137">
        <f t="shared" si="94"/>
        <v>5278.7935355699574</v>
      </c>
      <c r="AG543" s="137">
        <v>5385</v>
      </c>
      <c r="AH543" s="154"/>
      <c r="AI543" s="154"/>
      <c r="AJ543" s="136">
        <v>0</v>
      </c>
      <c r="AK543" s="119" t="s">
        <v>47</v>
      </c>
      <c r="AM543" s="131"/>
    </row>
    <row r="544" spans="1:39" s="119" customFormat="1" ht="15" customHeight="1" x14ac:dyDescent="0.3">
      <c r="A544" s="119">
        <v>2017</v>
      </c>
      <c r="B544" s="119" t="s">
        <v>38</v>
      </c>
      <c r="C544" s="119" t="s">
        <v>39</v>
      </c>
      <c r="D544" s="119" t="s">
        <v>81</v>
      </c>
      <c r="E544" s="119" t="s">
        <v>48</v>
      </c>
      <c r="F544" s="119" t="s">
        <v>455</v>
      </c>
      <c r="G544" s="119" t="s">
        <v>455</v>
      </c>
      <c r="H544" s="119" t="s">
        <v>455</v>
      </c>
      <c r="I544" s="163" t="s">
        <v>204</v>
      </c>
      <c r="J544" s="119" t="s">
        <v>575</v>
      </c>
      <c r="K544" s="119" t="s">
        <v>576</v>
      </c>
      <c r="L544" s="119" t="s">
        <v>702</v>
      </c>
      <c r="M544" s="119" t="s">
        <v>185</v>
      </c>
      <c r="N544" s="136">
        <v>0.04</v>
      </c>
      <c r="O544" s="135" t="s">
        <v>51</v>
      </c>
      <c r="P544" s="135"/>
      <c r="Q544" s="137">
        <v>0</v>
      </c>
      <c r="R544" s="137">
        <v>0</v>
      </c>
      <c r="S544" s="137">
        <v>261145</v>
      </c>
      <c r="T544" s="137">
        <f t="shared" si="97"/>
        <v>10445.800000000001</v>
      </c>
      <c r="U544" s="137">
        <f t="shared" si="101"/>
        <v>271590.8</v>
      </c>
      <c r="V544" s="137">
        <v>0</v>
      </c>
      <c r="W544" s="137">
        <f t="shared" si="102"/>
        <v>271590.8</v>
      </c>
      <c r="X544" s="137">
        <f t="shared" si="98"/>
        <v>261144.99999999997</v>
      </c>
      <c r="Y544" s="137">
        <f t="shared" si="103"/>
        <v>10445.800000000017</v>
      </c>
      <c r="Z544" s="137">
        <v>278709.58</v>
      </c>
      <c r="AA544" s="137">
        <f t="shared" si="99"/>
        <v>-278709.58</v>
      </c>
      <c r="AB544" s="146">
        <f t="shared" si="106"/>
        <v>267989.98076923075</v>
      </c>
      <c r="AC544" s="147">
        <f t="shared" si="100"/>
        <v>10719.599230769265</v>
      </c>
      <c r="AD544" s="137">
        <f t="shared" si="105"/>
        <v>273212.68880323455</v>
      </c>
      <c r="AE544" s="138">
        <v>0.31559999999999999</v>
      </c>
      <c r="AF544" s="137">
        <f t="shared" si="94"/>
        <v>86225.924586300825</v>
      </c>
      <c r="AG544" s="137">
        <v>77241.1442172307</v>
      </c>
      <c r="AH544" s="154"/>
      <c r="AI544" s="154"/>
      <c r="AJ544" s="135" t="s">
        <v>186</v>
      </c>
      <c r="AK544" s="119" t="s">
        <v>186</v>
      </c>
      <c r="AM544" s="131"/>
    </row>
    <row r="545" spans="1:39" s="119" customFormat="1" ht="15" customHeight="1" x14ac:dyDescent="0.3">
      <c r="A545" s="119">
        <v>2017</v>
      </c>
      <c r="B545" s="119" t="s">
        <v>38</v>
      </c>
      <c r="C545" s="119" t="s">
        <v>39</v>
      </c>
      <c r="D545" s="119" t="s">
        <v>81</v>
      </c>
      <c r="E545" s="119" t="s">
        <v>48</v>
      </c>
      <c r="F545" s="119" t="s">
        <v>455</v>
      </c>
      <c r="G545" s="119" t="s">
        <v>455</v>
      </c>
      <c r="H545" s="119" t="s">
        <v>455</v>
      </c>
      <c r="I545" s="163" t="s">
        <v>204</v>
      </c>
      <c r="J545" s="119" t="s">
        <v>575</v>
      </c>
      <c r="K545" s="119" t="s">
        <v>576</v>
      </c>
      <c r="L545" s="119" t="s">
        <v>702</v>
      </c>
      <c r="M545" s="119" t="s">
        <v>46</v>
      </c>
      <c r="N545" s="136">
        <v>0.04</v>
      </c>
      <c r="O545" s="135" t="s">
        <v>51</v>
      </c>
      <c r="P545" s="135"/>
      <c r="Q545" s="137">
        <v>0</v>
      </c>
      <c r="R545" s="137">
        <v>0</v>
      </c>
      <c r="S545" s="137">
        <v>3804816.94</v>
      </c>
      <c r="T545" s="137">
        <f t="shared" si="97"/>
        <v>152192.6776</v>
      </c>
      <c r="U545" s="137">
        <f t="shared" si="101"/>
        <v>3957009.6176</v>
      </c>
      <c r="V545" s="137">
        <v>4235719.2</v>
      </c>
      <c r="W545" s="137">
        <f t="shared" si="102"/>
        <v>-278709.58240000019</v>
      </c>
      <c r="X545" s="137">
        <f t="shared" si="98"/>
        <v>-267989.98307692324</v>
      </c>
      <c r="Y545" s="137">
        <f t="shared" si="103"/>
        <v>-10719.599323076953</v>
      </c>
      <c r="Z545" s="137">
        <v>3957009.61</v>
      </c>
      <c r="AA545" s="137">
        <f t="shared" si="99"/>
        <v>278709.59000000032</v>
      </c>
      <c r="AB545" s="146">
        <f t="shared" si="106"/>
        <v>3804816.9326923075</v>
      </c>
      <c r="AC545" s="147">
        <f t="shared" si="100"/>
        <v>152192.67730769236</v>
      </c>
      <c r="AD545" s="137">
        <f t="shared" si="105"/>
        <v>3878966.8986919583</v>
      </c>
      <c r="AE545" s="138">
        <v>0.1077</v>
      </c>
      <c r="AF545" s="137">
        <f t="shared" si="94"/>
        <v>417764.73498912394</v>
      </c>
      <c r="AG545" s="137">
        <v>273977.25768930803</v>
      </c>
      <c r="AH545" s="154"/>
      <c r="AI545" s="154"/>
      <c r="AJ545" s="135" t="s">
        <v>186</v>
      </c>
      <c r="AK545" s="119" t="s">
        <v>186</v>
      </c>
      <c r="AM545" s="131"/>
    </row>
    <row r="546" spans="1:39" s="119" customFormat="1" ht="15" customHeight="1" x14ac:dyDescent="0.3">
      <c r="A546" s="119">
        <v>2017</v>
      </c>
      <c r="B546" s="119" t="s">
        <v>38</v>
      </c>
      <c r="C546" s="119" t="s">
        <v>39</v>
      </c>
      <c r="D546" s="119" t="s">
        <v>81</v>
      </c>
      <c r="E546" s="119" t="s">
        <v>48</v>
      </c>
      <c r="F546" s="119" t="s">
        <v>456</v>
      </c>
      <c r="G546" s="119" t="s">
        <v>456</v>
      </c>
      <c r="H546" s="119" t="s">
        <v>456</v>
      </c>
      <c r="I546" s="163" t="s">
        <v>204</v>
      </c>
      <c r="J546" s="119" t="s">
        <v>575</v>
      </c>
      <c r="K546" s="119" t="s">
        <v>576</v>
      </c>
      <c r="L546" s="119" t="s">
        <v>456</v>
      </c>
      <c r="M546" s="119" t="s">
        <v>46</v>
      </c>
      <c r="N546" s="136">
        <v>0.02</v>
      </c>
      <c r="O546" s="135" t="s">
        <v>51</v>
      </c>
      <c r="P546" s="135"/>
      <c r="Q546" s="137">
        <v>40959.85</v>
      </c>
      <c r="R546" s="137">
        <v>0</v>
      </c>
      <c r="S546" s="137">
        <v>47799.51</v>
      </c>
      <c r="T546" s="137">
        <f t="shared" si="97"/>
        <v>955.99020000000007</v>
      </c>
      <c r="U546" s="137">
        <f t="shared" si="101"/>
        <v>48755.500200000002</v>
      </c>
      <c r="V546" s="137">
        <v>47799.51</v>
      </c>
      <c r="W546" s="137">
        <f t="shared" si="102"/>
        <v>955.99020000000019</v>
      </c>
      <c r="X546" s="137">
        <f t="shared" si="98"/>
        <v>937.24529411764718</v>
      </c>
      <c r="Y546" s="137">
        <f t="shared" si="103"/>
        <v>18.744905882353009</v>
      </c>
      <c r="Z546" s="137">
        <v>88771.96</v>
      </c>
      <c r="AA546" s="137">
        <f t="shared" si="99"/>
        <v>-12.600000000005821</v>
      </c>
      <c r="AB546" s="146">
        <f>IF(O546="返货",(Z546-Q546)/(1+N546),IF(O546="返现",(Z546-Q546),IF(O546="折扣",(Z546-Q546)*N546,IF(O546="无",(Z546-Q546)))))</f>
        <v>46874.617647058833</v>
      </c>
      <c r="AC546" s="147">
        <f t="shared" si="100"/>
        <v>41897.342352941174</v>
      </c>
      <c r="AD546" s="137">
        <f t="shared" si="105"/>
        <v>87021.141799048259</v>
      </c>
      <c r="AE546" s="138">
        <v>0.1077</v>
      </c>
      <c r="AF546" s="137">
        <f t="shared" si="94"/>
        <v>9372.1769717574971</v>
      </c>
      <c r="AG546" s="137">
        <v>7820.1134253333403</v>
      </c>
      <c r="AH546" s="154"/>
      <c r="AI546" s="154"/>
      <c r="AJ546" s="135" t="s">
        <v>173</v>
      </c>
      <c r="AK546" s="119" t="s">
        <v>173</v>
      </c>
      <c r="AM546" s="131"/>
    </row>
    <row r="547" spans="1:39" s="119" customFormat="1" ht="15" customHeight="1" x14ac:dyDescent="0.3">
      <c r="A547" s="119">
        <v>2017</v>
      </c>
      <c r="B547" s="119" t="s">
        <v>38</v>
      </c>
      <c r="C547" s="119" t="s">
        <v>39</v>
      </c>
      <c r="D547" s="119" t="s">
        <v>81</v>
      </c>
      <c r="E547" s="119" t="s">
        <v>41</v>
      </c>
      <c r="F547" s="119" t="s">
        <v>703</v>
      </c>
      <c r="G547" s="119" t="s">
        <v>703</v>
      </c>
      <c r="H547" s="119" t="s">
        <v>703</v>
      </c>
      <c r="I547" s="163" t="s">
        <v>204</v>
      </c>
      <c r="J547" s="119" t="s">
        <v>575</v>
      </c>
      <c r="K547" s="119" t="s">
        <v>576</v>
      </c>
      <c r="L547" s="119" t="s">
        <v>703</v>
      </c>
      <c r="M547" s="119" t="s">
        <v>185</v>
      </c>
      <c r="N547" s="136">
        <v>0.02</v>
      </c>
      <c r="O547" s="135" t="s">
        <v>51</v>
      </c>
      <c r="P547" s="135"/>
      <c r="Q547" s="137">
        <v>0</v>
      </c>
      <c r="R547" s="137">
        <v>0</v>
      </c>
      <c r="S547" s="137">
        <v>10408.92</v>
      </c>
      <c r="T547" s="137">
        <f t="shared" si="97"/>
        <v>208.17840000000001</v>
      </c>
      <c r="U547" s="137">
        <f t="shared" si="101"/>
        <v>10617.098400000001</v>
      </c>
      <c r="V547" s="137">
        <v>0</v>
      </c>
      <c r="W547" s="137">
        <f t="shared" si="102"/>
        <v>10617.098400000001</v>
      </c>
      <c r="X547" s="137">
        <f t="shared" si="98"/>
        <v>10408.92</v>
      </c>
      <c r="Y547" s="137">
        <f t="shared" si="103"/>
        <v>208.17840000000069</v>
      </c>
      <c r="Z547" s="137">
        <v>10617.1</v>
      </c>
      <c r="AA547" s="137">
        <f t="shared" si="99"/>
        <v>-10617.1</v>
      </c>
      <c r="AB547" s="146">
        <f>IF(O547="返货",Z547/(1+N547),IF(O547="返现",Z547,IF(O547="折扣",Z547*N547,IF(O547="无",Z547))))</f>
        <v>10408.921568627451</v>
      </c>
      <c r="AC547" s="147">
        <f t="shared" si="100"/>
        <v>208.17843137254931</v>
      </c>
      <c r="AD547" s="137">
        <f t="shared" si="105"/>
        <v>10407.702664159664</v>
      </c>
      <c r="AE547" s="138">
        <v>0.31559999999999999</v>
      </c>
      <c r="AF547" s="137">
        <f t="shared" si="94"/>
        <v>3284.6709608087899</v>
      </c>
      <c r="AG547" s="137">
        <v>3142.57832862745</v>
      </c>
      <c r="AH547" s="154"/>
      <c r="AI547" s="154"/>
      <c r="AJ547" s="135" t="s">
        <v>173</v>
      </c>
      <c r="AK547" s="119" t="s">
        <v>173</v>
      </c>
      <c r="AM547" s="131"/>
    </row>
    <row r="548" spans="1:39" s="119" customFormat="1" ht="15" customHeight="1" x14ac:dyDescent="0.3">
      <c r="A548" s="119">
        <v>2017</v>
      </c>
      <c r="B548" s="119" t="s">
        <v>38</v>
      </c>
      <c r="C548" s="119" t="s">
        <v>39</v>
      </c>
      <c r="D548" s="119" t="s">
        <v>81</v>
      </c>
      <c r="E548" s="119" t="s">
        <v>41</v>
      </c>
      <c r="F548" s="119" t="s">
        <v>703</v>
      </c>
      <c r="G548" s="119" t="s">
        <v>703</v>
      </c>
      <c r="H548" s="119" t="s">
        <v>703</v>
      </c>
      <c r="I548" s="163" t="s">
        <v>204</v>
      </c>
      <c r="J548" s="119" t="s">
        <v>575</v>
      </c>
      <c r="K548" s="119" t="s">
        <v>576</v>
      </c>
      <c r="L548" s="119" t="s">
        <v>703</v>
      </c>
      <c r="M548" s="119" t="s">
        <v>46</v>
      </c>
      <c r="N548" s="136">
        <v>0.02</v>
      </c>
      <c r="O548" s="135" t="s">
        <v>51</v>
      </c>
      <c r="P548" s="135"/>
      <c r="Q548" s="137">
        <v>7648.61</v>
      </c>
      <c r="R548" s="137">
        <v>0</v>
      </c>
      <c r="S548" s="137">
        <v>208333.2</v>
      </c>
      <c r="T548" s="137">
        <f t="shared" si="97"/>
        <v>4166.6640000000007</v>
      </c>
      <c r="U548" s="137">
        <f t="shared" si="101"/>
        <v>212499.864</v>
      </c>
      <c r="V548" s="137">
        <v>221600</v>
      </c>
      <c r="W548" s="137">
        <f t="shared" si="102"/>
        <v>-9100.1359999999986</v>
      </c>
      <c r="X548" s="137">
        <f t="shared" si="98"/>
        <v>-8921.7019607843122</v>
      </c>
      <c r="Y548" s="137">
        <f t="shared" si="103"/>
        <v>-178.43403921568643</v>
      </c>
      <c r="Z548" s="137">
        <v>217581.81</v>
      </c>
      <c r="AA548" s="137">
        <f t="shared" si="99"/>
        <v>11666.799999999988</v>
      </c>
      <c r="AB548" s="146">
        <f>IF(O548="返货",(Z548-Q548)/(1+N548),IF(O548="返现",(Z548-Q548),IF(O548="折扣",(Z548-Q548)*N548,IF(O548="无",(Z548-Q548)))))</f>
        <v>205816.86274509804</v>
      </c>
      <c r="AC548" s="147">
        <f t="shared" si="100"/>
        <v>11764.947254901956</v>
      </c>
      <c r="AD548" s="137">
        <f t="shared" si="105"/>
        <v>213290.52035015982</v>
      </c>
      <c r="AE548" s="138">
        <v>0.1077</v>
      </c>
      <c r="AF548" s="137">
        <f t="shared" si="94"/>
        <v>22971.389041712213</v>
      </c>
      <c r="AG548" s="137">
        <v>19167.250937000001</v>
      </c>
      <c r="AH548" s="154"/>
      <c r="AI548" s="154"/>
      <c r="AJ548" s="136">
        <v>0.02</v>
      </c>
      <c r="AK548" s="156">
        <v>0.02</v>
      </c>
      <c r="AM548" s="131"/>
    </row>
    <row r="549" spans="1:39" s="119" customFormat="1" ht="15" customHeight="1" x14ac:dyDescent="0.3">
      <c r="A549" s="119">
        <v>2017</v>
      </c>
      <c r="B549" s="119" t="s">
        <v>38</v>
      </c>
      <c r="C549" s="119" t="s">
        <v>39</v>
      </c>
      <c r="D549" s="119" t="s">
        <v>81</v>
      </c>
      <c r="E549" s="119" t="s">
        <v>41</v>
      </c>
      <c r="F549" s="119" t="s">
        <v>704</v>
      </c>
      <c r="G549" s="119" t="s">
        <v>704</v>
      </c>
      <c r="H549" s="119" t="s">
        <v>704</v>
      </c>
      <c r="I549" s="163" t="s">
        <v>204</v>
      </c>
      <c r="J549" s="119" t="s">
        <v>575</v>
      </c>
      <c r="K549" s="119" t="s">
        <v>576</v>
      </c>
      <c r="L549" s="119" t="s">
        <v>705</v>
      </c>
      <c r="M549" s="119" t="s">
        <v>46</v>
      </c>
      <c r="N549" s="136">
        <v>0.03</v>
      </c>
      <c r="O549" s="135" t="s">
        <v>51</v>
      </c>
      <c r="P549" s="135" t="s">
        <v>440</v>
      </c>
      <c r="Q549" s="137">
        <v>0</v>
      </c>
      <c r="R549" s="137">
        <v>0</v>
      </c>
      <c r="S549" s="137">
        <v>379907.47</v>
      </c>
      <c r="T549" s="137">
        <f t="shared" si="97"/>
        <v>11397.224099999999</v>
      </c>
      <c r="U549" s="137">
        <f t="shared" si="101"/>
        <v>391304.69409999996</v>
      </c>
      <c r="V549" s="137">
        <v>441795.77</v>
      </c>
      <c r="W549" s="137">
        <f t="shared" si="102"/>
        <v>-50491.075900000054</v>
      </c>
      <c r="X549" s="137">
        <f t="shared" si="98"/>
        <v>-49020.462038835001</v>
      </c>
      <c r="Y549" s="137">
        <f t="shared" si="103"/>
        <v>-1470.6138611650531</v>
      </c>
      <c r="Z549" s="137">
        <f>426376.05-Z1169</f>
        <v>417.02999999996973</v>
      </c>
      <c r="AA549" s="137">
        <f t="shared" si="99"/>
        <v>441378.74000000005</v>
      </c>
      <c r="AB549" s="146">
        <f t="shared" ref="AB549:AB582" si="107">IF(O549="返货",Z549/(1+N549),IF(O549="返现",Z549,IF(O549="折扣",Z549*N549,IF(O549="无",Z549))))</f>
        <v>404.88349514560167</v>
      </c>
      <c r="AC549" s="147">
        <f t="shared" si="100"/>
        <v>12.146504854368061</v>
      </c>
      <c r="AD549" s="137">
        <f t="shared" si="105"/>
        <v>408.80506372118464</v>
      </c>
      <c r="AE549" s="138">
        <v>0.1077</v>
      </c>
      <c r="AF549" s="137">
        <f t="shared" si="94"/>
        <v>44.02830536277159</v>
      </c>
      <c r="AG549" s="137">
        <v>33501.9806820874</v>
      </c>
      <c r="AH549" s="154"/>
      <c r="AI549" s="154"/>
      <c r="AJ549" s="135" t="s">
        <v>189</v>
      </c>
      <c r="AK549" s="156">
        <v>0</v>
      </c>
      <c r="AM549" s="131"/>
    </row>
    <row r="550" spans="1:39" s="119" customFormat="1" ht="15" customHeight="1" x14ac:dyDescent="0.3">
      <c r="A550" s="119">
        <v>2017</v>
      </c>
      <c r="B550" s="119" t="s">
        <v>38</v>
      </c>
      <c r="C550" s="119" t="s">
        <v>39</v>
      </c>
      <c r="D550" s="119" t="s">
        <v>81</v>
      </c>
      <c r="E550" s="119" t="s">
        <v>41</v>
      </c>
      <c r="F550" s="119" t="s">
        <v>704</v>
      </c>
      <c r="G550" s="119" t="s">
        <v>704</v>
      </c>
      <c r="H550" s="119" t="s">
        <v>704</v>
      </c>
      <c r="I550" s="163" t="s">
        <v>204</v>
      </c>
      <c r="J550" s="119" t="s">
        <v>575</v>
      </c>
      <c r="K550" s="119" t="s">
        <v>576</v>
      </c>
      <c r="L550" s="119" t="s">
        <v>705</v>
      </c>
      <c r="M550" s="119" t="s">
        <v>185</v>
      </c>
      <c r="N550" s="136">
        <v>0.04</v>
      </c>
      <c r="O550" s="135" t="s">
        <v>51</v>
      </c>
      <c r="P550" s="135"/>
      <c r="Q550" s="137">
        <v>0</v>
      </c>
      <c r="R550" s="137">
        <v>0</v>
      </c>
      <c r="S550" s="137">
        <v>36672.769999999997</v>
      </c>
      <c r="T550" s="137">
        <f t="shared" si="97"/>
        <v>1466.9107999999999</v>
      </c>
      <c r="U550" s="137">
        <f t="shared" si="101"/>
        <v>38139.680799999995</v>
      </c>
      <c r="V550" s="137">
        <v>0</v>
      </c>
      <c r="W550" s="137">
        <f t="shared" si="102"/>
        <v>38139.680799999995</v>
      </c>
      <c r="X550" s="137">
        <f t="shared" si="98"/>
        <v>36672.769999999997</v>
      </c>
      <c r="Y550" s="137">
        <f t="shared" si="103"/>
        <v>1466.9107999999978</v>
      </c>
      <c r="Z550" s="137">
        <v>29601.15</v>
      </c>
      <c r="AA550" s="137">
        <f t="shared" si="99"/>
        <v>-29601.15</v>
      </c>
      <c r="AB550" s="146">
        <f t="shared" si="107"/>
        <v>28462.64423076923</v>
      </c>
      <c r="AC550" s="147">
        <f t="shared" si="100"/>
        <v>1138.505769230771</v>
      </c>
      <c r="AD550" s="137">
        <f t="shared" si="105"/>
        <v>29017.336910944596</v>
      </c>
      <c r="AE550" s="138">
        <v>0.31559999999999999</v>
      </c>
      <c r="AF550" s="137">
        <f t="shared" si="94"/>
        <v>9157.8715290941145</v>
      </c>
      <c r="AG550" s="137">
        <v>8203.6171707692301</v>
      </c>
      <c r="AH550" s="154"/>
      <c r="AI550" s="154"/>
      <c r="AJ550" s="136">
        <v>0.04</v>
      </c>
      <c r="AK550" s="156">
        <v>0.04</v>
      </c>
      <c r="AM550" s="131"/>
    </row>
    <row r="551" spans="1:39" s="119" customFormat="1" ht="15" customHeight="1" x14ac:dyDescent="0.3">
      <c r="A551" s="119">
        <v>2017</v>
      </c>
      <c r="B551" s="119" t="s">
        <v>38</v>
      </c>
      <c r="C551" s="119" t="s">
        <v>39</v>
      </c>
      <c r="D551" s="119" t="s">
        <v>81</v>
      </c>
      <c r="E551" s="119" t="s">
        <v>82</v>
      </c>
      <c r="F551" s="119" t="s">
        <v>83</v>
      </c>
      <c r="G551" s="119" t="s">
        <v>83</v>
      </c>
      <c r="H551" s="119" t="s">
        <v>83</v>
      </c>
      <c r="I551" s="163" t="s">
        <v>204</v>
      </c>
      <c r="J551" s="119" t="s">
        <v>575</v>
      </c>
      <c r="K551" s="119" t="s">
        <v>576</v>
      </c>
      <c r="L551" s="119" t="s">
        <v>83</v>
      </c>
      <c r="M551" s="119" t="s">
        <v>46</v>
      </c>
      <c r="N551" s="136">
        <v>0.03</v>
      </c>
      <c r="O551" s="135" t="s">
        <v>51</v>
      </c>
      <c r="P551" s="135" t="s">
        <v>440</v>
      </c>
      <c r="Q551" s="137">
        <v>0</v>
      </c>
      <c r="R551" s="137">
        <v>0</v>
      </c>
      <c r="S551" s="137">
        <v>2011008.5</v>
      </c>
      <c r="T551" s="137">
        <f t="shared" si="97"/>
        <v>60330.254999999997</v>
      </c>
      <c r="U551" s="137">
        <f t="shared" si="101"/>
        <v>2071338.7549999999</v>
      </c>
      <c r="V551" s="137">
        <v>5557063.4000000004</v>
      </c>
      <c r="W551" s="137">
        <f t="shared" si="102"/>
        <v>-3485724.6450000005</v>
      </c>
      <c r="X551" s="137">
        <f t="shared" si="98"/>
        <v>-3384198.6844660197</v>
      </c>
      <c r="Y551" s="137">
        <f t="shared" si="103"/>
        <v>-101525.96053398075</v>
      </c>
      <c r="Z551" s="137">
        <f>2043322.77-Z1161</f>
        <v>1196114.27</v>
      </c>
      <c r="AA551" s="137">
        <f t="shared" si="99"/>
        <v>4360949.1300000008</v>
      </c>
      <c r="AB551" s="146">
        <f t="shared" si="107"/>
        <v>1161275.990291262</v>
      </c>
      <c r="AC551" s="147">
        <f t="shared" si="100"/>
        <v>34838.279708737973</v>
      </c>
      <c r="AD551" s="137">
        <f t="shared" si="105"/>
        <v>1172523.7281855112</v>
      </c>
      <c r="AE551" s="138">
        <v>0.1077</v>
      </c>
      <c r="AF551" s="137">
        <f t="shared" si="94"/>
        <v>126280.80552557956</v>
      </c>
      <c r="AG551" s="137">
        <v>180000.70997605901</v>
      </c>
      <c r="AH551" s="154"/>
      <c r="AI551" s="154"/>
      <c r="AJ551" s="135" t="s">
        <v>189</v>
      </c>
      <c r="AK551" s="119" t="s">
        <v>173</v>
      </c>
      <c r="AM551" s="131"/>
    </row>
    <row r="552" spans="1:39" s="119" customFormat="1" ht="15" customHeight="1" x14ac:dyDescent="0.3">
      <c r="A552" s="119">
        <v>2017</v>
      </c>
      <c r="B552" s="119" t="s">
        <v>38</v>
      </c>
      <c r="C552" s="119" t="s">
        <v>39</v>
      </c>
      <c r="D552" s="119" t="s">
        <v>81</v>
      </c>
      <c r="E552" s="119" t="s">
        <v>82</v>
      </c>
      <c r="F552" s="119" t="s">
        <v>83</v>
      </c>
      <c r="G552" s="119" t="s">
        <v>83</v>
      </c>
      <c r="H552" s="119" t="s">
        <v>83</v>
      </c>
      <c r="I552" s="163" t="s">
        <v>204</v>
      </c>
      <c r="J552" s="119" t="s">
        <v>575</v>
      </c>
      <c r="K552" s="119" t="s">
        <v>576</v>
      </c>
      <c r="L552" s="119" t="s">
        <v>83</v>
      </c>
      <c r="M552" s="119" t="s">
        <v>185</v>
      </c>
      <c r="N552" s="136">
        <v>0.08</v>
      </c>
      <c r="O552" s="135" t="s">
        <v>495</v>
      </c>
      <c r="P552" s="135"/>
      <c r="Q552" s="137">
        <v>0</v>
      </c>
      <c r="R552" s="137">
        <v>0</v>
      </c>
      <c r="S552" s="137">
        <v>3169387.59</v>
      </c>
      <c r="T552" s="137">
        <f t="shared" si="97"/>
        <v>253551.00719999999</v>
      </c>
      <c r="U552" s="137">
        <f t="shared" si="101"/>
        <v>3422938.5971999997</v>
      </c>
      <c r="V552" s="137">
        <v>0</v>
      </c>
      <c r="W552" s="137">
        <f t="shared" si="102"/>
        <v>3422938.5971999997</v>
      </c>
      <c r="X552" s="137">
        <f t="shared" si="98"/>
        <v>3169387.5899999994</v>
      </c>
      <c r="Y552" s="137">
        <f t="shared" si="103"/>
        <v>253551.00720000034</v>
      </c>
      <c r="Z552" s="137">
        <v>3328177.82</v>
      </c>
      <c r="AA552" s="137">
        <f t="shared" si="99"/>
        <v>-3328177.82</v>
      </c>
      <c r="AB552" s="146">
        <f t="shared" si="107"/>
        <v>3328177.82</v>
      </c>
      <c r="AC552" s="147">
        <f t="shared" si="100"/>
        <v>266254.22560000001</v>
      </c>
      <c r="AD552" s="137">
        <f t="shared" si="105"/>
        <v>3262537.3373153782</v>
      </c>
      <c r="AE552" s="138">
        <v>0.31559999999999999</v>
      </c>
      <c r="AF552" s="137">
        <f t="shared" si="94"/>
        <v>1029656.7836567333</v>
      </c>
      <c r="AG552" s="137">
        <v>803841.229621629</v>
      </c>
      <c r="AH552" s="154"/>
      <c r="AI552" s="154"/>
      <c r="AJ552" s="135" t="s">
        <v>53</v>
      </c>
      <c r="AK552" s="119" t="s">
        <v>53</v>
      </c>
      <c r="AM552" s="131"/>
    </row>
    <row r="553" spans="1:39" s="119" customFormat="1" ht="15" customHeight="1" x14ac:dyDescent="0.3">
      <c r="A553" s="119">
        <v>2017</v>
      </c>
      <c r="B553" s="119" t="s">
        <v>38</v>
      </c>
      <c r="C553" s="119" t="s">
        <v>39</v>
      </c>
      <c r="D553" s="119" t="s">
        <v>81</v>
      </c>
      <c r="E553" s="119" t="s">
        <v>82</v>
      </c>
      <c r="F553" s="119" t="s">
        <v>83</v>
      </c>
      <c r="G553" s="119" t="s">
        <v>83</v>
      </c>
      <c r="H553" s="119" t="s">
        <v>83</v>
      </c>
      <c r="I553" s="163" t="s">
        <v>204</v>
      </c>
      <c r="J553" s="119" t="s">
        <v>575</v>
      </c>
      <c r="K553" s="119" t="s">
        <v>576</v>
      </c>
      <c r="L553" s="119" t="s">
        <v>83</v>
      </c>
      <c r="M553" s="119" t="s">
        <v>160</v>
      </c>
      <c r="N553" s="135">
        <v>0</v>
      </c>
      <c r="O553" s="135" t="s">
        <v>47</v>
      </c>
      <c r="P553" s="135"/>
      <c r="Q553" s="137">
        <v>0</v>
      </c>
      <c r="R553" s="137">
        <v>0</v>
      </c>
      <c r="S553" s="137">
        <v>100000</v>
      </c>
      <c r="T553" s="137">
        <f t="shared" si="97"/>
        <v>0</v>
      </c>
      <c r="U553" s="137">
        <f t="shared" si="101"/>
        <v>100000</v>
      </c>
      <c r="V553" s="137">
        <v>100000</v>
      </c>
      <c r="W553" s="137">
        <f t="shared" si="102"/>
        <v>0</v>
      </c>
      <c r="X553" s="137">
        <f t="shared" si="98"/>
        <v>0</v>
      </c>
      <c r="Y553" s="137">
        <f t="shared" si="103"/>
        <v>0</v>
      </c>
      <c r="Z553" s="137">
        <v>100000</v>
      </c>
      <c r="AA553" s="137">
        <f t="shared" si="99"/>
        <v>0</v>
      </c>
      <c r="AB553" s="146">
        <f t="shared" si="107"/>
        <v>100000</v>
      </c>
      <c r="AC553" s="147">
        <f t="shared" si="100"/>
        <v>0</v>
      </c>
      <c r="AD553" s="137">
        <f t="shared" si="105"/>
        <v>98027.735108077191</v>
      </c>
      <c r="AE553" s="138">
        <v>0.1077</v>
      </c>
      <c r="AF553" s="137">
        <f t="shared" si="94"/>
        <v>10557.587071139915</v>
      </c>
      <c r="AG553" s="137">
        <v>10770</v>
      </c>
      <c r="AH553" s="154"/>
      <c r="AI553" s="154"/>
      <c r="AJ553" s="135" t="s">
        <v>47</v>
      </c>
      <c r="AK553" s="119" t="s">
        <v>47</v>
      </c>
      <c r="AM553" s="131"/>
    </row>
    <row r="554" spans="1:39" s="119" customFormat="1" ht="15" customHeight="1" x14ac:dyDescent="0.3">
      <c r="A554" s="119">
        <v>2017</v>
      </c>
      <c r="B554" s="119" t="s">
        <v>38</v>
      </c>
      <c r="C554" s="119" t="s">
        <v>39</v>
      </c>
      <c r="D554" s="119" t="s">
        <v>81</v>
      </c>
      <c r="E554" s="119" t="s">
        <v>82</v>
      </c>
      <c r="F554" s="119" t="s">
        <v>706</v>
      </c>
      <c r="G554" s="119" t="s">
        <v>706</v>
      </c>
      <c r="H554" s="119" t="s">
        <v>706</v>
      </c>
      <c r="I554" s="163" t="s">
        <v>204</v>
      </c>
      <c r="J554" s="119" t="s">
        <v>575</v>
      </c>
      <c r="K554" s="119" t="s">
        <v>576</v>
      </c>
      <c r="L554" s="119" t="s">
        <v>706</v>
      </c>
      <c r="M554" s="119" t="s">
        <v>185</v>
      </c>
      <c r="N554" s="136">
        <v>0</v>
      </c>
      <c r="O554" s="135" t="s">
        <v>51</v>
      </c>
      <c r="P554" s="135"/>
      <c r="Q554" s="137">
        <v>0</v>
      </c>
      <c r="R554" s="137">
        <v>0</v>
      </c>
      <c r="S554" s="137">
        <v>6119.27</v>
      </c>
      <c r="T554" s="137">
        <f t="shared" si="97"/>
        <v>0</v>
      </c>
      <c r="U554" s="137">
        <f t="shared" si="101"/>
        <v>6119.27</v>
      </c>
      <c r="V554" s="137">
        <v>0</v>
      </c>
      <c r="W554" s="137">
        <f t="shared" si="102"/>
        <v>6119.27</v>
      </c>
      <c r="X554" s="137">
        <f t="shared" si="98"/>
        <v>6119.27</v>
      </c>
      <c r="Y554" s="137">
        <f t="shared" si="103"/>
        <v>0</v>
      </c>
      <c r="Z554" s="137">
        <v>6241.66</v>
      </c>
      <c r="AA554" s="137">
        <f t="shared" si="99"/>
        <v>-6241.66</v>
      </c>
      <c r="AB554" s="146">
        <f t="shared" si="107"/>
        <v>6241.66</v>
      </c>
      <c r="AC554" s="147">
        <f t="shared" si="100"/>
        <v>0</v>
      </c>
      <c r="AD554" s="137">
        <f t="shared" si="105"/>
        <v>6118.5579311468109</v>
      </c>
      <c r="AE554" s="138">
        <v>0.31559999999999999</v>
      </c>
      <c r="AF554" s="137">
        <f t="shared" si="94"/>
        <v>1931.0168830699336</v>
      </c>
      <c r="AG554" s="137">
        <v>1507.5227108148099</v>
      </c>
      <c r="AH554" s="154"/>
      <c r="AI554" s="154"/>
      <c r="AJ554" s="135" t="s">
        <v>53</v>
      </c>
      <c r="AK554" s="119" t="s">
        <v>53</v>
      </c>
      <c r="AM554" s="131"/>
    </row>
    <row r="555" spans="1:39" s="119" customFormat="1" ht="15" customHeight="1" x14ac:dyDescent="0.3">
      <c r="A555" s="119">
        <v>2017</v>
      </c>
      <c r="B555" s="119" t="s">
        <v>38</v>
      </c>
      <c r="C555" s="119" t="s">
        <v>39</v>
      </c>
      <c r="D555" s="119" t="s">
        <v>81</v>
      </c>
      <c r="E555" s="119" t="s">
        <v>82</v>
      </c>
      <c r="F555" s="119" t="s">
        <v>706</v>
      </c>
      <c r="G555" s="119" t="s">
        <v>706</v>
      </c>
      <c r="H555" s="119" t="s">
        <v>706</v>
      </c>
      <c r="I555" s="163" t="s">
        <v>204</v>
      </c>
      <c r="J555" s="119" t="s">
        <v>575</v>
      </c>
      <c r="K555" s="119" t="s">
        <v>576</v>
      </c>
      <c r="L555" s="119" t="s">
        <v>706</v>
      </c>
      <c r="M555" s="119" t="s">
        <v>46</v>
      </c>
      <c r="N555" s="136">
        <v>0</v>
      </c>
      <c r="O555" s="135" t="s">
        <v>51</v>
      </c>
      <c r="P555" s="135"/>
      <c r="Q555" s="137">
        <v>0</v>
      </c>
      <c r="R555" s="137">
        <v>0</v>
      </c>
      <c r="S555" s="137">
        <v>3387.55</v>
      </c>
      <c r="T555" s="137">
        <f t="shared" si="97"/>
        <v>0</v>
      </c>
      <c r="U555" s="137">
        <f t="shared" si="101"/>
        <v>3387.55</v>
      </c>
      <c r="V555" s="137">
        <v>10000</v>
      </c>
      <c r="W555" s="137">
        <f t="shared" si="102"/>
        <v>-6612.45</v>
      </c>
      <c r="X555" s="137">
        <f t="shared" si="98"/>
        <v>-6612.45</v>
      </c>
      <c r="Y555" s="137">
        <f t="shared" si="103"/>
        <v>0</v>
      </c>
      <c r="Z555" s="137">
        <v>3455.3</v>
      </c>
      <c r="AA555" s="137">
        <f t="shared" si="99"/>
        <v>6544.7</v>
      </c>
      <c r="AB555" s="146">
        <f>IF(O555="返货",Z555/(1+N555),IF(O555="返现",Z555,IF(O555="折扣",Z555*N555,IF(O555="无",Z555))))+303.04</f>
        <v>3758.34</v>
      </c>
      <c r="AC555" s="147">
        <f t="shared" si="100"/>
        <v>-303.03999999999996</v>
      </c>
      <c r="AD555" s="137">
        <f t="shared" si="105"/>
        <v>3387.1523311893916</v>
      </c>
      <c r="AE555" s="138">
        <v>0.1077</v>
      </c>
      <c r="AF555" s="137">
        <f t="shared" si="94"/>
        <v>364.79630606909751</v>
      </c>
      <c r="AG555" s="137">
        <v>304.38482960784302</v>
      </c>
      <c r="AH555" s="154"/>
      <c r="AI555" s="154"/>
      <c r="AJ555" s="136">
        <v>0.02</v>
      </c>
      <c r="AK555" s="156">
        <v>0.02</v>
      </c>
      <c r="AM555" s="131"/>
    </row>
    <row r="556" spans="1:39" s="119" customFormat="1" ht="15" customHeight="1" x14ac:dyDescent="0.3">
      <c r="A556" s="119">
        <v>2017</v>
      </c>
      <c r="B556" s="119" t="s">
        <v>38</v>
      </c>
      <c r="C556" s="119" t="s">
        <v>39</v>
      </c>
      <c r="D556" s="119" t="s">
        <v>81</v>
      </c>
      <c r="E556" s="119" t="s">
        <v>82</v>
      </c>
      <c r="F556" s="119" t="s">
        <v>707</v>
      </c>
      <c r="G556" s="119" t="s">
        <v>707</v>
      </c>
      <c r="H556" s="119" t="s">
        <v>707</v>
      </c>
      <c r="I556" s="163" t="s">
        <v>204</v>
      </c>
      <c r="J556" s="119" t="s">
        <v>575</v>
      </c>
      <c r="K556" s="119" t="s">
        <v>576</v>
      </c>
      <c r="L556" s="119" t="s">
        <v>708</v>
      </c>
      <c r="M556" s="119" t="s">
        <v>185</v>
      </c>
      <c r="N556" s="136">
        <v>0.12</v>
      </c>
      <c r="O556" s="135" t="s">
        <v>51</v>
      </c>
      <c r="P556" s="135"/>
      <c r="Q556" s="137">
        <v>0</v>
      </c>
      <c r="R556" s="137">
        <v>0</v>
      </c>
      <c r="S556" s="137">
        <v>26757.47</v>
      </c>
      <c r="T556" s="137">
        <f t="shared" si="97"/>
        <v>3210.8964000000001</v>
      </c>
      <c r="U556" s="137">
        <f t="shared" si="101"/>
        <v>29968.366400000003</v>
      </c>
      <c r="V556" s="137">
        <v>0</v>
      </c>
      <c r="W556" s="137">
        <f t="shared" si="102"/>
        <v>29968.366400000003</v>
      </c>
      <c r="X556" s="137">
        <f t="shared" si="98"/>
        <v>26757.47</v>
      </c>
      <c r="Y556" s="137">
        <f t="shared" si="103"/>
        <v>3210.8964000000014</v>
      </c>
      <c r="Z556" s="137">
        <v>9967.41</v>
      </c>
      <c r="AA556" s="137">
        <f t="shared" si="99"/>
        <v>-9967.41</v>
      </c>
      <c r="AB556" s="146">
        <f t="shared" si="107"/>
        <v>8899.4732142857138</v>
      </c>
      <c r="AC556" s="147">
        <f t="shared" si="100"/>
        <v>1067.9367857142861</v>
      </c>
      <c r="AD556" s="137">
        <f t="shared" si="105"/>
        <v>9770.8262719359973</v>
      </c>
      <c r="AE556" s="138">
        <v>0.31559999999999999</v>
      </c>
      <c r="AF556" s="137">
        <f t="shared" si="94"/>
        <v>3083.6727714230005</v>
      </c>
      <c r="AG556" s="137">
        <v>-1067.9369435142901</v>
      </c>
      <c r="AH556" s="154"/>
      <c r="AI556" s="154"/>
      <c r="AJ556" s="135" t="s">
        <v>117</v>
      </c>
      <c r="AK556" s="119" t="s">
        <v>117</v>
      </c>
      <c r="AM556" s="131"/>
    </row>
    <row r="557" spans="1:39" s="119" customFormat="1" ht="15" customHeight="1" x14ac:dyDescent="0.3">
      <c r="A557" s="119">
        <v>2017</v>
      </c>
      <c r="B557" s="119" t="s">
        <v>38</v>
      </c>
      <c r="C557" s="119" t="s">
        <v>39</v>
      </c>
      <c r="D557" s="119" t="s">
        <v>81</v>
      </c>
      <c r="E557" s="119" t="s">
        <v>82</v>
      </c>
      <c r="F557" s="119" t="s">
        <v>707</v>
      </c>
      <c r="G557" s="119" t="s">
        <v>707</v>
      </c>
      <c r="H557" s="119" t="s">
        <v>707</v>
      </c>
      <c r="I557" s="163" t="s">
        <v>204</v>
      </c>
      <c r="J557" s="119" t="s">
        <v>575</v>
      </c>
      <c r="K557" s="119" t="s">
        <v>576</v>
      </c>
      <c r="L557" s="119" t="s">
        <v>708</v>
      </c>
      <c r="M557" s="119" t="s">
        <v>46</v>
      </c>
      <c r="N557" s="135">
        <v>0.06</v>
      </c>
      <c r="O557" s="135" t="s">
        <v>51</v>
      </c>
      <c r="P557" s="135"/>
      <c r="Q557" s="137">
        <v>0</v>
      </c>
      <c r="R557" s="137">
        <v>0</v>
      </c>
      <c r="S557" s="137">
        <v>-20000</v>
      </c>
      <c r="T557" s="137">
        <f t="shared" si="97"/>
        <v>-1200</v>
      </c>
      <c r="U557" s="137">
        <f t="shared" si="101"/>
        <v>-21200</v>
      </c>
      <c r="V557" s="137">
        <v>20000</v>
      </c>
      <c r="W557" s="137">
        <f t="shared" si="102"/>
        <v>-41200</v>
      </c>
      <c r="X557" s="137">
        <f t="shared" si="98"/>
        <v>-38867.924528301883</v>
      </c>
      <c r="Y557" s="137">
        <f t="shared" si="103"/>
        <v>-2332.0754716981173</v>
      </c>
      <c r="Z557" s="137">
        <v>0</v>
      </c>
      <c r="AA557" s="137">
        <f t="shared" si="99"/>
        <v>20000</v>
      </c>
      <c r="AB557" s="146">
        <f t="shared" si="107"/>
        <v>0</v>
      </c>
      <c r="AC557" s="147">
        <f t="shared" si="100"/>
        <v>0</v>
      </c>
      <c r="AD557" s="137">
        <f t="shared" si="105"/>
        <v>0</v>
      </c>
      <c r="AE557" s="138">
        <v>0.1077</v>
      </c>
      <c r="AF557" s="137">
        <f t="shared" si="94"/>
        <v>0</v>
      </c>
      <c r="AG557" s="137">
        <v>0</v>
      </c>
      <c r="AH557" s="154"/>
      <c r="AI557" s="154"/>
      <c r="AJ557" s="135" t="s">
        <v>193</v>
      </c>
      <c r="AK557" s="119" t="s">
        <v>193</v>
      </c>
      <c r="AM557" s="131"/>
    </row>
    <row r="558" spans="1:39" s="119" customFormat="1" ht="15" customHeight="1" x14ac:dyDescent="0.3">
      <c r="A558" s="119">
        <v>2017</v>
      </c>
      <c r="B558" s="119" t="s">
        <v>38</v>
      </c>
      <c r="C558" s="119" t="s">
        <v>39</v>
      </c>
      <c r="D558" s="119" t="s">
        <v>40</v>
      </c>
      <c r="E558" s="119" t="s">
        <v>48</v>
      </c>
      <c r="F558" s="119" t="s">
        <v>87</v>
      </c>
      <c r="G558" s="119" t="s">
        <v>87</v>
      </c>
      <c r="H558" s="119" t="s">
        <v>87</v>
      </c>
      <c r="I558" s="163" t="s">
        <v>204</v>
      </c>
      <c r="J558" s="119" t="s">
        <v>603</v>
      </c>
      <c r="K558" s="119" t="s">
        <v>639</v>
      </c>
      <c r="L558" s="119" t="s">
        <v>87</v>
      </c>
      <c r="M558" s="119" t="s">
        <v>46</v>
      </c>
      <c r="N558" s="136">
        <v>0.02</v>
      </c>
      <c r="O558" s="135" t="s">
        <v>51</v>
      </c>
      <c r="P558" s="135"/>
      <c r="Q558" s="137">
        <v>0</v>
      </c>
      <c r="R558" s="137">
        <v>0</v>
      </c>
      <c r="S558" s="137">
        <v>10401.290000000001</v>
      </c>
      <c r="T558" s="137">
        <f t="shared" si="97"/>
        <v>208.02580000000003</v>
      </c>
      <c r="U558" s="137">
        <f t="shared" si="101"/>
        <v>10609.3158</v>
      </c>
      <c r="V558" s="137">
        <v>30600</v>
      </c>
      <c r="W558" s="137">
        <f t="shared" si="102"/>
        <v>-19990.6842</v>
      </c>
      <c r="X558" s="137">
        <f t="shared" si="98"/>
        <v>-19598.71</v>
      </c>
      <c r="Y558" s="137">
        <f t="shared" si="103"/>
        <v>-391.97420000000056</v>
      </c>
      <c r="Z558" s="137">
        <v>2646.5</v>
      </c>
      <c r="AA558" s="137">
        <f t="shared" si="99"/>
        <v>27953.5</v>
      </c>
      <c r="AB558" s="146">
        <f t="shared" si="107"/>
        <v>2594.6078431372548</v>
      </c>
      <c r="AC558" s="147">
        <f t="shared" si="100"/>
        <v>51.892156862745196</v>
      </c>
      <c r="AD558" s="137">
        <v>2646.5</v>
      </c>
      <c r="AE558" s="138">
        <v>7.0000000000000007E-2</v>
      </c>
      <c r="AF558" s="137">
        <f t="shared" si="94"/>
        <v>185.25500000000002</v>
      </c>
      <c r="AG558" s="137">
        <v>133.362843137255</v>
      </c>
      <c r="AH558" s="154"/>
      <c r="AI558" s="154"/>
      <c r="AJ558" s="135" t="s">
        <v>173</v>
      </c>
      <c r="AK558" s="119" t="s">
        <v>173</v>
      </c>
      <c r="AM558" s="131"/>
    </row>
    <row r="559" spans="1:39" s="119" customFormat="1" ht="15" customHeight="1" x14ac:dyDescent="0.3">
      <c r="A559" s="119">
        <v>2017</v>
      </c>
      <c r="B559" s="119" t="s">
        <v>38</v>
      </c>
      <c r="C559" s="119" t="s">
        <v>39</v>
      </c>
      <c r="D559" s="119" t="s">
        <v>40</v>
      </c>
      <c r="E559" s="119" t="s">
        <v>48</v>
      </c>
      <c r="F559" s="119" t="s">
        <v>329</v>
      </c>
      <c r="G559" s="119" t="s">
        <v>329</v>
      </c>
      <c r="H559" s="119" t="s">
        <v>329</v>
      </c>
      <c r="I559" s="163" t="s">
        <v>204</v>
      </c>
      <c r="J559" s="119" t="s">
        <v>575</v>
      </c>
      <c r="K559" s="119" t="s">
        <v>576</v>
      </c>
      <c r="L559" s="119" t="s">
        <v>709</v>
      </c>
      <c r="M559" s="119" t="s">
        <v>185</v>
      </c>
      <c r="N559" s="136">
        <v>0.02</v>
      </c>
      <c r="O559" s="135" t="s">
        <v>51</v>
      </c>
      <c r="P559" s="135"/>
      <c r="Q559" s="137">
        <v>0</v>
      </c>
      <c r="R559" s="137">
        <v>0</v>
      </c>
      <c r="S559" s="137">
        <v>22421.39</v>
      </c>
      <c r="T559" s="137">
        <f t="shared" si="97"/>
        <v>448.42779999999999</v>
      </c>
      <c r="U559" s="137">
        <f t="shared" si="101"/>
        <v>22869.817800000001</v>
      </c>
      <c r="V559" s="137">
        <v>0</v>
      </c>
      <c r="W559" s="137">
        <f t="shared" si="102"/>
        <v>22869.817800000001</v>
      </c>
      <c r="X559" s="137">
        <f t="shared" si="98"/>
        <v>22421.39</v>
      </c>
      <c r="Y559" s="137">
        <f t="shared" si="103"/>
        <v>448.4278000000013</v>
      </c>
      <c r="Z559" s="137">
        <v>12</v>
      </c>
      <c r="AA559" s="137">
        <f t="shared" si="99"/>
        <v>-12</v>
      </c>
      <c r="AB559" s="146">
        <f t="shared" si="107"/>
        <v>11.76470588235294</v>
      </c>
      <c r="AC559" s="147">
        <f t="shared" si="100"/>
        <v>0.23529411764705976</v>
      </c>
      <c r="AD559" s="137">
        <f t="shared" ref="AD559:AD566" si="108">Z559*0.980277351080772</f>
        <v>11.763328212969263</v>
      </c>
      <c r="AE559" s="138">
        <v>0.31559999999999999</v>
      </c>
      <c r="AF559" s="137">
        <f t="shared" ref="AF559:AF622" si="109">AD559*AE559</f>
        <v>3.7125063840130994</v>
      </c>
      <c r="AG559" s="137">
        <v>3.5519058823529401</v>
      </c>
      <c r="AH559" s="154"/>
      <c r="AI559" s="154"/>
      <c r="AJ559" s="135" t="s">
        <v>173</v>
      </c>
      <c r="AK559" s="119" t="s">
        <v>173</v>
      </c>
      <c r="AM559" s="131"/>
    </row>
    <row r="560" spans="1:39" s="119" customFormat="1" ht="15" customHeight="1" x14ac:dyDescent="0.3">
      <c r="A560" s="119">
        <v>2017</v>
      </c>
      <c r="B560" s="119" t="s">
        <v>38</v>
      </c>
      <c r="C560" s="119" t="s">
        <v>39</v>
      </c>
      <c r="D560" s="119" t="s">
        <v>40</v>
      </c>
      <c r="E560" s="119" t="s">
        <v>48</v>
      </c>
      <c r="F560" s="119" t="s">
        <v>329</v>
      </c>
      <c r="G560" s="119" t="s">
        <v>329</v>
      </c>
      <c r="H560" s="119" t="s">
        <v>329</v>
      </c>
      <c r="I560" s="163" t="s">
        <v>204</v>
      </c>
      <c r="J560" s="119" t="s">
        <v>575</v>
      </c>
      <c r="K560" s="119" t="s">
        <v>576</v>
      </c>
      <c r="L560" s="119" t="s">
        <v>709</v>
      </c>
      <c r="M560" s="119" t="s">
        <v>46</v>
      </c>
      <c r="N560" s="136">
        <v>0.02</v>
      </c>
      <c r="O560" s="135" t="s">
        <v>51</v>
      </c>
      <c r="P560" s="135"/>
      <c r="Q560" s="137">
        <v>0</v>
      </c>
      <c r="R560" s="137">
        <v>0</v>
      </c>
      <c r="S560" s="137">
        <v>877382.53</v>
      </c>
      <c r="T560" s="137">
        <f t="shared" si="97"/>
        <v>17547.650600000001</v>
      </c>
      <c r="U560" s="137">
        <f t="shared" si="101"/>
        <v>894930.18060000008</v>
      </c>
      <c r="V560" s="137">
        <v>826000</v>
      </c>
      <c r="W560" s="137">
        <f t="shared" si="102"/>
        <v>68930.18060000008</v>
      </c>
      <c r="X560" s="137">
        <f t="shared" si="98"/>
        <v>67578.608431372631</v>
      </c>
      <c r="Y560" s="137">
        <f t="shared" si="103"/>
        <v>1351.5721686274483</v>
      </c>
      <c r="Z560" s="137">
        <v>825988</v>
      </c>
      <c r="AA560" s="137">
        <f t="shared" si="99"/>
        <v>12</v>
      </c>
      <c r="AB560" s="146">
        <f t="shared" si="107"/>
        <v>809792.15686274506</v>
      </c>
      <c r="AC560" s="147">
        <f t="shared" si="100"/>
        <v>16195.843137254938</v>
      </c>
      <c r="AD560" s="137">
        <f t="shared" si="108"/>
        <v>809697.32866450469</v>
      </c>
      <c r="AE560" s="138">
        <v>0.1077</v>
      </c>
      <c r="AF560" s="137">
        <f t="shared" si="109"/>
        <v>87204.402297167166</v>
      </c>
      <c r="AG560" s="137">
        <v>72763.064462745097</v>
      </c>
      <c r="AH560" s="154"/>
      <c r="AI560" s="154"/>
      <c r="AJ560" s="135" t="s">
        <v>173</v>
      </c>
      <c r="AK560" s="119" t="s">
        <v>173</v>
      </c>
      <c r="AM560" s="131"/>
    </row>
    <row r="561" spans="1:39" s="119" customFormat="1" ht="15" customHeight="1" x14ac:dyDescent="0.3">
      <c r="A561" s="119">
        <v>2017</v>
      </c>
      <c r="B561" s="119" t="s">
        <v>38</v>
      </c>
      <c r="C561" s="119" t="s">
        <v>39</v>
      </c>
      <c r="D561" s="119" t="s">
        <v>40</v>
      </c>
      <c r="E561" s="119" t="s">
        <v>48</v>
      </c>
      <c r="F561" s="119" t="s">
        <v>127</v>
      </c>
      <c r="G561" s="119" t="s">
        <v>127</v>
      </c>
      <c r="H561" s="119" t="s">
        <v>127</v>
      </c>
      <c r="I561" s="163" t="s">
        <v>204</v>
      </c>
      <c r="J561" s="119" t="s">
        <v>575</v>
      </c>
      <c r="K561" s="119" t="s">
        <v>576</v>
      </c>
      <c r="L561" s="119" t="s">
        <v>127</v>
      </c>
      <c r="M561" s="119" t="s">
        <v>46</v>
      </c>
      <c r="N561" s="136">
        <v>0.02</v>
      </c>
      <c r="O561" s="135" t="s">
        <v>51</v>
      </c>
      <c r="P561" s="135"/>
      <c r="Q561" s="137">
        <v>0</v>
      </c>
      <c r="R561" s="137">
        <v>0</v>
      </c>
      <c r="S561" s="137">
        <v>1466993.82</v>
      </c>
      <c r="T561" s="137">
        <f t="shared" si="97"/>
        <v>29339.876400000001</v>
      </c>
      <c r="U561" s="137">
        <f t="shared" si="101"/>
        <v>1496333.6964</v>
      </c>
      <c r="V561" s="137">
        <v>2091977.9</v>
      </c>
      <c r="W561" s="137">
        <f t="shared" si="102"/>
        <v>-595644.20359999989</v>
      </c>
      <c r="X561" s="137">
        <f t="shared" si="98"/>
        <v>-583964.90549019596</v>
      </c>
      <c r="Y561" s="137">
        <f t="shared" si="103"/>
        <v>-11679.298109803931</v>
      </c>
      <c r="Z561" s="137">
        <v>1560196.01</v>
      </c>
      <c r="AA561" s="137">
        <f t="shared" si="99"/>
        <v>531781.8899999999</v>
      </c>
      <c r="AB561" s="146">
        <f t="shared" si="107"/>
        <v>1529603.9313725489</v>
      </c>
      <c r="AC561" s="147">
        <f t="shared" si="100"/>
        <v>30592.07862745109</v>
      </c>
      <c r="AD561" s="137">
        <f t="shared" si="108"/>
        <v>1529424.8118495897</v>
      </c>
      <c r="AE561" s="138">
        <v>0.1077</v>
      </c>
      <c r="AF561" s="137">
        <f t="shared" si="109"/>
        <v>164719.05223620081</v>
      </c>
      <c r="AG561" s="137">
        <v>137441.031649549</v>
      </c>
      <c r="AH561" s="154"/>
      <c r="AI561" s="154"/>
      <c r="AJ561" s="135" t="s">
        <v>173</v>
      </c>
      <c r="AK561" s="119" t="s">
        <v>173</v>
      </c>
      <c r="AM561" s="131"/>
    </row>
    <row r="562" spans="1:39" s="119" customFormat="1" ht="15" customHeight="1" x14ac:dyDescent="0.3">
      <c r="A562" s="119">
        <v>2017</v>
      </c>
      <c r="B562" s="119" t="s">
        <v>199</v>
      </c>
      <c r="C562" s="119" t="s">
        <v>39</v>
      </c>
      <c r="D562" s="119" t="s">
        <v>40</v>
      </c>
      <c r="E562" s="119" t="s">
        <v>41</v>
      </c>
      <c r="F562" s="119" t="s">
        <v>457</v>
      </c>
      <c r="G562" s="119" t="s">
        <v>710</v>
      </c>
      <c r="H562" s="119" t="s">
        <v>710</v>
      </c>
      <c r="I562" s="163" t="s">
        <v>204</v>
      </c>
      <c r="J562" s="119" t="s">
        <v>575</v>
      </c>
      <c r="K562" s="119" t="s">
        <v>576</v>
      </c>
      <c r="L562" s="119" t="s">
        <v>457</v>
      </c>
      <c r="M562" s="119" t="s">
        <v>711</v>
      </c>
      <c r="N562" s="136">
        <v>0.02</v>
      </c>
      <c r="O562" s="135" t="s">
        <v>51</v>
      </c>
      <c r="P562" s="135"/>
      <c r="Q562" s="137">
        <v>0</v>
      </c>
      <c r="R562" s="137">
        <v>0</v>
      </c>
      <c r="S562" s="137">
        <v>7891.65</v>
      </c>
      <c r="T562" s="137">
        <f t="shared" si="97"/>
        <v>157.833</v>
      </c>
      <c r="U562" s="137">
        <f t="shared" si="101"/>
        <v>8049.4829999999993</v>
      </c>
      <c r="V562" s="137">
        <v>7891.65</v>
      </c>
      <c r="W562" s="137">
        <f t="shared" si="102"/>
        <v>157.83299999999963</v>
      </c>
      <c r="X562" s="137">
        <f t="shared" si="98"/>
        <v>154.73823529411729</v>
      </c>
      <c r="Y562" s="137">
        <f t="shared" si="103"/>
        <v>3.0947647058823406</v>
      </c>
      <c r="Z562" s="137">
        <v>7891.65</v>
      </c>
      <c r="AA562" s="137">
        <f t="shared" si="99"/>
        <v>0</v>
      </c>
      <c r="AB562" s="146">
        <f t="shared" si="107"/>
        <v>7736.911764705882</v>
      </c>
      <c r="AC562" s="147">
        <f t="shared" si="100"/>
        <v>154.73823529411766</v>
      </c>
      <c r="AD562" s="137">
        <f t="shared" si="108"/>
        <v>7736.0057576565741</v>
      </c>
      <c r="AE562" s="138">
        <v>0.31559999999999999</v>
      </c>
      <c r="AF562" s="137">
        <f t="shared" si="109"/>
        <v>2441.4834171164148</v>
      </c>
      <c r="AG562" s="137">
        <v>2490.6047400000002</v>
      </c>
      <c r="AH562" s="154"/>
      <c r="AI562" s="154"/>
      <c r="AJ562" s="136">
        <v>0.02</v>
      </c>
      <c r="AK562" s="119" t="s">
        <v>712</v>
      </c>
      <c r="AL562" s="119" t="s">
        <v>611</v>
      </c>
      <c r="AM562" s="131"/>
    </row>
    <row r="563" spans="1:39" s="119" customFormat="1" ht="15" customHeight="1" x14ac:dyDescent="0.3">
      <c r="A563" s="119">
        <v>2017</v>
      </c>
      <c r="B563" s="119" t="s">
        <v>199</v>
      </c>
      <c r="C563" s="119" t="s">
        <v>39</v>
      </c>
      <c r="D563" s="119" t="s">
        <v>40</v>
      </c>
      <c r="E563" s="119" t="s">
        <v>41</v>
      </c>
      <c r="F563" s="119" t="s">
        <v>457</v>
      </c>
      <c r="G563" s="119" t="s">
        <v>710</v>
      </c>
      <c r="H563" s="119" t="s">
        <v>710</v>
      </c>
      <c r="I563" s="163" t="s">
        <v>204</v>
      </c>
      <c r="J563" s="119" t="s">
        <v>575</v>
      </c>
      <c r="K563" s="119" t="s">
        <v>576</v>
      </c>
      <c r="L563" s="119" t="s">
        <v>457</v>
      </c>
      <c r="M563" s="119" t="s">
        <v>46</v>
      </c>
      <c r="N563" s="136">
        <v>0.02</v>
      </c>
      <c r="O563" s="135" t="s">
        <v>51</v>
      </c>
      <c r="P563" s="135"/>
      <c r="Q563" s="137">
        <v>0</v>
      </c>
      <c r="R563" s="137">
        <v>0</v>
      </c>
      <c r="S563" s="137">
        <v>2350000</v>
      </c>
      <c r="T563" s="137">
        <f t="shared" si="97"/>
        <v>47000</v>
      </c>
      <c r="U563" s="137">
        <f t="shared" si="101"/>
        <v>2397000</v>
      </c>
      <c r="V563" s="137">
        <v>2381300</v>
      </c>
      <c r="W563" s="137">
        <f t="shared" si="102"/>
        <v>15700</v>
      </c>
      <c r="X563" s="137">
        <f t="shared" si="98"/>
        <v>15392.156862745098</v>
      </c>
      <c r="Y563" s="137">
        <f t="shared" si="103"/>
        <v>307.8431372549021</v>
      </c>
      <c r="Z563" s="137">
        <v>2271250.58</v>
      </c>
      <c r="AA563" s="137">
        <f t="shared" si="99"/>
        <v>110049.41999999993</v>
      </c>
      <c r="AB563" s="146">
        <f t="shared" si="107"/>
        <v>2226716.254901961</v>
      </c>
      <c r="AC563" s="147">
        <f t="shared" si="100"/>
        <v>44534.325098039117</v>
      </c>
      <c r="AD563" s="137">
        <f t="shared" si="108"/>
        <v>2226455.5022030668</v>
      </c>
      <c r="AE563" s="138">
        <v>0.1077</v>
      </c>
      <c r="AF563" s="137">
        <f t="shared" si="109"/>
        <v>239789.25758727032</v>
      </c>
      <c r="AG563" s="137">
        <v>200079.362367961</v>
      </c>
      <c r="AH563" s="154"/>
      <c r="AI563" s="154"/>
      <c r="AJ563" s="135" t="s">
        <v>173</v>
      </c>
      <c r="AK563" s="119" t="s">
        <v>173</v>
      </c>
      <c r="AM563" s="131"/>
    </row>
    <row r="564" spans="1:39" s="119" customFormat="1" ht="15" customHeight="1" x14ac:dyDescent="0.3">
      <c r="A564" s="119">
        <v>2017</v>
      </c>
      <c r="B564" s="119" t="s">
        <v>38</v>
      </c>
      <c r="C564" s="119" t="s">
        <v>39</v>
      </c>
      <c r="D564" s="119" t="s">
        <v>40</v>
      </c>
      <c r="E564" s="119" t="s">
        <v>41</v>
      </c>
      <c r="F564" s="119" t="s">
        <v>713</v>
      </c>
      <c r="G564" s="119" t="s">
        <v>713</v>
      </c>
      <c r="H564" s="119" t="s">
        <v>713</v>
      </c>
      <c r="I564" s="163" t="s">
        <v>204</v>
      </c>
      <c r="J564" s="119" t="s">
        <v>575</v>
      </c>
      <c r="K564" s="119" t="s">
        <v>576</v>
      </c>
      <c r="L564" s="119" t="s">
        <v>714</v>
      </c>
      <c r="M564" s="119" t="s">
        <v>46</v>
      </c>
      <c r="N564" s="136">
        <v>0.02</v>
      </c>
      <c r="O564" s="135" t="s">
        <v>51</v>
      </c>
      <c r="P564" s="135"/>
      <c r="Q564" s="137">
        <v>0</v>
      </c>
      <c r="R564" s="137">
        <v>0</v>
      </c>
      <c r="S564" s="137">
        <v>26174.7</v>
      </c>
      <c r="T564" s="137">
        <f t="shared" si="97"/>
        <v>523.49400000000003</v>
      </c>
      <c r="U564" s="137">
        <f t="shared" si="101"/>
        <v>26698.194</v>
      </c>
      <c r="V564" s="137">
        <v>30600</v>
      </c>
      <c r="W564" s="137">
        <f t="shared" si="102"/>
        <v>-3901.8060000000005</v>
      </c>
      <c r="X564" s="137">
        <f t="shared" si="98"/>
        <v>-3825.3000000000006</v>
      </c>
      <c r="Y564" s="137">
        <f t="shared" si="103"/>
        <v>-76.505999999999858</v>
      </c>
      <c r="Z564" s="137">
        <v>27374.7</v>
      </c>
      <c r="AA564" s="137">
        <f t="shared" si="99"/>
        <v>3225.2999999999993</v>
      </c>
      <c r="AB564" s="146">
        <f t="shared" si="107"/>
        <v>26837.941176470587</v>
      </c>
      <c r="AC564" s="147">
        <f t="shared" si="100"/>
        <v>536.75882352941335</v>
      </c>
      <c r="AD564" s="137">
        <f t="shared" si="108"/>
        <v>26834.798402630808</v>
      </c>
      <c r="AE564" s="138">
        <v>0.1077</v>
      </c>
      <c r="AF564" s="137">
        <f t="shared" si="109"/>
        <v>2890.1077879633381</v>
      </c>
      <c r="AG564" s="137">
        <v>2411.4963664705901</v>
      </c>
      <c r="AH564" s="154"/>
      <c r="AI564" s="154"/>
      <c r="AJ564" s="136">
        <v>0.02</v>
      </c>
      <c r="AK564" s="156">
        <v>0.02</v>
      </c>
      <c r="AM564" s="131"/>
    </row>
    <row r="565" spans="1:39" s="119" customFormat="1" ht="15" customHeight="1" x14ac:dyDescent="0.3">
      <c r="A565" s="119">
        <v>2017</v>
      </c>
      <c r="B565" s="119" t="s">
        <v>38</v>
      </c>
      <c r="C565" s="119" t="s">
        <v>39</v>
      </c>
      <c r="D565" s="119" t="s">
        <v>40</v>
      </c>
      <c r="E565" s="119" t="s">
        <v>82</v>
      </c>
      <c r="F565" s="119" t="s">
        <v>715</v>
      </c>
      <c r="G565" s="119" t="s">
        <v>715</v>
      </c>
      <c r="H565" s="119" t="s">
        <v>715</v>
      </c>
      <c r="I565" s="163" t="s">
        <v>204</v>
      </c>
      <c r="J565" s="119" t="s">
        <v>575</v>
      </c>
      <c r="K565" s="119" t="s">
        <v>576</v>
      </c>
      <c r="L565" s="119" t="s">
        <v>715</v>
      </c>
      <c r="M565" s="119" t="s">
        <v>185</v>
      </c>
      <c r="N565" s="135">
        <v>0.05</v>
      </c>
      <c r="O565" s="135" t="s">
        <v>51</v>
      </c>
      <c r="P565" s="135"/>
      <c r="Q565" s="137">
        <v>0</v>
      </c>
      <c r="R565" s="137">
        <v>0</v>
      </c>
      <c r="S565" s="137">
        <v>1642.8</v>
      </c>
      <c r="T565" s="137">
        <f t="shared" si="97"/>
        <v>82.14</v>
      </c>
      <c r="U565" s="137">
        <f t="shared" si="101"/>
        <v>1724.94</v>
      </c>
      <c r="V565" s="137">
        <v>0</v>
      </c>
      <c r="W565" s="137">
        <f t="shared" si="102"/>
        <v>1724.94</v>
      </c>
      <c r="X565" s="137">
        <f t="shared" si="98"/>
        <v>1642.8</v>
      </c>
      <c r="Y565" s="137">
        <f t="shared" si="103"/>
        <v>82.1400000000001</v>
      </c>
      <c r="Z565" s="137">
        <v>1642.8</v>
      </c>
      <c r="AA565" s="137">
        <f t="shared" si="99"/>
        <v>-1642.8</v>
      </c>
      <c r="AB565" s="146">
        <f t="shared" si="107"/>
        <v>1564.5714285714284</v>
      </c>
      <c r="AC565" s="147">
        <f t="shared" si="100"/>
        <v>78.228571428571513</v>
      </c>
      <c r="AD565" s="137">
        <f t="shared" si="108"/>
        <v>1610.399632355492</v>
      </c>
      <c r="AE565" s="138">
        <v>0.31559999999999999</v>
      </c>
      <c r="AF565" s="137">
        <f t="shared" si="109"/>
        <v>508.24212397139326</v>
      </c>
      <c r="AG565" s="137">
        <v>440.23910857142801</v>
      </c>
      <c r="AH565" s="154"/>
      <c r="AI565" s="154"/>
      <c r="AJ565" s="135" t="s">
        <v>63</v>
      </c>
      <c r="AK565" s="119" t="s">
        <v>63</v>
      </c>
      <c r="AM565" s="131"/>
    </row>
    <row r="566" spans="1:39" s="119" customFormat="1" ht="15" customHeight="1" x14ac:dyDescent="0.3">
      <c r="A566" s="119">
        <v>2017</v>
      </c>
      <c r="B566" s="119" t="s">
        <v>38</v>
      </c>
      <c r="C566" s="119" t="s">
        <v>39</v>
      </c>
      <c r="D566" s="119" t="s">
        <v>40</v>
      </c>
      <c r="E566" s="119" t="s">
        <v>82</v>
      </c>
      <c r="F566" s="119" t="s">
        <v>715</v>
      </c>
      <c r="G566" s="119" t="s">
        <v>715</v>
      </c>
      <c r="H566" s="119" t="s">
        <v>715</v>
      </c>
      <c r="I566" s="163" t="s">
        <v>204</v>
      </c>
      <c r="J566" s="119" t="s">
        <v>575</v>
      </c>
      <c r="K566" s="119" t="s">
        <v>576</v>
      </c>
      <c r="L566" s="119" t="s">
        <v>715</v>
      </c>
      <c r="M566" s="119" t="s">
        <v>46</v>
      </c>
      <c r="N566" s="135">
        <v>0.05</v>
      </c>
      <c r="O566" s="135" t="s">
        <v>51</v>
      </c>
      <c r="P566" s="135"/>
      <c r="Q566" s="137">
        <v>0</v>
      </c>
      <c r="R566" s="137">
        <v>0</v>
      </c>
      <c r="S566" s="137">
        <v>175291.1</v>
      </c>
      <c r="T566" s="137">
        <f t="shared" si="97"/>
        <v>8764.5550000000003</v>
      </c>
      <c r="U566" s="137">
        <f t="shared" si="101"/>
        <v>184055.655</v>
      </c>
      <c r="V566" s="137">
        <v>215000</v>
      </c>
      <c r="W566" s="137">
        <f t="shared" si="102"/>
        <v>-30944.345000000001</v>
      </c>
      <c r="X566" s="137">
        <f t="shared" si="98"/>
        <v>-29470.804761904761</v>
      </c>
      <c r="Y566" s="137">
        <f t="shared" si="103"/>
        <v>-1473.5402380952401</v>
      </c>
      <c r="Z566" s="137">
        <v>175291.1</v>
      </c>
      <c r="AA566" s="137">
        <f t="shared" si="99"/>
        <v>39708.899999999994</v>
      </c>
      <c r="AB566" s="146">
        <f t="shared" si="107"/>
        <v>166943.90476190476</v>
      </c>
      <c r="AC566" s="147">
        <f t="shared" si="100"/>
        <v>8347.1952380952425</v>
      </c>
      <c r="AD566" s="137">
        <f t="shared" si="108"/>
        <v>171833.89517603471</v>
      </c>
      <c r="AE566" s="138">
        <v>0.1077</v>
      </c>
      <c r="AF566" s="137">
        <f t="shared" si="109"/>
        <v>18506.510510458938</v>
      </c>
      <c r="AG566" s="137">
        <v>10531.656231904801</v>
      </c>
      <c r="AH566" s="154"/>
      <c r="AI566" s="154"/>
      <c r="AJ566" s="135" t="s">
        <v>63</v>
      </c>
      <c r="AK566" s="119" t="s">
        <v>63</v>
      </c>
      <c r="AM566" s="131"/>
    </row>
    <row r="567" spans="1:39" s="119" customFormat="1" ht="15" customHeight="1" x14ac:dyDescent="0.3">
      <c r="A567" s="119">
        <v>2017</v>
      </c>
      <c r="B567" s="119" t="s">
        <v>199</v>
      </c>
      <c r="C567" s="119" t="s">
        <v>59</v>
      </c>
      <c r="D567" s="119" t="s">
        <v>154</v>
      </c>
      <c r="E567" s="119" t="s">
        <v>107</v>
      </c>
      <c r="F567" s="119" t="s">
        <v>716</v>
      </c>
      <c r="G567" s="119" t="s">
        <v>717</v>
      </c>
      <c r="H567" s="119" t="s">
        <v>717</v>
      </c>
      <c r="I567" s="163" t="s">
        <v>204</v>
      </c>
      <c r="J567" s="119" t="s">
        <v>603</v>
      </c>
      <c r="K567" s="119" t="s">
        <v>639</v>
      </c>
      <c r="L567" s="119" t="s">
        <v>716</v>
      </c>
      <c r="M567" s="119" t="s">
        <v>46</v>
      </c>
      <c r="N567" s="136">
        <v>0.02</v>
      </c>
      <c r="O567" s="135" t="s">
        <v>51</v>
      </c>
      <c r="P567" s="135"/>
      <c r="Q567" s="137">
        <v>0</v>
      </c>
      <c r="R567" s="137">
        <v>0</v>
      </c>
      <c r="S567" s="137">
        <v>23644.19</v>
      </c>
      <c r="T567" s="137">
        <f t="shared" si="97"/>
        <v>472.88380000000001</v>
      </c>
      <c r="U567" s="137">
        <f t="shared" si="101"/>
        <v>24117.073799999998</v>
      </c>
      <c r="V567" s="137">
        <v>24682.6</v>
      </c>
      <c r="W567" s="137">
        <f t="shared" si="102"/>
        <v>-565.52620000000024</v>
      </c>
      <c r="X567" s="137">
        <f t="shared" si="98"/>
        <v>-554.43745098039244</v>
      </c>
      <c r="Y567" s="137">
        <f t="shared" si="103"/>
        <v>-11.088749019607803</v>
      </c>
      <c r="Z567" s="137">
        <v>24117.1</v>
      </c>
      <c r="AA567" s="137">
        <f t="shared" si="99"/>
        <v>565.5</v>
      </c>
      <c r="AB567" s="146">
        <f t="shared" si="107"/>
        <v>23644.215686274507</v>
      </c>
      <c r="AC567" s="147">
        <f t="shared" si="100"/>
        <v>472.88431372549167</v>
      </c>
      <c r="AD567" s="137">
        <v>24117.1</v>
      </c>
      <c r="AE567" s="138">
        <v>7.0000000000000007E-2</v>
      </c>
      <c r="AF567" s="137">
        <f t="shared" si="109"/>
        <v>1688.1970000000001</v>
      </c>
      <c r="AG567" s="137">
        <v>1215.31268627451</v>
      </c>
      <c r="AH567" s="154"/>
      <c r="AI567" s="154"/>
      <c r="AJ567" s="135" t="s">
        <v>173</v>
      </c>
      <c r="AK567" s="119" t="s">
        <v>173</v>
      </c>
      <c r="AM567" s="131"/>
    </row>
    <row r="568" spans="1:39" s="119" customFormat="1" ht="15" customHeight="1" x14ac:dyDescent="0.3">
      <c r="A568" s="119">
        <v>2017</v>
      </c>
      <c r="B568" s="119" t="s">
        <v>199</v>
      </c>
      <c r="C568" s="119" t="s">
        <v>59</v>
      </c>
      <c r="D568" s="119" t="s">
        <v>154</v>
      </c>
      <c r="E568" s="119" t="s">
        <v>107</v>
      </c>
      <c r="F568" s="119" t="s">
        <v>716</v>
      </c>
      <c r="G568" s="119" t="s">
        <v>717</v>
      </c>
      <c r="H568" s="119" t="s">
        <v>717</v>
      </c>
      <c r="I568" s="163" t="s">
        <v>204</v>
      </c>
      <c r="J568" s="119" t="s">
        <v>603</v>
      </c>
      <c r="K568" s="119" t="s">
        <v>639</v>
      </c>
      <c r="L568" s="119" t="s">
        <v>716</v>
      </c>
      <c r="M568" s="119" t="s">
        <v>185</v>
      </c>
      <c r="N568" s="136">
        <v>0.08</v>
      </c>
      <c r="O568" s="135" t="s">
        <v>51</v>
      </c>
      <c r="P568" s="135"/>
      <c r="Q568" s="137">
        <v>0</v>
      </c>
      <c r="R568" s="137">
        <v>0</v>
      </c>
      <c r="S568" s="137">
        <v>554.41</v>
      </c>
      <c r="T568" s="137">
        <f t="shared" si="97"/>
        <v>44.352799999999995</v>
      </c>
      <c r="U568" s="137">
        <f t="shared" si="101"/>
        <v>598.76279999999997</v>
      </c>
      <c r="V568" s="137">
        <v>0</v>
      </c>
      <c r="W568" s="137">
        <f t="shared" si="102"/>
        <v>598.76279999999997</v>
      </c>
      <c r="X568" s="137">
        <f t="shared" si="98"/>
        <v>554.41</v>
      </c>
      <c r="Y568" s="137">
        <f t="shared" si="103"/>
        <v>44.352800000000002</v>
      </c>
      <c r="Z568" s="137">
        <v>565.5</v>
      </c>
      <c r="AA568" s="137">
        <f t="shared" si="99"/>
        <v>-565.5</v>
      </c>
      <c r="AB568" s="146">
        <f t="shared" si="107"/>
        <v>523.61111111111109</v>
      </c>
      <c r="AC568" s="147">
        <f t="shared" si="100"/>
        <v>41.888888888888914</v>
      </c>
      <c r="AD568" s="137">
        <v>565.5</v>
      </c>
      <c r="AE568" s="138">
        <v>0.2</v>
      </c>
      <c r="AF568" s="137">
        <f t="shared" si="109"/>
        <v>113.10000000000001</v>
      </c>
      <c r="AG568" s="137">
        <v>71.211111111111094</v>
      </c>
      <c r="AH568" s="154"/>
      <c r="AI568" s="154"/>
      <c r="AJ568" s="135" t="s">
        <v>53</v>
      </c>
      <c r="AK568" s="119" t="s">
        <v>53</v>
      </c>
      <c r="AM568" s="131"/>
    </row>
    <row r="569" spans="1:39" s="119" customFormat="1" ht="15" customHeight="1" x14ac:dyDescent="0.3">
      <c r="A569" s="119">
        <v>2017</v>
      </c>
      <c r="B569" s="119" t="s">
        <v>38</v>
      </c>
      <c r="C569" s="119" t="s">
        <v>59</v>
      </c>
      <c r="D569" s="119" t="s">
        <v>154</v>
      </c>
      <c r="E569" s="119" t="s">
        <v>107</v>
      </c>
      <c r="F569" s="119" t="s">
        <v>553</v>
      </c>
      <c r="G569" s="119" t="s">
        <v>553</v>
      </c>
      <c r="H569" s="119" t="s">
        <v>553</v>
      </c>
      <c r="I569" s="163" t="s">
        <v>204</v>
      </c>
      <c r="J569" s="119" t="s">
        <v>575</v>
      </c>
      <c r="K569" s="119" t="s">
        <v>576</v>
      </c>
      <c r="L569" s="119" t="s">
        <v>553</v>
      </c>
      <c r="M569" s="119" t="s">
        <v>46</v>
      </c>
      <c r="N569" s="136">
        <v>0.02</v>
      </c>
      <c r="O569" s="135" t="s">
        <v>51</v>
      </c>
      <c r="P569" s="135"/>
      <c r="Q569" s="137">
        <v>0</v>
      </c>
      <c r="R569" s="137">
        <v>0</v>
      </c>
      <c r="S569" s="137">
        <v>1752.05</v>
      </c>
      <c r="T569" s="137">
        <f t="shared" si="97"/>
        <v>35.040999999999997</v>
      </c>
      <c r="U569" s="137">
        <f t="shared" si="101"/>
        <v>1787.0909999999999</v>
      </c>
      <c r="V569" s="137">
        <v>20400</v>
      </c>
      <c r="W569" s="137">
        <f t="shared" si="102"/>
        <v>-18612.909</v>
      </c>
      <c r="X569" s="137">
        <f t="shared" si="98"/>
        <v>-18247.95</v>
      </c>
      <c r="Y569" s="137">
        <f t="shared" si="103"/>
        <v>-364.95899999999892</v>
      </c>
      <c r="Z569" s="137">
        <v>1787.09</v>
      </c>
      <c r="AA569" s="137">
        <f t="shared" si="99"/>
        <v>18612.91</v>
      </c>
      <c r="AB569" s="146">
        <f t="shared" si="107"/>
        <v>1752.0490196078431</v>
      </c>
      <c r="AC569" s="147">
        <f t="shared" si="100"/>
        <v>35.040980392156825</v>
      </c>
      <c r="AD569" s="137">
        <f>Z569*0.980277351080772</f>
        <v>1751.8438513429367</v>
      </c>
      <c r="AE569" s="138">
        <v>0.1077</v>
      </c>
      <c r="AF569" s="137">
        <f t="shared" si="109"/>
        <v>188.67358278963428</v>
      </c>
      <c r="AG569" s="137">
        <v>157.42861260784301</v>
      </c>
      <c r="AH569" s="154"/>
      <c r="AI569" s="154"/>
      <c r="AJ569" s="135" t="s">
        <v>173</v>
      </c>
      <c r="AK569" s="119" t="s">
        <v>173</v>
      </c>
      <c r="AM569" s="131"/>
    </row>
    <row r="570" spans="1:39" s="119" customFormat="1" ht="15" customHeight="1" x14ac:dyDescent="0.3">
      <c r="A570" s="119">
        <v>2017</v>
      </c>
      <c r="B570" s="119" t="s">
        <v>38</v>
      </c>
      <c r="C570" s="119" t="s">
        <v>59</v>
      </c>
      <c r="D570" s="119" t="s">
        <v>154</v>
      </c>
      <c r="E570" s="119" t="s">
        <v>107</v>
      </c>
      <c r="F570" s="119" t="s">
        <v>553</v>
      </c>
      <c r="G570" s="119" t="s">
        <v>553</v>
      </c>
      <c r="H570" s="119" t="s">
        <v>553</v>
      </c>
      <c r="I570" s="163" t="s">
        <v>204</v>
      </c>
      <c r="J570" s="119" t="s">
        <v>575</v>
      </c>
      <c r="K570" s="119" t="s">
        <v>576</v>
      </c>
      <c r="L570" s="119" t="s">
        <v>553</v>
      </c>
      <c r="M570" s="119" t="s">
        <v>185</v>
      </c>
      <c r="N570" s="136">
        <v>0.02</v>
      </c>
      <c r="O570" s="135" t="s">
        <v>51</v>
      </c>
      <c r="P570" s="135"/>
      <c r="Q570" s="137">
        <v>0</v>
      </c>
      <c r="R570" s="137">
        <v>0</v>
      </c>
      <c r="S570" s="137">
        <v>8195.5400000000009</v>
      </c>
      <c r="T570" s="137">
        <f t="shared" si="97"/>
        <v>163.91080000000002</v>
      </c>
      <c r="U570" s="137">
        <f t="shared" si="101"/>
        <v>8359.4508000000005</v>
      </c>
      <c r="V570" s="137">
        <v>0</v>
      </c>
      <c r="W570" s="137">
        <f t="shared" si="102"/>
        <v>8359.4508000000005</v>
      </c>
      <c r="X570" s="137">
        <f t="shared" si="98"/>
        <v>8195.5400000000009</v>
      </c>
      <c r="Y570" s="137">
        <f t="shared" si="103"/>
        <v>163.91079999999965</v>
      </c>
      <c r="Z570" s="137">
        <v>8412.91</v>
      </c>
      <c r="AA570" s="137">
        <f t="shared" si="99"/>
        <v>-8412.91</v>
      </c>
      <c r="AB570" s="146">
        <f t="shared" si="107"/>
        <v>8247.9509803921574</v>
      </c>
      <c r="AC570" s="147">
        <f t="shared" si="100"/>
        <v>164.95901960784249</v>
      </c>
      <c r="AD570" s="137">
        <f>Z570*0.980277351080772</f>
        <v>8246.9851296809375</v>
      </c>
      <c r="AE570" s="138">
        <v>0.31559999999999999</v>
      </c>
      <c r="AF570" s="137">
        <f t="shared" si="109"/>
        <v>2602.7485069273039</v>
      </c>
      <c r="AG570" s="137">
        <v>2031.93587748148</v>
      </c>
      <c r="AH570" s="154"/>
      <c r="AI570" s="154"/>
      <c r="AJ570" s="135" t="s">
        <v>53</v>
      </c>
      <c r="AK570" s="119" t="s">
        <v>53</v>
      </c>
      <c r="AM570" s="131"/>
    </row>
    <row r="571" spans="1:39" s="119" customFormat="1" ht="15" customHeight="1" x14ac:dyDescent="0.3">
      <c r="A571" s="119">
        <v>2017</v>
      </c>
      <c r="B571" s="119" t="s">
        <v>38</v>
      </c>
      <c r="C571" s="119" t="s">
        <v>59</v>
      </c>
      <c r="D571" s="119" t="s">
        <v>154</v>
      </c>
      <c r="E571" s="119" t="s">
        <v>107</v>
      </c>
      <c r="F571" s="119" t="s">
        <v>338</v>
      </c>
      <c r="G571" s="119" t="s">
        <v>339</v>
      </c>
      <c r="H571" s="119" t="s">
        <v>339</v>
      </c>
      <c r="I571" s="163" t="s">
        <v>204</v>
      </c>
      <c r="J571" s="119" t="s">
        <v>603</v>
      </c>
      <c r="K571" s="119" t="s">
        <v>618</v>
      </c>
      <c r="L571" s="119" t="s">
        <v>338</v>
      </c>
      <c r="M571" s="119" t="s">
        <v>46</v>
      </c>
      <c r="N571" s="135">
        <v>0</v>
      </c>
      <c r="O571" s="135" t="s">
        <v>47</v>
      </c>
      <c r="P571" s="135"/>
      <c r="Q571" s="137">
        <v>0</v>
      </c>
      <c r="R571" s="137">
        <v>0</v>
      </c>
      <c r="S571" s="137">
        <v>20062.72</v>
      </c>
      <c r="T571" s="137">
        <f t="shared" si="97"/>
        <v>0</v>
      </c>
      <c r="U571" s="137">
        <f t="shared" si="101"/>
        <v>20062.72</v>
      </c>
      <c r="V571" s="137">
        <v>30000</v>
      </c>
      <c r="W571" s="137">
        <f t="shared" si="102"/>
        <v>-9937.2799999999988</v>
      </c>
      <c r="X571" s="137">
        <f t="shared" si="98"/>
        <v>-9937.2799999999988</v>
      </c>
      <c r="Y571" s="137">
        <f t="shared" si="103"/>
        <v>0</v>
      </c>
      <c r="Z571" s="137">
        <v>14897.22</v>
      </c>
      <c r="AA571" s="137">
        <f t="shared" si="99"/>
        <v>15102.78</v>
      </c>
      <c r="AB571" s="146">
        <f t="shared" si="107"/>
        <v>14897.22</v>
      </c>
      <c r="AC571" s="147">
        <f t="shared" si="100"/>
        <v>0</v>
      </c>
      <c r="AD571" s="137">
        <v>14897.22</v>
      </c>
      <c r="AE571" s="138">
        <v>7.0000000000000007E-2</v>
      </c>
      <c r="AF571" s="137">
        <f t="shared" si="109"/>
        <v>1042.8054</v>
      </c>
      <c r="AG571" s="137">
        <v>1042.8054</v>
      </c>
      <c r="AH571" s="154"/>
      <c r="AI571" s="154"/>
      <c r="AJ571" s="135" t="s">
        <v>47</v>
      </c>
      <c r="AK571" s="119" t="s">
        <v>47</v>
      </c>
      <c r="AM571" s="131"/>
    </row>
    <row r="572" spans="1:39" s="119" customFormat="1" ht="15" customHeight="1" x14ac:dyDescent="0.3">
      <c r="A572" s="119">
        <v>2017</v>
      </c>
      <c r="B572" s="119" t="s">
        <v>38</v>
      </c>
      <c r="C572" s="119" t="s">
        <v>59</v>
      </c>
      <c r="D572" s="119" t="s">
        <v>718</v>
      </c>
      <c r="F572" s="131" t="s">
        <v>719</v>
      </c>
      <c r="G572" s="131" t="s">
        <v>719</v>
      </c>
      <c r="H572" s="131" t="s">
        <v>719</v>
      </c>
      <c r="I572" s="119" t="s">
        <v>170</v>
      </c>
      <c r="J572" s="119" t="s">
        <v>171</v>
      </c>
      <c r="K572" s="119" t="s">
        <v>172</v>
      </c>
      <c r="L572" s="119" t="s">
        <v>719</v>
      </c>
      <c r="M572" s="119" t="s">
        <v>185</v>
      </c>
      <c r="N572" s="136">
        <v>0.12</v>
      </c>
      <c r="O572" s="135" t="s">
        <v>51</v>
      </c>
      <c r="P572" s="135"/>
      <c r="Q572" s="137">
        <v>0</v>
      </c>
      <c r="R572" s="137">
        <v>0</v>
      </c>
      <c r="S572" s="137"/>
      <c r="T572" s="137">
        <f t="shared" si="97"/>
        <v>0</v>
      </c>
      <c r="U572" s="137">
        <f t="shared" si="101"/>
        <v>0</v>
      </c>
      <c r="V572" s="137">
        <v>15520.04</v>
      </c>
      <c r="W572" s="137">
        <f t="shared" si="102"/>
        <v>-15520.04</v>
      </c>
      <c r="X572" s="137">
        <f t="shared" si="98"/>
        <v>-13857.178571428571</v>
      </c>
      <c r="Y572" s="137">
        <f t="shared" si="103"/>
        <v>-1662.8614285714302</v>
      </c>
      <c r="Z572" s="137">
        <v>130790.98</v>
      </c>
      <c r="AA572" s="137">
        <f t="shared" si="99"/>
        <v>-115270.94</v>
      </c>
      <c r="AB572" s="146">
        <f t="shared" si="107"/>
        <v>116777.6607142857</v>
      </c>
      <c r="AC572" s="147">
        <f t="shared" si="100"/>
        <v>14013.3192857143</v>
      </c>
      <c r="AD572" s="137">
        <f>(Z572-Q572)*0.91072157793815</f>
        <v>119114.16768567702</v>
      </c>
      <c r="AE572" s="138">
        <v>0.11269173273981201</v>
      </c>
      <c r="AF572" s="137">
        <f t="shared" si="109"/>
        <v>13423.181950359467</v>
      </c>
      <c r="AG572" s="137">
        <v>-2295.50207031338</v>
      </c>
      <c r="AH572" s="154"/>
      <c r="AI572" s="154"/>
      <c r="AJ572" s="135" t="s">
        <v>117</v>
      </c>
      <c r="AK572" s="119" t="s">
        <v>193</v>
      </c>
      <c r="AL572" s="119" t="s">
        <v>174</v>
      </c>
      <c r="AM572" s="131" t="s">
        <v>208</v>
      </c>
    </row>
    <row r="573" spans="1:39" s="119" customFormat="1" ht="15" customHeight="1" x14ac:dyDescent="0.3">
      <c r="A573" s="119">
        <v>2017</v>
      </c>
      <c r="B573" s="119" t="s">
        <v>199</v>
      </c>
      <c r="C573" s="119" t="s">
        <v>59</v>
      </c>
      <c r="D573" s="119" t="s">
        <v>154</v>
      </c>
      <c r="E573" s="119" t="s">
        <v>61</v>
      </c>
      <c r="F573" s="119" t="s">
        <v>467</v>
      </c>
      <c r="G573" s="119" t="s">
        <v>720</v>
      </c>
      <c r="H573" s="119" t="s">
        <v>720</v>
      </c>
      <c r="I573" s="163" t="s">
        <v>204</v>
      </c>
      <c r="J573" s="119" t="s">
        <v>575</v>
      </c>
      <c r="K573" s="119" t="s">
        <v>576</v>
      </c>
      <c r="L573" s="119" t="s">
        <v>467</v>
      </c>
      <c r="M573" s="119" t="s">
        <v>46</v>
      </c>
      <c r="N573" s="136">
        <v>0.02</v>
      </c>
      <c r="O573" s="135" t="s">
        <v>51</v>
      </c>
      <c r="P573" s="135"/>
      <c r="Q573" s="137">
        <v>0</v>
      </c>
      <c r="R573" s="137">
        <v>0</v>
      </c>
      <c r="S573" s="137">
        <v>164457.68</v>
      </c>
      <c r="T573" s="137">
        <f t="shared" si="97"/>
        <v>3289.1536000000001</v>
      </c>
      <c r="U573" s="137">
        <f t="shared" si="101"/>
        <v>167746.83359999998</v>
      </c>
      <c r="V573" s="137">
        <v>204000</v>
      </c>
      <c r="W573" s="137">
        <f t="shared" si="102"/>
        <v>-36253.166400000016</v>
      </c>
      <c r="X573" s="137">
        <f t="shared" si="98"/>
        <v>-35542.320000000014</v>
      </c>
      <c r="Y573" s="137">
        <f t="shared" si="103"/>
        <v>-710.84640000000218</v>
      </c>
      <c r="Z573" s="137">
        <v>167746.82999999999</v>
      </c>
      <c r="AA573" s="137">
        <f t="shared" si="99"/>
        <v>36253.170000000013</v>
      </c>
      <c r="AB573" s="146">
        <f t="shared" si="107"/>
        <v>164457.67647058822</v>
      </c>
      <c r="AC573" s="147">
        <f t="shared" si="100"/>
        <v>3289.1535294117639</v>
      </c>
      <c r="AD573" s="137">
        <f t="shared" ref="AD573:AD580" si="110">Z573*0.980277351080772</f>
        <v>164438.41816459657</v>
      </c>
      <c r="AE573" s="138">
        <v>0.1077</v>
      </c>
      <c r="AF573" s="137">
        <f t="shared" si="109"/>
        <v>17710.017636327051</v>
      </c>
      <c r="AG573" s="137">
        <v>14777.1800615882</v>
      </c>
      <c r="AH573" s="154"/>
      <c r="AI573" s="154"/>
      <c r="AJ573" s="135" t="s">
        <v>173</v>
      </c>
      <c r="AK573" s="119" t="s">
        <v>173</v>
      </c>
      <c r="AM573" s="131"/>
    </row>
    <row r="574" spans="1:39" s="119" customFormat="1" ht="15" customHeight="1" x14ac:dyDescent="0.3">
      <c r="A574" s="119">
        <v>2017</v>
      </c>
      <c r="B574" s="119" t="s">
        <v>199</v>
      </c>
      <c r="C574" s="119" t="s">
        <v>59</v>
      </c>
      <c r="D574" s="119" t="s">
        <v>154</v>
      </c>
      <c r="E574" s="119" t="s">
        <v>61</v>
      </c>
      <c r="F574" s="119" t="s">
        <v>467</v>
      </c>
      <c r="G574" s="119" t="s">
        <v>720</v>
      </c>
      <c r="H574" s="119" t="s">
        <v>720</v>
      </c>
      <c r="I574" s="163" t="s">
        <v>204</v>
      </c>
      <c r="J574" s="119" t="s">
        <v>575</v>
      </c>
      <c r="K574" s="119" t="s">
        <v>576</v>
      </c>
      <c r="L574" s="119" t="s">
        <v>467</v>
      </c>
      <c r="M574" s="119" t="s">
        <v>185</v>
      </c>
      <c r="N574" s="136">
        <v>0.08</v>
      </c>
      <c r="O574" s="135" t="s">
        <v>51</v>
      </c>
      <c r="P574" s="135"/>
      <c r="Q574" s="137">
        <v>0</v>
      </c>
      <c r="R574" s="137">
        <v>0</v>
      </c>
      <c r="S574" s="137">
        <v>35076.15</v>
      </c>
      <c r="T574" s="137">
        <f t="shared" si="97"/>
        <v>2806.0920000000001</v>
      </c>
      <c r="U574" s="137">
        <f t="shared" si="101"/>
        <v>37882.241999999998</v>
      </c>
      <c r="V574" s="137">
        <v>0</v>
      </c>
      <c r="W574" s="137">
        <f t="shared" si="102"/>
        <v>37882.241999999998</v>
      </c>
      <c r="X574" s="137">
        <f t="shared" si="98"/>
        <v>35076.149999999994</v>
      </c>
      <c r="Y574" s="137">
        <f t="shared" si="103"/>
        <v>2806.0920000000042</v>
      </c>
      <c r="Z574" s="137">
        <v>36253.17</v>
      </c>
      <c r="AA574" s="137">
        <f t="shared" si="99"/>
        <v>-36253.17</v>
      </c>
      <c r="AB574" s="146">
        <f t="shared" si="107"/>
        <v>33567.749999999993</v>
      </c>
      <c r="AC574" s="147">
        <f t="shared" si="100"/>
        <v>2685.4200000000055</v>
      </c>
      <c r="AD574" s="137">
        <f t="shared" si="110"/>
        <v>35538.161455880909</v>
      </c>
      <c r="AE574" s="138">
        <v>0.31559999999999999</v>
      </c>
      <c r="AF574" s="137">
        <f t="shared" si="109"/>
        <v>11215.843755476015</v>
      </c>
      <c r="AG574" s="137">
        <v>8756.0804519999892</v>
      </c>
      <c r="AH574" s="154"/>
      <c r="AI574" s="154"/>
      <c r="AJ574" s="135" t="s">
        <v>53</v>
      </c>
      <c r="AK574" s="119" t="s">
        <v>53</v>
      </c>
      <c r="AM574" s="131"/>
    </row>
    <row r="575" spans="1:39" s="119" customFormat="1" ht="15" customHeight="1" x14ac:dyDescent="0.3">
      <c r="A575" s="119">
        <v>2017</v>
      </c>
      <c r="B575" s="119" t="s">
        <v>38</v>
      </c>
      <c r="C575" s="119" t="s">
        <v>59</v>
      </c>
      <c r="D575" s="119" t="s">
        <v>154</v>
      </c>
      <c r="E575" s="119" t="s">
        <v>61</v>
      </c>
      <c r="F575" s="119" t="s">
        <v>721</v>
      </c>
      <c r="G575" s="119" t="s">
        <v>721</v>
      </c>
      <c r="H575" s="119" t="s">
        <v>721</v>
      </c>
      <c r="I575" s="163" t="s">
        <v>204</v>
      </c>
      <c r="J575" s="119" t="s">
        <v>575</v>
      </c>
      <c r="K575" s="119" t="s">
        <v>576</v>
      </c>
      <c r="L575" s="119" t="s">
        <v>721</v>
      </c>
      <c r="M575" s="119" t="s">
        <v>46</v>
      </c>
      <c r="N575" s="136">
        <v>0.02</v>
      </c>
      <c r="O575" s="135" t="s">
        <v>51</v>
      </c>
      <c r="P575" s="135"/>
      <c r="Q575" s="137">
        <v>0</v>
      </c>
      <c r="R575" s="137">
        <v>0</v>
      </c>
      <c r="S575" s="137">
        <v>45111.09</v>
      </c>
      <c r="T575" s="137">
        <f t="shared" si="97"/>
        <v>902.22179999999992</v>
      </c>
      <c r="U575" s="137">
        <f t="shared" si="101"/>
        <v>46013.311799999996</v>
      </c>
      <c r="V575" s="137">
        <v>51000</v>
      </c>
      <c r="W575" s="137">
        <f t="shared" si="102"/>
        <v>-4986.6882000000041</v>
      </c>
      <c r="X575" s="137">
        <f t="shared" si="98"/>
        <v>-4888.9100000000044</v>
      </c>
      <c r="Y575" s="137">
        <f t="shared" si="103"/>
        <v>-97.778199999999742</v>
      </c>
      <c r="Z575" s="137">
        <v>46013.31</v>
      </c>
      <c r="AA575" s="137">
        <f t="shared" si="99"/>
        <v>4986.6900000000023</v>
      </c>
      <c r="AB575" s="146">
        <f t="shared" si="107"/>
        <v>45111.088235294112</v>
      </c>
      <c r="AC575" s="147">
        <f t="shared" si="100"/>
        <v>902.22176470588602</v>
      </c>
      <c r="AD575" s="137">
        <f t="shared" si="110"/>
        <v>45105.80564125839</v>
      </c>
      <c r="AE575" s="138">
        <v>0.1077</v>
      </c>
      <c r="AF575" s="137">
        <f t="shared" si="109"/>
        <v>4857.8952675635292</v>
      </c>
      <c r="AG575" s="137">
        <v>4053.4117222941099</v>
      </c>
      <c r="AH575" s="154"/>
      <c r="AI575" s="154"/>
      <c r="AJ575" s="135" t="s">
        <v>173</v>
      </c>
      <c r="AK575" s="119" t="s">
        <v>173</v>
      </c>
      <c r="AM575" s="131"/>
    </row>
    <row r="576" spans="1:39" s="119" customFormat="1" ht="15" customHeight="1" x14ac:dyDescent="0.3">
      <c r="A576" s="119">
        <v>2017</v>
      </c>
      <c r="B576" s="119" t="s">
        <v>38</v>
      </c>
      <c r="C576" s="119" t="s">
        <v>59</v>
      </c>
      <c r="D576" s="119" t="s">
        <v>154</v>
      </c>
      <c r="E576" s="119" t="s">
        <v>61</v>
      </c>
      <c r="F576" s="119" t="s">
        <v>722</v>
      </c>
      <c r="G576" s="119" t="s">
        <v>722</v>
      </c>
      <c r="H576" s="119" t="s">
        <v>722</v>
      </c>
      <c r="I576" s="163" t="s">
        <v>204</v>
      </c>
      <c r="J576" s="119" t="s">
        <v>575</v>
      </c>
      <c r="K576" s="119" t="s">
        <v>576</v>
      </c>
      <c r="L576" s="119" t="s">
        <v>722</v>
      </c>
      <c r="M576" s="119" t="s">
        <v>46</v>
      </c>
      <c r="N576" s="136">
        <v>0.02</v>
      </c>
      <c r="O576" s="135" t="s">
        <v>51</v>
      </c>
      <c r="P576" s="135"/>
      <c r="Q576" s="137">
        <v>0</v>
      </c>
      <c r="R576" s="137">
        <v>0</v>
      </c>
      <c r="S576" s="137">
        <v>350316.85</v>
      </c>
      <c r="T576" s="137">
        <f t="shared" si="97"/>
        <v>7006.3369999999995</v>
      </c>
      <c r="U576" s="137">
        <f t="shared" si="101"/>
        <v>357323.18699999998</v>
      </c>
      <c r="V576" s="137">
        <v>183600</v>
      </c>
      <c r="W576" s="137">
        <f t="shared" si="102"/>
        <v>173723.18699999998</v>
      </c>
      <c r="X576" s="137">
        <f t="shared" si="98"/>
        <v>170316.84999999998</v>
      </c>
      <c r="Y576" s="137">
        <f t="shared" si="103"/>
        <v>3406.3369999999995</v>
      </c>
      <c r="Z576" s="137">
        <v>96223.91</v>
      </c>
      <c r="AA576" s="137">
        <f t="shared" si="99"/>
        <v>87376.09</v>
      </c>
      <c r="AB576" s="146">
        <f t="shared" si="107"/>
        <v>94337.166666666672</v>
      </c>
      <c r="AC576" s="147">
        <f t="shared" si="100"/>
        <v>1886.743333333332</v>
      </c>
      <c r="AD576" s="137">
        <f t="shared" si="110"/>
        <v>94326.119605434607</v>
      </c>
      <c r="AE576" s="138">
        <v>0.1077</v>
      </c>
      <c r="AF576" s="137">
        <f t="shared" si="109"/>
        <v>10158.923081505307</v>
      </c>
      <c r="AG576" s="137">
        <v>8476.5717736666702</v>
      </c>
      <c r="AH576" s="154"/>
      <c r="AI576" s="154"/>
      <c r="AJ576" s="135" t="s">
        <v>173</v>
      </c>
      <c r="AK576" s="119" t="s">
        <v>173</v>
      </c>
      <c r="AM576" s="131"/>
    </row>
    <row r="577" spans="1:39" s="119" customFormat="1" ht="15" customHeight="1" x14ac:dyDescent="0.3">
      <c r="A577" s="119">
        <v>2017</v>
      </c>
      <c r="B577" s="119" t="s">
        <v>38</v>
      </c>
      <c r="C577" s="119" t="s">
        <v>59</v>
      </c>
      <c r="D577" s="119" t="s">
        <v>154</v>
      </c>
      <c r="E577" s="119" t="s">
        <v>61</v>
      </c>
      <c r="F577" s="119" t="s">
        <v>722</v>
      </c>
      <c r="G577" s="119" t="s">
        <v>723</v>
      </c>
      <c r="H577" s="119" t="s">
        <v>723</v>
      </c>
      <c r="I577" s="163" t="s">
        <v>204</v>
      </c>
      <c r="J577" s="119" t="s">
        <v>575</v>
      </c>
      <c r="K577" s="119" t="s">
        <v>576</v>
      </c>
      <c r="L577" s="119" t="s">
        <v>722</v>
      </c>
      <c r="M577" s="119" t="s">
        <v>185</v>
      </c>
      <c r="N577" s="136">
        <v>0.08</v>
      </c>
      <c r="O577" s="135" t="s">
        <v>51</v>
      </c>
      <c r="P577" s="135"/>
      <c r="Q577" s="137">
        <v>0</v>
      </c>
      <c r="R577" s="137">
        <v>0</v>
      </c>
      <c r="S577" s="137">
        <v>247081.46</v>
      </c>
      <c r="T577" s="137">
        <f t="shared" si="97"/>
        <v>19766.516800000001</v>
      </c>
      <c r="U577" s="137">
        <f t="shared" si="101"/>
        <v>266847.9768</v>
      </c>
      <c r="V577" s="137">
        <v>0</v>
      </c>
      <c r="W577" s="137">
        <f t="shared" si="102"/>
        <v>266847.9768</v>
      </c>
      <c r="X577" s="137">
        <f t="shared" si="98"/>
        <v>247081.46</v>
      </c>
      <c r="Y577" s="137">
        <f t="shared" si="103"/>
        <v>19766.516800000012</v>
      </c>
      <c r="Z577" s="137">
        <v>40745.129999999997</v>
      </c>
      <c r="AA577" s="137">
        <f t="shared" si="99"/>
        <v>-40745.129999999997</v>
      </c>
      <c r="AB577" s="146">
        <f t="shared" si="107"/>
        <v>37726.972222222219</v>
      </c>
      <c r="AC577" s="147">
        <f t="shared" si="100"/>
        <v>3018.1577777777784</v>
      </c>
      <c r="AD577" s="137">
        <f t="shared" si="110"/>
        <v>39941.528105841695</v>
      </c>
      <c r="AE577" s="138">
        <v>0.31559999999999999</v>
      </c>
      <c r="AF577" s="137">
        <f t="shared" si="109"/>
        <v>12605.546270203638</v>
      </c>
      <c r="AG577" s="137">
        <v>9841.0052502222206</v>
      </c>
      <c r="AH577" s="154"/>
      <c r="AI577" s="154"/>
      <c r="AJ577" s="135" t="s">
        <v>53</v>
      </c>
      <c r="AK577" s="119" t="s">
        <v>53</v>
      </c>
      <c r="AM577" s="131"/>
    </row>
    <row r="578" spans="1:39" s="119" customFormat="1" ht="15" customHeight="1" x14ac:dyDescent="0.3">
      <c r="A578" s="119">
        <v>2017</v>
      </c>
      <c r="B578" s="119" t="s">
        <v>38</v>
      </c>
      <c r="C578" s="119" t="s">
        <v>59</v>
      </c>
      <c r="D578" s="119" t="s">
        <v>154</v>
      </c>
      <c r="E578" s="119" t="s">
        <v>468</v>
      </c>
      <c r="F578" s="119" t="s">
        <v>724</v>
      </c>
      <c r="G578" s="119" t="s">
        <v>724</v>
      </c>
      <c r="H578" s="119" t="s">
        <v>724</v>
      </c>
      <c r="I578" s="163" t="s">
        <v>204</v>
      </c>
      <c r="J578" s="119" t="s">
        <v>575</v>
      </c>
      <c r="K578" s="119" t="s">
        <v>576</v>
      </c>
      <c r="L578" s="119" t="s">
        <v>724</v>
      </c>
      <c r="M578" s="119" t="s">
        <v>46</v>
      </c>
      <c r="N578" s="136">
        <v>0.02</v>
      </c>
      <c r="O578" s="135" t="s">
        <v>51</v>
      </c>
      <c r="P578" s="135"/>
      <c r="Q578" s="137">
        <v>0</v>
      </c>
      <c r="R578" s="137">
        <v>0</v>
      </c>
      <c r="S578" s="137">
        <v>11433.93</v>
      </c>
      <c r="T578" s="137">
        <f t="shared" ref="T578:T641" si="111">S578*N578</f>
        <v>228.67860000000002</v>
      </c>
      <c r="U578" s="137">
        <f t="shared" si="101"/>
        <v>11662.6086</v>
      </c>
      <c r="V578" s="137">
        <v>20400</v>
      </c>
      <c r="W578" s="137">
        <f t="shared" si="102"/>
        <v>-8737.3914000000004</v>
      </c>
      <c r="X578" s="137">
        <f t="shared" ref="X578:X641" si="112">W578/(1+N578)</f>
        <v>-8566.07</v>
      </c>
      <c r="Y578" s="137">
        <f t="shared" si="103"/>
        <v>-171.32140000000072</v>
      </c>
      <c r="Z578" s="137">
        <v>11662.61</v>
      </c>
      <c r="AA578" s="137">
        <f t="shared" ref="AA578:AA641" si="113">Q578+V578-Z578</f>
        <v>8737.39</v>
      </c>
      <c r="AB578" s="146">
        <f t="shared" si="107"/>
        <v>11433.931372549019</v>
      </c>
      <c r="AC578" s="147">
        <f t="shared" ref="AC578:AC641" si="114">IF(O578="返现",Z578*N578,Z578-AB578)</f>
        <v>228.67862745098137</v>
      </c>
      <c r="AD578" s="137">
        <f t="shared" si="110"/>
        <v>11432.592437488123</v>
      </c>
      <c r="AE578" s="138">
        <v>0.1077</v>
      </c>
      <c r="AF578" s="137">
        <f t="shared" si="109"/>
        <v>1231.2902055174709</v>
      </c>
      <c r="AG578" s="137">
        <v>1027.38446954902</v>
      </c>
      <c r="AH578" s="154"/>
      <c r="AI578" s="154"/>
      <c r="AJ578" s="135" t="s">
        <v>173</v>
      </c>
      <c r="AK578" s="119" t="s">
        <v>173</v>
      </c>
      <c r="AM578" s="131"/>
    </row>
    <row r="579" spans="1:39" s="119" customFormat="1" ht="15" customHeight="1" x14ac:dyDescent="0.3">
      <c r="A579" s="119">
        <v>2017</v>
      </c>
      <c r="B579" s="119" t="s">
        <v>38</v>
      </c>
      <c r="C579" s="119" t="s">
        <v>59</v>
      </c>
      <c r="D579" s="119" t="s">
        <v>154</v>
      </c>
      <c r="E579" s="119" t="s">
        <v>468</v>
      </c>
      <c r="F579" s="119" t="s">
        <v>724</v>
      </c>
      <c r="G579" s="119" t="s">
        <v>724</v>
      </c>
      <c r="H579" s="119" t="s">
        <v>724</v>
      </c>
      <c r="I579" s="163" t="s">
        <v>204</v>
      </c>
      <c r="J579" s="119" t="s">
        <v>575</v>
      </c>
      <c r="K579" s="119" t="s">
        <v>576</v>
      </c>
      <c r="L579" s="119" t="s">
        <v>724</v>
      </c>
      <c r="M579" s="119" t="s">
        <v>185</v>
      </c>
      <c r="N579" s="136">
        <v>0.08</v>
      </c>
      <c r="O579" s="135" t="s">
        <v>51</v>
      </c>
      <c r="P579" s="135"/>
      <c r="Q579" s="137">
        <v>0</v>
      </c>
      <c r="R579" s="137">
        <v>0</v>
      </c>
      <c r="S579" s="137">
        <v>4386.83</v>
      </c>
      <c r="T579" s="137">
        <f t="shared" si="111"/>
        <v>350.94639999999998</v>
      </c>
      <c r="U579" s="137">
        <f t="shared" ref="U579:U642" si="115">R579+S579+T579</f>
        <v>4737.7763999999997</v>
      </c>
      <c r="V579" s="137">
        <v>0</v>
      </c>
      <c r="W579" s="137">
        <f t="shared" ref="W579:W642" si="116">U579-V579</f>
        <v>4737.7763999999997</v>
      </c>
      <c r="X579" s="137">
        <f t="shared" si="112"/>
        <v>4386.829999999999</v>
      </c>
      <c r="Y579" s="137">
        <f t="shared" ref="Y579:Y642" si="117">W579-X579</f>
        <v>350.94640000000072</v>
      </c>
      <c r="Z579" s="137">
        <v>4474.57</v>
      </c>
      <c r="AA579" s="137">
        <f t="shared" si="113"/>
        <v>-4474.57</v>
      </c>
      <c r="AB579" s="146">
        <f t="shared" si="107"/>
        <v>4143.1203703703695</v>
      </c>
      <c r="AC579" s="147">
        <f t="shared" si="114"/>
        <v>331.44962962963018</v>
      </c>
      <c r="AD579" s="137">
        <f t="shared" si="110"/>
        <v>4386.3196268254896</v>
      </c>
      <c r="AE579" s="138">
        <v>0.31559999999999999</v>
      </c>
      <c r="AF579" s="137">
        <f t="shared" si="109"/>
        <v>1384.3224742261245</v>
      </c>
      <c r="AG579" s="137">
        <v>1080.72466237037</v>
      </c>
      <c r="AH579" s="154"/>
      <c r="AI579" s="154"/>
      <c r="AJ579" s="135" t="s">
        <v>53</v>
      </c>
      <c r="AK579" s="119" t="s">
        <v>53</v>
      </c>
      <c r="AM579" s="131"/>
    </row>
    <row r="580" spans="1:39" s="119" customFormat="1" ht="15" customHeight="1" x14ac:dyDescent="0.3">
      <c r="A580" s="119">
        <v>2017</v>
      </c>
      <c r="B580" s="119" t="s">
        <v>199</v>
      </c>
      <c r="C580" s="119" t="s">
        <v>59</v>
      </c>
      <c r="D580" s="119" t="s">
        <v>154</v>
      </c>
      <c r="E580" s="119" t="s">
        <v>192</v>
      </c>
      <c r="F580" s="119" t="s">
        <v>725</v>
      </c>
      <c r="G580" s="119" t="s">
        <v>726</v>
      </c>
      <c r="H580" s="119" t="s">
        <v>726</v>
      </c>
      <c r="I580" s="163" t="s">
        <v>204</v>
      </c>
      <c r="J580" s="119" t="s">
        <v>575</v>
      </c>
      <c r="K580" s="119" t="s">
        <v>576</v>
      </c>
      <c r="L580" s="119" t="s">
        <v>725</v>
      </c>
      <c r="M580" s="119" t="s">
        <v>46</v>
      </c>
      <c r="N580" s="136">
        <v>0.02</v>
      </c>
      <c r="O580" s="135" t="s">
        <v>51</v>
      </c>
      <c r="P580" s="135"/>
      <c r="Q580" s="137">
        <v>0</v>
      </c>
      <c r="R580" s="137">
        <v>0</v>
      </c>
      <c r="S580" s="137">
        <v>10000</v>
      </c>
      <c r="T580" s="137">
        <f t="shared" si="111"/>
        <v>200</v>
      </c>
      <c r="U580" s="137">
        <f t="shared" si="115"/>
        <v>10200</v>
      </c>
      <c r="V580" s="137">
        <v>10200</v>
      </c>
      <c r="W580" s="137">
        <f t="shared" si="116"/>
        <v>0</v>
      </c>
      <c r="X580" s="137">
        <f t="shared" si="112"/>
        <v>0</v>
      </c>
      <c r="Y580" s="137">
        <f t="shared" si="117"/>
        <v>0</v>
      </c>
      <c r="Z580" s="137">
        <v>5551.26</v>
      </c>
      <c r="AA580" s="137">
        <f t="shared" si="113"/>
        <v>4648.74</v>
      </c>
      <c r="AB580" s="146">
        <f t="shared" si="107"/>
        <v>5442.4117647058829</v>
      </c>
      <c r="AC580" s="147">
        <f t="shared" si="114"/>
        <v>108.84823529411733</v>
      </c>
      <c r="AD580" s="137">
        <f t="shared" si="110"/>
        <v>5441.7744479606463</v>
      </c>
      <c r="AE580" s="138">
        <v>0.1077</v>
      </c>
      <c r="AF580" s="137">
        <f t="shared" si="109"/>
        <v>586.07910804536164</v>
      </c>
      <c r="AG580" s="137">
        <v>489.02246670588301</v>
      </c>
      <c r="AH580" s="154"/>
      <c r="AI580" s="154"/>
      <c r="AJ580" s="135" t="s">
        <v>173</v>
      </c>
      <c r="AK580" s="119" t="s">
        <v>173</v>
      </c>
      <c r="AM580" s="131"/>
    </row>
    <row r="581" spans="1:39" s="119" customFormat="1" ht="15" customHeight="1" x14ac:dyDescent="0.3">
      <c r="A581" s="119">
        <v>2017</v>
      </c>
      <c r="B581" s="119" t="s">
        <v>199</v>
      </c>
      <c r="C581" s="119" t="s">
        <v>59</v>
      </c>
      <c r="D581" s="119" t="s">
        <v>727</v>
      </c>
      <c r="E581" s="119" t="s">
        <v>131</v>
      </c>
      <c r="F581" s="119" t="s">
        <v>728</v>
      </c>
      <c r="G581" s="119" t="s">
        <v>729</v>
      </c>
      <c r="H581" s="119" t="s">
        <v>729</v>
      </c>
      <c r="I581" s="163" t="s">
        <v>204</v>
      </c>
      <c r="J581" s="119" t="s">
        <v>603</v>
      </c>
      <c r="K581" s="119" t="s">
        <v>639</v>
      </c>
      <c r="L581" s="119" t="s">
        <v>728</v>
      </c>
      <c r="M581" s="119" t="s">
        <v>46</v>
      </c>
      <c r="N581" s="135">
        <v>0</v>
      </c>
      <c r="O581" s="135" t="s">
        <v>47</v>
      </c>
      <c r="P581" s="135"/>
      <c r="Q581" s="137">
        <v>0</v>
      </c>
      <c r="R581" s="137">
        <v>0</v>
      </c>
      <c r="S581" s="137">
        <v>17.549999999999301</v>
      </c>
      <c r="T581" s="137">
        <f t="shared" si="111"/>
        <v>0</v>
      </c>
      <c r="U581" s="137">
        <f t="shared" si="115"/>
        <v>17.549999999999301</v>
      </c>
      <c r="V581" s="137">
        <v>10000</v>
      </c>
      <c r="W581" s="137">
        <f t="shared" si="116"/>
        <v>-9982.4500000000007</v>
      </c>
      <c r="X581" s="137">
        <f t="shared" si="112"/>
        <v>-9982.4500000000007</v>
      </c>
      <c r="Y581" s="137">
        <f t="shared" si="117"/>
        <v>0</v>
      </c>
      <c r="Z581" s="137">
        <v>17.55</v>
      </c>
      <c r="AA581" s="137">
        <f t="shared" si="113"/>
        <v>9982.4500000000007</v>
      </c>
      <c r="AB581" s="146">
        <f t="shared" si="107"/>
        <v>17.55</v>
      </c>
      <c r="AC581" s="147">
        <f t="shared" si="114"/>
        <v>0</v>
      </c>
      <c r="AD581" s="137">
        <v>17.55</v>
      </c>
      <c r="AE581" s="138">
        <v>7.0000000000000007E-2</v>
      </c>
      <c r="AF581" s="137">
        <f t="shared" si="109"/>
        <v>1.2285000000000001</v>
      </c>
      <c r="AG581" s="137">
        <v>1.2284999999999999</v>
      </c>
      <c r="AH581" s="154"/>
      <c r="AI581" s="154"/>
      <c r="AJ581" s="135" t="s">
        <v>47</v>
      </c>
      <c r="AK581" s="119" t="s">
        <v>47</v>
      </c>
      <c r="AM581" s="131"/>
    </row>
    <row r="582" spans="1:39" s="119" customFormat="1" ht="15" customHeight="1" x14ac:dyDescent="0.3">
      <c r="A582" s="119">
        <v>2017</v>
      </c>
      <c r="B582" s="119" t="s">
        <v>38</v>
      </c>
      <c r="C582" s="119" t="s">
        <v>59</v>
      </c>
      <c r="D582" s="119" t="s">
        <v>727</v>
      </c>
      <c r="E582" s="119" t="s">
        <v>131</v>
      </c>
      <c r="F582" s="119" t="s">
        <v>730</v>
      </c>
      <c r="G582" s="119" t="s">
        <v>730</v>
      </c>
      <c r="H582" s="119" t="s">
        <v>730</v>
      </c>
      <c r="I582" s="163" t="s">
        <v>204</v>
      </c>
      <c r="J582" s="119" t="s">
        <v>603</v>
      </c>
      <c r="K582" s="119" t="s">
        <v>639</v>
      </c>
      <c r="L582" s="119" t="s">
        <v>730</v>
      </c>
      <c r="M582" s="119" t="s">
        <v>46</v>
      </c>
      <c r="N582" s="135">
        <v>0</v>
      </c>
      <c r="O582" s="135" t="s">
        <v>47</v>
      </c>
      <c r="P582" s="135"/>
      <c r="Q582" s="137">
        <v>0</v>
      </c>
      <c r="R582" s="137">
        <v>0</v>
      </c>
      <c r="S582" s="137">
        <v>38</v>
      </c>
      <c r="T582" s="137">
        <f t="shared" si="111"/>
        <v>0</v>
      </c>
      <c r="U582" s="137">
        <f t="shared" si="115"/>
        <v>38</v>
      </c>
      <c r="V582" s="137">
        <v>20000</v>
      </c>
      <c r="W582" s="137">
        <f t="shared" si="116"/>
        <v>-19962</v>
      </c>
      <c r="X582" s="137">
        <f t="shared" si="112"/>
        <v>-19962</v>
      </c>
      <c r="Y582" s="137">
        <f t="shared" si="117"/>
        <v>0</v>
      </c>
      <c r="Z582" s="137">
        <v>0</v>
      </c>
      <c r="AA582" s="137">
        <f t="shared" si="113"/>
        <v>20000</v>
      </c>
      <c r="AB582" s="146">
        <f t="shared" si="107"/>
        <v>0</v>
      </c>
      <c r="AC582" s="147">
        <f t="shared" si="114"/>
        <v>0</v>
      </c>
      <c r="AD582" s="137">
        <v>0</v>
      </c>
      <c r="AE582" s="138">
        <v>7.0000000000000007E-2</v>
      </c>
      <c r="AF582" s="137">
        <f t="shared" si="109"/>
        <v>0</v>
      </c>
      <c r="AG582" s="137">
        <v>0</v>
      </c>
      <c r="AH582" s="154"/>
      <c r="AI582" s="154"/>
      <c r="AJ582" s="135" t="s">
        <v>47</v>
      </c>
      <c r="AK582" s="119" t="s">
        <v>47</v>
      </c>
      <c r="AM582" s="131"/>
    </row>
    <row r="583" spans="1:39" s="119" customFormat="1" ht="15" customHeight="1" x14ac:dyDescent="0.3">
      <c r="A583" s="119">
        <v>2017</v>
      </c>
      <c r="B583" s="119" t="s">
        <v>38</v>
      </c>
      <c r="C583" s="119" t="s">
        <v>59</v>
      </c>
      <c r="D583" s="119" t="s">
        <v>727</v>
      </c>
      <c r="E583" s="119" t="s">
        <v>131</v>
      </c>
      <c r="F583" s="119" t="s">
        <v>731</v>
      </c>
      <c r="G583" s="119" t="s">
        <v>731</v>
      </c>
      <c r="H583" s="119" t="s">
        <v>731</v>
      </c>
      <c r="I583" s="163" t="s">
        <v>204</v>
      </c>
      <c r="J583" s="119" t="s">
        <v>575</v>
      </c>
      <c r="K583" s="119" t="s">
        <v>576</v>
      </c>
      <c r="L583" s="119" t="s">
        <v>731</v>
      </c>
      <c r="M583" s="119" t="s">
        <v>46</v>
      </c>
      <c r="N583" s="136">
        <v>0.02</v>
      </c>
      <c r="O583" s="135" t="s">
        <v>51</v>
      </c>
      <c r="P583" s="135"/>
      <c r="Q583" s="137">
        <v>545</v>
      </c>
      <c r="R583" s="137">
        <v>0</v>
      </c>
      <c r="S583" s="137">
        <v>195236.3</v>
      </c>
      <c r="T583" s="137">
        <f t="shared" si="111"/>
        <v>3904.7259999999997</v>
      </c>
      <c r="U583" s="137">
        <f t="shared" si="115"/>
        <v>199141.02599999998</v>
      </c>
      <c r="V583" s="137">
        <v>312266.21999999997</v>
      </c>
      <c r="W583" s="137">
        <f t="shared" si="116"/>
        <v>-113125.19399999999</v>
      </c>
      <c r="X583" s="137">
        <f t="shared" si="112"/>
        <v>-110907.05294117646</v>
      </c>
      <c r="Y583" s="137">
        <f t="shared" si="117"/>
        <v>-2218.1410588235303</v>
      </c>
      <c r="Z583" s="137">
        <v>200747.26</v>
      </c>
      <c r="AA583" s="137">
        <f t="shared" si="113"/>
        <v>112063.95999999996</v>
      </c>
      <c r="AB583" s="146">
        <f>IF(O583="返货",(Z583-Q583)/(1+N583),IF(O583="返现",(Z583-Q583),IF(O583="折扣",(Z583-Q583)*N583,IF(O583="无",(Z583-Q583)))))</f>
        <v>196276.72549019608</v>
      </c>
      <c r="AC583" s="147">
        <f t="shared" si="114"/>
        <v>4470.5345098039252</v>
      </c>
      <c r="AD583" s="137">
        <f t="shared" ref="AD583:AD614" si="118">Z583*0.980277351080772</f>
        <v>196787.99226952301</v>
      </c>
      <c r="AE583" s="138">
        <v>0.1077</v>
      </c>
      <c r="AF583" s="137">
        <f t="shared" si="109"/>
        <v>21194.06676742763</v>
      </c>
      <c r="AG583" s="137">
        <v>17684.259117686299</v>
      </c>
      <c r="AH583" s="154"/>
      <c r="AI583" s="154"/>
      <c r="AJ583" s="135" t="s">
        <v>173</v>
      </c>
      <c r="AK583" s="119" t="s">
        <v>173</v>
      </c>
      <c r="AM583" s="131"/>
    </row>
    <row r="584" spans="1:39" s="119" customFormat="1" ht="15" customHeight="1" x14ac:dyDescent="0.3">
      <c r="A584" s="119">
        <v>2017</v>
      </c>
      <c r="B584" s="119" t="s">
        <v>38</v>
      </c>
      <c r="C584" s="119" t="s">
        <v>59</v>
      </c>
      <c r="D584" s="119" t="s">
        <v>727</v>
      </c>
      <c r="E584" s="119" t="s">
        <v>131</v>
      </c>
      <c r="F584" s="119" t="s">
        <v>731</v>
      </c>
      <c r="G584" s="119" t="s">
        <v>731</v>
      </c>
      <c r="H584" s="119" t="s">
        <v>731</v>
      </c>
      <c r="I584" s="163" t="s">
        <v>204</v>
      </c>
      <c r="J584" s="119" t="s">
        <v>575</v>
      </c>
      <c r="K584" s="119" t="s">
        <v>576</v>
      </c>
      <c r="L584" s="119" t="s">
        <v>731</v>
      </c>
      <c r="M584" s="119" t="s">
        <v>185</v>
      </c>
      <c r="N584" s="136">
        <v>0.08</v>
      </c>
      <c r="O584" s="135" t="s">
        <v>51</v>
      </c>
      <c r="P584" s="135"/>
      <c r="Q584" s="137">
        <v>44363.31</v>
      </c>
      <c r="R584" s="137">
        <v>0</v>
      </c>
      <c r="S584" s="137">
        <v>73977.75</v>
      </c>
      <c r="T584" s="137">
        <f t="shared" si="111"/>
        <v>5918.22</v>
      </c>
      <c r="U584" s="137">
        <f t="shared" si="115"/>
        <v>79895.97</v>
      </c>
      <c r="V584" s="137">
        <v>0</v>
      </c>
      <c r="W584" s="137">
        <f t="shared" si="116"/>
        <v>79895.97</v>
      </c>
      <c r="X584" s="137">
        <f t="shared" si="112"/>
        <v>73977.75</v>
      </c>
      <c r="Y584" s="137">
        <f t="shared" si="117"/>
        <v>5918.2200000000012</v>
      </c>
      <c r="Z584" s="137">
        <v>125641.33</v>
      </c>
      <c r="AA584" s="137">
        <f t="shared" si="113"/>
        <v>-81278.02</v>
      </c>
      <c r="AB584" s="146">
        <f>IF(O584="返货",(Z584-Q584)/(1+N584),IF(O584="返现",(Z584-Q584),IF(O584="折扣",(Z584-Q584)*N584,IF(O584="无",(Z584-Q584)))))</f>
        <v>75257.425925925927</v>
      </c>
      <c r="AC584" s="147">
        <f t="shared" si="114"/>
        <v>50383.904074074075</v>
      </c>
      <c r="AD584" s="137">
        <f t="shared" si="118"/>
        <v>123163.35015866513</v>
      </c>
      <c r="AE584" s="138">
        <v>0.31559999999999999</v>
      </c>
      <c r="AF584" s="137">
        <f t="shared" si="109"/>
        <v>38870.353310074715</v>
      </c>
      <c r="AG584" s="137">
        <v>30345.638562814798</v>
      </c>
      <c r="AH584" s="154"/>
      <c r="AI584" s="154"/>
      <c r="AJ584" s="135" t="s">
        <v>53</v>
      </c>
      <c r="AK584" s="119" t="s">
        <v>53</v>
      </c>
      <c r="AM584" s="131"/>
    </row>
    <row r="585" spans="1:39" s="119" customFormat="1" ht="15" customHeight="1" x14ac:dyDescent="0.3">
      <c r="A585" s="119">
        <v>2017</v>
      </c>
      <c r="B585" s="119" t="s">
        <v>199</v>
      </c>
      <c r="C585" s="119" t="s">
        <v>59</v>
      </c>
      <c r="D585" s="119" t="s">
        <v>181</v>
      </c>
      <c r="E585" s="119" t="s">
        <v>61</v>
      </c>
      <c r="F585" s="119" t="s">
        <v>732</v>
      </c>
      <c r="G585" s="119" t="s">
        <v>733</v>
      </c>
      <c r="H585" s="119" t="s">
        <v>733</v>
      </c>
      <c r="I585" s="163" t="s">
        <v>204</v>
      </c>
      <c r="J585" s="119" t="s">
        <v>575</v>
      </c>
      <c r="K585" s="119" t="s">
        <v>576</v>
      </c>
      <c r="L585" s="119" t="s">
        <v>734</v>
      </c>
      <c r="M585" s="119" t="s">
        <v>185</v>
      </c>
      <c r="N585" s="135">
        <v>0</v>
      </c>
      <c r="O585" s="135" t="s">
        <v>47</v>
      </c>
      <c r="P585" s="135"/>
      <c r="Q585" s="137">
        <v>0</v>
      </c>
      <c r="R585" s="137">
        <v>0</v>
      </c>
      <c r="S585" s="137">
        <v>647.21</v>
      </c>
      <c r="T585" s="137">
        <f t="shared" si="111"/>
        <v>0</v>
      </c>
      <c r="U585" s="137">
        <f t="shared" si="115"/>
        <v>647.21</v>
      </c>
      <c r="V585" s="137">
        <v>0</v>
      </c>
      <c r="W585" s="137">
        <f t="shared" si="116"/>
        <v>647.21</v>
      </c>
      <c r="X585" s="137">
        <f t="shared" si="112"/>
        <v>647.21</v>
      </c>
      <c r="Y585" s="137">
        <f t="shared" si="117"/>
        <v>0</v>
      </c>
      <c r="Z585" s="137">
        <v>647.21</v>
      </c>
      <c r="AA585" s="137">
        <f t="shared" si="113"/>
        <v>-647.21</v>
      </c>
      <c r="AB585" s="146">
        <f>IF(O585="返货",Z585/(1+N585),IF(O585="返现",Z585,IF(O585="折扣",Z585*N585,IF(O585="无",Z585))))</f>
        <v>647.21</v>
      </c>
      <c r="AC585" s="147">
        <f t="shared" si="114"/>
        <v>0</v>
      </c>
      <c r="AD585" s="137">
        <f t="shared" si="118"/>
        <v>634.44530439298649</v>
      </c>
      <c r="AE585" s="138">
        <v>0.31559999999999999</v>
      </c>
      <c r="AF585" s="137">
        <f t="shared" si="109"/>
        <v>200.23093806642652</v>
      </c>
      <c r="AG585" s="137">
        <v>204.25947600000001</v>
      </c>
      <c r="AH585" s="154"/>
      <c r="AI585" s="154"/>
      <c r="AJ585" s="155">
        <v>0</v>
      </c>
      <c r="AK585" s="119">
        <v>0</v>
      </c>
      <c r="AM585" s="131"/>
    </row>
    <row r="586" spans="1:39" s="119" customFormat="1" ht="15" customHeight="1" x14ac:dyDescent="0.3">
      <c r="A586" s="119">
        <v>2017</v>
      </c>
      <c r="B586" s="119" t="s">
        <v>199</v>
      </c>
      <c r="C586" s="119" t="s">
        <v>59</v>
      </c>
      <c r="D586" s="119" t="s">
        <v>181</v>
      </c>
      <c r="E586" s="119" t="s">
        <v>61</v>
      </c>
      <c r="F586" s="119" t="s">
        <v>732</v>
      </c>
      <c r="G586" s="119" t="s">
        <v>733</v>
      </c>
      <c r="H586" s="119" t="s">
        <v>733</v>
      </c>
      <c r="I586" s="163" t="s">
        <v>204</v>
      </c>
      <c r="J586" s="119" t="s">
        <v>575</v>
      </c>
      <c r="K586" s="119" t="s">
        <v>576</v>
      </c>
      <c r="L586" s="119" t="s">
        <v>734</v>
      </c>
      <c r="M586" s="119" t="s">
        <v>46</v>
      </c>
      <c r="N586" s="135">
        <v>0</v>
      </c>
      <c r="O586" s="135" t="s">
        <v>47</v>
      </c>
      <c r="P586" s="135"/>
      <c r="Q586" s="137">
        <v>0</v>
      </c>
      <c r="R586" s="137">
        <v>0</v>
      </c>
      <c r="S586" s="137">
        <v>9352.7900000000009</v>
      </c>
      <c r="T586" s="137">
        <f t="shared" si="111"/>
        <v>0</v>
      </c>
      <c r="U586" s="137">
        <f t="shared" si="115"/>
        <v>9352.7900000000009</v>
      </c>
      <c r="V586" s="137">
        <v>10000</v>
      </c>
      <c r="W586" s="137">
        <f t="shared" si="116"/>
        <v>-647.20999999999913</v>
      </c>
      <c r="X586" s="137">
        <f t="shared" si="112"/>
        <v>-647.20999999999913</v>
      </c>
      <c r="Y586" s="137">
        <f t="shared" si="117"/>
        <v>0</v>
      </c>
      <c r="Z586" s="137">
        <v>5531.86</v>
      </c>
      <c r="AA586" s="137">
        <f t="shared" si="113"/>
        <v>4468.1400000000003</v>
      </c>
      <c r="AB586" s="146">
        <f>IF(O586="返货",Z586/(1+N586),IF(O586="返现",Z586,IF(O586="折扣",Z586*N586,IF(O586="无",Z586))))</f>
        <v>5531.86</v>
      </c>
      <c r="AC586" s="147">
        <f t="shared" si="114"/>
        <v>0</v>
      </c>
      <c r="AD586" s="137">
        <f t="shared" si="118"/>
        <v>5422.7570673496784</v>
      </c>
      <c r="AE586" s="138">
        <v>0.1077</v>
      </c>
      <c r="AF586" s="137">
        <f t="shared" si="109"/>
        <v>584.03093615356033</v>
      </c>
      <c r="AG586" s="137">
        <v>595.78132200000005</v>
      </c>
      <c r="AH586" s="154"/>
      <c r="AI586" s="154"/>
      <c r="AJ586" s="155">
        <v>0</v>
      </c>
      <c r="AK586" s="119">
        <v>0</v>
      </c>
      <c r="AM586" s="131"/>
    </row>
    <row r="587" spans="1:39" s="119" customFormat="1" ht="15" customHeight="1" x14ac:dyDescent="0.3">
      <c r="A587" s="119">
        <v>2017</v>
      </c>
      <c r="B587" s="119" t="s">
        <v>38</v>
      </c>
      <c r="C587" s="119" t="s">
        <v>59</v>
      </c>
      <c r="D587" s="119" t="s">
        <v>181</v>
      </c>
      <c r="E587" s="119" t="s">
        <v>61</v>
      </c>
      <c r="F587" s="119" t="s">
        <v>735</v>
      </c>
      <c r="G587" s="119" t="s">
        <v>735</v>
      </c>
      <c r="H587" s="119" t="s">
        <v>735</v>
      </c>
      <c r="I587" s="163" t="s">
        <v>204</v>
      </c>
      <c r="J587" s="119" t="s">
        <v>575</v>
      </c>
      <c r="K587" s="119" t="s">
        <v>576</v>
      </c>
      <c r="L587" s="119" t="s">
        <v>735</v>
      </c>
      <c r="M587" s="119" t="s">
        <v>46</v>
      </c>
      <c r="N587" s="136">
        <v>0.02</v>
      </c>
      <c r="O587" s="135" t="s">
        <v>51</v>
      </c>
      <c r="P587" s="135"/>
      <c r="Q587" s="137">
        <v>0</v>
      </c>
      <c r="R587" s="137">
        <v>0</v>
      </c>
      <c r="S587" s="137">
        <v>12531.18</v>
      </c>
      <c r="T587" s="137">
        <f t="shared" si="111"/>
        <v>250.62360000000001</v>
      </c>
      <c r="U587" s="137">
        <f t="shared" si="115"/>
        <v>12781.803600000001</v>
      </c>
      <c r="V587" s="137">
        <v>20400</v>
      </c>
      <c r="W587" s="137">
        <f t="shared" si="116"/>
        <v>-7618.1963999999989</v>
      </c>
      <c r="X587" s="137">
        <f t="shared" si="112"/>
        <v>-7468.8199999999988</v>
      </c>
      <c r="Y587" s="137">
        <f t="shared" si="117"/>
        <v>-149.3764000000001</v>
      </c>
      <c r="Z587" s="137">
        <v>12781.8</v>
      </c>
      <c r="AA587" s="137">
        <f t="shared" si="113"/>
        <v>7618.2000000000007</v>
      </c>
      <c r="AB587" s="146">
        <f>IF(O587="返货",Z587/(1+N587),IF(O587="返现",Z587,IF(O587="折扣",Z587*N587,IF(O587="无",Z587))))</f>
        <v>12531.176470588234</v>
      </c>
      <c r="AC587" s="147">
        <f t="shared" si="114"/>
        <v>250.62352941176505</v>
      </c>
      <c r="AD587" s="137">
        <f t="shared" si="118"/>
        <v>12529.70904604421</v>
      </c>
      <c r="AE587" s="138">
        <v>0.1077</v>
      </c>
      <c r="AF587" s="137">
        <f t="shared" si="109"/>
        <v>1349.4496642589615</v>
      </c>
      <c r="AG587" s="137">
        <v>1125.97633058823</v>
      </c>
      <c r="AH587" s="154"/>
      <c r="AI587" s="154"/>
      <c r="AJ587" s="135" t="s">
        <v>173</v>
      </c>
      <c r="AK587" s="119" t="s">
        <v>173</v>
      </c>
      <c r="AM587" s="131"/>
    </row>
    <row r="588" spans="1:39" s="119" customFormat="1" ht="15" customHeight="1" x14ac:dyDescent="0.3">
      <c r="A588" s="119">
        <v>2017</v>
      </c>
      <c r="B588" s="119" t="s">
        <v>38</v>
      </c>
      <c r="C588" s="119" t="s">
        <v>59</v>
      </c>
      <c r="D588" s="119" t="s">
        <v>181</v>
      </c>
      <c r="E588" s="119" t="s">
        <v>61</v>
      </c>
      <c r="F588" s="119" t="s">
        <v>735</v>
      </c>
      <c r="G588" s="119" t="s">
        <v>735</v>
      </c>
      <c r="H588" s="119" t="s">
        <v>735</v>
      </c>
      <c r="I588" s="163" t="s">
        <v>204</v>
      </c>
      <c r="J588" s="119" t="s">
        <v>575</v>
      </c>
      <c r="K588" s="119" t="s">
        <v>576</v>
      </c>
      <c r="L588" s="119" t="s">
        <v>735</v>
      </c>
      <c r="M588" s="119" t="s">
        <v>185</v>
      </c>
      <c r="N588" s="136">
        <v>0.08</v>
      </c>
      <c r="O588" s="135" t="s">
        <v>51</v>
      </c>
      <c r="P588" s="135"/>
      <c r="Q588" s="137">
        <v>0</v>
      </c>
      <c r="R588" s="137">
        <v>0</v>
      </c>
      <c r="S588" s="137">
        <v>7468.82</v>
      </c>
      <c r="T588" s="137">
        <f t="shared" si="111"/>
        <v>597.50559999999996</v>
      </c>
      <c r="U588" s="137">
        <f t="shared" si="115"/>
        <v>8066.3256000000001</v>
      </c>
      <c r="V588" s="137">
        <v>0</v>
      </c>
      <c r="W588" s="137">
        <f t="shared" si="116"/>
        <v>8066.3256000000001</v>
      </c>
      <c r="X588" s="137">
        <f t="shared" si="112"/>
        <v>7468.82</v>
      </c>
      <c r="Y588" s="137">
        <f t="shared" si="117"/>
        <v>597.50560000000041</v>
      </c>
      <c r="Z588" s="137">
        <v>7618.2</v>
      </c>
      <c r="AA588" s="137">
        <f t="shared" si="113"/>
        <v>-7618.2</v>
      </c>
      <c r="AB588" s="146">
        <f>IF(O588="返货",Z588/(1+N588),IF(O588="返现",Z588,IF(O588="折扣",Z588*N588,IF(O588="无",Z588))))</f>
        <v>7053.8888888888887</v>
      </c>
      <c r="AC588" s="147">
        <f t="shared" si="114"/>
        <v>564.31111111111113</v>
      </c>
      <c r="AD588" s="137">
        <f t="shared" si="118"/>
        <v>7467.9489160035364</v>
      </c>
      <c r="AE588" s="138">
        <v>0.31559999999999999</v>
      </c>
      <c r="AF588" s="137">
        <f t="shared" si="109"/>
        <v>2356.8846778907159</v>
      </c>
      <c r="AG588" s="137">
        <v>1839.9928088888901</v>
      </c>
      <c r="AH588" s="154"/>
      <c r="AI588" s="154"/>
      <c r="AJ588" s="135" t="s">
        <v>53</v>
      </c>
      <c r="AK588" s="119" t="s">
        <v>53</v>
      </c>
      <c r="AM588" s="131"/>
    </row>
    <row r="589" spans="1:39" s="119" customFormat="1" ht="15" customHeight="1" x14ac:dyDescent="0.3">
      <c r="A589" s="119">
        <v>2017</v>
      </c>
      <c r="B589" s="119" t="s">
        <v>38</v>
      </c>
      <c r="C589" s="119" t="s">
        <v>59</v>
      </c>
      <c r="D589" s="119" t="s">
        <v>181</v>
      </c>
      <c r="E589" s="119" t="s">
        <v>61</v>
      </c>
      <c r="F589" s="119" t="s">
        <v>736</v>
      </c>
      <c r="G589" s="119" t="s">
        <v>736</v>
      </c>
      <c r="H589" s="119" t="s">
        <v>736</v>
      </c>
      <c r="I589" s="163" t="s">
        <v>204</v>
      </c>
      <c r="J589" s="119" t="s">
        <v>575</v>
      </c>
      <c r="K589" s="119" t="s">
        <v>576</v>
      </c>
      <c r="L589" s="119" t="s">
        <v>737</v>
      </c>
      <c r="M589" s="119" t="s">
        <v>185</v>
      </c>
      <c r="N589" s="136">
        <v>0.08</v>
      </c>
      <c r="O589" s="135" t="s">
        <v>51</v>
      </c>
      <c r="P589" s="135"/>
      <c r="Q589" s="137">
        <v>0</v>
      </c>
      <c r="R589" s="137">
        <v>0</v>
      </c>
      <c r="S589" s="137">
        <v>170000</v>
      </c>
      <c r="T589" s="137">
        <f t="shared" si="111"/>
        <v>13600</v>
      </c>
      <c r="U589" s="137">
        <f t="shared" si="115"/>
        <v>183600</v>
      </c>
      <c r="V589" s="137">
        <v>0</v>
      </c>
      <c r="W589" s="137">
        <f t="shared" si="116"/>
        <v>183600</v>
      </c>
      <c r="X589" s="137">
        <f t="shared" si="112"/>
        <v>170000</v>
      </c>
      <c r="Y589" s="137">
        <f t="shared" si="117"/>
        <v>13600</v>
      </c>
      <c r="Z589" s="137">
        <v>172771.71</v>
      </c>
      <c r="AA589" s="137">
        <f t="shared" si="113"/>
        <v>-172771.71</v>
      </c>
      <c r="AB589" s="146">
        <f>IF(O589="返货",Z589/(1+N589),IF(O589="返现",Z589,IF(O589="折扣",Z589*N589,IF(O589="无",Z589))))</f>
        <v>159973.80555555553</v>
      </c>
      <c r="AC589" s="147">
        <f t="shared" si="114"/>
        <v>12797.904444444459</v>
      </c>
      <c r="AD589" s="137">
        <f t="shared" si="118"/>
        <v>169364.19422049532</v>
      </c>
      <c r="AE589" s="138">
        <v>0.31559999999999999</v>
      </c>
      <c r="AF589" s="137">
        <f t="shared" si="109"/>
        <v>53451.339695988325</v>
      </c>
      <c r="AG589" s="137">
        <v>41728.847231555497</v>
      </c>
      <c r="AH589" s="154"/>
      <c r="AI589" s="154"/>
      <c r="AJ589" s="135" t="s">
        <v>53</v>
      </c>
      <c r="AK589" s="119" t="s">
        <v>53</v>
      </c>
      <c r="AM589" s="131"/>
    </row>
    <row r="590" spans="1:39" s="119" customFormat="1" ht="15" customHeight="1" x14ac:dyDescent="0.3">
      <c r="A590" s="119">
        <v>2017</v>
      </c>
      <c r="B590" s="119" t="s">
        <v>38</v>
      </c>
      <c r="C590" s="119" t="s">
        <v>59</v>
      </c>
      <c r="D590" s="119" t="s">
        <v>181</v>
      </c>
      <c r="E590" s="119" t="s">
        <v>67</v>
      </c>
      <c r="F590" s="119" t="s">
        <v>738</v>
      </c>
      <c r="G590" s="119" t="s">
        <v>738</v>
      </c>
      <c r="H590" s="119" t="s">
        <v>738</v>
      </c>
      <c r="I590" s="163" t="s">
        <v>204</v>
      </c>
      <c r="J590" s="119" t="s">
        <v>575</v>
      </c>
      <c r="K590" s="119" t="s">
        <v>576</v>
      </c>
      <c r="L590" s="119" t="s">
        <v>738</v>
      </c>
      <c r="M590" s="119" t="s">
        <v>46</v>
      </c>
      <c r="N590" s="136">
        <v>0.02</v>
      </c>
      <c r="O590" s="135" t="s">
        <v>51</v>
      </c>
      <c r="P590" s="135"/>
      <c r="Q590" s="137">
        <v>84827.89</v>
      </c>
      <c r="R590" s="137">
        <v>0</v>
      </c>
      <c r="S590" s="137">
        <v>641164.1</v>
      </c>
      <c r="T590" s="137">
        <f t="shared" si="111"/>
        <v>12823.281999999999</v>
      </c>
      <c r="U590" s="137">
        <f t="shared" si="115"/>
        <v>653987.38199999998</v>
      </c>
      <c r="V590" s="137">
        <v>780195.81</v>
      </c>
      <c r="W590" s="137">
        <f t="shared" si="116"/>
        <v>-126208.42800000007</v>
      </c>
      <c r="X590" s="137">
        <f t="shared" si="112"/>
        <v>-123733.75294117654</v>
      </c>
      <c r="Y590" s="137">
        <f t="shared" si="117"/>
        <v>-2474.67505882353</v>
      </c>
      <c r="Z590" s="137">
        <v>730291.82</v>
      </c>
      <c r="AA590" s="137">
        <f t="shared" si="113"/>
        <v>134731.88000000012</v>
      </c>
      <c r="AB590" s="146">
        <f>IF(O590="返货",(Z590-Q590)/(1+N590),IF(O590="返现",(Z590-Q590),IF(O590="折扣",(Z590-Q590)*N590,IF(O590="无",(Z590-Q590)))))</f>
        <v>632807.77450980386</v>
      </c>
      <c r="AC590" s="147">
        <f t="shared" si="114"/>
        <v>97484.045490196091</v>
      </c>
      <c r="AD590" s="137">
        <f t="shared" si="118"/>
        <v>715888.53082555591</v>
      </c>
      <c r="AE590" s="138">
        <v>0.1077</v>
      </c>
      <c r="AF590" s="137">
        <f t="shared" si="109"/>
        <v>77101.19476991237</v>
      </c>
      <c r="AG590" s="137">
        <v>64332.981563019603</v>
      </c>
      <c r="AH590" s="154"/>
      <c r="AI590" s="154"/>
      <c r="AJ590" s="135" t="s">
        <v>173</v>
      </c>
      <c r="AK590" s="119" t="s">
        <v>173</v>
      </c>
      <c r="AM590" s="131"/>
    </row>
    <row r="591" spans="1:39" s="119" customFormat="1" ht="15" customHeight="1" x14ac:dyDescent="0.3">
      <c r="A591" s="119">
        <v>2017</v>
      </c>
      <c r="B591" s="119" t="s">
        <v>38</v>
      </c>
      <c r="C591" s="119" t="s">
        <v>59</v>
      </c>
      <c r="D591" s="119" t="s">
        <v>181</v>
      </c>
      <c r="E591" s="119" t="s">
        <v>67</v>
      </c>
      <c r="F591" s="119" t="s">
        <v>738</v>
      </c>
      <c r="G591" s="119" t="s">
        <v>738</v>
      </c>
      <c r="H591" s="119" t="s">
        <v>738</v>
      </c>
      <c r="I591" s="163" t="s">
        <v>204</v>
      </c>
      <c r="J591" s="119" t="s">
        <v>575</v>
      </c>
      <c r="K591" s="119" t="s">
        <v>576</v>
      </c>
      <c r="L591" s="119" t="s">
        <v>738</v>
      </c>
      <c r="M591" s="119" t="s">
        <v>185</v>
      </c>
      <c r="N591" s="136">
        <v>0.08</v>
      </c>
      <c r="O591" s="135" t="s">
        <v>51</v>
      </c>
      <c r="P591" s="135"/>
      <c r="Q591" s="137">
        <v>17308.727149999999</v>
      </c>
      <c r="R591" s="137">
        <v>0</v>
      </c>
      <c r="S591" s="137">
        <v>95577.71</v>
      </c>
      <c r="T591" s="137">
        <f t="shared" si="111"/>
        <v>7646.2168000000011</v>
      </c>
      <c r="U591" s="137">
        <f t="shared" si="115"/>
        <v>103223.9268</v>
      </c>
      <c r="V591" s="137">
        <v>0</v>
      </c>
      <c r="W591" s="137">
        <f t="shared" si="116"/>
        <v>103223.9268</v>
      </c>
      <c r="X591" s="137">
        <f t="shared" si="112"/>
        <v>95577.709999999992</v>
      </c>
      <c r="Y591" s="137">
        <f t="shared" si="117"/>
        <v>7646.2168000000092</v>
      </c>
      <c r="Z591" s="137">
        <v>115006.43</v>
      </c>
      <c r="AA591" s="137">
        <f t="shared" si="113"/>
        <v>-97697.702850000001</v>
      </c>
      <c r="AB591" s="146">
        <f>IF(O591="返货",(Z591-Q591)/(1+N591),IF(O591="返现",(Z591-Q591),IF(O591="折扣",(Z591-Q591)*N591,IF(O591="无",(Z591-Q591)))))</f>
        <v>90460.835972222223</v>
      </c>
      <c r="AC591" s="147">
        <f t="shared" si="114"/>
        <v>24545.59402777777</v>
      </c>
      <c r="AD591" s="137">
        <f t="shared" si="118"/>
        <v>112738.19855765621</v>
      </c>
      <c r="AE591" s="138">
        <v>0.31559999999999999</v>
      </c>
      <c r="AF591" s="137">
        <f t="shared" si="109"/>
        <v>35580.175464796303</v>
      </c>
      <c r="AG591" s="137">
        <v>27777.034493185201</v>
      </c>
      <c r="AH591" s="154"/>
      <c r="AI591" s="154"/>
      <c r="AJ591" s="135" t="s">
        <v>53</v>
      </c>
      <c r="AK591" s="119" t="s">
        <v>53</v>
      </c>
      <c r="AM591" s="131"/>
    </row>
    <row r="592" spans="1:39" s="119" customFormat="1" ht="15" customHeight="1" x14ac:dyDescent="0.3">
      <c r="A592" s="119">
        <v>2017</v>
      </c>
      <c r="B592" s="119" t="s">
        <v>38</v>
      </c>
      <c r="C592" s="119" t="s">
        <v>59</v>
      </c>
      <c r="D592" s="119" t="s">
        <v>106</v>
      </c>
      <c r="E592" s="119" t="s">
        <v>107</v>
      </c>
      <c r="F592" s="119" t="s">
        <v>739</v>
      </c>
      <c r="G592" s="119" t="s">
        <v>739</v>
      </c>
      <c r="H592" s="119" t="s">
        <v>739</v>
      </c>
      <c r="I592" s="163" t="s">
        <v>204</v>
      </c>
      <c r="J592" s="119" t="s">
        <v>575</v>
      </c>
      <c r="K592" s="119" t="s">
        <v>576</v>
      </c>
      <c r="L592" s="119" t="s">
        <v>739</v>
      </c>
      <c r="M592" s="119" t="s">
        <v>46</v>
      </c>
      <c r="N592" s="136">
        <v>0.02</v>
      </c>
      <c r="O592" s="135" t="s">
        <v>51</v>
      </c>
      <c r="P592" s="135"/>
      <c r="Q592" s="137">
        <v>0</v>
      </c>
      <c r="R592" s="137">
        <v>0</v>
      </c>
      <c r="S592" s="137">
        <v>1586957.33</v>
      </c>
      <c r="T592" s="137">
        <f t="shared" si="111"/>
        <v>31739.146600000004</v>
      </c>
      <c r="U592" s="137">
        <f t="shared" si="115"/>
        <v>1618696.4766000002</v>
      </c>
      <c r="V592" s="137">
        <v>2119204.7599999998</v>
      </c>
      <c r="W592" s="137">
        <f t="shared" si="116"/>
        <v>-500508.28339999961</v>
      </c>
      <c r="X592" s="137">
        <f t="shared" si="112"/>
        <v>-490694.39549019566</v>
      </c>
      <c r="Y592" s="137">
        <f t="shared" si="117"/>
        <v>-9813.887909803947</v>
      </c>
      <c r="Z592" s="137">
        <v>1618553.94</v>
      </c>
      <c r="AA592" s="137">
        <f t="shared" si="113"/>
        <v>500650.81999999983</v>
      </c>
      <c r="AB592" s="146">
        <f t="shared" ref="AB592:AB599" si="119">IF(O592="返货",Z592/(1+N592),IF(O592="返现",Z592,IF(O592="折扣",Z592*N592,IF(O592="无",Z592))))</f>
        <v>1586817.588235294</v>
      </c>
      <c r="AC592" s="147">
        <f t="shared" si="114"/>
        <v>31736.351764705963</v>
      </c>
      <c r="AD592" s="137">
        <f t="shared" si="118"/>
        <v>1586631.7688845466</v>
      </c>
      <c r="AE592" s="138">
        <v>0.1077</v>
      </c>
      <c r="AF592" s="137">
        <f t="shared" si="109"/>
        <v>170880.24150886567</v>
      </c>
      <c r="AG592" s="137">
        <v>142581.90757329401</v>
      </c>
      <c r="AH592" s="154"/>
      <c r="AI592" s="154"/>
      <c r="AJ592" s="135" t="s">
        <v>173</v>
      </c>
      <c r="AK592" s="119" t="s">
        <v>173</v>
      </c>
      <c r="AM592" s="131"/>
    </row>
    <row r="593" spans="1:39" s="119" customFormat="1" ht="15" customHeight="1" x14ac:dyDescent="0.3">
      <c r="A593" s="119">
        <v>2017</v>
      </c>
      <c r="B593" s="119" t="s">
        <v>38</v>
      </c>
      <c r="C593" s="119" t="s">
        <v>59</v>
      </c>
      <c r="D593" s="119" t="s">
        <v>106</v>
      </c>
      <c r="E593" s="119" t="s">
        <v>107</v>
      </c>
      <c r="F593" s="119" t="s">
        <v>739</v>
      </c>
      <c r="G593" s="119" t="s">
        <v>739</v>
      </c>
      <c r="H593" s="119" t="s">
        <v>739</v>
      </c>
      <c r="I593" s="163" t="s">
        <v>204</v>
      </c>
      <c r="J593" s="119" t="s">
        <v>575</v>
      </c>
      <c r="K593" s="119" t="s">
        <v>576</v>
      </c>
      <c r="L593" s="119" t="s">
        <v>739</v>
      </c>
      <c r="M593" s="119" t="s">
        <v>185</v>
      </c>
      <c r="N593" s="136">
        <v>0.08</v>
      </c>
      <c r="O593" s="135" t="s">
        <v>51</v>
      </c>
      <c r="P593" s="135"/>
      <c r="Q593" s="137">
        <v>0</v>
      </c>
      <c r="R593" s="137">
        <v>0</v>
      </c>
      <c r="S593" s="137">
        <v>463042.67</v>
      </c>
      <c r="T593" s="137">
        <f t="shared" si="111"/>
        <v>37043.4136</v>
      </c>
      <c r="U593" s="137">
        <f t="shared" si="115"/>
        <v>500086.08360000001</v>
      </c>
      <c r="V593" s="137">
        <v>0</v>
      </c>
      <c r="W593" s="137">
        <f t="shared" si="116"/>
        <v>500086.08360000001</v>
      </c>
      <c r="X593" s="137">
        <f t="shared" si="112"/>
        <v>463042.67</v>
      </c>
      <c r="Y593" s="137">
        <f t="shared" si="117"/>
        <v>37043.413600000029</v>
      </c>
      <c r="Z593" s="137">
        <v>500650.82</v>
      </c>
      <c r="AA593" s="137">
        <f t="shared" si="113"/>
        <v>-500650.82</v>
      </c>
      <c r="AB593" s="146">
        <f t="shared" si="119"/>
        <v>463565.57407407404</v>
      </c>
      <c r="AC593" s="147">
        <f t="shared" si="114"/>
        <v>37085.245925925963</v>
      </c>
      <c r="AD593" s="137">
        <f t="shared" si="118"/>
        <v>490776.65964601637</v>
      </c>
      <c r="AE593" s="138">
        <v>0.31559999999999999</v>
      </c>
      <c r="AF593" s="137">
        <f t="shared" si="109"/>
        <v>154889.11378428276</v>
      </c>
      <c r="AG593" s="137">
        <v>120920.152866074</v>
      </c>
      <c r="AH593" s="154"/>
      <c r="AI593" s="154"/>
      <c r="AJ593" s="135" t="s">
        <v>53</v>
      </c>
      <c r="AK593" s="119" t="s">
        <v>53</v>
      </c>
      <c r="AM593" s="131"/>
    </row>
    <row r="594" spans="1:39" s="119" customFormat="1" ht="15" customHeight="1" x14ac:dyDescent="0.3">
      <c r="A594" s="119">
        <v>2017</v>
      </c>
      <c r="B594" s="119" t="s">
        <v>38</v>
      </c>
      <c r="C594" s="119" t="s">
        <v>59</v>
      </c>
      <c r="D594" s="119" t="s">
        <v>106</v>
      </c>
      <c r="E594" s="119" t="s">
        <v>107</v>
      </c>
      <c r="F594" s="119" t="s">
        <v>739</v>
      </c>
      <c r="G594" s="119" t="s">
        <v>739</v>
      </c>
      <c r="H594" s="119" t="s">
        <v>739</v>
      </c>
      <c r="I594" s="163" t="s">
        <v>204</v>
      </c>
      <c r="J594" s="119" t="s">
        <v>575</v>
      </c>
      <c r="K594" s="119" t="s">
        <v>576</v>
      </c>
      <c r="L594" s="119" t="s">
        <v>739</v>
      </c>
      <c r="M594" s="119" t="s">
        <v>595</v>
      </c>
      <c r="N594" s="136">
        <v>0</v>
      </c>
      <c r="O594" s="135" t="s">
        <v>47</v>
      </c>
      <c r="P594" s="135"/>
      <c r="Q594" s="137">
        <v>0</v>
      </c>
      <c r="R594" s="137">
        <v>0</v>
      </c>
      <c r="S594" s="137">
        <v>14247</v>
      </c>
      <c r="T594" s="137">
        <f t="shared" si="111"/>
        <v>0</v>
      </c>
      <c r="U594" s="137">
        <f t="shared" si="115"/>
        <v>14247</v>
      </c>
      <c r="V594" s="137">
        <v>14247</v>
      </c>
      <c r="W594" s="137">
        <f t="shared" si="116"/>
        <v>0</v>
      </c>
      <c r="X594" s="137">
        <f t="shared" si="112"/>
        <v>0</v>
      </c>
      <c r="Y594" s="137">
        <f t="shared" si="117"/>
        <v>0</v>
      </c>
      <c r="Z594" s="137">
        <v>14247</v>
      </c>
      <c r="AA594" s="137">
        <f t="shared" si="113"/>
        <v>0</v>
      </c>
      <c r="AB594" s="146">
        <f t="shared" si="119"/>
        <v>14247</v>
      </c>
      <c r="AC594" s="147">
        <f t="shared" si="114"/>
        <v>0</v>
      </c>
      <c r="AD594" s="137">
        <f t="shared" si="118"/>
        <v>13966.011420847759</v>
      </c>
      <c r="AE594" s="138">
        <v>0.35339999999999999</v>
      </c>
      <c r="AF594" s="137">
        <f t="shared" si="109"/>
        <v>4935.5884361275976</v>
      </c>
      <c r="AG594" s="137">
        <v>1706.9599111111099</v>
      </c>
      <c r="AH594" s="154"/>
      <c r="AI594" s="154"/>
      <c r="AJ594" s="136">
        <v>0.35</v>
      </c>
      <c r="AK594" s="156">
        <v>0.35</v>
      </c>
      <c r="AL594" s="119" t="s">
        <v>740</v>
      </c>
      <c r="AM594" s="131"/>
    </row>
    <row r="595" spans="1:39" s="119" customFormat="1" ht="15" customHeight="1" x14ac:dyDescent="0.3">
      <c r="A595" s="119">
        <v>2017</v>
      </c>
      <c r="B595" s="120" t="s">
        <v>38</v>
      </c>
      <c r="C595" s="119" t="s">
        <v>59</v>
      </c>
      <c r="D595" s="119" t="s">
        <v>106</v>
      </c>
      <c r="E595" s="119" t="s">
        <v>107</v>
      </c>
      <c r="F595" s="119" t="s">
        <v>108</v>
      </c>
      <c r="G595" s="119" t="s">
        <v>108</v>
      </c>
      <c r="H595" s="119" t="s">
        <v>108</v>
      </c>
      <c r="I595" s="163" t="s">
        <v>204</v>
      </c>
      <c r="J595" s="119" t="s">
        <v>575</v>
      </c>
      <c r="K595" s="119" t="s">
        <v>576</v>
      </c>
      <c r="L595" s="119" t="s">
        <v>109</v>
      </c>
      <c r="M595" s="119" t="s">
        <v>46</v>
      </c>
      <c r="N595" s="136">
        <v>0.02</v>
      </c>
      <c r="O595" s="135" t="s">
        <v>51</v>
      </c>
      <c r="P595" s="135"/>
      <c r="Q595" s="137">
        <v>0</v>
      </c>
      <c r="R595" s="137">
        <v>0</v>
      </c>
      <c r="S595" s="137">
        <v>65328.82</v>
      </c>
      <c r="T595" s="137">
        <f t="shared" si="111"/>
        <v>1306.5763999999999</v>
      </c>
      <c r="U595" s="137">
        <f t="shared" si="115"/>
        <v>66635.396399999998</v>
      </c>
      <c r="V595" s="137">
        <v>143151.38</v>
      </c>
      <c r="W595" s="137">
        <f t="shared" si="116"/>
        <v>-76515.983600000007</v>
      </c>
      <c r="X595" s="137">
        <f t="shared" si="112"/>
        <v>-75015.670196078441</v>
      </c>
      <c r="Y595" s="137">
        <f t="shared" si="117"/>
        <v>-1500.3134039215656</v>
      </c>
      <c r="Z595" s="137">
        <v>66635.399999999994</v>
      </c>
      <c r="AA595" s="137">
        <f t="shared" si="113"/>
        <v>76515.98000000001</v>
      </c>
      <c r="AB595" s="146">
        <f t="shared" si="119"/>
        <v>65328.823529411755</v>
      </c>
      <c r="AC595" s="147">
        <f t="shared" si="114"/>
        <v>1306.5764705882393</v>
      </c>
      <c r="AD595" s="137">
        <f t="shared" si="118"/>
        <v>65321.173400207663</v>
      </c>
      <c r="AE595" s="138">
        <v>0.1077</v>
      </c>
      <c r="AF595" s="137">
        <f t="shared" si="109"/>
        <v>7035.090375202366</v>
      </c>
      <c r="AG595" s="137">
        <v>5870.0561094117602</v>
      </c>
      <c r="AH595" s="154"/>
      <c r="AI595" s="154"/>
      <c r="AJ595" s="135" t="s">
        <v>173</v>
      </c>
      <c r="AK595" s="119" t="s">
        <v>173</v>
      </c>
      <c r="AM595" s="131"/>
    </row>
    <row r="596" spans="1:39" s="119" customFormat="1" ht="15" customHeight="1" x14ac:dyDescent="0.3">
      <c r="A596" s="119">
        <v>2017</v>
      </c>
      <c r="B596" s="120" t="s">
        <v>38</v>
      </c>
      <c r="C596" s="119" t="s">
        <v>59</v>
      </c>
      <c r="D596" s="119" t="s">
        <v>106</v>
      </c>
      <c r="E596" s="119" t="s">
        <v>107</v>
      </c>
      <c r="F596" s="119" t="s">
        <v>108</v>
      </c>
      <c r="G596" s="119" t="s">
        <v>108</v>
      </c>
      <c r="H596" s="119" t="s">
        <v>108</v>
      </c>
      <c r="I596" s="163" t="s">
        <v>204</v>
      </c>
      <c r="J596" s="119" t="s">
        <v>575</v>
      </c>
      <c r="K596" s="119" t="s">
        <v>576</v>
      </c>
      <c r="L596" s="119" t="s">
        <v>109</v>
      </c>
      <c r="M596" s="119" t="s">
        <v>185</v>
      </c>
      <c r="N596" s="136">
        <v>0.08</v>
      </c>
      <c r="O596" s="135" t="s">
        <v>51</v>
      </c>
      <c r="P596" s="135"/>
      <c r="Q596" s="137">
        <v>0</v>
      </c>
      <c r="R596" s="137">
        <v>0</v>
      </c>
      <c r="S596" s="137">
        <v>22769.72</v>
      </c>
      <c r="T596" s="137">
        <f t="shared" si="111"/>
        <v>1821.5776000000001</v>
      </c>
      <c r="U596" s="137">
        <f t="shared" si="115"/>
        <v>24591.297600000002</v>
      </c>
      <c r="V596" s="137">
        <v>0</v>
      </c>
      <c r="W596" s="137">
        <f t="shared" si="116"/>
        <v>24591.297600000002</v>
      </c>
      <c r="X596" s="137">
        <f t="shared" si="112"/>
        <v>22769.72</v>
      </c>
      <c r="Y596" s="137">
        <f t="shared" si="117"/>
        <v>1821.5776000000005</v>
      </c>
      <c r="Z596" s="137">
        <v>24258.66</v>
      </c>
      <c r="AA596" s="137">
        <f t="shared" si="113"/>
        <v>-24258.66</v>
      </c>
      <c r="AB596" s="146">
        <f t="shared" si="119"/>
        <v>22461.722222222219</v>
      </c>
      <c r="AC596" s="147">
        <f t="shared" si="114"/>
        <v>1796.9377777777809</v>
      </c>
      <c r="AD596" s="137">
        <f t="shared" si="118"/>
        <v>23780.214965569081</v>
      </c>
      <c r="AE596" s="138">
        <v>0.31559999999999999</v>
      </c>
      <c r="AF596" s="137">
        <f t="shared" si="109"/>
        <v>7505.0358431336017</v>
      </c>
      <c r="AG596" s="137">
        <v>5859.0953182222202</v>
      </c>
      <c r="AH596" s="154"/>
      <c r="AI596" s="154"/>
      <c r="AJ596" s="135" t="s">
        <v>53</v>
      </c>
      <c r="AK596" s="119" t="s">
        <v>53</v>
      </c>
      <c r="AM596" s="131"/>
    </row>
    <row r="597" spans="1:39" s="119" customFormat="1" ht="15" customHeight="1" x14ac:dyDescent="0.3">
      <c r="A597" s="119">
        <v>2017</v>
      </c>
      <c r="B597" s="119" t="s">
        <v>38</v>
      </c>
      <c r="C597" s="119" t="s">
        <v>59</v>
      </c>
      <c r="D597" s="119" t="s">
        <v>106</v>
      </c>
      <c r="E597" s="119" t="s">
        <v>107</v>
      </c>
      <c r="F597" s="119" t="s">
        <v>741</v>
      </c>
      <c r="G597" s="119" t="s">
        <v>741</v>
      </c>
      <c r="H597" s="119" t="s">
        <v>741</v>
      </c>
      <c r="I597" s="163" t="s">
        <v>204</v>
      </c>
      <c r="J597" s="119" t="s">
        <v>575</v>
      </c>
      <c r="K597" s="119" t="s">
        <v>576</v>
      </c>
      <c r="L597" s="119" t="s">
        <v>741</v>
      </c>
      <c r="M597" s="119" t="s">
        <v>46</v>
      </c>
      <c r="N597" s="136">
        <v>0.02</v>
      </c>
      <c r="O597" s="135" t="s">
        <v>51</v>
      </c>
      <c r="P597" s="135"/>
      <c r="Q597" s="137">
        <v>0</v>
      </c>
      <c r="R597" s="137">
        <v>0</v>
      </c>
      <c r="S597" s="137">
        <v>84251.85</v>
      </c>
      <c r="T597" s="137">
        <f t="shared" si="111"/>
        <v>1685.0370000000003</v>
      </c>
      <c r="U597" s="137">
        <f t="shared" si="115"/>
        <v>85936.887000000002</v>
      </c>
      <c r="V597" s="137">
        <v>173400</v>
      </c>
      <c r="W597" s="137">
        <f t="shared" si="116"/>
        <v>-87463.112999999998</v>
      </c>
      <c r="X597" s="137">
        <f t="shared" si="112"/>
        <v>-85748.15</v>
      </c>
      <c r="Y597" s="137">
        <f t="shared" si="117"/>
        <v>-1714.9630000000034</v>
      </c>
      <c r="Z597" s="137">
        <v>85936.89</v>
      </c>
      <c r="AA597" s="137">
        <f t="shared" si="113"/>
        <v>87463.11</v>
      </c>
      <c r="AB597" s="146">
        <f t="shared" si="119"/>
        <v>84251.852941176476</v>
      </c>
      <c r="AC597" s="147">
        <f t="shared" si="114"/>
        <v>1685.0370588235237</v>
      </c>
      <c r="AD597" s="137">
        <f t="shared" si="118"/>
        <v>84241.986889319684</v>
      </c>
      <c r="AE597" s="138">
        <v>0.1077</v>
      </c>
      <c r="AF597" s="137">
        <f t="shared" si="109"/>
        <v>9072.8619879797297</v>
      </c>
      <c r="AG597" s="137">
        <v>7570.3659941764799</v>
      </c>
      <c r="AH597" s="154"/>
      <c r="AI597" s="154"/>
      <c r="AJ597" s="135" t="s">
        <v>173</v>
      </c>
      <c r="AK597" s="119" t="s">
        <v>173</v>
      </c>
      <c r="AM597" s="131"/>
    </row>
    <row r="598" spans="1:39" s="119" customFormat="1" ht="15" customHeight="1" x14ac:dyDescent="0.3">
      <c r="A598" s="119">
        <v>2017</v>
      </c>
      <c r="B598" s="119" t="s">
        <v>38</v>
      </c>
      <c r="C598" s="119" t="s">
        <v>59</v>
      </c>
      <c r="D598" s="119" t="s">
        <v>106</v>
      </c>
      <c r="E598" s="119" t="s">
        <v>107</v>
      </c>
      <c r="F598" s="119" t="s">
        <v>741</v>
      </c>
      <c r="G598" s="119" t="s">
        <v>741</v>
      </c>
      <c r="H598" s="119" t="s">
        <v>741</v>
      </c>
      <c r="I598" s="163" t="s">
        <v>204</v>
      </c>
      <c r="J598" s="119" t="s">
        <v>575</v>
      </c>
      <c r="K598" s="119" t="s">
        <v>576</v>
      </c>
      <c r="L598" s="119" t="s">
        <v>741</v>
      </c>
      <c r="M598" s="119" t="s">
        <v>185</v>
      </c>
      <c r="N598" s="136">
        <v>0.08</v>
      </c>
      <c r="O598" s="135" t="s">
        <v>51</v>
      </c>
      <c r="P598" s="135"/>
      <c r="Q598" s="137">
        <v>0</v>
      </c>
      <c r="R598" s="137">
        <v>0</v>
      </c>
      <c r="S598" s="137">
        <v>76888.77</v>
      </c>
      <c r="T598" s="137">
        <f t="shared" si="111"/>
        <v>6151.1016000000009</v>
      </c>
      <c r="U598" s="137">
        <f t="shared" si="115"/>
        <v>83039.871599999999</v>
      </c>
      <c r="V598" s="137">
        <v>0</v>
      </c>
      <c r="W598" s="137">
        <f t="shared" si="116"/>
        <v>83039.871599999999</v>
      </c>
      <c r="X598" s="137">
        <f t="shared" si="112"/>
        <v>76888.76999999999</v>
      </c>
      <c r="Y598" s="137">
        <f t="shared" si="117"/>
        <v>6151.1016000000091</v>
      </c>
      <c r="Z598" s="137">
        <v>80204.59</v>
      </c>
      <c r="AA598" s="137">
        <f t="shared" si="113"/>
        <v>-80204.59</v>
      </c>
      <c r="AB598" s="146">
        <f t="shared" si="119"/>
        <v>74263.509259259255</v>
      </c>
      <c r="AC598" s="147">
        <f t="shared" si="114"/>
        <v>5941.080740740741</v>
      </c>
      <c r="AD598" s="137">
        <f t="shared" si="118"/>
        <v>78622.743029719364</v>
      </c>
      <c r="AE598" s="138">
        <v>0.31559999999999999</v>
      </c>
      <c r="AF598" s="137">
        <f t="shared" si="109"/>
        <v>24813.337700179432</v>
      </c>
      <c r="AG598" s="137">
        <v>19371.487863259299</v>
      </c>
      <c r="AH598" s="154"/>
      <c r="AI598" s="154"/>
      <c r="AJ598" s="135" t="s">
        <v>53</v>
      </c>
      <c r="AK598" s="119" t="s">
        <v>53</v>
      </c>
      <c r="AM598" s="131"/>
    </row>
    <row r="599" spans="1:39" s="119" customFormat="1" ht="15" customHeight="1" x14ac:dyDescent="0.3">
      <c r="A599" s="119">
        <v>2017</v>
      </c>
      <c r="B599" s="119" t="s">
        <v>38</v>
      </c>
      <c r="C599" s="119" t="s">
        <v>59</v>
      </c>
      <c r="D599" s="119" t="s">
        <v>106</v>
      </c>
      <c r="E599" s="119" t="s">
        <v>239</v>
      </c>
      <c r="F599" s="119" t="s">
        <v>240</v>
      </c>
      <c r="G599" s="119" t="s">
        <v>240</v>
      </c>
      <c r="H599" s="119" t="s">
        <v>240</v>
      </c>
      <c r="I599" s="163" t="s">
        <v>204</v>
      </c>
      <c r="J599" s="119" t="s">
        <v>575</v>
      </c>
      <c r="K599" s="119" t="s">
        <v>576</v>
      </c>
      <c r="L599" s="119" t="s">
        <v>240</v>
      </c>
      <c r="M599" s="119" t="s">
        <v>46</v>
      </c>
      <c r="N599" s="136">
        <v>0.02</v>
      </c>
      <c r="O599" s="135" t="s">
        <v>51</v>
      </c>
      <c r="P599" s="135"/>
      <c r="Q599" s="137">
        <v>0</v>
      </c>
      <c r="R599" s="137">
        <v>0</v>
      </c>
      <c r="S599" s="137">
        <v>-593330.34</v>
      </c>
      <c r="T599" s="137">
        <f t="shared" si="111"/>
        <v>-11866.6068</v>
      </c>
      <c r="U599" s="137">
        <f t="shared" si="115"/>
        <v>-605196.94679999992</v>
      </c>
      <c r="V599" s="137">
        <v>0</v>
      </c>
      <c r="W599" s="137">
        <f t="shared" si="116"/>
        <v>-605196.94679999992</v>
      </c>
      <c r="X599" s="137">
        <f t="shared" si="112"/>
        <v>-593330.33999999985</v>
      </c>
      <c r="Y599" s="137">
        <f t="shared" si="117"/>
        <v>-11866.606800000067</v>
      </c>
      <c r="Z599" s="137">
        <v>0</v>
      </c>
      <c r="AA599" s="137">
        <f t="shared" si="113"/>
        <v>0</v>
      </c>
      <c r="AB599" s="146">
        <f t="shared" si="119"/>
        <v>0</v>
      </c>
      <c r="AC599" s="147">
        <f t="shared" si="114"/>
        <v>0</v>
      </c>
      <c r="AD599" s="137">
        <f t="shared" si="118"/>
        <v>0</v>
      </c>
      <c r="AE599" s="138">
        <v>0.1077</v>
      </c>
      <c r="AF599" s="137">
        <f t="shared" si="109"/>
        <v>0</v>
      </c>
      <c r="AG599" s="137">
        <v>0</v>
      </c>
      <c r="AH599" s="154"/>
      <c r="AI599" s="154"/>
      <c r="AJ599" s="135" t="s">
        <v>173</v>
      </c>
      <c r="AK599" s="119" t="s">
        <v>173</v>
      </c>
      <c r="AM599" s="131"/>
    </row>
    <row r="600" spans="1:39" s="119" customFormat="1" ht="15" customHeight="1" x14ac:dyDescent="0.3">
      <c r="A600" s="119">
        <v>2017</v>
      </c>
      <c r="B600" s="119" t="s">
        <v>38</v>
      </c>
      <c r="C600" s="119" t="s">
        <v>59</v>
      </c>
      <c r="D600" s="119" t="s">
        <v>106</v>
      </c>
      <c r="E600" s="119" t="s">
        <v>239</v>
      </c>
      <c r="F600" s="119" t="s">
        <v>240</v>
      </c>
      <c r="G600" s="119" t="s">
        <v>240</v>
      </c>
      <c r="H600" s="119" t="s">
        <v>240</v>
      </c>
      <c r="I600" s="163" t="s">
        <v>204</v>
      </c>
      <c r="J600" s="119" t="s">
        <v>575</v>
      </c>
      <c r="K600" s="119" t="s">
        <v>576</v>
      </c>
      <c r="L600" s="119" t="s">
        <v>240</v>
      </c>
      <c r="M600" s="119" t="s">
        <v>185</v>
      </c>
      <c r="N600" s="136">
        <v>0.08</v>
      </c>
      <c r="O600" s="135" t="s">
        <v>51</v>
      </c>
      <c r="P600" s="135"/>
      <c r="Q600" s="137">
        <v>39458.586490000002</v>
      </c>
      <c r="R600" s="137">
        <v>0</v>
      </c>
      <c r="S600" s="137">
        <v>767197.4</v>
      </c>
      <c r="T600" s="137">
        <f t="shared" si="111"/>
        <v>61375.792000000001</v>
      </c>
      <c r="U600" s="137">
        <f t="shared" si="115"/>
        <v>828573.19200000004</v>
      </c>
      <c r="V600" s="137">
        <v>0</v>
      </c>
      <c r="W600" s="137">
        <f t="shared" si="116"/>
        <v>828573.19200000004</v>
      </c>
      <c r="X600" s="137">
        <f t="shared" si="112"/>
        <v>767197.4</v>
      </c>
      <c r="Y600" s="137">
        <f t="shared" si="117"/>
        <v>61375.792000000016</v>
      </c>
      <c r="Z600" s="137">
        <v>861893.92</v>
      </c>
      <c r="AA600" s="137">
        <f t="shared" si="113"/>
        <v>-822435.33351000003</v>
      </c>
      <c r="AB600" s="146">
        <f>IF(O600="返货",(Z600-Q600)/(1+N600),IF(O600="返现",(Z600-Q600),IF(O600="折扣",(Z600-Q600)*N600,IF(O600="无",(Z600-Q600)))))</f>
        <v>761514.19769444445</v>
      </c>
      <c r="AC600" s="147">
        <f t="shared" si="114"/>
        <v>100379.7223055556</v>
      </c>
      <c r="AD600" s="137">
        <f t="shared" si="118"/>
        <v>844895.08881022281</v>
      </c>
      <c r="AE600" s="138">
        <v>0.31559999999999999</v>
      </c>
      <c r="AF600" s="137">
        <f t="shared" si="109"/>
        <v>266648.89002850628</v>
      </c>
      <c r="AG600" s="137">
        <v>208169.72707792601</v>
      </c>
      <c r="AH600" s="154"/>
      <c r="AI600" s="154"/>
      <c r="AJ600" s="135" t="s">
        <v>53</v>
      </c>
      <c r="AK600" s="119" t="s">
        <v>53</v>
      </c>
      <c r="AM600" s="131"/>
    </row>
    <row r="601" spans="1:39" s="119" customFormat="1" ht="15" customHeight="1" x14ac:dyDescent="0.3">
      <c r="A601" s="119">
        <v>2017</v>
      </c>
      <c r="B601" s="119" t="s">
        <v>38</v>
      </c>
      <c r="C601" s="119" t="s">
        <v>59</v>
      </c>
      <c r="D601" s="119" t="s">
        <v>106</v>
      </c>
      <c r="E601" s="119" t="s">
        <v>239</v>
      </c>
      <c r="F601" s="119" t="s">
        <v>240</v>
      </c>
      <c r="G601" s="119" t="s">
        <v>240</v>
      </c>
      <c r="H601" s="119" t="s">
        <v>240</v>
      </c>
      <c r="I601" s="163" t="s">
        <v>204</v>
      </c>
      <c r="J601" s="119" t="s">
        <v>575</v>
      </c>
      <c r="K601" s="119" t="s">
        <v>576</v>
      </c>
      <c r="L601" s="119" t="s">
        <v>240</v>
      </c>
      <c r="M601" s="119" t="s">
        <v>595</v>
      </c>
      <c r="N601" s="136">
        <v>0</v>
      </c>
      <c r="O601" s="135" t="s">
        <v>47</v>
      </c>
      <c r="P601" s="135"/>
      <c r="Q601" s="137">
        <v>0</v>
      </c>
      <c r="R601" s="137">
        <v>0</v>
      </c>
      <c r="S601" s="137">
        <v>273000</v>
      </c>
      <c r="T601" s="137">
        <f t="shared" si="111"/>
        <v>0</v>
      </c>
      <c r="U601" s="137">
        <f t="shared" si="115"/>
        <v>273000</v>
      </c>
      <c r="V601" s="137">
        <v>0</v>
      </c>
      <c r="W601" s="137">
        <f t="shared" si="116"/>
        <v>273000</v>
      </c>
      <c r="X601" s="137">
        <f t="shared" si="112"/>
        <v>273000</v>
      </c>
      <c r="Y601" s="137">
        <f t="shared" si="117"/>
        <v>0</v>
      </c>
      <c r="Z601" s="137">
        <v>0</v>
      </c>
      <c r="AA601" s="137">
        <f t="shared" si="113"/>
        <v>0</v>
      </c>
      <c r="AB601" s="146">
        <f>IF(O601="返货",Z601/(1+N601),IF(O601="返现",Z601,IF(O601="折扣",Z601*N601,IF(O601="无",Z601))))</f>
        <v>0</v>
      </c>
      <c r="AC601" s="147">
        <f t="shared" si="114"/>
        <v>0</v>
      </c>
      <c r="AD601" s="137">
        <f t="shared" si="118"/>
        <v>0</v>
      </c>
      <c r="AE601" s="138">
        <v>0.35339999999999999</v>
      </c>
      <c r="AF601" s="137">
        <f t="shared" si="109"/>
        <v>0</v>
      </c>
      <c r="AG601" s="137">
        <v>0</v>
      </c>
      <c r="AH601" s="154"/>
      <c r="AI601" s="154"/>
      <c r="AJ601" s="136">
        <v>0.35</v>
      </c>
      <c r="AK601" s="156">
        <v>0.35</v>
      </c>
      <c r="AM601" s="131"/>
    </row>
    <row r="602" spans="1:39" s="119" customFormat="1" ht="15" customHeight="1" x14ac:dyDescent="0.3">
      <c r="A602" s="119">
        <v>2017</v>
      </c>
      <c r="B602" s="119" t="s">
        <v>38</v>
      </c>
      <c r="C602" s="119" t="s">
        <v>59</v>
      </c>
      <c r="D602" s="119" t="s">
        <v>106</v>
      </c>
      <c r="E602" s="119" t="s">
        <v>239</v>
      </c>
      <c r="F602" s="119" t="s">
        <v>240</v>
      </c>
      <c r="G602" s="119" t="s">
        <v>240</v>
      </c>
      <c r="H602" s="119" t="s">
        <v>240</v>
      </c>
      <c r="I602" s="163" t="s">
        <v>204</v>
      </c>
      <c r="J602" s="119" t="s">
        <v>575</v>
      </c>
      <c r="K602" s="119" t="s">
        <v>576</v>
      </c>
      <c r="L602" s="119" t="s">
        <v>240</v>
      </c>
      <c r="M602" s="119" t="s">
        <v>160</v>
      </c>
      <c r="N602" s="136">
        <v>0</v>
      </c>
      <c r="O602" s="135" t="s">
        <v>47</v>
      </c>
      <c r="P602" s="135"/>
      <c r="Q602" s="137">
        <v>0</v>
      </c>
      <c r="R602" s="137">
        <v>0</v>
      </c>
      <c r="S602" s="137">
        <v>50000</v>
      </c>
      <c r="T602" s="137">
        <f t="shared" si="111"/>
        <v>0</v>
      </c>
      <c r="U602" s="137">
        <f t="shared" si="115"/>
        <v>50000</v>
      </c>
      <c r="V602" s="137">
        <v>50000</v>
      </c>
      <c r="W602" s="137">
        <f t="shared" si="116"/>
        <v>0</v>
      </c>
      <c r="X602" s="137">
        <f t="shared" si="112"/>
        <v>0</v>
      </c>
      <c r="Y602" s="137">
        <f t="shared" si="117"/>
        <v>0</v>
      </c>
      <c r="Z602" s="137">
        <v>50000</v>
      </c>
      <c r="AA602" s="137">
        <f t="shared" si="113"/>
        <v>0</v>
      </c>
      <c r="AB602" s="146">
        <f>IF(O602="返货",Z602/(1+N602),IF(O602="返现",Z602,IF(O602="折扣",Z602*N602,IF(O602="无",Z602))))</f>
        <v>50000</v>
      </c>
      <c r="AC602" s="147">
        <f t="shared" si="114"/>
        <v>0</v>
      </c>
      <c r="AD602" s="137">
        <f t="shared" si="118"/>
        <v>49013.867554038596</v>
      </c>
      <c r="AE602" s="138">
        <v>0.1077</v>
      </c>
      <c r="AF602" s="137">
        <f t="shared" si="109"/>
        <v>5278.7935355699574</v>
      </c>
      <c r="AG602" s="137">
        <v>5385</v>
      </c>
      <c r="AH602" s="154"/>
      <c r="AI602" s="154"/>
      <c r="AJ602" s="135" t="s">
        <v>47</v>
      </c>
      <c r="AK602" s="119" t="s">
        <v>47</v>
      </c>
      <c r="AM602" s="131"/>
    </row>
    <row r="603" spans="1:39" s="119" customFormat="1" ht="15" customHeight="1" x14ac:dyDescent="0.3">
      <c r="A603" s="119">
        <v>2017</v>
      </c>
      <c r="B603" s="119" t="s">
        <v>38</v>
      </c>
      <c r="C603" s="119" t="s">
        <v>59</v>
      </c>
      <c r="D603" s="119" t="s">
        <v>106</v>
      </c>
      <c r="E603" s="119" t="s">
        <v>239</v>
      </c>
      <c r="F603" s="119" t="s">
        <v>352</v>
      </c>
      <c r="G603" s="119" t="s">
        <v>352</v>
      </c>
      <c r="H603" s="119" t="s">
        <v>352</v>
      </c>
      <c r="I603" s="163" t="s">
        <v>204</v>
      </c>
      <c r="J603" s="119" t="s">
        <v>575</v>
      </c>
      <c r="K603" s="119" t="s">
        <v>576</v>
      </c>
      <c r="L603" s="119" t="s">
        <v>352</v>
      </c>
      <c r="M603" s="119" t="s">
        <v>46</v>
      </c>
      <c r="N603" s="136">
        <v>0.02</v>
      </c>
      <c r="O603" s="135" t="s">
        <v>51</v>
      </c>
      <c r="P603" s="135"/>
      <c r="Q603" s="137">
        <v>319807.15000000002</v>
      </c>
      <c r="R603" s="137">
        <v>0</v>
      </c>
      <c r="S603" s="137">
        <v>7671429.1100000003</v>
      </c>
      <c r="T603" s="137">
        <f t="shared" si="111"/>
        <v>153428.5822</v>
      </c>
      <c r="U603" s="137">
        <f t="shared" si="115"/>
        <v>7824857.6922000004</v>
      </c>
      <c r="V603" s="137">
        <v>22189504.84</v>
      </c>
      <c r="W603" s="137">
        <f t="shared" si="116"/>
        <v>-14364647.147799999</v>
      </c>
      <c r="X603" s="137">
        <f t="shared" si="112"/>
        <v>-14082987.39980392</v>
      </c>
      <c r="Y603" s="137">
        <f t="shared" si="117"/>
        <v>-281659.7479960788</v>
      </c>
      <c r="Z603" s="137">
        <v>8572486.8399999999</v>
      </c>
      <c r="AA603" s="137">
        <f t="shared" si="113"/>
        <v>13936825.149999999</v>
      </c>
      <c r="AB603" s="146">
        <f>IF(O603="返货",(Z603-Q603)/(1+N603),IF(O603="返现",(Z603-Q603),IF(O603="折扣",(Z603-Q603)*N603,IF(O603="无",(Z603-Q603)))))</f>
        <v>8090862.4411764704</v>
      </c>
      <c r="AC603" s="147">
        <f t="shared" si="114"/>
        <v>481624.39882352948</v>
      </c>
      <c r="AD603" s="137">
        <f t="shared" si="118"/>
        <v>8403414.6916899774</v>
      </c>
      <c r="AE603" s="138">
        <v>0.1077</v>
      </c>
      <c r="AF603" s="137">
        <f t="shared" si="109"/>
        <v>905047.76229501062</v>
      </c>
      <c r="AG603" s="137">
        <v>755168.85541309696</v>
      </c>
      <c r="AH603" s="154"/>
      <c r="AI603" s="154"/>
      <c r="AJ603" s="135" t="s">
        <v>173</v>
      </c>
      <c r="AK603" s="119" t="s">
        <v>173</v>
      </c>
      <c r="AM603" s="131"/>
    </row>
    <row r="604" spans="1:39" s="119" customFormat="1" ht="15" customHeight="1" x14ac:dyDescent="0.3">
      <c r="A604" s="119">
        <v>2017</v>
      </c>
      <c r="B604" s="119" t="s">
        <v>38</v>
      </c>
      <c r="C604" s="119" t="s">
        <v>59</v>
      </c>
      <c r="D604" s="119" t="s">
        <v>106</v>
      </c>
      <c r="E604" s="119" t="s">
        <v>239</v>
      </c>
      <c r="F604" s="119" t="s">
        <v>352</v>
      </c>
      <c r="G604" s="119" t="s">
        <v>352</v>
      </c>
      <c r="H604" s="119" t="s">
        <v>352</v>
      </c>
      <c r="I604" s="163" t="s">
        <v>204</v>
      </c>
      <c r="J604" s="119" t="s">
        <v>575</v>
      </c>
      <c r="K604" s="119" t="s">
        <v>576</v>
      </c>
      <c r="L604" s="119" t="s">
        <v>352</v>
      </c>
      <c r="M604" s="119" t="s">
        <v>185</v>
      </c>
      <c r="N604" s="136">
        <v>0.08</v>
      </c>
      <c r="O604" s="135" t="s">
        <v>51</v>
      </c>
      <c r="P604" s="135"/>
      <c r="Q604" s="137">
        <v>35443.224000000002</v>
      </c>
      <c r="R604" s="137">
        <v>0</v>
      </c>
      <c r="S604" s="137">
        <v>13318570.890000001</v>
      </c>
      <c r="T604" s="137">
        <f t="shared" si="111"/>
        <v>1065485.6712</v>
      </c>
      <c r="U604" s="137">
        <f t="shared" si="115"/>
        <v>14384056.5612</v>
      </c>
      <c r="V604" s="137">
        <v>0</v>
      </c>
      <c r="W604" s="137">
        <f t="shared" si="116"/>
        <v>14384056.5612</v>
      </c>
      <c r="X604" s="137">
        <f t="shared" si="112"/>
        <v>13318570.889999999</v>
      </c>
      <c r="Y604" s="137">
        <f t="shared" si="117"/>
        <v>1065485.6712000016</v>
      </c>
      <c r="Z604" s="137">
        <v>13972390.369999999</v>
      </c>
      <c r="AA604" s="137">
        <f t="shared" si="113"/>
        <v>-13936947.146</v>
      </c>
      <c r="AB604" s="146">
        <f>IF(O604="返货",(Z604-Q604)/(1+N604),IF(O604="返现",(Z604-Q604),IF(O604="折扣",(Z604-Q604)*N604,IF(O604="无",(Z604-Q604)))))</f>
        <v>12904580.69074074</v>
      </c>
      <c r="AC604" s="147">
        <f t="shared" si="114"/>
        <v>1067809.6792592593</v>
      </c>
      <c r="AD604" s="137">
        <f t="shared" si="118"/>
        <v>13696817.820170086</v>
      </c>
      <c r="AE604" s="138">
        <v>0.31559999999999999</v>
      </c>
      <c r="AF604" s="137">
        <f t="shared" si="109"/>
        <v>4322715.7040456794</v>
      </c>
      <c r="AG604" s="137">
        <v>3374694.5215127398</v>
      </c>
      <c r="AH604" s="154"/>
      <c r="AI604" s="154"/>
      <c r="AJ604" s="135" t="s">
        <v>53</v>
      </c>
      <c r="AK604" s="119" t="s">
        <v>53</v>
      </c>
      <c r="AM604" s="131"/>
    </row>
    <row r="605" spans="1:39" s="119" customFormat="1" ht="15" customHeight="1" x14ac:dyDescent="0.3">
      <c r="A605" s="119">
        <v>2017</v>
      </c>
      <c r="B605" s="119" t="s">
        <v>38</v>
      </c>
      <c r="C605" s="119" t="s">
        <v>59</v>
      </c>
      <c r="D605" s="119" t="s">
        <v>106</v>
      </c>
      <c r="E605" s="119" t="s">
        <v>239</v>
      </c>
      <c r="F605" s="119" t="s">
        <v>352</v>
      </c>
      <c r="G605" s="119" t="s">
        <v>352</v>
      </c>
      <c r="H605" s="119" t="s">
        <v>352</v>
      </c>
      <c r="I605" s="163" t="s">
        <v>204</v>
      </c>
      <c r="J605" s="119" t="s">
        <v>575</v>
      </c>
      <c r="K605" s="119" t="s">
        <v>576</v>
      </c>
      <c r="L605" s="119" t="s">
        <v>352</v>
      </c>
      <c r="M605" s="119" t="s">
        <v>595</v>
      </c>
      <c r="N605" s="136">
        <v>0</v>
      </c>
      <c r="O605" s="135" t="s">
        <v>47</v>
      </c>
      <c r="P605" s="135"/>
      <c r="Q605" s="137">
        <v>0</v>
      </c>
      <c r="R605" s="137">
        <v>0</v>
      </c>
      <c r="S605" s="137">
        <v>170000</v>
      </c>
      <c r="T605" s="137">
        <f t="shared" si="111"/>
        <v>0</v>
      </c>
      <c r="U605" s="137">
        <f t="shared" si="115"/>
        <v>170000</v>
      </c>
      <c r="V605" s="137">
        <v>307500</v>
      </c>
      <c r="W605" s="137">
        <f t="shared" si="116"/>
        <v>-137500</v>
      </c>
      <c r="X605" s="137">
        <f t="shared" si="112"/>
        <v>-137500</v>
      </c>
      <c r="Y605" s="137">
        <f t="shared" si="117"/>
        <v>0</v>
      </c>
      <c r="Z605" s="137">
        <v>307500</v>
      </c>
      <c r="AA605" s="137">
        <f t="shared" si="113"/>
        <v>0</v>
      </c>
      <c r="AB605" s="146">
        <f>IF(O605="返货",Z605/(1+N605),IF(O605="返现",Z605,IF(O605="折扣",Z605*N605,IF(O605="无",Z605))))</f>
        <v>307500</v>
      </c>
      <c r="AC605" s="147">
        <f t="shared" si="114"/>
        <v>0</v>
      </c>
      <c r="AD605" s="137">
        <f t="shared" si="118"/>
        <v>301435.28545733739</v>
      </c>
      <c r="AE605" s="138">
        <v>0.35339999999999999</v>
      </c>
      <c r="AF605" s="137">
        <f t="shared" si="109"/>
        <v>106527.22988062302</v>
      </c>
      <c r="AG605" s="137">
        <v>28948.277777777799</v>
      </c>
      <c r="AH605" s="154"/>
      <c r="AI605" s="154"/>
      <c r="AJ605" s="136">
        <v>0.35</v>
      </c>
      <c r="AK605" s="156">
        <v>0.35</v>
      </c>
      <c r="AM605" s="131"/>
    </row>
    <row r="606" spans="1:39" s="119" customFormat="1" ht="15" customHeight="1" x14ac:dyDescent="0.3">
      <c r="A606" s="119">
        <v>2017</v>
      </c>
      <c r="B606" s="119" t="s">
        <v>38</v>
      </c>
      <c r="C606" s="119" t="s">
        <v>59</v>
      </c>
      <c r="D606" s="119" t="s">
        <v>106</v>
      </c>
      <c r="E606" s="119" t="s">
        <v>239</v>
      </c>
      <c r="F606" s="119" t="s">
        <v>352</v>
      </c>
      <c r="G606" s="119" t="s">
        <v>352</v>
      </c>
      <c r="H606" s="119" t="s">
        <v>352</v>
      </c>
      <c r="I606" s="163" t="s">
        <v>204</v>
      </c>
      <c r="J606" s="119" t="s">
        <v>575</v>
      </c>
      <c r="K606" s="119" t="s">
        <v>576</v>
      </c>
      <c r="L606" s="119" t="s">
        <v>352</v>
      </c>
      <c r="M606" s="119" t="s">
        <v>160</v>
      </c>
      <c r="N606" s="136">
        <v>0</v>
      </c>
      <c r="O606" s="135" t="s">
        <v>47</v>
      </c>
      <c r="P606" s="135"/>
      <c r="Q606" s="137">
        <v>0</v>
      </c>
      <c r="R606" s="137">
        <v>0</v>
      </c>
      <c r="S606" s="137">
        <v>547500</v>
      </c>
      <c r="T606" s="137">
        <f t="shared" si="111"/>
        <v>0</v>
      </c>
      <c r="U606" s="137">
        <f t="shared" si="115"/>
        <v>547500</v>
      </c>
      <c r="V606" s="137">
        <v>175000</v>
      </c>
      <c r="W606" s="137">
        <f t="shared" si="116"/>
        <v>372500</v>
      </c>
      <c r="X606" s="137">
        <f t="shared" si="112"/>
        <v>372500</v>
      </c>
      <c r="Y606" s="137">
        <f t="shared" si="117"/>
        <v>0</v>
      </c>
      <c r="Z606" s="137">
        <v>175000</v>
      </c>
      <c r="AA606" s="137">
        <f t="shared" si="113"/>
        <v>0</v>
      </c>
      <c r="AB606" s="146">
        <f>IF(O606="返货",Z606/(1+N606),IF(O606="返现",Z606,IF(O606="折扣",Z606*N606,IF(O606="无",Z606))))</f>
        <v>175000</v>
      </c>
      <c r="AC606" s="147">
        <f t="shared" si="114"/>
        <v>0</v>
      </c>
      <c r="AD606" s="137">
        <f t="shared" si="118"/>
        <v>171548.53643913509</v>
      </c>
      <c r="AE606" s="138">
        <v>0.1077</v>
      </c>
      <c r="AF606" s="137">
        <f t="shared" si="109"/>
        <v>18475.77737449485</v>
      </c>
      <c r="AG606" s="137">
        <v>-26522.870370370401</v>
      </c>
      <c r="AH606" s="154"/>
      <c r="AI606" s="154"/>
      <c r="AJ606" s="136">
        <v>0.35</v>
      </c>
      <c r="AK606" s="156">
        <v>0.35</v>
      </c>
      <c r="AM606" s="131"/>
    </row>
    <row r="607" spans="1:39" s="119" customFormat="1" ht="15" customHeight="1" x14ac:dyDescent="0.3">
      <c r="A607" s="119">
        <v>2017</v>
      </c>
      <c r="B607" s="119" t="s">
        <v>38</v>
      </c>
      <c r="C607" s="119" t="s">
        <v>59</v>
      </c>
      <c r="D607" s="119" t="s">
        <v>106</v>
      </c>
      <c r="E607" s="119" t="s">
        <v>190</v>
      </c>
      <c r="F607" s="119" t="s">
        <v>197</v>
      </c>
      <c r="G607" s="119" t="s">
        <v>197</v>
      </c>
      <c r="H607" s="119" t="s">
        <v>197</v>
      </c>
      <c r="I607" s="163" t="s">
        <v>204</v>
      </c>
      <c r="J607" s="119" t="s">
        <v>575</v>
      </c>
      <c r="K607" s="119" t="s">
        <v>576</v>
      </c>
      <c r="L607" s="119" t="s">
        <v>197</v>
      </c>
      <c r="M607" s="119" t="s">
        <v>46</v>
      </c>
      <c r="N607" s="136">
        <v>0.02</v>
      </c>
      <c r="O607" s="135" t="s">
        <v>51</v>
      </c>
      <c r="P607" s="135"/>
      <c r="Q607" s="137">
        <v>114338.6</v>
      </c>
      <c r="R607" s="137">
        <v>0</v>
      </c>
      <c r="S607" s="137">
        <v>7169635.5199999996</v>
      </c>
      <c r="T607" s="137">
        <f t="shared" si="111"/>
        <v>143392.71039999998</v>
      </c>
      <c r="U607" s="137">
        <f t="shared" si="115"/>
        <v>7313028.2303999998</v>
      </c>
      <c r="V607" s="137">
        <v>7510000</v>
      </c>
      <c r="W607" s="137">
        <f t="shared" si="116"/>
        <v>-196971.76960000023</v>
      </c>
      <c r="X607" s="137">
        <f t="shared" si="112"/>
        <v>-193109.57803921591</v>
      </c>
      <c r="Y607" s="137">
        <f t="shared" si="117"/>
        <v>-3862.1915607843257</v>
      </c>
      <c r="Z607" s="137">
        <v>5922042.4199999999</v>
      </c>
      <c r="AA607" s="137">
        <f t="shared" si="113"/>
        <v>1702296.1799999997</v>
      </c>
      <c r="AB607" s="146">
        <f>IF(O607="返货",(Z607-Q607)/(1+N607),IF(O607="返现",(Z607-Q607),IF(O607="折扣",(Z607-Q607)*N607,IF(O607="无",(Z607-Q607)))))</f>
        <v>5693827.2745098043</v>
      </c>
      <c r="AC607" s="147">
        <f t="shared" si="114"/>
        <v>228215.1454901956</v>
      </c>
      <c r="AD607" s="137">
        <f t="shared" si="118"/>
        <v>5805244.0564655643</v>
      </c>
      <c r="AE607" s="138">
        <v>0.1077</v>
      </c>
      <c r="AF607" s="137">
        <f t="shared" si="109"/>
        <v>625224.78488134127</v>
      </c>
      <c r="AG607" s="137">
        <v>521685.48981047003</v>
      </c>
      <c r="AH607" s="154"/>
      <c r="AI607" s="154"/>
      <c r="AJ607" s="135" t="s">
        <v>173</v>
      </c>
      <c r="AK607" s="119" t="s">
        <v>173</v>
      </c>
      <c r="AL607" s="119" t="s">
        <v>611</v>
      </c>
      <c r="AM607" s="131"/>
    </row>
    <row r="608" spans="1:39" s="119" customFormat="1" ht="15" customHeight="1" x14ac:dyDescent="0.3">
      <c r="A608" s="119">
        <v>2017</v>
      </c>
      <c r="B608" s="119" t="s">
        <v>38</v>
      </c>
      <c r="C608" s="119" t="s">
        <v>59</v>
      </c>
      <c r="D608" s="119" t="s">
        <v>106</v>
      </c>
      <c r="E608" s="119" t="s">
        <v>190</v>
      </c>
      <c r="F608" s="119" t="s">
        <v>197</v>
      </c>
      <c r="G608" s="119" t="s">
        <v>197</v>
      </c>
      <c r="H608" s="119" t="s">
        <v>197</v>
      </c>
      <c r="I608" s="163" t="s">
        <v>204</v>
      </c>
      <c r="J608" s="119" t="s">
        <v>575</v>
      </c>
      <c r="K608" s="119" t="s">
        <v>576</v>
      </c>
      <c r="L608" s="119" t="s">
        <v>197</v>
      </c>
      <c r="M608" s="119" t="s">
        <v>185</v>
      </c>
      <c r="N608" s="136">
        <v>0.08</v>
      </c>
      <c r="O608" s="135" t="s">
        <v>51</v>
      </c>
      <c r="P608" s="135"/>
      <c r="Q608" s="137">
        <v>50000</v>
      </c>
      <c r="R608" s="137">
        <v>0</v>
      </c>
      <c r="S608" s="137">
        <v>7623548.04</v>
      </c>
      <c r="T608" s="137">
        <f t="shared" si="111"/>
        <v>609883.8432</v>
      </c>
      <c r="U608" s="137">
        <f t="shared" si="115"/>
        <v>8233431.8832</v>
      </c>
      <c r="V608" s="137">
        <v>0</v>
      </c>
      <c r="W608" s="137">
        <f t="shared" si="116"/>
        <v>8233431.8832</v>
      </c>
      <c r="X608" s="137">
        <f t="shared" si="112"/>
        <v>7623548.0399999991</v>
      </c>
      <c r="Y608" s="137">
        <f t="shared" si="117"/>
        <v>609883.84320000093</v>
      </c>
      <c r="Z608" s="137">
        <v>1752338.04</v>
      </c>
      <c r="AA608" s="137">
        <f t="shared" si="113"/>
        <v>-1702338.04</v>
      </c>
      <c r="AB608" s="146">
        <f>IF(O608="返货",(Z608-Q608)/(1+N608),IF(O608="返现",(Z608-Q608),IF(O608="折扣",(Z608-Q608)*N608,IF(O608="无",(Z608-Q608)))))</f>
        <v>1576238.9259259258</v>
      </c>
      <c r="AC608" s="147">
        <f t="shared" si="114"/>
        <v>176099.1140740742</v>
      </c>
      <c r="AD608" s="137">
        <f t="shared" si="118"/>
        <v>1717777.2920492718</v>
      </c>
      <c r="AE608" s="138">
        <v>0.31559999999999999</v>
      </c>
      <c r="AF608" s="137">
        <f t="shared" si="109"/>
        <v>542130.51337075012</v>
      </c>
      <c r="AG608" s="137">
        <v>423235.06764622201</v>
      </c>
      <c r="AH608" s="154"/>
      <c r="AI608" s="154"/>
      <c r="AJ608" s="135" t="s">
        <v>53</v>
      </c>
      <c r="AK608" s="119" t="s">
        <v>53</v>
      </c>
      <c r="AM608" s="131"/>
    </row>
    <row r="609" spans="1:39" s="119" customFormat="1" ht="15" customHeight="1" x14ac:dyDescent="0.3">
      <c r="A609" s="119">
        <v>2017</v>
      </c>
      <c r="B609" s="119" t="s">
        <v>38</v>
      </c>
      <c r="C609" s="119" t="s">
        <v>59</v>
      </c>
      <c r="D609" s="119" t="s">
        <v>106</v>
      </c>
      <c r="E609" s="119" t="s">
        <v>190</v>
      </c>
      <c r="F609" s="119" t="s">
        <v>197</v>
      </c>
      <c r="G609" s="119" t="s">
        <v>197</v>
      </c>
      <c r="H609" s="119" t="s">
        <v>197</v>
      </c>
      <c r="I609" s="163" t="s">
        <v>204</v>
      </c>
      <c r="J609" s="119" t="s">
        <v>575</v>
      </c>
      <c r="K609" s="119" t="s">
        <v>576</v>
      </c>
      <c r="L609" s="119" t="s">
        <v>197</v>
      </c>
      <c r="M609" s="119" t="s">
        <v>595</v>
      </c>
      <c r="N609" s="135">
        <v>0</v>
      </c>
      <c r="O609" s="135" t="s">
        <v>47</v>
      </c>
      <c r="P609" s="135"/>
      <c r="Q609" s="137">
        <v>0</v>
      </c>
      <c r="R609" s="137">
        <v>0</v>
      </c>
      <c r="S609" s="137">
        <v>31500</v>
      </c>
      <c r="T609" s="137">
        <f t="shared" si="111"/>
        <v>0</v>
      </c>
      <c r="U609" s="137">
        <f t="shared" si="115"/>
        <v>31500</v>
      </c>
      <c r="V609" s="137">
        <v>31500</v>
      </c>
      <c r="W609" s="137">
        <f t="shared" si="116"/>
        <v>0</v>
      </c>
      <c r="X609" s="137">
        <f t="shared" si="112"/>
        <v>0</v>
      </c>
      <c r="Y609" s="137">
        <f t="shared" si="117"/>
        <v>0</v>
      </c>
      <c r="Z609" s="137">
        <v>31500</v>
      </c>
      <c r="AA609" s="137">
        <f t="shared" si="113"/>
        <v>0</v>
      </c>
      <c r="AB609" s="146">
        <f>IF(O609="返货",Z609/(1+N609),IF(O609="返现",Z609,IF(O609="折扣",Z609*N609,IF(O609="无",Z609))))</f>
        <v>31500</v>
      </c>
      <c r="AC609" s="147">
        <f t="shared" si="114"/>
        <v>0</v>
      </c>
      <c r="AD609" s="137">
        <f t="shared" si="118"/>
        <v>30878.736559044315</v>
      </c>
      <c r="AE609" s="138">
        <v>0.35339999999999999</v>
      </c>
      <c r="AF609" s="137">
        <f t="shared" si="109"/>
        <v>10912.545499966262</v>
      </c>
      <c r="AG609" s="137">
        <v>11132.1</v>
      </c>
      <c r="AH609" s="154"/>
      <c r="AI609" s="154"/>
      <c r="AJ609" s="135" t="s">
        <v>47</v>
      </c>
      <c r="AK609" s="119" t="s">
        <v>47</v>
      </c>
      <c r="AM609" s="131"/>
    </row>
    <row r="610" spans="1:39" s="119" customFormat="1" ht="15" customHeight="1" x14ac:dyDescent="0.3">
      <c r="A610" s="119">
        <v>2017</v>
      </c>
      <c r="B610" s="119" t="s">
        <v>38</v>
      </c>
      <c r="C610" s="119" t="s">
        <v>59</v>
      </c>
      <c r="D610" s="119" t="s">
        <v>106</v>
      </c>
      <c r="E610" s="119" t="s">
        <v>190</v>
      </c>
      <c r="F610" s="119" t="s">
        <v>197</v>
      </c>
      <c r="G610" s="119" t="s">
        <v>197</v>
      </c>
      <c r="H610" s="119" t="s">
        <v>197</v>
      </c>
      <c r="I610" s="163" t="s">
        <v>204</v>
      </c>
      <c r="J610" s="119" t="s">
        <v>575</v>
      </c>
      <c r="K610" s="119" t="s">
        <v>576</v>
      </c>
      <c r="L610" s="119" t="s">
        <v>197</v>
      </c>
      <c r="M610" s="119" t="s">
        <v>160</v>
      </c>
      <c r="N610" s="136">
        <v>0</v>
      </c>
      <c r="O610" s="135" t="s">
        <v>47</v>
      </c>
      <c r="P610" s="135"/>
      <c r="Q610" s="137">
        <v>0</v>
      </c>
      <c r="R610" s="137">
        <v>0</v>
      </c>
      <c r="S610" s="137">
        <v>180000</v>
      </c>
      <c r="T610" s="137">
        <f t="shared" si="111"/>
        <v>0</v>
      </c>
      <c r="U610" s="137">
        <f t="shared" si="115"/>
        <v>180000</v>
      </c>
      <c r="V610" s="137">
        <v>180000</v>
      </c>
      <c r="W610" s="137">
        <f t="shared" si="116"/>
        <v>0</v>
      </c>
      <c r="X610" s="137">
        <f t="shared" si="112"/>
        <v>0</v>
      </c>
      <c r="Y610" s="137">
        <f t="shared" si="117"/>
        <v>0</v>
      </c>
      <c r="Z610" s="137">
        <v>180000</v>
      </c>
      <c r="AA610" s="137">
        <f t="shared" si="113"/>
        <v>0</v>
      </c>
      <c r="AB610" s="146">
        <f>IF(O610="返货",Z610/(1+N610),IF(O610="返现",Z610,IF(O610="折扣",Z610*N610,IF(O610="无",Z610))))</f>
        <v>180000</v>
      </c>
      <c r="AC610" s="147">
        <f t="shared" si="114"/>
        <v>0</v>
      </c>
      <c r="AD610" s="137">
        <f t="shared" si="118"/>
        <v>176449.92319453895</v>
      </c>
      <c r="AE610" s="138">
        <v>0.1077</v>
      </c>
      <c r="AF610" s="137">
        <f t="shared" si="109"/>
        <v>19003.656728051847</v>
      </c>
      <c r="AG610" s="137">
        <v>19386</v>
      </c>
      <c r="AH610" s="154"/>
      <c r="AI610" s="154"/>
      <c r="AJ610" s="135" t="s">
        <v>47</v>
      </c>
      <c r="AK610" s="119" t="s">
        <v>47</v>
      </c>
      <c r="AM610" s="131"/>
    </row>
    <row r="611" spans="1:39" s="119" customFormat="1" ht="15" customHeight="1" x14ac:dyDescent="0.3">
      <c r="A611" s="119">
        <v>2017</v>
      </c>
      <c r="B611" s="119" t="s">
        <v>38</v>
      </c>
      <c r="C611" s="119" t="s">
        <v>59</v>
      </c>
      <c r="D611" s="119" t="s">
        <v>106</v>
      </c>
      <c r="E611" s="119" t="s">
        <v>190</v>
      </c>
      <c r="F611" s="119" t="s">
        <v>557</v>
      </c>
      <c r="G611" s="119" t="s">
        <v>557</v>
      </c>
      <c r="H611" s="119" t="s">
        <v>557</v>
      </c>
      <c r="I611" s="163" t="s">
        <v>204</v>
      </c>
      <c r="J611" s="119" t="s">
        <v>575</v>
      </c>
      <c r="K611" s="119" t="s">
        <v>576</v>
      </c>
      <c r="L611" s="119" t="s">
        <v>557</v>
      </c>
      <c r="M611" s="119" t="s">
        <v>46</v>
      </c>
      <c r="N611" s="136">
        <v>0.02</v>
      </c>
      <c r="O611" s="135" t="s">
        <v>51</v>
      </c>
      <c r="P611" s="135"/>
      <c r="Q611" s="137">
        <v>3500</v>
      </c>
      <c r="R611" s="137">
        <v>0</v>
      </c>
      <c r="S611" s="137">
        <v>10000</v>
      </c>
      <c r="T611" s="137">
        <f t="shared" si="111"/>
        <v>200</v>
      </c>
      <c r="U611" s="137">
        <f t="shared" si="115"/>
        <v>10200</v>
      </c>
      <c r="V611" s="137">
        <v>10000</v>
      </c>
      <c r="W611" s="137">
        <f t="shared" si="116"/>
        <v>200</v>
      </c>
      <c r="X611" s="137">
        <f t="shared" si="112"/>
        <v>196.07843137254901</v>
      </c>
      <c r="Y611" s="137">
        <f t="shared" si="117"/>
        <v>3.9215686274509949</v>
      </c>
      <c r="Z611" s="137">
        <v>13500</v>
      </c>
      <c r="AA611" s="137">
        <f t="shared" si="113"/>
        <v>0</v>
      </c>
      <c r="AB611" s="146">
        <f>IF(O611="返货",(Z611-Q611)/(1+N611),IF(O611="返现",(Z611-Q611),IF(O611="折扣",(Z611-Q611)*N611,IF(O611="无",(Z611-Q611)))))</f>
        <v>9803.9215686274511</v>
      </c>
      <c r="AC611" s="147">
        <f t="shared" si="114"/>
        <v>3696.0784313725489</v>
      </c>
      <c r="AD611" s="137">
        <f t="shared" si="118"/>
        <v>13233.744239590422</v>
      </c>
      <c r="AE611" s="138">
        <v>0.1077</v>
      </c>
      <c r="AF611" s="137">
        <f t="shared" si="109"/>
        <v>1425.2742546038885</v>
      </c>
      <c r="AG611" s="137">
        <v>1189.24411764706</v>
      </c>
      <c r="AH611" s="154"/>
      <c r="AI611" s="154"/>
      <c r="AJ611" s="135" t="s">
        <v>173</v>
      </c>
      <c r="AK611" s="119" t="s">
        <v>173</v>
      </c>
      <c r="AM611" s="131"/>
    </row>
    <row r="612" spans="1:39" s="119" customFormat="1" ht="15" customHeight="1" x14ac:dyDescent="0.3">
      <c r="A612" s="119">
        <v>2017</v>
      </c>
      <c r="B612" s="119" t="s">
        <v>38</v>
      </c>
      <c r="C612" s="119" t="s">
        <v>59</v>
      </c>
      <c r="D612" s="119" t="s">
        <v>106</v>
      </c>
      <c r="E612" s="119" t="s">
        <v>249</v>
      </c>
      <c r="F612" s="119" t="s">
        <v>742</v>
      </c>
      <c r="G612" s="119" t="s">
        <v>742</v>
      </c>
      <c r="H612" s="119" t="s">
        <v>742</v>
      </c>
      <c r="I612" s="163" t="s">
        <v>204</v>
      </c>
      <c r="J612" s="119" t="s">
        <v>575</v>
      </c>
      <c r="K612" s="119" t="s">
        <v>576</v>
      </c>
      <c r="L612" s="119" t="s">
        <v>743</v>
      </c>
      <c r="M612" s="119" t="s">
        <v>46</v>
      </c>
      <c r="N612" s="136">
        <v>0.02</v>
      </c>
      <c r="O612" s="135" t="s">
        <v>51</v>
      </c>
      <c r="P612" s="135"/>
      <c r="Q612" s="137">
        <v>2751.95</v>
      </c>
      <c r="R612" s="137">
        <v>0</v>
      </c>
      <c r="S612" s="137">
        <v>20000</v>
      </c>
      <c r="T612" s="137">
        <f t="shared" si="111"/>
        <v>400</v>
      </c>
      <c r="U612" s="137">
        <f t="shared" si="115"/>
        <v>20400</v>
      </c>
      <c r="V612" s="137">
        <v>20000</v>
      </c>
      <c r="W612" s="137">
        <f t="shared" si="116"/>
        <v>400</v>
      </c>
      <c r="X612" s="137">
        <f t="shared" si="112"/>
        <v>392.15686274509801</v>
      </c>
      <c r="Y612" s="137">
        <f t="shared" si="117"/>
        <v>7.8431372549019898</v>
      </c>
      <c r="Z612" s="137">
        <v>17504.93</v>
      </c>
      <c r="AA612" s="137">
        <f t="shared" si="113"/>
        <v>5247.02</v>
      </c>
      <c r="AB612" s="146">
        <f>IF(O612="返货",(Z612-Q612)/(1+N612),IF(O612="返现",(Z612-Q612),IF(O612="折扣",(Z612-Q612)*N612,IF(O612="无",(Z612-Q612)))))</f>
        <v>14463.705882352941</v>
      </c>
      <c r="AC612" s="147">
        <f t="shared" si="114"/>
        <v>3041.2241176470598</v>
      </c>
      <c r="AD612" s="137">
        <f t="shared" si="118"/>
        <v>17159.686411254337</v>
      </c>
      <c r="AE612" s="138">
        <v>0.1077</v>
      </c>
      <c r="AF612" s="137">
        <f t="shared" si="109"/>
        <v>1848.0982264920922</v>
      </c>
      <c r="AG612" s="137">
        <v>1542.04703943137</v>
      </c>
      <c r="AH612" s="154"/>
      <c r="AI612" s="154"/>
      <c r="AJ612" s="136">
        <v>0.02</v>
      </c>
      <c r="AK612" s="156">
        <v>0.02</v>
      </c>
      <c r="AM612" s="131"/>
    </row>
    <row r="613" spans="1:39" s="119" customFormat="1" ht="15" customHeight="1" x14ac:dyDescent="0.3">
      <c r="A613" s="119">
        <v>2017</v>
      </c>
      <c r="B613" s="119" t="s">
        <v>38</v>
      </c>
      <c r="C613" s="119" t="s">
        <v>59</v>
      </c>
      <c r="D613" s="119" t="s">
        <v>106</v>
      </c>
      <c r="E613" s="119" t="s">
        <v>61</v>
      </c>
      <c r="F613" s="119" t="s">
        <v>744</v>
      </c>
      <c r="G613" s="119" t="s">
        <v>744</v>
      </c>
      <c r="H613" s="119" t="s">
        <v>744</v>
      </c>
      <c r="I613" s="163" t="s">
        <v>204</v>
      </c>
      <c r="J613" s="119" t="s">
        <v>575</v>
      </c>
      <c r="K613" s="119" t="s">
        <v>576</v>
      </c>
      <c r="L613" s="119" t="s">
        <v>744</v>
      </c>
      <c r="M613" s="119" t="s">
        <v>46</v>
      </c>
      <c r="N613" s="136">
        <v>0.02</v>
      </c>
      <c r="O613" s="135" t="s">
        <v>51</v>
      </c>
      <c r="P613" s="135"/>
      <c r="Q613" s="137">
        <v>0</v>
      </c>
      <c r="R613" s="137">
        <v>0</v>
      </c>
      <c r="S613" s="137">
        <v>65026.01</v>
      </c>
      <c r="T613" s="137">
        <f t="shared" si="111"/>
        <v>1300.5202000000002</v>
      </c>
      <c r="U613" s="137">
        <f t="shared" si="115"/>
        <v>66326.530200000008</v>
      </c>
      <c r="V613" s="137">
        <v>71400</v>
      </c>
      <c r="W613" s="137">
        <f t="shared" si="116"/>
        <v>-5073.4697999999917</v>
      </c>
      <c r="X613" s="137">
        <f t="shared" si="112"/>
        <v>-4973.9899999999916</v>
      </c>
      <c r="Y613" s="137">
        <f t="shared" si="117"/>
        <v>-99.479800000000068</v>
      </c>
      <c r="Z613" s="137">
        <v>66326.53</v>
      </c>
      <c r="AA613" s="137">
        <f t="shared" si="113"/>
        <v>5073.4700000000012</v>
      </c>
      <c r="AB613" s="146">
        <f>IF(O613="返货",Z613/(1+N613),IF(O613="返现",Z613,IF(O613="折扣",Z613*N613,IF(O613="无",Z613))))</f>
        <v>65026.009803921566</v>
      </c>
      <c r="AC613" s="147">
        <f t="shared" si="114"/>
        <v>1300.5201960784325</v>
      </c>
      <c r="AD613" s="137">
        <f t="shared" si="118"/>
        <v>65018.395134779355</v>
      </c>
      <c r="AE613" s="138">
        <v>0.1077</v>
      </c>
      <c r="AF613" s="137">
        <f t="shared" si="109"/>
        <v>7002.4811560157368</v>
      </c>
      <c r="AG613" s="137">
        <v>5842.8470849215701</v>
      </c>
      <c r="AH613" s="154"/>
      <c r="AI613" s="154"/>
      <c r="AJ613" s="135" t="s">
        <v>173</v>
      </c>
      <c r="AK613" s="119" t="s">
        <v>173</v>
      </c>
      <c r="AM613" s="131"/>
    </row>
    <row r="614" spans="1:39" s="119" customFormat="1" ht="15" customHeight="1" x14ac:dyDescent="0.3">
      <c r="A614" s="119">
        <v>2017</v>
      </c>
      <c r="B614" s="119" t="s">
        <v>38</v>
      </c>
      <c r="C614" s="119" t="s">
        <v>59</v>
      </c>
      <c r="D614" s="119" t="s">
        <v>106</v>
      </c>
      <c r="E614" s="119" t="s">
        <v>61</v>
      </c>
      <c r="F614" s="119" t="s">
        <v>744</v>
      </c>
      <c r="G614" s="119" t="s">
        <v>744</v>
      </c>
      <c r="H614" s="119" t="s">
        <v>744</v>
      </c>
      <c r="I614" s="163" t="s">
        <v>204</v>
      </c>
      <c r="J614" s="119" t="s">
        <v>575</v>
      </c>
      <c r="K614" s="119" t="s">
        <v>576</v>
      </c>
      <c r="L614" s="119" t="s">
        <v>744</v>
      </c>
      <c r="M614" s="119" t="s">
        <v>185</v>
      </c>
      <c r="N614" s="136">
        <v>0.08</v>
      </c>
      <c r="O614" s="135" t="s">
        <v>51</v>
      </c>
      <c r="P614" s="135"/>
      <c r="Q614" s="137">
        <v>0</v>
      </c>
      <c r="R614" s="137">
        <v>0</v>
      </c>
      <c r="S614" s="137">
        <v>4930.6099999999997</v>
      </c>
      <c r="T614" s="137">
        <f t="shared" si="111"/>
        <v>394.44880000000001</v>
      </c>
      <c r="U614" s="137">
        <f t="shared" si="115"/>
        <v>5325.0587999999998</v>
      </c>
      <c r="V614" s="137">
        <v>0</v>
      </c>
      <c r="W614" s="137">
        <f t="shared" si="116"/>
        <v>5325.0587999999998</v>
      </c>
      <c r="X614" s="137">
        <f t="shared" si="112"/>
        <v>4930.6099999999997</v>
      </c>
      <c r="Y614" s="137">
        <f t="shared" si="117"/>
        <v>394.44880000000012</v>
      </c>
      <c r="Z614" s="137">
        <v>5073.47</v>
      </c>
      <c r="AA614" s="137">
        <f t="shared" si="113"/>
        <v>-5073.47</v>
      </c>
      <c r="AB614" s="146">
        <f>IF(O614="返货",Z614/(1+N614),IF(O614="返现",Z614,IF(O614="折扣",Z614*N614,IF(O614="无",Z614))))</f>
        <v>4697.6574074074069</v>
      </c>
      <c r="AC614" s="147">
        <f t="shared" si="114"/>
        <v>375.81259259259332</v>
      </c>
      <c r="AD614" s="137">
        <f t="shared" si="118"/>
        <v>4973.4077323877646</v>
      </c>
      <c r="AE614" s="138">
        <v>0.31559999999999999</v>
      </c>
      <c r="AF614" s="137">
        <f t="shared" si="109"/>
        <v>1569.6074803415784</v>
      </c>
      <c r="AG614" s="137">
        <v>1225.3745394074101</v>
      </c>
      <c r="AH614" s="154"/>
      <c r="AI614" s="154"/>
      <c r="AJ614" s="135" t="s">
        <v>53</v>
      </c>
      <c r="AK614" s="119" t="s">
        <v>53</v>
      </c>
      <c r="AM614" s="131"/>
    </row>
    <row r="615" spans="1:39" s="119" customFormat="1" ht="15" customHeight="1" x14ac:dyDescent="0.3">
      <c r="A615" s="119">
        <v>2017</v>
      </c>
      <c r="B615" s="119" t="s">
        <v>38</v>
      </c>
      <c r="C615" s="119" t="s">
        <v>59</v>
      </c>
      <c r="D615" s="119" t="s">
        <v>106</v>
      </c>
      <c r="E615" s="119" t="s">
        <v>61</v>
      </c>
      <c r="F615" s="119" t="s">
        <v>145</v>
      </c>
      <c r="G615" s="119" t="s">
        <v>146</v>
      </c>
      <c r="H615" s="119" t="s">
        <v>146</v>
      </c>
      <c r="I615" s="163" t="s">
        <v>204</v>
      </c>
      <c r="J615" s="119" t="s">
        <v>575</v>
      </c>
      <c r="K615" s="119" t="s">
        <v>576</v>
      </c>
      <c r="L615" s="119" t="s">
        <v>145</v>
      </c>
      <c r="M615" s="119" t="s">
        <v>46</v>
      </c>
      <c r="N615" s="136">
        <v>0.02</v>
      </c>
      <c r="O615" s="135" t="s">
        <v>51</v>
      </c>
      <c r="P615" s="135"/>
      <c r="Q615" s="137">
        <v>0</v>
      </c>
      <c r="R615" s="137">
        <v>0</v>
      </c>
      <c r="S615" s="137">
        <v>59096.24</v>
      </c>
      <c r="T615" s="137">
        <f t="shared" si="111"/>
        <v>1181.9248</v>
      </c>
      <c r="U615" s="137">
        <f t="shared" si="115"/>
        <v>60278.164799999999</v>
      </c>
      <c r="V615" s="137">
        <v>0</v>
      </c>
      <c r="W615" s="137">
        <f t="shared" si="116"/>
        <v>60278.164799999999</v>
      </c>
      <c r="X615" s="137">
        <f t="shared" si="112"/>
        <v>59096.24</v>
      </c>
      <c r="Y615" s="137">
        <f t="shared" si="117"/>
        <v>1181.9248000000007</v>
      </c>
      <c r="Z615" s="137">
        <v>0</v>
      </c>
      <c r="AA615" s="137">
        <f t="shared" si="113"/>
        <v>0</v>
      </c>
      <c r="AB615" s="146">
        <f>IF(O615="返货",Z615/(1+N615),IF(O615="返现",Z615,IF(O615="折扣",Z615*N615,IF(O615="无",Z615))))</f>
        <v>0</v>
      </c>
      <c r="AC615" s="147">
        <f t="shared" si="114"/>
        <v>0</v>
      </c>
      <c r="AD615" s="137">
        <f t="shared" ref="AD615:AD646" si="120">Z615*0.980277351080772</f>
        <v>0</v>
      </c>
      <c r="AE615" s="138">
        <v>0.1077</v>
      </c>
      <c r="AF615" s="137">
        <f t="shared" si="109"/>
        <v>0</v>
      </c>
      <c r="AG615" s="137">
        <v>0</v>
      </c>
      <c r="AH615" s="154"/>
      <c r="AI615" s="154"/>
      <c r="AJ615" s="135" t="s">
        <v>173</v>
      </c>
      <c r="AK615" s="119" t="s">
        <v>173</v>
      </c>
      <c r="AM615" s="131"/>
    </row>
    <row r="616" spans="1:39" s="119" customFormat="1" ht="15" customHeight="1" x14ac:dyDescent="0.3">
      <c r="A616" s="119">
        <v>2017</v>
      </c>
      <c r="B616" s="119" t="s">
        <v>38</v>
      </c>
      <c r="C616" s="119" t="s">
        <v>59</v>
      </c>
      <c r="D616" s="119" t="s">
        <v>106</v>
      </c>
      <c r="E616" s="119" t="s">
        <v>61</v>
      </c>
      <c r="F616" s="119" t="s">
        <v>145</v>
      </c>
      <c r="G616" s="119" t="s">
        <v>146</v>
      </c>
      <c r="H616" s="119" t="s">
        <v>146</v>
      </c>
      <c r="I616" s="163" t="s">
        <v>204</v>
      </c>
      <c r="J616" s="119" t="s">
        <v>575</v>
      </c>
      <c r="K616" s="119" t="s">
        <v>576</v>
      </c>
      <c r="L616" s="119" t="s">
        <v>145</v>
      </c>
      <c r="M616" s="119" t="s">
        <v>185</v>
      </c>
      <c r="N616" s="136">
        <v>0.08</v>
      </c>
      <c r="O616" s="135" t="s">
        <v>51</v>
      </c>
      <c r="P616" s="135"/>
      <c r="Q616" s="137">
        <v>8128.0156999999999</v>
      </c>
      <c r="R616" s="137">
        <v>0</v>
      </c>
      <c r="S616" s="137">
        <v>25579.09</v>
      </c>
      <c r="T616" s="137">
        <f t="shared" si="111"/>
        <v>2046.3271999999999</v>
      </c>
      <c r="U616" s="137">
        <f t="shared" si="115"/>
        <v>27625.4172</v>
      </c>
      <c r="V616" s="137">
        <v>0</v>
      </c>
      <c r="W616" s="137">
        <f t="shared" si="116"/>
        <v>27625.4172</v>
      </c>
      <c r="X616" s="137">
        <f t="shared" si="112"/>
        <v>25579.089999999997</v>
      </c>
      <c r="Y616" s="137">
        <f t="shared" si="117"/>
        <v>2046.3272000000034</v>
      </c>
      <c r="Z616" s="137">
        <v>35150.910000000003</v>
      </c>
      <c r="AA616" s="137">
        <f t="shared" si="113"/>
        <v>-27022.894300000004</v>
      </c>
      <c r="AB616" s="146">
        <f>IF(O616="返货",(Z616-Q616)/(1+N616),IF(O616="返现",(Z616-Q616),IF(O616="折扣",(Z616-Q616)*N616,IF(O616="无",(Z616-Q616)))))</f>
        <v>25021.198425925926</v>
      </c>
      <c r="AC616" s="147">
        <f t="shared" si="114"/>
        <v>10129.711574074077</v>
      </c>
      <c r="AD616" s="137">
        <f t="shared" si="120"/>
        <v>34457.640942878621</v>
      </c>
      <c r="AE616" s="138">
        <v>0.31559999999999999</v>
      </c>
      <c r="AF616" s="137">
        <f t="shared" si="109"/>
        <v>10874.831481572492</v>
      </c>
      <c r="AG616" s="137">
        <v>8489.8560848888901</v>
      </c>
      <c r="AH616" s="154"/>
      <c r="AI616" s="154"/>
      <c r="AJ616" s="135" t="s">
        <v>53</v>
      </c>
      <c r="AK616" s="119" t="s">
        <v>53</v>
      </c>
      <c r="AM616" s="131"/>
    </row>
    <row r="617" spans="1:39" s="119" customFormat="1" ht="15" customHeight="1" x14ac:dyDescent="0.3">
      <c r="A617" s="119">
        <v>2017</v>
      </c>
      <c r="B617" s="119" t="s">
        <v>199</v>
      </c>
      <c r="C617" s="119" t="s">
        <v>59</v>
      </c>
      <c r="D617" s="119" t="s">
        <v>106</v>
      </c>
      <c r="E617" s="119" t="s">
        <v>131</v>
      </c>
      <c r="F617" s="119" t="s">
        <v>745</v>
      </c>
      <c r="G617" s="119" t="s">
        <v>746</v>
      </c>
      <c r="H617" s="119" t="s">
        <v>746</v>
      </c>
      <c r="I617" s="163" t="s">
        <v>204</v>
      </c>
      <c r="J617" s="119" t="s">
        <v>575</v>
      </c>
      <c r="K617" s="119" t="s">
        <v>576</v>
      </c>
      <c r="L617" s="119" t="s">
        <v>747</v>
      </c>
      <c r="M617" s="119" t="s">
        <v>46</v>
      </c>
      <c r="N617" s="136">
        <v>0.02</v>
      </c>
      <c r="O617" s="135" t="s">
        <v>51</v>
      </c>
      <c r="P617" s="135"/>
      <c r="Q617" s="137">
        <v>0</v>
      </c>
      <c r="R617" s="137">
        <v>0</v>
      </c>
      <c r="S617" s="137">
        <v>600000</v>
      </c>
      <c r="T617" s="137">
        <f t="shared" si="111"/>
        <v>12000</v>
      </c>
      <c r="U617" s="137">
        <f t="shared" si="115"/>
        <v>612000</v>
      </c>
      <c r="V617" s="137">
        <v>0</v>
      </c>
      <c r="W617" s="137">
        <f t="shared" si="116"/>
        <v>612000</v>
      </c>
      <c r="X617" s="137">
        <f t="shared" si="112"/>
        <v>600000</v>
      </c>
      <c r="Y617" s="137">
        <f t="shared" si="117"/>
        <v>12000</v>
      </c>
      <c r="Z617" s="137">
        <v>0</v>
      </c>
      <c r="AA617" s="137">
        <f t="shared" si="113"/>
        <v>0</v>
      </c>
      <c r="AB617" s="146">
        <f>IF(O617="返货",Z617/(1+N617),IF(O617="返现",Z617,IF(O617="折扣",Z617*N617,IF(O617="无",Z617))))</f>
        <v>0</v>
      </c>
      <c r="AC617" s="147">
        <f t="shared" si="114"/>
        <v>0</v>
      </c>
      <c r="AD617" s="137">
        <f t="shared" si="120"/>
        <v>0</v>
      </c>
      <c r="AE617" s="138">
        <v>0.1077</v>
      </c>
      <c r="AF617" s="137">
        <f t="shared" si="109"/>
        <v>0</v>
      </c>
      <c r="AG617" s="137">
        <v>0</v>
      </c>
      <c r="AH617" s="154"/>
      <c r="AI617" s="154"/>
      <c r="AJ617" s="135" t="s">
        <v>173</v>
      </c>
      <c r="AK617" s="119" t="s">
        <v>173</v>
      </c>
      <c r="AM617" s="131"/>
    </row>
    <row r="618" spans="1:39" s="119" customFormat="1" ht="15" customHeight="1" x14ac:dyDescent="0.3">
      <c r="A618" s="119">
        <v>2017</v>
      </c>
      <c r="B618" s="119" t="s">
        <v>38</v>
      </c>
      <c r="C618" s="119" t="s">
        <v>59</v>
      </c>
      <c r="D618" s="119" t="s">
        <v>106</v>
      </c>
      <c r="E618" s="119" t="s">
        <v>131</v>
      </c>
      <c r="F618" s="119" t="s">
        <v>747</v>
      </c>
      <c r="G618" s="119" t="s">
        <v>747</v>
      </c>
      <c r="H618" s="119" t="s">
        <v>747</v>
      </c>
      <c r="I618" s="163" t="s">
        <v>204</v>
      </c>
      <c r="J618" s="119" t="s">
        <v>575</v>
      </c>
      <c r="K618" s="119" t="s">
        <v>576</v>
      </c>
      <c r="L618" s="119" t="s">
        <v>747</v>
      </c>
      <c r="M618" s="119" t="s">
        <v>46</v>
      </c>
      <c r="N618" s="136">
        <v>0.02</v>
      </c>
      <c r="O618" s="135" t="s">
        <v>51</v>
      </c>
      <c r="P618" s="135"/>
      <c r="Q618" s="137">
        <v>438528.42</v>
      </c>
      <c r="R618" s="137">
        <v>0</v>
      </c>
      <c r="S618" s="137">
        <v>3841514.46</v>
      </c>
      <c r="T618" s="137">
        <f t="shared" si="111"/>
        <v>76830.289199999999</v>
      </c>
      <c r="U618" s="137">
        <f t="shared" si="115"/>
        <v>3918344.7492</v>
      </c>
      <c r="V618" s="137">
        <v>9020000</v>
      </c>
      <c r="W618" s="137">
        <f t="shared" si="116"/>
        <v>-5101655.2508000005</v>
      </c>
      <c r="X618" s="137">
        <f t="shared" si="112"/>
        <v>-5001622.7949019615</v>
      </c>
      <c r="Y618" s="137">
        <f t="shared" si="117"/>
        <v>-100032.45589803904</v>
      </c>
      <c r="Z618" s="137">
        <v>4900042.88</v>
      </c>
      <c r="AA618" s="137">
        <f t="shared" si="113"/>
        <v>4558485.54</v>
      </c>
      <c r="AB618" s="146">
        <f>IF(O618="返货",(Z618-Q618)/(1+N618),IF(O618="返现",(Z618-Q618),IF(O618="折扣",(Z618-Q618)*N618,IF(O618="无",(Z618-Q618)))))</f>
        <v>4374033.7843137253</v>
      </c>
      <c r="AC618" s="147">
        <f t="shared" si="114"/>
        <v>526009.09568627458</v>
      </c>
      <c r="AD618" s="137">
        <f t="shared" si="120"/>
        <v>4803401.0545885973</v>
      </c>
      <c r="AE618" s="138">
        <v>0.1077</v>
      </c>
      <c r="AF618" s="137">
        <f t="shared" si="109"/>
        <v>517326.29357919196</v>
      </c>
      <c r="AG618" s="137">
        <v>431655.34601913701</v>
      </c>
      <c r="AH618" s="154"/>
      <c r="AI618" s="154"/>
      <c r="AJ618" s="135" t="s">
        <v>173</v>
      </c>
      <c r="AK618" s="119" t="s">
        <v>173</v>
      </c>
      <c r="AM618" s="131"/>
    </row>
    <row r="619" spans="1:39" s="119" customFormat="1" ht="15" customHeight="1" x14ac:dyDescent="0.3">
      <c r="A619" s="119">
        <v>2017</v>
      </c>
      <c r="B619" s="119" t="s">
        <v>38</v>
      </c>
      <c r="C619" s="119" t="s">
        <v>59</v>
      </c>
      <c r="D619" s="119" t="s">
        <v>106</v>
      </c>
      <c r="E619" s="119" t="s">
        <v>131</v>
      </c>
      <c r="F619" s="119" t="s">
        <v>747</v>
      </c>
      <c r="G619" s="119" t="s">
        <v>747</v>
      </c>
      <c r="H619" s="119" t="s">
        <v>747</v>
      </c>
      <c r="I619" s="163" t="s">
        <v>204</v>
      </c>
      <c r="J619" s="119" t="s">
        <v>575</v>
      </c>
      <c r="K619" s="119" t="s">
        <v>576</v>
      </c>
      <c r="L619" s="119" t="s">
        <v>747</v>
      </c>
      <c r="M619" s="119" t="s">
        <v>185</v>
      </c>
      <c r="N619" s="135">
        <v>0</v>
      </c>
      <c r="O619" s="135" t="s">
        <v>47</v>
      </c>
      <c r="P619" s="135"/>
      <c r="Q619" s="137">
        <v>0</v>
      </c>
      <c r="R619" s="137">
        <v>0</v>
      </c>
      <c r="S619" s="137">
        <v>2640386.73</v>
      </c>
      <c r="T619" s="137">
        <f t="shared" si="111"/>
        <v>0</v>
      </c>
      <c r="U619" s="137">
        <f t="shared" si="115"/>
        <v>2640386.73</v>
      </c>
      <c r="V619" s="137">
        <v>0</v>
      </c>
      <c r="W619" s="137">
        <f t="shared" si="116"/>
        <v>2640386.73</v>
      </c>
      <c r="X619" s="137">
        <f t="shared" si="112"/>
        <v>2640386.73</v>
      </c>
      <c r="Y619" s="137">
        <f t="shared" si="117"/>
        <v>0</v>
      </c>
      <c r="Z619" s="137">
        <v>2640386.7200000002</v>
      </c>
      <c r="AA619" s="137">
        <f t="shared" si="113"/>
        <v>-2640386.7200000002</v>
      </c>
      <c r="AB619" s="146">
        <f t="shared" ref="AB619:AB628" si="121">IF(O619="返货",Z619/(1+N619),IF(O619="返现",Z619,IF(O619="折扣",Z619*N619,IF(O619="无",Z619))))</f>
        <v>2640386.7200000002</v>
      </c>
      <c r="AC619" s="147">
        <f t="shared" si="114"/>
        <v>0</v>
      </c>
      <c r="AD619" s="137">
        <f t="shared" si="120"/>
        <v>2588311.2997104484</v>
      </c>
      <c r="AE619" s="138">
        <v>0.31559999999999999</v>
      </c>
      <c r="AF619" s="137">
        <f t="shared" si="109"/>
        <v>816871.04618861747</v>
      </c>
      <c r="AG619" s="137">
        <v>833306.048832</v>
      </c>
      <c r="AH619" s="154"/>
      <c r="AI619" s="154"/>
      <c r="AJ619" s="135" t="s">
        <v>47</v>
      </c>
      <c r="AK619" s="119" t="s">
        <v>47</v>
      </c>
      <c r="AM619" s="131"/>
    </row>
    <row r="620" spans="1:39" s="119" customFormat="1" ht="15" customHeight="1" x14ac:dyDescent="0.3">
      <c r="A620" s="119">
        <v>2017</v>
      </c>
      <c r="B620" s="119" t="s">
        <v>199</v>
      </c>
      <c r="C620" s="119" t="s">
        <v>59</v>
      </c>
      <c r="D620" s="119" t="s">
        <v>106</v>
      </c>
      <c r="E620" s="119" t="s">
        <v>192</v>
      </c>
      <c r="F620" s="119" t="s">
        <v>748</v>
      </c>
      <c r="G620" s="119" t="s">
        <v>749</v>
      </c>
      <c r="H620" s="119" t="s">
        <v>749</v>
      </c>
      <c r="I620" s="163" t="s">
        <v>204</v>
      </c>
      <c r="J620" s="119" t="s">
        <v>575</v>
      </c>
      <c r="K620" s="119" t="s">
        <v>576</v>
      </c>
      <c r="L620" s="119" t="s">
        <v>748</v>
      </c>
      <c r="M620" s="119" t="s">
        <v>46</v>
      </c>
      <c r="N620" s="136">
        <v>0.02</v>
      </c>
      <c r="O620" s="135" t="s">
        <v>51</v>
      </c>
      <c r="P620" s="135"/>
      <c r="Q620" s="137">
        <v>0</v>
      </c>
      <c r="R620" s="137">
        <v>0</v>
      </c>
      <c r="S620" s="137">
        <v>20000</v>
      </c>
      <c r="T620" s="137">
        <f t="shared" si="111"/>
        <v>400</v>
      </c>
      <c r="U620" s="137">
        <f t="shared" si="115"/>
        <v>20400</v>
      </c>
      <c r="V620" s="137">
        <v>20400</v>
      </c>
      <c r="W620" s="137">
        <f t="shared" si="116"/>
        <v>0</v>
      </c>
      <c r="X620" s="137">
        <f t="shared" si="112"/>
        <v>0</v>
      </c>
      <c r="Y620" s="137">
        <f t="shared" si="117"/>
        <v>0</v>
      </c>
      <c r="Z620" s="137">
        <v>20400</v>
      </c>
      <c r="AA620" s="137">
        <f t="shared" si="113"/>
        <v>0</v>
      </c>
      <c r="AB620" s="146">
        <f t="shared" si="121"/>
        <v>20000</v>
      </c>
      <c r="AC620" s="147">
        <f t="shared" si="114"/>
        <v>400</v>
      </c>
      <c r="AD620" s="137">
        <f t="shared" si="120"/>
        <v>19997.65796204775</v>
      </c>
      <c r="AE620" s="138">
        <v>0.1077</v>
      </c>
      <c r="AF620" s="137">
        <f t="shared" si="109"/>
        <v>2153.7477625125425</v>
      </c>
      <c r="AG620" s="137">
        <v>1797.08</v>
      </c>
      <c r="AH620" s="154"/>
      <c r="AI620" s="154"/>
      <c r="AJ620" s="135" t="s">
        <v>173</v>
      </c>
      <c r="AK620" s="119" t="s">
        <v>173</v>
      </c>
      <c r="AM620" s="131"/>
    </row>
    <row r="621" spans="1:39" s="119" customFormat="1" ht="15" customHeight="1" x14ac:dyDescent="0.3">
      <c r="A621" s="119">
        <v>2017</v>
      </c>
      <c r="B621" s="119" t="s">
        <v>38</v>
      </c>
      <c r="C621" s="119" t="s">
        <v>59</v>
      </c>
      <c r="D621" s="119" t="s">
        <v>60</v>
      </c>
      <c r="E621" s="119" t="s">
        <v>107</v>
      </c>
      <c r="F621" s="119" t="s">
        <v>750</v>
      </c>
      <c r="G621" s="119" t="s">
        <v>750</v>
      </c>
      <c r="H621" s="119" t="s">
        <v>750</v>
      </c>
      <c r="I621" s="163" t="s">
        <v>204</v>
      </c>
      <c r="J621" s="119" t="s">
        <v>575</v>
      </c>
      <c r="K621" s="119" t="s">
        <v>576</v>
      </c>
      <c r="L621" s="119" t="s">
        <v>750</v>
      </c>
      <c r="M621" s="119" t="s">
        <v>46</v>
      </c>
      <c r="N621" s="136">
        <v>0.02</v>
      </c>
      <c r="O621" s="135" t="s">
        <v>51</v>
      </c>
      <c r="P621" s="135"/>
      <c r="Q621" s="137">
        <v>0</v>
      </c>
      <c r="R621" s="137">
        <v>0</v>
      </c>
      <c r="S621" s="137">
        <v>4028.04</v>
      </c>
      <c r="T621" s="137">
        <f t="shared" si="111"/>
        <v>80.5608</v>
      </c>
      <c r="U621" s="137">
        <f t="shared" si="115"/>
        <v>4108.6008000000002</v>
      </c>
      <c r="V621" s="137">
        <v>4108.6000000000004</v>
      </c>
      <c r="W621" s="137">
        <f t="shared" si="116"/>
        <v>7.9999999979918357E-4</v>
      </c>
      <c r="X621" s="137">
        <f t="shared" si="112"/>
        <v>7.8431372529331718E-4</v>
      </c>
      <c r="Y621" s="137">
        <f t="shared" si="117"/>
        <v>1.5686274505866387E-5</v>
      </c>
      <c r="Z621" s="137">
        <v>4108.6000000000004</v>
      </c>
      <c r="AA621" s="137">
        <f t="shared" si="113"/>
        <v>0</v>
      </c>
      <c r="AB621" s="146">
        <f t="shared" si="121"/>
        <v>4028.0392156862749</v>
      </c>
      <c r="AC621" s="147">
        <f t="shared" si="114"/>
        <v>80.560784313725435</v>
      </c>
      <c r="AD621" s="137">
        <f t="shared" si="120"/>
        <v>4027.5675246504602</v>
      </c>
      <c r="AE621" s="138">
        <v>0.1077</v>
      </c>
      <c r="AF621" s="137">
        <f t="shared" si="109"/>
        <v>433.76902240485458</v>
      </c>
      <c r="AG621" s="137">
        <v>361.93543568627501</v>
      </c>
      <c r="AH621" s="154"/>
      <c r="AI621" s="154"/>
      <c r="AJ621" s="135" t="s">
        <v>173</v>
      </c>
      <c r="AK621" s="119" t="s">
        <v>173</v>
      </c>
      <c r="AM621" s="131"/>
    </row>
    <row r="622" spans="1:39" s="119" customFormat="1" ht="15" customHeight="1" x14ac:dyDescent="0.3">
      <c r="A622" s="119">
        <v>2017</v>
      </c>
      <c r="B622" s="119" t="s">
        <v>38</v>
      </c>
      <c r="C622" s="119" t="s">
        <v>59</v>
      </c>
      <c r="D622" s="119" t="s">
        <v>60</v>
      </c>
      <c r="E622" s="119" t="s">
        <v>190</v>
      </c>
      <c r="F622" s="119" t="s">
        <v>751</v>
      </c>
      <c r="G622" s="119" t="s">
        <v>751</v>
      </c>
      <c r="H622" s="119" t="s">
        <v>751</v>
      </c>
      <c r="I622" s="163" t="s">
        <v>204</v>
      </c>
      <c r="J622" s="119" t="s">
        <v>575</v>
      </c>
      <c r="K622" s="119" t="s">
        <v>576</v>
      </c>
      <c r="L622" s="119" t="s">
        <v>752</v>
      </c>
      <c r="M622" s="119" t="s">
        <v>185</v>
      </c>
      <c r="N622" s="136">
        <v>0.15</v>
      </c>
      <c r="O622" s="135" t="s">
        <v>51</v>
      </c>
      <c r="P622" s="135"/>
      <c r="Q622" s="137">
        <v>0</v>
      </c>
      <c r="R622" s="137">
        <v>0</v>
      </c>
      <c r="S622" s="137">
        <v>1960.78</v>
      </c>
      <c r="T622" s="137">
        <f t="shared" si="111"/>
        <v>294.11699999999996</v>
      </c>
      <c r="U622" s="137">
        <f t="shared" si="115"/>
        <v>2254.8969999999999</v>
      </c>
      <c r="V622" s="137">
        <v>0</v>
      </c>
      <c r="W622" s="137">
        <f t="shared" si="116"/>
        <v>2254.8969999999999</v>
      </c>
      <c r="X622" s="137">
        <f t="shared" si="112"/>
        <v>1960.7800000000002</v>
      </c>
      <c r="Y622" s="137">
        <f t="shared" si="117"/>
        <v>294.11699999999973</v>
      </c>
      <c r="Z622" s="137">
        <v>2000</v>
      </c>
      <c r="AA622" s="137">
        <f t="shared" si="113"/>
        <v>-2000</v>
      </c>
      <c r="AB622" s="146">
        <f t="shared" si="121"/>
        <v>1739.1304347826087</v>
      </c>
      <c r="AC622" s="147">
        <f t="shared" si="114"/>
        <v>260.86956521739125</v>
      </c>
      <c r="AD622" s="137">
        <f t="shared" si="120"/>
        <v>1960.5547021615439</v>
      </c>
      <c r="AE622" s="138">
        <v>0.31559999999999999</v>
      </c>
      <c r="AF622" s="137">
        <f t="shared" si="109"/>
        <v>618.75106400218328</v>
      </c>
      <c r="AG622" s="137">
        <v>370.33043478260902</v>
      </c>
      <c r="AH622" s="154"/>
      <c r="AI622" s="154"/>
      <c r="AJ622" s="135" t="s">
        <v>662</v>
      </c>
      <c r="AK622" s="119" t="s">
        <v>662</v>
      </c>
      <c r="AM622" s="131"/>
    </row>
    <row r="623" spans="1:39" s="119" customFormat="1" ht="15" customHeight="1" x14ac:dyDescent="0.3">
      <c r="A623" s="119">
        <v>2017</v>
      </c>
      <c r="B623" s="119" t="s">
        <v>38</v>
      </c>
      <c r="C623" s="119" t="s">
        <v>59</v>
      </c>
      <c r="D623" s="119" t="s">
        <v>60</v>
      </c>
      <c r="E623" s="119" t="s">
        <v>190</v>
      </c>
      <c r="F623" s="119" t="s">
        <v>751</v>
      </c>
      <c r="G623" s="119" t="s">
        <v>751</v>
      </c>
      <c r="H623" s="119" t="s">
        <v>751</v>
      </c>
      <c r="I623" s="163" t="s">
        <v>204</v>
      </c>
      <c r="J623" s="119" t="s">
        <v>575</v>
      </c>
      <c r="K623" s="119" t="s">
        <v>576</v>
      </c>
      <c r="L623" s="119" t="s">
        <v>752</v>
      </c>
      <c r="M623" s="119" t="s">
        <v>46</v>
      </c>
      <c r="N623" s="135">
        <v>0.05</v>
      </c>
      <c r="O623" s="135" t="s">
        <v>51</v>
      </c>
      <c r="P623" s="135"/>
      <c r="Q623" s="137">
        <v>0</v>
      </c>
      <c r="R623" s="137">
        <v>0</v>
      </c>
      <c r="S623" s="137">
        <v>88039.22</v>
      </c>
      <c r="T623" s="137">
        <f t="shared" si="111"/>
        <v>4401.9610000000002</v>
      </c>
      <c r="U623" s="137">
        <f t="shared" si="115"/>
        <v>92441.180999999997</v>
      </c>
      <c r="V623" s="137">
        <v>91800</v>
      </c>
      <c r="W623" s="137">
        <f t="shared" si="116"/>
        <v>641.18099999999686</v>
      </c>
      <c r="X623" s="137">
        <f t="shared" si="112"/>
        <v>610.6485714285684</v>
      </c>
      <c r="Y623" s="137">
        <f t="shared" si="117"/>
        <v>30.532428571428454</v>
      </c>
      <c r="Z623" s="137">
        <v>89800</v>
      </c>
      <c r="AA623" s="137">
        <f t="shared" si="113"/>
        <v>2000</v>
      </c>
      <c r="AB623" s="146">
        <f t="shared" si="121"/>
        <v>85523.809523809527</v>
      </c>
      <c r="AC623" s="147">
        <f t="shared" si="114"/>
        <v>4276.1904761904734</v>
      </c>
      <c r="AD623" s="137">
        <f t="shared" si="120"/>
        <v>88028.906127053328</v>
      </c>
      <c r="AE623" s="138">
        <v>0.1077</v>
      </c>
      <c r="AF623" s="137">
        <f t="shared" ref="AF623:AF686" si="122">AD623*AE623</f>
        <v>9480.7131898836433</v>
      </c>
      <c r="AG623" s="137">
        <v>5395.2695238095303</v>
      </c>
      <c r="AH623" s="154"/>
      <c r="AI623" s="154"/>
      <c r="AJ623" s="135" t="s">
        <v>63</v>
      </c>
      <c r="AK623" s="119" t="s">
        <v>63</v>
      </c>
      <c r="AM623" s="131"/>
    </row>
    <row r="624" spans="1:39" s="119" customFormat="1" ht="15" customHeight="1" x14ac:dyDescent="0.3">
      <c r="A624" s="119">
        <v>2017</v>
      </c>
      <c r="B624" s="119" t="s">
        <v>38</v>
      </c>
      <c r="C624" s="119" t="s">
        <v>59</v>
      </c>
      <c r="D624" s="119" t="s">
        <v>60</v>
      </c>
      <c r="E624" s="119" t="s">
        <v>190</v>
      </c>
      <c r="F624" s="119" t="s">
        <v>478</v>
      </c>
      <c r="G624" s="119" t="s">
        <v>478</v>
      </c>
      <c r="H624" s="119" t="s">
        <v>478</v>
      </c>
      <c r="I624" s="163" t="s">
        <v>204</v>
      </c>
      <c r="J624" s="119" t="s">
        <v>575</v>
      </c>
      <c r="K624" s="119" t="s">
        <v>576</v>
      </c>
      <c r="L624" s="119" t="s">
        <v>478</v>
      </c>
      <c r="M624" s="119" t="s">
        <v>46</v>
      </c>
      <c r="N624" s="136">
        <v>0.02</v>
      </c>
      <c r="O624" s="135" t="s">
        <v>51</v>
      </c>
      <c r="P624" s="135"/>
      <c r="Q624" s="137">
        <v>0</v>
      </c>
      <c r="R624" s="137">
        <v>0</v>
      </c>
      <c r="S624" s="137">
        <v>396024.79</v>
      </c>
      <c r="T624" s="137">
        <f t="shared" si="111"/>
        <v>7920.4957999999997</v>
      </c>
      <c r="U624" s="137">
        <f t="shared" si="115"/>
        <v>403945.28579999995</v>
      </c>
      <c r="V624" s="137">
        <v>447000</v>
      </c>
      <c r="W624" s="137">
        <f t="shared" si="116"/>
        <v>-43054.714200000046</v>
      </c>
      <c r="X624" s="137">
        <f t="shared" si="112"/>
        <v>-42210.504117647106</v>
      </c>
      <c r="Y624" s="137">
        <f t="shared" si="117"/>
        <v>-844.21008235293993</v>
      </c>
      <c r="Z624" s="137">
        <v>403945.29</v>
      </c>
      <c r="AA624" s="137">
        <f t="shared" si="113"/>
        <v>43054.710000000021</v>
      </c>
      <c r="AB624" s="146">
        <f t="shared" si="121"/>
        <v>396024.79411764705</v>
      </c>
      <c r="AC624" s="147">
        <f t="shared" si="114"/>
        <v>7920.4958823529305</v>
      </c>
      <c r="AD624" s="137">
        <f t="shared" si="120"/>
        <v>395978.41886275425</v>
      </c>
      <c r="AE624" s="138">
        <v>0.1077</v>
      </c>
      <c r="AF624" s="137">
        <f t="shared" si="122"/>
        <v>42646.875711518631</v>
      </c>
      <c r="AG624" s="137">
        <v>35584.411850647099</v>
      </c>
      <c r="AH624" s="154"/>
      <c r="AI624" s="154"/>
      <c r="AJ624" s="135" t="s">
        <v>173</v>
      </c>
      <c r="AK624" s="119" t="s">
        <v>173</v>
      </c>
      <c r="AM624" s="131"/>
    </row>
    <row r="625" spans="1:39" s="119" customFormat="1" ht="15" customHeight="1" x14ac:dyDescent="0.3">
      <c r="A625" s="119">
        <v>2017</v>
      </c>
      <c r="B625" s="119" t="s">
        <v>38</v>
      </c>
      <c r="C625" s="119" t="s">
        <v>59</v>
      </c>
      <c r="D625" s="119" t="s">
        <v>60</v>
      </c>
      <c r="E625" s="119" t="s">
        <v>190</v>
      </c>
      <c r="F625" s="119" t="s">
        <v>478</v>
      </c>
      <c r="G625" s="119" t="s">
        <v>478</v>
      </c>
      <c r="H625" s="119" t="s">
        <v>478</v>
      </c>
      <c r="I625" s="163" t="s">
        <v>204</v>
      </c>
      <c r="J625" s="119" t="s">
        <v>575</v>
      </c>
      <c r="K625" s="119" t="s">
        <v>576</v>
      </c>
      <c r="L625" s="119" t="s">
        <v>478</v>
      </c>
      <c r="M625" s="119" t="s">
        <v>185</v>
      </c>
      <c r="N625" s="136">
        <v>0.08</v>
      </c>
      <c r="O625" s="135" t="s">
        <v>51</v>
      </c>
      <c r="P625" s="135"/>
      <c r="Q625" s="137">
        <v>0</v>
      </c>
      <c r="R625" s="137">
        <v>0</v>
      </c>
      <c r="S625" s="137">
        <v>10479.219999999999</v>
      </c>
      <c r="T625" s="137">
        <f t="shared" si="111"/>
        <v>838.33759999999995</v>
      </c>
      <c r="U625" s="137">
        <f t="shared" si="115"/>
        <v>11317.5576</v>
      </c>
      <c r="V625" s="137">
        <v>0</v>
      </c>
      <c r="W625" s="137">
        <f t="shared" si="116"/>
        <v>11317.5576</v>
      </c>
      <c r="X625" s="137">
        <f t="shared" si="112"/>
        <v>10479.219999999999</v>
      </c>
      <c r="Y625" s="137">
        <f t="shared" si="117"/>
        <v>838.33760000000075</v>
      </c>
      <c r="Z625" s="137">
        <v>10688.8</v>
      </c>
      <c r="AA625" s="137">
        <f t="shared" si="113"/>
        <v>-10688.8</v>
      </c>
      <c r="AB625" s="146">
        <f t="shared" si="121"/>
        <v>9897.0370370370365</v>
      </c>
      <c r="AC625" s="147">
        <f t="shared" si="114"/>
        <v>791.76296296296277</v>
      </c>
      <c r="AD625" s="137">
        <f t="shared" si="120"/>
        <v>10477.988550232154</v>
      </c>
      <c r="AE625" s="138">
        <v>0.31559999999999999</v>
      </c>
      <c r="AF625" s="137">
        <f t="shared" si="122"/>
        <v>3306.8531864532679</v>
      </c>
      <c r="AG625" s="137">
        <v>2581.6223170370399</v>
      </c>
      <c r="AH625" s="154"/>
      <c r="AI625" s="154"/>
      <c r="AJ625" s="135" t="s">
        <v>53</v>
      </c>
      <c r="AK625" s="119" t="s">
        <v>53</v>
      </c>
      <c r="AM625" s="131"/>
    </row>
    <row r="626" spans="1:39" s="119" customFormat="1" ht="15" customHeight="1" x14ac:dyDescent="0.3">
      <c r="A626" s="119">
        <v>2017</v>
      </c>
      <c r="B626" s="119" t="s">
        <v>199</v>
      </c>
      <c r="C626" s="119" t="s">
        <v>59</v>
      </c>
      <c r="D626" s="119" t="s">
        <v>60</v>
      </c>
      <c r="E626" s="119" t="s">
        <v>61</v>
      </c>
      <c r="F626" s="119" t="s">
        <v>753</v>
      </c>
      <c r="G626" s="119" t="s">
        <v>754</v>
      </c>
      <c r="H626" s="119" t="s">
        <v>754</v>
      </c>
      <c r="I626" s="163" t="s">
        <v>204</v>
      </c>
      <c r="J626" s="119" t="s">
        <v>575</v>
      </c>
      <c r="K626" s="119" t="s">
        <v>576</v>
      </c>
      <c r="L626" s="119" t="s">
        <v>753</v>
      </c>
      <c r="M626" s="119" t="s">
        <v>46</v>
      </c>
      <c r="N626" s="136">
        <v>0.02</v>
      </c>
      <c r="O626" s="135" t="s">
        <v>51</v>
      </c>
      <c r="P626" s="135"/>
      <c r="Q626" s="137">
        <v>0</v>
      </c>
      <c r="R626" s="137">
        <v>0</v>
      </c>
      <c r="S626" s="137">
        <v>310000</v>
      </c>
      <c r="T626" s="137">
        <f t="shared" si="111"/>
        <v>6200</v>
      </c>
      <c r="U626" s="137">
        <f t="shared" si="115"/>
        <v>316200</v>
      </c>
      <c r="V626" s="137">
        <v>316200</v>
      </c>
      <c r="W626" s="137">
        <f t="shared" si="116"/>
        <v>0</v>
      </c>
      <c r="X626" s="137">
        <f t="shared" si="112"/>
        <v>0</v>
      </c>
      <c r="Y626" s="137">
        <f t="shared" si="117"/>
        <v>0</v>
      </c>
      <c r="Z626" s="137">
        <v>301271.5</v>
      </c>
      <c r="AA626" s="137">
        <f t="shared" si="113"/>
        <v>14928.5</v>
      </c>
      <c r="AB626" s="146">
        <f t="shared" si="121"/>
        <v>295364.21568627452</v>
      </c>
      <c r="AC626" s="147">
        <f t="shared" si="114"/>
        <v>5907.2843137254822</v>
      </c>
      <c r="AD626" s="137">
        <f t="shared" si="120"/>
        <v>295329.62797613081</v>
      </c>
      <c r="AE626" s="138">
        <v>0.1077</v>
      </c>
      <c r="AF626" s="137">
        <f t="shared" si="122"/>
        <v>31807.000933029289</v>
      </c>
      <c r="AG626" s="137">
        <v>26539.656236274499</v>
      </c>
      <c r="AH626" s="154"/>
      <c r="AI626" s="154"/>
      <c r="AJ626" s="135" t="s">
        <v>173</v>
      </c>
      <c r="AK626" s="119" t="s">
        <v>173</v>
      </c>
      <c r="AM626" s="131"/>
    </row>
    <row r="627" spans="1:39" s="119" customFormat="1" ht="15" customHeight="1" x14ac:dyDescent="0.3">
      <c r="A627" s="119">
        <v>2017</v>
      </c>
      <c r="B627" s="119" t="s">
        <v>38</v>
      </c>
      <c r="C627" s="119" t="s">
        <v>59</v>
      </c>
      <c r="D627" s="119" t="s">
        <v>60</v>
      </c>
      <c r="E627" s="119" t="s">
        <v>61</v>
      </c>
      <c r="F627" s="119" t="s">
        <v>274</v>
      </c>
      <c r="G627" s="119" t="s">
        <v>274</v>
      </c>
      <c r="H627" s="119" t="s">
        <v>274</v>
      </c>
      <c r="I627" s="163" t="s">
        <v>204</v>
      </c>
      <c r="J627" s="119" t="s">
        <v>575</v>
      </c>
      <c r="K627" s="119" t="s">
        <v>576</v>
      </c>
      <c r="L627" s="119" t="s">
        <v>274</v>
      </c>
      <c r="M627" s="119" t="s">
        <v>46</v>
      </c>
      <c r="N627" s="136">
        <v>0.02</v>
      </c>
      <c r="O627" s="135" t="s">
        <v>51</v>
      </c>
      <c r="P627" s="135"/>
      <c r="Q627" s="137">
        <v>0</v>
      </c>
      <c r="R627" s="137">
        <v>0</v>
      </c>
      <c r="S627" s="137">
        <v>33071.129999999997</v>
      </c>
      <c r="T627" s="137">
        <f t="shared" si="111"/>
        <v>661.42259999999999</v>
      </c>
      <c r="U627" s="137">
        <f t="shared" si="115"/>
        <v>33732.552599999995</v>
      </c>
      <c r="V627" s="137">
        <v>61200</v>
      </c>
      <c r="W627" s="137">
        <f t="shared" si="116"/>
        <v>-27467.447400000005</v>
      </c>
      <c r="X627" s="137">
        <f t="shared" si="112"/>
        <v>-26928.870000000003</v>
      </c>
      <c r="Y627" s="137">
        <f t="shared" si="117"/>
        <v>-538.57740000000194</v>
      </c>
      <c r="Z627" s="137">
        <v>54132.55</v>
      </c>
      <c r="AA627" s="137">
        <f t="shared" si="113"/>
        <v>7067.4499999999971</v>
      </c>
      <c r="AB627" s="146">
        <f t="shared" si="121"/>
        <v>53071.127450980392</v>
      </c>
      <c r="AC627" s="147">
        <f t="shared" si="114"/>
        <v>1061.4225490196113</v>
      </c>
      <c r="AD627" s="137">
        <f t="shared" si="120"/>
        <v>53064.912721247449</v>
      </c>
      <c r="AE627" s="138">
        <v>0.1077</v>
      </c>
      <c r="AF627" s="137">
        <f t="shared" si="122"/>
        <v>5715.0911000783508</v>
      </c>
      <c r="AG627" s="137">
        <v>4768.6530859803897</v>
      </c>
      <c r="AH627" s="154"/>
      <c r="AI627" s="154"/>
      <c r="AJ627" s="135" t="s">
        <v>173</v>
      </c>
      <c r="AK627" s="119" t="s">
        <v>173</v>
      </c>
      <c r="AM627" s="131"/>
    </row>
    <row r="628" spans="1:39" s="119" customFormat="1" ht="15" customHeight="1" x14ac:dyDescent="0.3">
      <c r="A628" s="119">
        <v>2017</v>
      </c>
      <c r="B628" s="119" t="s">
        <v>38</v>
      </c>
      <c r="C628" s="119" t="s">
        <v>59</v>
      </c>
      <c r="D628" s="119" t="s">
        <v>60</v>
      </c>
      <c r="E628" s="119" t="s">
        <v>61</v>
      </c>
      <c r="F628" s="119" t="s">
        <v>274</v>
      </c>
      <c r="G628" s="119" t="s">
        <v>274</v>
      </c>
      <c r="H628" s="119" t="s">
        <v>274</v>
      </c>
      <c r="I628" s="163" t="s">
        <v>204</v>
      </c>
      <c r="J628" s="119" t="s">
        <v>575</v>
      </c>
      <c r="K628" s="119" t="s">
        <v>576</v>
      </c>
      <c r="L628" s="119" t="s">
        <v>274</v>
      </c>
      <c r="M628" s="119" t="s">
        <v>185</v>
      </c>
      <c r="N628" s="136">
        <v>0.08</v>
      </c>
      <c r="O628" s="135" t="s">
        <v>51</v>
      </c>
      <c r="P628" s="135"/>
      <c r="Q628" s="137">
        <v>0</v>
      </c>
      <c r="R628" s="137">
        <v>0</v>
      </c>
      <c r="S628" s="137">
        <v>4608.99</v>
      </c>
      <c r="T628" s="137">
        <f t="shared" si="111"/>
        <v>368.7192</v>
      </c>
      <c r="U628" s="137">
        <f t="shared" si="115"/>
        <v>4977.7091999999993</v>
      </c>
      <c r="V628" s="137">
        <v>0</v>
      </c>
      <c r="W628" s="137">
        <f t="shared" si="116"/>
        <v>4977.7091999999993</v>
      </c>
      <c r="X628" s="137">
        <f t="shared" si="112"/>
        <v>4608.9899999999989</v>
      </c>
      <c r="Y628" s="137">
        <f t="shared" si="117"/>
        <v>368.71920000000046</v>
      </c>
      <c r="Z628" s="137">
        <v>4729.1400000000003</v>
      </c>
      <c r="AA628" s="137">
        <f t="shared" si="113"/>
        <v>-4729.1400000000003</v>
      </c>
      <c r="AB628" s="146">
        <f t="shared" si="121"/>
        <v>4378.833333333333</v>
      </c>
      <c r="AC628" s="147">
        <f t="shared" si="114"/>
        <v>350.3066666666673</v>
      </c>
      <c r="AD628" s="137">
        <f t="shared" si="120"/>
        <v>4635.8688320901219</v>
      </c>
      <c r="AE628" s="138">
        <v>0.31559999999999999</v>
      </c>
      <c r="AF628" s="137">
        <f t="shared" si="122"/>
        <v>1463.0802034076426</v>
      </c>
      <c r="AG628" s="137">
        <v>1142.2099173333299</v>
      </c>
      <c r="AH628" s="154"/>
      <c r="AI628" s="154"/>
      <c r="AJ628" s="135" t="s">
        <v>53</v>
      </c>
      <c r="AK628" s="119" t="s">
        <v>53</v>
      </c>
      <c r="AM628" s="131"/>
    </row>
    <row r="629" spans="1:39" s="119" customFormat="1" ht="15" customHeight="1" x14ac:dyDescent="0.3">
      <c r="A629" s="119">
        <v>2017</v>
      </c>
      <c r="B629" s="119" t="s">
        <v>252</v>
      </c>
      <c r="C629" s="119" t="s">
        <v>59</v>
      </c>
      <c r="D629" s="119" t="s">
        <v>210</v>
      </c>
      <c r="E629" s="119" t="s">
        <v>239</v>
      </c>
      <c r="F629" s="119" t="s">
        <v>755</v>
      </c>
      <c r="G629" s="119" t="s">
        <v>756</v>
      </c>
      <c r="H629" s="119" t="s">
        <v>756</v>
      </c>
      <c r="I629" s="163" t="s">
        <v>204</v>
      </c>
      <c r="J629" s="119" t="s">
        <v>575</v>
      </c>
      <c r="K629" s="119" t="s">
        <v>576</v>
      </c>
      <c r="L629" s="119" t="s">
        <v>755</v>
      </c>
      <c r="M629" s="119" t="s">
        <v>46</v>
      </c>
      <c r="N629" s="135">
        <v>0</v>
      </c>
      <c r="O629" s="135" t="s">
        <v>47</v>
      </c>
      <c r="P629" s="135"/>
      <c r="Q629" s="137">
        <v>182061.2</v>
      </c>
      <c r="R629" s="137">
        <v>0</v>
      </c>
      <c r="S629" s="137">
        <v>830000</v>
      </c>
      <c r="T629" s="137">
        <f t="shared" si="111"/>
        <v>0</v>
      </c>
      <c r="U629" s="137">
        <f t="shared" si="115"/>
        <v>830000</v>
      </c>
      <c r="V629" s="137">
        <v>870000</v>
      </c>
      <c r="W629" s="137">
        <f t="shared" si="116"/>
        <v>-40000</v>
      </c>
      <c r="X629" s="137">
        <f t="shared" si="112"/>
        <v>-40000</v>
      </c>
      <c r="Y629" s="137">
        <f t="shared" si="117"/>
        <v>0</v>
      </c>
      <c r="Z629" s="137">
        <v>1033153.39</v>
      </c>
      <c r="AA629" s="137">
        <f t="shared" si="113"/>
        <v>18907.809999999939</v>
      </c>
      <c r="AB629" s="146">
        <f>IF(O629="返货",(Z629-Q629)/(1+N629),IF(O629="返现",(Z629-Q629),IF(O629="折扣",(Z629-Q629)*N629,IF(O629="无",(Z629-Q629)))))</f>
        <v>851092.19</v>
      </c>
      <c r="AC629" s="147">
        <f t="shared" si="114"/>
        <v>182061.20000000007</v>
      </c>
      <c r="AD629" s="137">
        <f t="shared" si="120"/>
        <v>1012776.8684093198</v>
      </c>
      <c r="AE629" s="138">
        <v>0.1077</v>
      </c>
      <c r="AF629" s="137">
        <f t="shared" si="122"/>
        <v>109076.06872768374</v>
      </c>
      <c r="AG629" s="137">
        <v>81178.773792320295</v>
      </c>
      <c r="AH629" s="154"/>
      <c r="AI629" s="154"/>
      <c r="AJ629" s="135" t="s">
        <v>47</v>
      </c>
      <c r="AK629" s="119" t="s">
        <v>189</v>
      </c>
      <c r="AM629" s="131"/>
    </row>
    <row r="630" spans="1:39" s="119" customFormat="1" ht="15" customHeight="1" x14ac:dyDescent="0.3">
      <c r="A630" s="119">
        <v>2017</v>
      </c>
      <c r="B630" s="119" t="s">
        <v>252</v>
      </c>
      <c r="C630" s="119" t="s">
        <v>59</v>
      </c>
      <c r="D630" s="119" t="s">
        <v>210</v>
      </c>
      <c r="E630" s="119" t="s">
        <v>239</v>
      </c>
      <c r="F630" s="119" t="s">
        <v>755</v>
      </c>
      <c r="G630" s="119" t="s">
        <v>756</v>
      </c>
      <c r="H630" s="119" t="s">
        <v>756</v>
      </c>
      <c r="I630" s="163" t="s">
        <v>204</v>
      </c>
      <c r="J630" s="119" t="s">
        <v>575</v>
      </c>
      <c r="K630" s="119" t="s">
        <v>576</v>
      </c>
      <c r="L630" s="119" t="s">
        <v>755</v>
      </c>
      <c r="M630" s="119" t="s">
        <v>185</v>
      </c>
      <c r="N630" s="136">
        <v>0.09</v>
      </c>
      <c r="O630" s="135" t="s">
        <v>51</v>
      </c>
      <c r="P630" s="135"/>
      <c r="Q630" s="137">
        <v>150464.21</v>
      </c>
      <c r="R630" s="137">
        <v>0</v>
      </c>
      <c r="S630" s="137">
        <v>40000</v>
      </c>
      <c r="T630" s="137">
        <f t="shared" si="111"/>
        <v>3600</v>
      </c>
      <c r="U630" s="137">
        <f t="shared" si="115"/>
        <v>43600</v>
      </c>
      <c r="V630" s="137">
        <v>0</v>
      </c>
      <c r="W630" s="137">
        <f t="shared" si="116"/>
        <v>43600</v>
      </c>
      <c r="X630" s="137">
        <f t="shared" si="112"/>
        <v>40000</v>
      </c>
      <c r="Y630" s="137">
        <f t="shared" si="117"/>
        <v>3600</v>
      </c>
      <c r="Z630" s="137">
        <v>150540.06</v>
      </c>
      <c r="AA630" s="137">
        <f t="shared" si="113"/>
        <v>-75.850000000005821</v>
      </c>
      <c r="AB630" s="146">
        <f>IF(O630="返货",(Z630-Q630)/(1+N630),IF(O630="返现",(Z630-Q630),IF(O630="折扣",(Z630-Q630)*N630,IF(O630="无",(Z630-Q630)))))</f>
        <v>69.587155963308092</v>
      </c>
      <c r="AC630" s="147">
        <f t="shared" si="114"/>
        <v>150470.4728440367</v>
      </c>
      <c r="AD630" s="137">
        <f t="shared" si="120"/>
        <v>147571.01124834048</v>
      </c>
      <c r="AE630" s="138">
        <v>0.31559999999999999</v>
      </c>
      <c r="AF630" s="137">
        <f t="shared" si="122"/>
        <v>46573.411149976251</v>
      </c>
      <c r="AG630" s="137">
        <v>35080.529724990804</v>
      </c>
      <c r="AH630" s="154"/>
      <c r="AI630" s="154"/>
      <c r="AJ630" s="135" t="s">
        <v>238</v>
      </c>
      <c r="AK630" s="119" t="s">
        <v>238</v>
      </c>
      <c r="AM630" s="131"/>
    </row>
    <row r="631" spans="1:39" s="119" customFormat="1" ht="15" customHeight="1" x14ac:dyDescent="0.3">
      <c r="A631" s="119">
        <v>2017</v>
      </c>
      <c r="B631" s="119" t="s">
        <v>252</v>
      </c>
      <c r="C631" s="119" t="s">
        <v>59</v>
      </c>
      <c r="D631" s="119" t="s">
        <v>210</v>
      </c>
      <c r="E631" s="119" t="s">
        <v>239</v>
      </c>
      <c r="F631" s="119" t="s">
        <v>755</v>
      </c>
      <c r="G631" s="119" t="s">
        <v>756</v>
      </c>
      <c r="H631" s="119" t="s">
        <v>756</v>
      </c>
      <c r="I631" s="163" t="s">
        <v>204</v>
      </c>
      <c r="J631" s="119" t="s">
        <v>575</v>
      </c>
      <c r="K631" s="119" t="s">
        <v>576</v>
      </c>
      <c r="L631" s="119" t="s">
        <v>755</v>
      </c>
      <c r="M631" s="119" t="s">
        <v>160</v>
      </c>
      <c r="N631" s="136">
        <v>0</v>
      </c>
      <c r="O631" s="135" t="s">
        <v>47</v>
      </c>
      <c r="P631" s="135"/>
      <c r="Q631" s="137">
        <v>0</v>
      </c>
      <c r="R631" s="137">
        <v>0</v>
      </c>
      <c r="S631" s="137">
        <v>118250</v>
      </c>
      <c r="T631" s="137">
        <f t="shared" si="111"/>
        <v>0</v>
      </c>
      <c r="U631" s="137">
        <f t="shared" si="115"/>
        <v>118250</v>
      </c>
      <c r="V631" s="137">
        <v>95669.36</v>
      </c>
      <c r="W631" s="137">
        <f t="shared" si="116"/>
        <v>22580.639999999999</v>
      </c>
      <c r="X631" s="137">
        <f t="shared" si="112"/>
        <v>22580.639999999999</v>
      </c>
      <c r="Y631" s="137">
        <f t="shared" si="117"/>
        <v>0</v>
      </c>
      <c r="Z631" s="137">
        <v>95669.36</v>
      </c>
      <c r="AA631" s="137">
        <f t="shared" si="113"/>
        <v>0</v>
      </c>
      <c r="AB631" s="146">
        <f>IF(O631="返货",Z631/(1+N631),IF(O631="返现",Z631,IF(O631="折扣",Z631*N631,IF(O631="无",Z631))))</f>
        <v>95669.36</v>
      </c>
      <c r="AC631" s="147">
        <f t="shared" si="114"/>
        <v>0</v>
      </c>
      <c r="AD631" s="137">
        <f t="shared" si="120"/>
        <v>93782.506800392759</v>
      </c>
      <c r="AE631" s="138">
        <v>0.1077</v>
      </c>
      <c r="AF631" s="137">
        <f t="shared" si="122"/>
        <v>10100.3759824023</v>
      </c>
      <c r="AG631" s="137">
        <v>-14499.577335407401</v>
      </c>
      <c r="AH631" s="154"/>
      <c r="AI631" s="154"/>
      <c r="AJ631" s="136">
        <v>0.35</v>
      </c>
      <c r="AK631" s="156">
        <v>0.35</v>
      </c>
      <c r="AM631" s="131"/>
    </row>
    <row r="632" spans="1:39" s="119" customFormat="1" ht="15" customHeight="1" x14ac:dyDescent="0.3">
      <c r="A632" s="119">
        <v>2017</v>
      </c>
      <c r="B632" s="119" t="s">
        <v>252</v>
      </c>
      <c r="C632" s="119" t="s">
        <v>59</v>
      </c>
      <c r="D632" s="119" t="s">
        <v>210</v>
      </c>
      <c r="E632" s="119" t="s">
        <v>239</v>
      </c>
      <c r="F632" s="119" t="s">
        <v>755</v>
      </c>
      <c r="G632" s="119" t="s">
        <v>756</v>
      </c>
      <c r="H632" s="119" t="s">
        <v>756</v>
      </c>
      <c r="I632" s="163" t="s">
        <v>204</v>
      </c>
      <c r="J632" s="119" t="s">
        <v>575</v>
      </c>
      <c r="K632" s="119" t="s">
        <v>576</v>
      </c>
      <c r="L632" s="119" t="s">
        <v>755</v>
      </c>
      <c r="M632" s="119" t="s">
        <v>595</v>
      </c>
      <c r="N632" s="135">
        <v>0</v>
      </c>
      <c r="O632" s="135" t="s">
        <v>47</v>
      </c>
      <c r="P632" s="135"/>
      <c r="Q632" s="137">
        <v>0</v>
      </c>
      <c r="R632" s="137">
        <v>0</v>
      </c>
      <c r="S632" s="137">
        <v>621500</v>
      </c>
      <c r="T632" s="137">
        <f t="shared" si="111"/>
        <v>0</v>
      </c>
      <c r="U632" s="137">
        <f t="shared" si="115"/>
        <v>621500</v>
      </c>
      <c r="V632" s="137">
        <v>105000</v>
      </c>
      <c r="W632" s="137">
        <f t="shared" si="116"/>
        <v>516500</v>
      </c>
      <c r="X632" s="137">
        <f t="shared" si="112"/>
        <v>516500</v>
      </c>
      <c r="Y632" s="137">
        <f t="shared" si="117"/>
        <v>0</v>
      </c>
      <c r="Z632" s="137">
        <v>105000</v>
      </c>
      <c r="AA632" s="137">
        <f t="shared" si="113"/>
        <v>0</v>
      </c>
      <c r="AB632" s="146">
        <f>IF(O632="返货",Z632/(1+N632),IF(O632="返现",Z632,IF(O632="折扣",Z632*N632,IF(O632="无",Z632))))</f>
        <v>105000</v>
      </c>
      <c r="AC632" s="147">
        <f t="shared" si="114"/>
        <v>0</v>
      </c>
      <c r="AD632" s="137">
        <f t="shared" si="120"/>
        <v>102929.12186348105</v>
      </c>
      <c r="AE632" s="138">
        <v>0.35339999999999999</v>
      </c>
      <c r="AF632" s="137">
        <f t="shared" si="122"/>
        <v>36375.1516665542</v>
      </c>
      <c r="AG632" s="137">
        <v>37107</v>
      </c>
      <c r="AH632" s="154"/>
      <c r="AI632" s="154"/>
      <c r="AJ632" s="135" t="s">
        <v>47</v>
      </c>
      <c r="AK632" s="119" t="s">
        <v>47</v>
      </c>
      <c r="AM632" s="131"/>
    </row>
    <row r="633" spans="1:39" s="119" customFormat="1" ht="15" customHeight="1" x14ac:dyDescent="0.3">
      <c r="A633" s="119">
        <v>2017</v>
      </c>
      <c r="B633" s="119" t="s">
        <v>199</v>
      </c>
      <c r="C633" s="119" t="s">
        <v>59</v>
      </c>
      <c r="D633" s="119" t="s">
        <v>210</v>
      </c>
      <c r="E633" s="119" t="s">
        <v>239</v>
      </c>
      <c r="F633" s="119" t="s">
        <v>757</v>
      </c>
      <c r="G633" s="119" t="s">
        <v>758</v>
      </c>
      <c r="H633" s="119" t="s">
        <v>758</v>
      </c>
      <c r="I633" s="163" t="s">
        <v>204</v>
      </c>
      <c r="J633" s="119" t="s">
        <v>575</v>
      </c>
      <c r="K633" s="119" t="s">
        <v>576</v>
      </c>
      <c r="L633" s="119" t="s">
        <v>759</v>
      </c>
      <c r="M633" s="119" t="s">
        <v>46</v>
      </c>
      <c r="N633" s="136">
        <v>0.02</v>
      </c>
      <c r="O633" s="135" t="s">
        <v>51</v>
      </c>
      <c r="P633" s="135"/>
      <c r="Q633" s="137">
        <v>278071.37</v>
      </c>
      <c r="R633" s="137">
        <v>0</v>
      </c>
      <c r="S633" s="137">
        <v>100000</v>
      </c>
      <c r="T633" s="137">
        <f t="shared" si="111"/>
        <v>2000</v>
      </c>
      <c r="U633" s="137">
        <f t="shared" si="115"/>
        <v>102000</v>
      </c>
      <c r="V633" s="137">
        <v>102000</v>
      </c>
      <c r="W633" s="137">
        <f t="shared" si="116"/>
        <v>0</v>
      </c>
      <c r="X633" s="137">
        <f t="shared" si="112"/>
        <v>0</v>
      </c>
      <c r="Y633" s="137">
        <f t="shared" si="117"/>
        <v>0</v>
      </c>
      <c r="Z633" s="137">
        <v>380071.37</v>
      </c>
      <c r="AA633" s="137">
        <f t="shared" si="113"/>
        <v>0</v>
      </c>
      <c r="AB633" s="146">
        <f>IF(O633="返货",(Z633-Q633)/(1+N633),IF(O633="返现",(Z633-Q633),IF(O633="折扣",(Z633-Q633)*N633,IF(O633="无",(Z633-Q633)))))</f>
        <v>100000</v>
      </c>
      <c r="AC633" s="147">
        <f t="shared" si="114"/>
        <v>280071.37</v>
      </c>
      <c r="AD633" s="137">
        <f t="shared" si="120"/>
        <v>372575.35580523999</v>
      </c>
      <c r="AE633" s="138">
        <v>0.1077</v>
      </c>
      <c r="AF633" s="137">
        <f t="shared" si="122"/>
        <v>40126.365820224346</v>
      </c>
      <c r="AG633" s="137">
        <v>33481.3067450784</v>
      </c>
      <c r="AH633" s="154"/>
      <c r="AI633" s="154"/>
      <c r="AJ633" s="135" t="s">
        <v>173</v>
      </c>
      <c r="AK633" s="119" t="s">
        <v>173</v>
      </c>
      <c r="AM633" s="131"/>
    </row>
    <row r="634" spans="1:39" s="119" customFormat="1" ht="15" customHeight="1" x14ac:dyDescent="0.3">
      <c r="A634" s="119">
        <v>2017</v>
      </c>
      <c r="B634" s="119" t="s">
        <v>38</v>
      </c>
      <c r="C634" s="119" t="s">
        <v>59</v>
      </c>
      <c r="D634" s="119" t="s">
        <v>210</v>
      </c>
      <c r="E634" s="119" t="s">
        <v>239</v>
      </c>
      <c r="F634" s="119" t="s">
        <v>240</v>
      </c>
      <c r="G634" s="119" t="s">
        <v>760</v>
      </c>
      <c r="H634" s="119" t="s">
        <v>760</v>
      </c>
      <c r="I634" s="163" t="s">
        <v>204</v>
      </c>
      <c r="J634" s="119" t="s">
        <v>575</v>
      </c>
      <c r="K634" s="119" t="s">
        <v>576</v>
      </c>
      <c r="L634" s="119" t="s">
        <v>240</v>
      </c>
      <c r="M634" s="119" t="s">
        <v>46</v>
      </c>
      <c r="N634" s="136">
        <v>0.02</v>
      </c>
      <c r="O634" s="135" t="s">
        <v>51</v>
      </c>
      <c r="P634" s="135"/>
      <c r="Q634" s="137">
        <v>146263.23000000001</v>
      </c>
      <c r="R634" s="137">
        <v>0</v>
      </c>
      <c r="S634" s="137">
        <v>1571757.83</v>
      </c>
      <c r="T634" s="137">
        <f t="shared" si="111"/>
        <v>31435.156600000002</v>
      </c>
      <c r="U634" s="137">
        <f t="shared" si="115"/>
        <v>1603192.9866000002</v>
      </c>
      <c r="V634" s="137">
        <v>1931086.99</v>
      </c>
      <c r="W634" s="137">
        <f t="shared" si="116"/>
        <v>-327894.00339999981</v>
      </c>
      <c r="X634" s="137">
        <f t="shared" si="112"/>
        <v>-321464.70921568607</v>
      </c>
      <c r="Y634" s="137">
        <f t="shared" si="117"/>
        <v>-6429.2941843137378</v>
      </c>
      <c r="Z634" s="137">
        <v>1144259.27</v>
      </c>
      <c r="AA634" s="137">
        <f t="shared" si="113"/>
        <v>933090.95</v>
      </c>
      <c r="AB634" s="146">
        <f>IF(O634="返货",(Z634-Q634)/(1+N634),IF(O634="返现",(Z634-Q634),IF(O634="折扣",(Z634-Q634)*N634,IF(O634="无",(Z634-Q634)))))</f>
        <v>978427.49019607843</v>
      </c>
      <c r="AC634" s="147">
        <f t="shared" si="114"/>
        <v>165831.77980392158</v>
      </c>
      <c r="AD634" s="137">
        <f t="shared" si="120"/>
        <v>1121691.4461452179</v>
      </c>
      <c r="AE634" s="138">
        <v>0.1077</v>
      </c>
      <c r="AF634" s="137">
        <f t="shared" si="122"/>
        <v>120806.16874983997</v>
      </c>
      <c r="AG634" s="137">
        <v>100800.26710449001</v>
      </c>
      <c r="AH634" s="154"/>
      <c r="AI634" s="154"/>
      <c r="AJ634" s="135" t="s">
        <v>173</v>
      </c>
      <c r="AK634" s="119" t="s">
        <v>173</v>
      </c>
      <c r="AM634" s="131"/>
    </row>
    <row r="635" spans="1:39" s="119" customFormat="1" ht="15" customHeight="1" x14ac:dyDescent="0.3">
      <c r="A635" s="119">
        <v>2017</v>
      </c>
      <c r="B635" s="119" t="s">
        <v>38</v>
      </c>
      <c r="C635" s="119" t="s">
        <v>59</v>
      </c>
      <c r="D635" s="119" t="s">
        <v>210</v>
      </c>
      <c r="E635" s="119" t="s">
        <v>239</v>
      </c>
      <c r="F635" s="119" t="s">
        <v>240</v>
      </c>
      <c r="G635" s="119" t="s">
        <v>760</v>
      </c>
      <c r="H635" s="119" t="s">
        <v>760</v>
      </c>
      <c r="I635" s="163" t="s">
        <v>204</v>
      </c>
      <c r="J635" s="119" t="s">
        <v>575</v>
      </c>
      <c r="K635" s="119" t="s">
        <v>576</v>
      </c>
      <c r="L635" s="119" t="s">
        <v>240</v>
      </c>
      <c r="M635" s="119" t="s">
        <v>595</v>
      </c>
      <c r="N635" s="136">
        <v>0</v>
      </c>
      <c r="O635" s="135" t="s">
        <v>47</v>
      </c>
      <c r="P635" s="135"/>
      <c r="Q635" s="137">
        <v>0</v>
      </c>
      <c r="R635" s="137">
        <v>0</v>
      </c>
      <c r="S635" s="137">
        <v>84000</v>
      </c>
      <c r="T635" s="137">
        <f t="shared" si="111"/>
        <v>0</v>
      </c>
      <c r="U635" s="137">
        <f t="shared" si="115"/>
        <v>84000</v>
      </c>
      <c r="V635" s="137">
        <v>399000</v>
      </c>
      <c r="W635" s="137">
        <f t="shared" si="116"/>
        <v>-315000</v>
      </c>
      <c r="X635" s="137">
        <f t="shared" si="112"/>
        <v>-315000</v>
      </c>
      <c r="Y635" s="137">
        <f t="shared" si="117"/>
        <v>0</v>
      </c>
      <c r="Z635" s="137">
        <v>399000</v>
      </c>
      <c r="AA635" s="137">
        <f t="shared" si="113"/>
        <v>0</v>
      </c>
      <c r="AB635" s="146">
        <f>IF(O635="返货",Z635/(1+N635),IF(O635="返现",Z635,IF(O635="折扣",Z635*N635,IF(O635="无",Z635))))</f>
        <v>399000</v>
      </c>
      <c r="AC635" s="147">
        <f t="shared" si="114"/>
        <v>0</v>
      </c>
      <c r="AD635" s="137">
        <f t="shared" si="120"/>
        <v>391130.66308122803</v>
      </c>
      <c r="AE635" s="138">
        <v>0.35339999999999999</v>
      </c>
      <c r="AF635" s="137">
        <f t="shared" si="122"/>
        <v>138225.57633290597</v>
      </c>
      <c r="AG635" s="137">
        <v>37562.155555555597</v>
      </c>
      <c r="AH635" s="154"/>
      <c r="AI635" s="154"/>
      <c r="AJ635" s="136">
        <v>0.35</v>
      </c>
      <c r="AK635" s="156">
        <v>0.35</v>
      </c>
      <c r="AM635" s="131"/>
    </row>
    <row r="636" spans="1:39" s="119" customFormat="1" ht="15" customHeight="1" x14ac:dyDescent="0.3">
      <c r="A636" s="119">
        <v>2017</v>
      </c>
      <c r="B636" s="119" t="s">
        <v>38</v>
      </c>
      <c r="C636" s="119" t="s">
        <v>59</v>
      </c>
      <c r="D636" s="119" t="s">
        <v>210</v>
      </c>
      <c r="E636" s="119" t="s">
        <v>239</v>
      </c>
      <c r="F636" s="119" t="s">
        <v>240</v>
      </c>
      <c r="G636" s="119" t="s">
        <v>760</v>
      </c>
      <c r="H636" s="119" t="s">
        <v>760</v>
      </c>
      <c r="I636" s="163" t="s">
        <v>204</v>
      </c>
      <c r="J636" s="119" t="s">
        <v>575</v>
      </c>
      <c r="K636" s="119" t="s">
        <v>576</v>
      </c>
      <c r="L636" s="119" t="s">
        <v>240</v>
      </c>
      <c r="M636" s="119" t="s">
        <v>160</v>
      </c>
      <c r="N636" s="136">
        <v>0</v>
      </c>
      <c r="O636" s="135" t="s">
        <v>47</v>
      </c>
      <c r="P636" s="135"/>
      <c r="Q636" s="137">
        <v>0</v>
      </c>
      <c r="R636" s="137">
        <v>0</v>
      </c>
      <c r="S636" s="137">
        <v>42000</v>
      </c>
      <c r="T636" s="137">
        <f t="shared" si="111"/>
        <v>0</v>
      </c>
      <c r="U636" s="137">
        <f t="shared" si="115"/>
        <v>42000</v>
      </c>
      <c r="V636" s="137">
        <v>0</v>
      </c>
      <c r="W636" s="137">
        <f t="shared" si="116"/>
        <v>42000</v>
      </c>
      <c r="X636" s="137">
        <f t="shared" si="112"/>
        <v>42000</v>
      </c>
      <c r="Y636" s="137">
        <f t="shared" si="117"/>
        <v>0</v>
      </c>
      <c r="Z636" s="137">
        <v>0</v>
      </c>
      <c r="AA636" s="137">
        <f t="shared" si="113"/>
        <v>0</v>
      </c>
      <c r="AB636" s="146">
        <f>IF(O636="返货",Z636/(1+N636),IF(O636="返现",Z636,IF(O636="折扣",Z636*N636,IF(O636="无",Z636))))</f>
        <v>0</v>
      </c>
      <c r="AC636" s="147">
        <f t="shared" si="114"/>
        <v>0</v>
      </c>
      <c r="AD636" s="137">
        <f t="shared" si="120"/>
        <v>0</v>
      </c>
      <c r="AE636" s="138">
        <v>0.1077</v>
      </c>
      <c r="AF636" s="137">
        <f t="shared" si="122"/>
        <v>0</v>
      </c>
      <c r="AG636" s="137">
        <v>0</v>
      </c>
      <c r="AH636" s="154"/>
      <c r="AI636" s="154"/>
      <c r="AJ636" s="136">
        <v>0.35</v>
      </c>
      <c r="AK636" s="156">
        <v>0.35</v>
      </c>
      <c r="AM636" s="131"/>
    </row>
    <row r="637" spans="1:39" s="119" customFormat="1" ht="15" customHeight="1" x14ac:dyDescent="0.3">
      <c r="A637" s="119">
        <v>2017</v>
      </c>
      <c r="B637" s="119" t="s">
        <v>38</v>
      </c>
      <c r="C637" s="119" t="s">
        <v>59</v>
      </c>
      <c r="D637" s="119" t="s">
        <v>210</v>
      </c>
      <c r="E637" s="119" t="s">
        <v>239</v>
      </c>
      <c r="F637" s="119" t="s">
        <v>761</v>
      </c>
      <c r="G637" s="119" t="s">
        <v>761</v>
      </c>
      <c r="H637" s="119" t="s">
        <v>761</v>
      </c>
      <c r="I637" s="163" t="s">
        <v>204</v>
      </c>
      <c r="J637" s="119" t="s">
        <v>575</v>
      </c>
      <c r="K637" s="119" t="s">
        <v>576</v>
      </c>
      <c r="L637" s="119" t="s">
        <v>761</v>
      </c>
      <c r="M637" s="119" t="s">
        <v>46</v>
      </c>
      <c r="N637" s="135">
        <v>0</v>
      </c>
      <c r="O637" s="135" t="s">
        <v>47</v>
      </c>
      <c r="P637" s="135"/>
      <c r="Q637" s="137">
        <v>0</v>
      </c>
      <c r="R637" s="137">
        <v>0</v>
      </c>
      <c r="S637" s="137">
        <v>3029010.15</v>
      </c>
      <c r="T637" s="137">
        <f t="shared" si="111"/>
        <v>0</v>
      </c>
      <c r="U637" s="137">
        <f t="shared" si="115"/>
        <v>3029010.15</v>
      </c>
      <c r="V637" s="137">
        <v>5445000</v>
      </c>
      <c r="W637" s="137">
        <f t="shared" si="116"/>
        <v>-2415989.85</v>
      </c>
      <c r="X637" s="137">
        <f t="shared" si="112"/>
        <v>-2415989.85</v>
      </c>
      <c r="Y637" s="137">
        <f t="shared" si="117"/>
        <v>0</v>
      </c>
      <c r="Z637" s="137">
        <v>3029010.09</v>
      </c>
      <c r="AA637" s="137">
        <f t="shared" si="113"/>
        <v>2415989.91</v>
      </c>
      <c r="AB637" s="146">
        <f>IF(O637="返货",Z637/(1+N637),IF(O637="返现",Z637,IF(O637="折扣",Z637*N637,IF(O637="无",Z637))))</f>
        <v>3029010.09</v>
      </c>
      <c r="AC637" s="147">
        <f t="shared" si="114"/>
        <v>0</v>
      </c>
      <c r="AD637" s="137">
        <f t="shared" si="120"/>
        <v>2969269.9874221305</v>
      </c>
      <c r="AE637" s="138">
        <v>0.1077</v>
      </c>
      <c r="AF637" s="137">
        <f t="shared" si="122"/>
        <v>319790.37764536345</v>
      </c>
      <c r="AG637" s="137">
        <v>326224.38669299998</v>
      </c>
      <c r="AH637" s="154"/>
      <c r="AI637" s="154"/>
      <c r="AJ637" s="135" t="s">
        <v>47</v>
      </c>
      <c r="AK637" s="119" t="s">
        <v>120</v>
      </c>
      <c r="AM637" s="131"/>
    </row>
    <row r="638" spans="1:39" s="119" customFormat="1" ht="15" customHeight="1" x14ac:dyDescent="0.3">
      <c r="A638" s="119">
        <v>2017</v>
      </c>
      <c r="B638" s="119" t="s">
        <v>38</v>
      </c>
      <c r="C638" s="119" t="s">
        <v>59</v>
      </c>
      <c r="D638" s="119" t="s">
        <v>210</v>
      </c>
      <c r="E638" s="119" t="s">
        <v>239</v>
      </c>
      <c r="F638" s="119" t="s">
        <v>761</v>
      </c>
      <c r="G638" s="119" t="s">
        <v>761</v>
      </c>
      <c r="H638" s="119" t="s">
        <v>761</v>
      </c>
      <c r="I638" s="163" t="s">
        <v>204</v>
      </c>
      <c r="J638" s="119" t="s">
        <v>575</v>
      </c>
      <c r="K638" s="119" t="s">
        <v>576</v>
      </c>
      <c r="L638" s="119" t="s">
        <v>761</v>
      </c>
      <c r="M638" s="119" t="s">
        <v>185</v>
      </c>
      <c r="N638" s="135">
        <v>0</v>
      </c>
      <c r="O638" s="135" t="s">
        <v>47</v>
      </c>
      <c r="P638" s="135"/>
      <c r="Q638" s="137">
        <v>0</v>
      </c>
      <c r="R638" s="137">
        <v>0</v>
      </c>
      <c r="S638" s="137">
        <v>2799261.74</v>
      </c>
      <c r="T638" s="137">
        <f t="shared" si="111"/>
        <v>0</v>
      </c>
      <c r="U638" s="137">
        <f t="shared" si="115"/>
        <v>2799261.74</v>
      </c>
      <c r="V638" s="137">
        <v>0</v>
      </c>
      <c r="W638" s="137">
        <f t="shared" si="116"/>
        <v>2799261.74</v>
      </c>
      <c r="X638" s="137">
        <f t="shared" si="112"/>
        <v>2799261.74</v>
      </c>
      <c r="Y638" s="137">
        <f t="shared" si="117"/>
        <v>0</v>
      </c>
      <c r="Z638" s="137">
        <v>2351261.75</v>
      </c>
      <c r="AA638" s="137">
        <f t="shared" si="113"/>
        <v>-2351261.75</v>
      </c>
      <c r="AB638" s="146">
        <f>IF(O638="返货",Z638/(1+N638),IF(O638="返现",Z638,IF(O638="折扣",Z638*N638,IF(O638="无",Z638))))</f>
        <v>2351261.75</v>
      </c>
      <c r="AC638" s="147">
        <f t="shared" si="114"/>
        <v>0</v>
      </c>
      <c r="AD638" s="137">
        <f t="shared" si="120"/>
        <v>2304888.6399875404</v>
      </c>
      <c r="AE638" s="138">
        <v>0.31559999999999999</v>
      </c>
      <c r="AF638" s="137">
        <f t="shared" si="122"/>
        <v>727422.85478006769</v>
      </c>
      <c r="AG638" s="137">
        <v>742058.20830000006</v>
      </c>
      <c r="AH638" s="154"/>
      <c r="AI638" s="154"/>
      <c r="AJ638" s="135" t="s">
        <v>47</v>
      </c>
      <c r="AK638" s="119" t="s">
        <v>47</v>
      </c>
      <c r="AM638" s="131"/>
    </row>
    <row r="639" spans="1:39" s="119" customFormat="1" ht="15" customHeight="1" x14ac:dyDescent="0.3">
      <c r="A639" s="119">
        <v>2017</v>
      </c>
      <c r="B639" s="119" t="s">
        <v>38</v>
      </c>
      <c r="C639" s="119" t="s">
        <v>59</v>
      </c>
      <c r="D639" s="119" t="s">
        <v>210</v>
      </c>
      <c r="E639" s="119" t="s">
        <v>239</v>
      </c>
      <c r="F639" s="119" t="s">
        <v>761</v>
      </c>
      <c r="G639" s="119" t="s">
        <v>761</v>
      </c>
      <c r="H639" s="119" t="s">
        <v>761</v>
      </c>
      <c r="I639" s="163" t="s">
        <v>204</v>
      </c>
      <c r="J639" s="119" t="s">
        <v>575</v>
      </c>
      <c r="K639" s="119" t="s">
        <v>576</v>
      </c>
      <c r="L639" s="119" t="s">
        <v>761</v>
      </c>
      <c r="M639" s="119" t="s">
        <v>160</v>
      </c>
      <c r="N639" s="135">
        <v>0</v>
      </c>
      <c r="O639" s="135" t="s">
        <v>47</v>
      </c>
      <c r="P639" s="135" t="s">
        <v>762</v>
      </c>
      <c r="Q639" s="137">
        <v>0</v>
      </c>
      <c r="R639" s="137">
        <v>0</v>
      </c>
      <c r="S639" s="137">
        <v>300000</v>
      </c>
      <c r="T639" s="137">
        <f t="shared" si="111"/>
        <v>0</v>
      </c>
      <c r="U639" s="137">
        <f t="shared" si="115"/>
        <v>300000</v>
      </c>
      <c r="V639" s="137">
        <v>0</v>
      </c>
      <c r="W639" s="137">
        <f t="shared" si="116"/>
        <v>300000</v>
      </c>
      <c r="X639" s="137">
        <f t="shared" si="112"/>
        <v>300000</v>
      </c>
      <c r="Y639" s="137">
        <f t="shared" si="117"/>
        <v>0</v>
      </c>
      <c r="Z639" s="137">
        <v>0</v>
      </c>
      <c r="AA639" s="137">
        <f t="shared" si="113"/>
        <v>0</v>
      </c>
      <c r="AB639" s="146">
        <f>IF(O639="返货",Z639/(1+N639),IF(O639="返现",Z639,IF(O639="折扣",Z639*N639,IF(O639="无",Z639))))</f>
        <v>0</v>
      </c>
      <c r="AC639" s="147">
        <f t="shared" si="114"/>
        <v>0</v>
      </c>
      <c r="AD639" s="137">
        <f t="shared" si="120"/>
        <v>0</v>
      </c>
      <c r="AE639" s="138">
        <v>0.1077</v>
      </c>
      <c r="AF639" s="137">
        <f t="shared" si="122"/>
        <v>0</v>
      </c>
      <c r="AG639" s="137">
        <v>0</v>
      </c>
      <c r="AH639" s="154"/>
      <c r="AI639" s="154"/>
      <c r="AJ639" s="135" t="s">
        <v>47</v>
      </c>
      <c r="AK639" s="119" t="s">
        <v>47</v>
      </c>
      <c r="AM639" s="131"/>
    </row>
    <row r="640" spans="1:39" s="119" customFormat="1" ht="15" customHeight="1" x14ac:dyDescent="0.3">
      <c r="A640" s="119">
        <v>2017</v>
      </c>
      <c r="B640" s="119" t="s">
        <v>38</v>
      </c>
      <c r="C640" s="119" t="s">
        <v>59</v>
      </c>
      <c r="D640" s="119" t="s">
        <v>210</v>
      </c>
      <c r="E640" s="119" t="s">
        <v>239</v>
      </c>
      <c r="F640" s="119" t="s">
        <v>763</v>
      </c>
      <c r="G640" s="119" t="s">
        <v>763</v>
      </c>
      <c r="H640" s="119" t="s">
        <v>763</v>
      </c>
      <c r="I640" s="163" t="s">
        <v>204</v>
      </c>
      <c r="J640" s="119" t="s">
        <v>575</v>
      </c>
      <c r="K640" s="119" t="s">
        <v>576</v>
      </c>
      <c r="L640" s="119" t="s">
        <v>763</v>
      </c>
      <c r="M640" s="119" t="s">
        <v>46</v>
      </c>
      <c r="N640" s="136">
        <v>0.02</v>
      </c>
      <c r="O640" s="135" t="s">
        <v>51</v>
      </c>
      <c r="P640" s="135"/>
      <c r="Q640" s="137">
        <v>416278.4472</v>
      </c>
      <c r="R640" s="137">
        <v>0</v>
      </c>
      <c r="S640" s="137">
        <v>5249538.04</v>
      </c>
      <c r="T640" s="137">
        <f t="shared" si="111"/>
        <v>104990.7608</v>
      </c>
      <c r="U640" s="137">
        <f t="shared" si="115"/>
        <v>5354528.8008000003</v>
      </c>
      <c r="V640" s="137">
        <v>7234195.1399999997</v>
      </c>
      <c r="W640" s="137">
        <f t="shared" si="116"/>
        <v>-1879666.3391999993</v>
      </c>
      <c r="X640" s="137">
        <f t="shared" si="112"/>
        <v>-1842810.1364705875</v>
      </c>
      <c r="Y640" s="137">
        <f t="shared" si="117"/>
        <v>-36856.202729411889</v>
      </c>
      <c r="Z640" s="137">
        <v>5770804.2599999998</v>
      </c>
      <c r="AA640" s="137">
        <f t="shared" si="113"/>
        <v>1879669.3272000002</v>
      </c>
      <c r="AB640" s="146">
        <f>IF(O640="返货",(Z640-Q640)/(1+N640),IF(O640="返现",(Z640-Q640),IF(O640="折扣",(Z640-Q640)*N640,IF(O640="无",(Z640-Q640)))))</f>
        <v>5249535.1105882348</v>
      </c>
      <c r="AC640" s="147">
        <f t="shared" si="114"/>
        <v>521269.14941176493</v>
      </c>
      <c r="AD640" s="137">
        <f t="shared" si="120"/>
        <v>5656988.7135984339</v>
      </c>
      <c r="AE640" s="138">
        <v>0.1077</v>
      </c>
      <c r="AF640" s="137">
        <f t="shared" si="122"/>
        <v>609257.68445455132</v>
      </c>
      <c r="AG640" s="137">
        <v>508362.594096118</v>
      </c>
      <c r="AH640" s="154"/>
      <c r="AI640" s="154"/>
      <c r="AJ640" s="135" t="s">
        <v>173</v>
      </c>
      <c r="AK640" s="119" t="s">
        <v>173</v>
      </c>
      <c r="AL640" s="119" t="s">
        <v>611</v>
      </c>
      <c r="AM640" s="131"/>
    </row>
    <row r="641" spans="1:39" s="119" customFormat="1" ht="15" customHeight="1" x14ac:dyDescent="0.3">
      <c r="A641" s="119">
        <v>2017</v>
      </c>
      <c r="B641" s="119" t="s">
        <v>38</v>
      </c>
      <c r="C641" s="119" t="s">
        <v>59</v>
      </c>
      <c r="D641" s="119" t="s">
        <v>210</v>
      </c>
      <c r="E641" s="119" t="s">
        <v>239</v>
      </c>
      <c r="F641" s="119" t="s">
        <v>763</v>
      </c>
      <c r="G641" s="119" t="s">
        <v>763</v>
      </c>
      <c r="H641" s="119" t="s">
        <v>763</v>
      </c>
      <c r="I641" s="163" t="s">
        <v>204</v>
      </c>
      <c r="J641" s="119" t="s">
        <v>575</v>
      </c>
      <c r="K641" s="119" t="s">
        <v>576</v>
      </c>
      <c r="L641" s="119" t="s">
        <v>763</v>
      </c>
      <c r="M641" s="119" t="s">
        <v>185</v>
      </c>
      <c r="N641" s="136">
        <v>0.08</v>
      </c>
      <c r="O641" s="135" t="s">
        <v>51</v>
      </c>
      <c r="P641" s="135"/>
      <c r="Q641" s="137">
        <v>10642.461600000001</v>
      </c>
      <c r="R641" s="137">
        <v>0</v>
      </c>
      <c r="S641" s="137">
        <v>1030596.26</v>
      </c>
      <c r="T641" s="137">
        <f t="shared" si="111"/>
        <v>82447.700800000006</v>
      </c>
      <c r="U641" s="137">
        <f t="shared" si="115"/>
        <v>1113043.9608</v>
      </c>
      <c r="V641" s="137">
        <v>0</v>
      </c>
      <c r="W641" s="137">
        <f t="shared" si="116"/>
        <v>1113043.9608</v>
      </c>
      <c r="X641" s="137">
        <f t="shared" si="112"/>
        <v>1030596.2599999999</v>
      </c>
      <c r="Y641" s="137">
        <f t="shared" si="117"/>
        <v>82447.700800000108</v>
      </c>
      <c r="Z641" s="137">
        <v>1061850.6399999999</v>
      </c>
      <c r="AA641" s="137">
        <f t="shared" si="113"/>
        <v>-1051208.1783999999</v>
      </c>
      <c r="AB641" s="146">
        <f>IF(O641="返货",(Z641-Q641)/(1+N641),IF(O641="返现",(Z641-Q641),IF(O641="折扣",(Z641-Q641)*N641,IF(O641="无",(Z641-Q641)))))</f>
        <v>973340.9059259257</v>
      </c>
      <c r="AC641" s="147">
        <f t="shared" si="114"/>
        <v>88509.734074074193</v>
      </c>
      <c r="AD641" s="137">
        <f t="shared" si="120"/>
        <v>1040908.1326226223</v>
      </c>
      <c r="AE641" s="138">
        <v>0.31559999999999999</v>
      </c>
      <c r="AF641" s="137">
        <f t="shared" si="122"/>
        <v>328510.60665569961</v>
      </c>
      <c r="AG641" s="137">
        <v>256464.45902103701</v>
      </c>
      <c r="AH641" s="154"/>
      <c r="AI641" s="154"/>
      <c r="AJ641" s="135" t="s">
        <v>53</v>
      </c>
      <c r="AK641" s="119" t="s">
        <v>53</v>
      </c>
      <c r="AM641" s="131"/>
    </row>
    <row r="642" spans="1:39" s="119" customFormat="1" ht="15" customHeight="1" x14ac:dyDescent="0.3">
      <c r="A642" s="119">
        <v>2017</v>
      </c>
      <c r="B642" s="119" t="s">
        <v>38</v>
      </c>
      <c r="C642" s="119" t="s">
        <v>59</v>
      </c>
      <c r="D642" s="119" t="s">
        <v>210</v>
      </c>
      <c r="E642" s="119" t="s">
        <v>239</v>
      </c>
      <c r="F642" s="119" t="s">
        <v>763</v>
      </c>
      <c r="G642" s="119" t="s">
        <v>763</v>
      </c>
      <c r="H642" s="119" t="s">
        <v>763</v>
      </c>
      <c r="I642" s="163" t="s">
        <v>204</v>
      </c>
      <c r="J642" s="119" t="s">
        <v>575</v>
      </c>
      <c r="K642" s="119" t="s">
        <v>576</v>
      </c>
      <c r="L642" s="119" t="s">
        <v>763</v>
      </c>
      <c r="M642" s="119" t="s">
        <v>160</v>
      </c>
      <c r="N642" s="136">
        <v>0</v>
      </c>
      <c r="O642" s="135" t="s">
        <v>47</v>
      </c>
      <c r="P642" s="135"/>
      <c r="Q642" s="137">
        <v>0</v>
      </c>
      <c r="R642" s="137">
        <v>0</v>
      </c>
      <c r="S642" s="137">
        <v>1035000</v>
      </c>
      <c r="T642" s="137">
        <f t="shared" ref="T642:T705" si="123">S642*N642</f>
        <v>0</v>
      </c>
      <c r="U642" s="137">
        <f t="shared" si="115"/>
        <v>1035000</v>
      </c>
      <c r="V642" s="137">
        <v>799193.55</v>
      </c>
      <c r="W642" s="137">
        <f t="shared" si="116"/>
        <v>235806.44999999995</v>
      </c>
      <c r="X642" s="137">
        <f t="shared" ref="X642:X705" si="124">W642/(1+N642)</f>
        <v>235806.44999999995</v>
      </c>
      <c r="Y642" s="137">
        <f t="shared" si="117"/>
        <v>0</v>
      </c>
      <c r="Z642" s="137">
        <v>799193.55</v>
      </c>
      <c r="AA642" s="137">
        <f t="shared" ref="AA642:AA705" si="125">Q642+V642-Z642</f>
        <v>0</v>
      </c>
      <c r="AB642" s="146">
        <f>IF(O642="返货",Z642/(1+N642),IF(O642="返现",Z642,IF(O642="折扣",Z642*N642,IF(O642="无",Z642))))</f>
        <v>799193.55</v>
      </c>
      <c r="AC642" s="147">
        <f t="shared" ref="AC642:AC705" si="126">IF(O642="返现",Z642*N642,Z642-AB642)</f>
        <v>0</v>
      </c>
      <c r="AD642" s="137">
        <f t="shared" si="120"/>
        <v>783431.33619483851</v>
      </c>
      <c r="AE642" s="138">
        <v>0.1077</v>
      </c>
      <c r="AF642" s="137">
        <f t="shared" si="122"/>
        <v>84375.554908184116</v>
      </c>
      <c r="AG642" s="137">
        <v>-121125.18244277799</v>
      </c>
      <c r="AH642" s="154"/>
      <c r="AI642" s="154"/>
      <c r="AJ642" s="136">
        <v>0.35</v>
      </c>
      <c r="AK642" s="156">
        <v>0.35</v>
      </c>
      <c r="AM642" s="131"/>
    </row>
    <row r="643" spans="1:39" s="119" customFormat="1" ht="15" customHeight="1" x14ac:dyDescent="0.3">
      <c r="A643" s="119">
        <v>2017</v>
      </c>
      <c r="B643" s="119" t="s">
        <v>38</v>
      </c>
      <c r="C643" s="119" t="s">
        <v>59</v>
      </c>
      <c r="D643" s="119" t="s">
        <v>210</v>
      </c>
      <c r="E643" s="119" t="s">
        <v>239</v>
      </c>
      <c r="F643" s="119" t="s">
        <v>764</v>
      </c>
      <c r="G643" s="119" t="s">
        <v>764</v>
      </c>
      <c r="H643" s="119" t="s">
        <v>764</v>
      </c>
      <c r="I643" s="163" t="s">
        <v>204</v>
      </c>
      <c r="J643" s="119" t="s">
        <v>575</v>
      </c>
      <c r="K643" s="119" t="s">
        <v>576</v>
      </c>
      <c r="L643" s="119" t="s">
        <v>764</v>
      </c>
      <c r="M643" s="119" t="s">
        <v>46</v>
      </c>
      <c r="N643" s="136">
        <v>0.02</v>
      </c>
      <c r="O643" s="135" t="s">
        <v>51</v>
      </c>
      <c r="P643" s="135"/>
      <c r="Q643" s="137">
        <v>0</v>
      </c>
      <c r="R643" s="137">
        <v>0</v>
      </c>
      <c r="S643" s="137">
        <v>1514853.06</v>
      </c>
      <c r="T643" s="137">
        <f t="shared" si="123"/>
        <v>30297.0612</v>
      </c>
      <c r="U643" s="137">
        <f t="shared" ref="U643:U706" si="127">R643+S643+T643</f>
        <v>1545150.1212000002</v>
      </c>
      <c r="V643" s="137">
        <v>3050000</v>
      </c>
      <c r="W643" s="137">
        <f t="shared" ref="W643:W706" si="128">U643-V643</f>
        <v>-1504849.8787999998</v>
      </c>
      <c r="X643" s="137">
        <f t="shared" si="124"/>
        <v>-1475343.0184313722</v>
      </c>
      <c r="Y643" s="137">
        <f t="shared" ref="Y643:Y706" si="129">W643-X643</f>
        <v>-29506.860368627589</v>
      </c>
      <c r="Z643" s="137">
        <v>1545150.13</v>
      </c>
      <c r="AA643" s="137">
        <f t="shared" si="125"/>
        <v>1504849.87</v>
      </c>
      <c r="AB643" s="146">
        <f>IF(O643="返货",Z643/(1+N643),IF(O643="返现",Z643,IF(O643="折扣",Z643*N643,IF(O643="无",Z643))))</f>
        <v>1514853.0686274508</v>
      </c>
      <c r="AC643" s="147">
        <f t="shared" si="126"/>
        <v>30297.06137254904</v>
      </c>
      <c r="AD643" s="137">
        <f t="shared" si="120"/>
        <v>1514675.6764585103</v>
      </c>
      <c r="AE643" s="138">
        <v>0.1077</v>
      </c>
      <c r="AF643" s="137">
        <f t="shared" si="122"/>
        <v>163130.57035458158</v>
      </c>
      <c r="AG643" s="137">
        <v>136115.60762845099</v>
      </c>
      <c r="AH643" s="154"/>
      <c r="AI643" s="154"/>
      <c r="AJ643" s="135" t="s">
        <v>173</v>
      </c>
      <c r="AK643" s="119" t="s">
        <v>173</v>
      </c>
      <c r="AM643" s="131"/>
    </row>
    <row r="644" spans="1:39" s="119" customFormat="1" ht="15" customHeight="1" x14ac:dyDescent="0.3">
      <c r="A644" s="119">
        <v>2017</v>
      </c>
      <c r="B644" s="119" t="s">
        <v>38</v>
      </c>
      <c r="C644" s="119" t="s">
        <v>59</v>
      </c>
      <c r="D644" s="119" t="s">
        <v>210</v>
      </c>
      <c r="E644" s="119" t="s">
        <v>239</v>
      </c>
      <c r="F644" s="119" t="s">
        <v>764</v>
      </c>
      <c r="G644" s="119" t="s">
        <v>764</v>
      </c>
      <c r="H644" s="119" t="s">
        <v>764</v>
      </c>
      <c r="I644" s="163" t="s">
        <v>204</v>
      </c>
      <c r="J644" s="119" t="s">
        <v>575</v>
      </c>
      <c r="K644" s="119" t="s">
        <v>576</v>
      </c>
      <c r="L644" s="119" t="s">
        <v>764</v>
      </c>
      <c r="M644" s="119" t="s">
        <v>185</v>
      </c>
      <c r="N644" s="136">
        <v>0.08</v>
      </c>
      <c r="O644" s="135" t="s">
        <v>51</v>
      </c>
      <c r="P644" s="135"/>
      <c r="Q644" s="137">
        <v>0</v>
      </c>
      <c r="R644" s="137">
        <v>0</v>
      </c>
      <c r="S644" s="137">
        <v>1131239.25</v>
      </c>
      <c r="T644" s="137">
        <f t="shared" si="123"/>
        <v>90499.14</v>
      </c>
      <c r="U644" s="137">
        <f t="shared" si="127"/>
        <v>1221738.3899999999</v>
      </c>
      <c r="V644" s="137">
        <v>0</v>
      </c>
      <c r="W644" s="137">
        <f t="shared" si="128"/>
        <v>1221738.3899999999</v>
      </c>
      <c r="X644" s="137">
        <f t="shared" si="124"/>
        <v>1131239.2499999998</v>
      </c>
      <c r="Y644" s="137">
        <f t="shared" si="129"/>
        <v>90499.14000000013</v>
      </c>
      <c r="Z644" s="137">
        <v>1153864.04</v>
      </c>
      <c r="AA644" s="137">
        <f t="shared" si="125"/>
        <v>-1153864.04</v>
      </c>
      <c r="AB644" s="146">
        <f>IF(O644="返货",Z644/(1+N644),IF(O644="返现",Z644,IF(O644="折扣",Z644*N644,IF(O644="无",Z644))))</f>
        <v>1068392.6296296297</v>
      </c>
      <c r="AC644" s="147">
        <f t="shared" si="126"/>
        <v>85471.410370370373</v>
      </c>
      <c r="AD644" s="137">
        <f t="shared" si="120"/>
        <v>1131106.784638558</v>
      </c>
      <c r="AE644" s="138">
        <v>0.31559999999999999</v>
      </c>
      <c r="AF644" s="137">
        <f t="shared" si="122"/>
        <v>356977.30123192893</v>
      </c>
      <c r="AG644" s="137">
        <v>278688.08065363002</v>
      </c>
      <c r="AH644" s="154"/>
      <c r="AI644" s="154"/>
      <c r="AJ644" s="135" t="s">
        <v>53</v>
      </c>
      <c r="AK644" s="119" t="s">
        <v>53</v>
      </c>
      <c r="AM644" s="131"/>
    </row>
    <row r="645" spans="1:39" s="119" customFormat="1" ht="15" customHeight="1" x14ac:dyDescent="0.3">
      <c r="A645" s="119">
        <v>2017</v>
      </c>
      <c r="B645" s="119" t="s">
        <v>38</v>
      </c>
      <c r="C645" s="119" t="s">
        <v>59</v>
      </c>
      <c r="D645" s="119" t="s">
        <v>210</v>
      </c>
      <c r="E645" s="119" t="s">
        <v>190</v>
      </c>
      <c r="F645" s="119" t="s">
        <v>363</v>
      </c>
      <c r="G645" s="119" t="s">
        <v>363</v>
      </c>
      <c r="H645" s="119" t="s">
        <v>363</v>
      </c>
      <c r="I645" s="163" t="s">
        <v>204</v>
      </c>
      <c r="J645" s="119" t="s">
        <v>575</v>
      </c>
      <c r="K645" s="119" t="s">
        <v>576</v>
      </c>
      <c r="L645" s="119" t="s">
        <v>765</v>
      </c>
      <c r="M645" s="119" t="s">
        <v>46</v>
      </c>
      <c r="N645" s="136">
        <v>0.02</v>
      </c>
      <c r="O645" s="135" t="s">
        <v>51</v>
      </c>
      <c r="P645" s="135"/>
      <c r="Q645" s="137">
        <v>199803.14</v>
      </c>
      <c r="R645" s="137">
        <v>0</v>
      </c>
      <c r="S645" s="137">
        <v>353490.96</v>
      </c>
      <c r="T645" s="137">
        <f t="shared" si="123"/>
        <v>7069.8192000000008</v>
      </c>
      <c r="U645" s="137">
        <f t="shared" si="127"/>
        <v>360560.77920000005</v>
      </c>
      <c r="V645" s="137">
        <v>1041475.36</v>
      </c>
      <c r="W645" s="137">
        <f t="shared" si="128"/>
        <v>-680914.58079999988</v>
      </c>
      <c r="X645" s="137">
        <f t="shared" si="124"/>
        <v>-667563.31450980378</v>
      </c>
      <c r="Y645" s="137">
        <f t="shared" si="129"/>
        <v>-13351.266290196101</v>
      </c>
      <c r="Z645" s="137">
        <v>553220.64</v>
      </c>
      <c r="AA645" s="137">
        <f t="shared" si="125"/>
        <v>688057.86</v>
      </c>
      <c r="AB645" s="146">
        <f>IF(O645="返货",(Z645-Q645)/(1+N645),IF(O645="返现",(Z645-Q645),IF(O645="折扣",(Z645-Q645)*N645,IF(O645="无",(Z645-Q645)))))</f>
        <v>346487.74509803922</v>
      </c>
      <c r="AC645" s="147">
        <f t="shared" si="126"/>
        <v>206732.8949019608</v>
      </c>
      <c r="AD645" s="137">
        <f t="shared" si="120"/>
        <v>542309.66354240943</v>
      </c>
      <c r="AE645" s="138">
        <v>0.1077</v>
      </c>
      <c r="AF645" s="137">
        <f t="shared" si="122"/>
        <v>58406.750763517499</v>
      </c>
      <c r="AG645" s="137">
        <v>48734.399398588197</v>
      </c>
      <c r="AH645" s="154"/>
      <c r="AI645" s="154"/>
      <c r="AJ645" s="135" t="s">
        <v>173</v>
      </c>
      <c r="AK645" s="119" t="s">
        <v>173</v>
      </c>
      <c r="AM645" s="131"/>
    </row>
    <row r="646" spans="1:39" s="119" customFormat="1" ht="15" customHeight="1" x14ac:dyDescent="0.3">
      <c r="A646" s="119">
        <v>2017</v>
      </c>
      <c r="B646" s="119" t="s">
        <v>38</v>
      </c>
      <c r="C646" s="119" t="s">
        <v>59</v>
      </c>
      <c r="D646" s="119" t="s">
        <v>210</v>
      </c>
      <c r="E646" s="119" t="s">
        <v>190</v>
      </c>
      <c r="F646" s="119" t="s">
        <v>363</v>
      </c>
      <c r="G646" s="119" t="s">
        <v>363</v>
      </c>
      <c r="H646" s="119" t="s">
        <v>363</v>
      </c>
      <c r="I646" s="163" t="s">
        <v>204</v>
      </c>
      <c r="J646" s="119" t="s">
        <v>575</v>
      </c>
      <c r="K646" s="119" t="s">
        <v>576</v>
      </c>
      <c r="L646" s="119" t="s">
        <v>765</v>
      </c>
      <c r="M646" s="119" t="s">
        <v>185</v>
      </c>
      <c r="N646" s="136">
        <v>0.08</v>
      </c>
      <c r="O646" s="135" t="s">
        <v>51</v>
      </c>
      <c r="P646" s="135"/>
      <c r="Q646" s="137">
        <v>392923.03</v>
      </c>
      <c r="R646" s="137">
        <v>0</v>
      </c>
      <c r="S646" s="137">
        <v>446509.04</v>
      </c>
      <c r="T646" s="137">
        <f t="shared" si="123"/>
        <v>35720.7232</v>
      </c>
      <c r="U646" s="137">
        <f t="shared" si="127"/>
        <v>482229.76319999999</v>
      </c>
      <c r="V646" s="137">
        <v>0</v>
      </c>
      <c r="W646" s="137">
        <f t="shared" si="128"/>
        <v>482229.76319999999</v>
      </c>
      <c r="X646" s="137">
        <f t="shared" si="124"/>
        <v>446509.04</v>
      </c>
      <c r="Y646" s="137">
        <f t="shared" si="129"/>
        <v>35720.723200000008</v>
      </c>
      <c r="Z646" s="137">
        <v>1080980.8899999999</v>
      </c>
      <c r="AA646" s="137">
        <f t="shared" si="125"/>
        <v>-688057.85999999987</v>
      </c>
      <c r="AB646" s="146">
        <f>IF(O646="返货",(Z646-Q646)/(1+N646),IF(O646="返现",(Z646-Q646),IF(O646="折扣",(Z646-Q646)*N646,IF(O646="无",(Z646-Q646)))))</f>
        <v>637090.61111111089</v>
      </c>
      <c r="AC646" s="147">
        <f t="shared" si="126"/>
        <v>443890.27888888901</v>
      </c>
      <c r="AD646" s="137">
        <f t="shared" si="120"/>
        <v>1059661.0834181353</v>
      </c>
      <c r="AE646" s="138">
        <v>0.31559999999999999</v>
      </c>
      <c r="AF646" s="137">
        <f t="shared" si="122"/>
        <v>334429.03792676347</v>
      </c>
      <c r="AG646" s="137">
        <v>261084.91036548099</v>
      </c>
      <c r="AH646" s="154"/>
      <c r="AI646" s="154"/>
      <c r="AJ646" s="135" t="s">
        <v>53</v>
      </c>
      <c r="AK646" s="119" t="s">
        <v>53</v>
      </c>
      <c r="AM646" s="131"/>
    </row>
    <row r="647" spans="1:39" s="119" customFormat="1" ht="15" customHeight="1" x14ac:dyDescent="0.3">
      <c r="A647" s="119">
        <v>2017</v>
      </c>
      <c r="B647" s="119" t="s">
        <v>38</v>
      </c>
      <c r="C647" s="119" t="s">
        <v>59</v>
      </c>
      <c r="D647" s="119" t="s">
        <v>210</v>
      </c>
      <c r="E647" s="119" t="s">
        <v>249</v>
      </c>
      <c r="F647" s="119" t="s">
        <v>766</v>
      </c>
      <c r="G647" s="119" t="s">
        <v>766</v>
      </c>
      <c r="H647" s="119" t="s">
        <v>766</v>
      </c>
      <c r="I647" s="163" t="s">
        <v>204</v>
      </c>
      <c r="J647" s="119" t="s">
        <v>575</v>
      </c>
      <c r="K647" s="119" t="s">
        <v>576</v>
      </c>
      <c r="L647" s="119" t="s">
        <v>766</v>
      </c>
      <c r="M647" s="119" t="s">
        <v>46</v>
      </c>
      <c r="N647" s="136">
        <v>0.02</v>
      </c>
      <c r="O647" s="135" t="s">
        <v>51</v>
      </c>
      <c r="P647" s="135"/>
      <c r="Q647" s="137">
        <v>0</v>
      </c>
      <c r="R647" s="137">
        <v>0</v>
      </c>
      <c r="S647" s="137">
        <v>20000</v>
      </c>
      <c r="T647" s="137">
        <f t="shared" si="123"/>
        <v>400</v>
      </c>
      <c r="U647" s="137">
        <f t="shared" si="127"/>
        <v>20400</v>
      </c>
      <c r="V647" s="137">
        <v>20000</v>
      </c>
      <c r="W647" s="137">
        <f t="shared" si="128"/>
        <v>400</v>
      </c>
      <c r="X647" s="137">
        <f t="shared" si="124"/>
        <v>392.15686274509801</v>
      </c>
      <c r="Y647" s="137">
        <f t="shared" si="129"/>
        <v>7.8431372549019898</v>
      </c>
      <c r="Z647" s="137">
        <v>20000</v>
      </c>
      <c r="AA647" s="137">
        <f t="shared" si="125"/>
        <v>0</v>
      </c>
      <c r="AB647" s="146">
        <f>IF(O647="返货",Z647/(1+N647),IF(O647="返现",Z647,IF(O647="折扣",Z647*N647,IF(O647="无",Z647))))</f>
        <v>19607.843137254902</v>
      </c>
      <c r="AC647" s="147">
        <f t="shared" si="126"/>
        <v>392.1568627450979</v>
      </c>
      <c r="AD647" s="137">
        <f t="shared" ref="AD647:AD660" si="130">Z647*0.980277351080772</f>
        <v>19605.547021615439</v>
      </c>
      <c r="AE647" s="138">
        <v>0.1077</v>
      </c>
      <c r="AF647" s="137">
        <f t="shared" si="122"/>
        <v>2111.517414227983</v>
      </c>
      <c r="AG647" s="137">
        <v>1761.8431372549001</v>
      </c>
      <c r="AH647" s="154"/>
      <c r="AI647" s="154"/>
      <c r="AJ647" s="136">
        <v>0.02</v>
      </c>
      <c r="AK647" s="156">
        <v>0.02</v>
      </c>
      <c r="AM647" s="131"/>
    </row>
    <row r="648" spans="1:39" s="119" customFormat="1" ht="15" customHeight="1" x14ac:dyDescent="0.3">
      <c r="A648" s="119">
        <v>2017</v>
      </c>
      <c r="B648" s="119" t="s">
        <v>38</v>
      </c>
      <c r="C648" s="119" t="s">
        <v>59</v>
      </c>
      <c r="D648" s="119" t="s">
        <v>210</v>
      </c>
      <c r="E648" s="119" t="s">
        <v>249</v>
      </c>
      <c r="F648" s="119" t="s">
        <v>767</v>
      </c>
      <c r="G648" s="119" t="s">
        <v>767</v>
      </c>
      <c r="H648" s="119" t="s">
        <v>767</v>
      </c>
      <c r="I648" s="163" t="s">
        <v>204</v>
      </c>
      <c r="J648" s="119" t="s">
        <v>575</v>
      </c>
      <c r="K648" s="119" t="s">
        <v>576</v>
      </c>
      <c r="L648" s="119" t="s">
        <v>767</v>
      </c>
      <c r="M648" s="119" t="s">
        <v>46</v>
      </c>
      <c r="N648" s="135">
        <v>0</v>
      </c>
      <c r="O648" s="135" t="s">
        <v>47</v>
      </c>
      <c r="P648" s="135"/>
      <c r="Q648" s="137">
        <v>26294.09</v>
      </c>
      <c r="R648" s="137">
        <v>0</v>
      </c>
      <c r="S648" s="137">
        <v>2258148.27</v>
      </c>
      <c r="T648" s="137">
        <f t="shared" si="123"/>
        <v>0</v>
      </c>
      <c r="U648" s="137">
        <f t="shared" si="127"/>
        <v>2258148.27</v>
      </c>
      <c r="V648" s="137">
        <v>14062008.390000001</v>
      </c>
      <c r="W648" s="137">
        <f t="shared" si="128"/>
        <v>-11803860.120000001</v>
      </c>
      <c r="X648" s="137">
        <f t="shared" si="124"/>
        <v>-11803860.120000001</v>
      </c>
      <c r="Y648" s="137">
        <f t="shared" si="129"/>
        <v>0</v>
      </c>
      <c r="Z648" s="137">
        <v>2190124.0699999998</v>
      </c>
      <c r="AA648" s="137">
        <f t="shared" si="125"/>
        <v>11898178.41</v>
      </c>
      <c r="AB648" s="146">
        <f>IF(O648="返货",(Z648-Q648)/(1+N648),IF(O648="返现",(Z648-Q648),IF(O648="折扣",(Z648-Q648)*N648,IF(O648="无",(Z648-Q648)))))</f>
        <v>2163829.98</v>
      </c>
      <c r="AC648" s="147">
        <f t="shared" si="126"/>
        <v>26294.089999999851</v>
      </c>
      <c r="AD648" s="137">
        <f t="shared" si="130"/>
        <v>2146929.0218778392</v>
      </c>
      <c r="AE648" s="138">
        <v>0.1077</v>
      </c>
      <c r="AF648" s="137">
        <f t="shared" si="122"/>
        <v>231224.2556562433</v>
      </c>
      <c r="AG648" s="137">
        <v>235876.36233900001</v>
      </c>
      <c r="AH648" s="154"/>
      <c r="AI648" s="154"/>
      <c r="AJ648" s="135" t="s">
        <v>47</v>
      </c>
      <c r="AK648" s="119" t="s">
        <v>120</v>
      </c>
      <c r="AM648" s="131"/>
    </row>
    <row r="649" spans="1:39" s="119" customFormat="1" ht="15" customHeight="1" x14ac:dyDescent="0.3">
      <c r="A649" s="119">
        <v>2017</v>
      </c>
      <c r="B649" s="119" t="s">
        <v>38</v>
      </c>
      <c r="C649" s="119" t="s">
        <v>59</v>
      </c>
      <c r="D649" s="119" t="s">
        <v>210</v>
      </c>
      <c r="E649" s="119" t="s">
        <v>249</v>
      </c>
      <c r="F649" s="119" t="s">
        <v>767</v>
      </c>
      <c r="G649" s="119" t="s">
        <v>767</v>
      </c>
      <c r="H649" s="119" t="s">
        <v>767</v>
      </c>
      <c r="I649" s="163" t="s">
        <v>204</v>
      </c>
      <c r="J649" s="119" t="s">
        <v>575</v>
      </c>
      <c r="K649" s="119" t="s">
        <v>576</v>
      </c>
      <c r="L649" s="119" t="s">
        <v>767</v>
      </c>
      <c r="M649" s="119" t="s">
        <v>185</v>
      </c>
      <c r="N649" s="136">
        <v>0.04</v>
      </c>
      <c r="O649" s="135" t="s">
        <v>51</v>
      </c>
      <c r="P649" s="135"/>
      <c r="Q649" s="137">
        <v>53329.77</v>
      </c>
      <c r="R649" s="137">
        <v>0</v>
      </c>
      <c r="S649" s="137">
        <v>10521093.24</v>
      </c>
      <c r="T649" s="137">
        <f t="shared" si="123"/>
        <v>420843.72960000002</v>
      </c>
      <c r="U649" s="137">
        <f t="shared" si="127"/>
        <v>10941936.969599999</v>
      </c>
      <c r="V649" s="137">
        <v>0</v>
      </c>
      <c r="W649" s="137">
        <f t="shared" si="128"/>
        <v>10941936.969599999</v>
      </c>
      <c r="X649" s="137">
        <f t="shared" si="124"/>
        <v>10521093.239999998</v>
      </c>
      <c r="Y649" s="137">
        <f t="shared" si="129"/>
        <v>420843.72960000113</v>
      </c>
      <c r="Z649" s="137">
        <v>10995333.52</v>
      </c>
      <c r="AA649" s="137">
        <f t="shared" si="125"/>
        <v>-10942003.75</v>
      </c>
      <c r="AB649" s="146">
        <f>IF(O649="返货",(Z649-Q649)/(1+N649),IF(O649="返现",(Z649-Q649),IF(O649="折扣",(Z649-Q649)*N649,IF(O649="无",(Z649-Q649)))))</f>
        <v>10521157.451923076</v>
      </c>
      <c r="AC649" s="147">
        <f t="shared" si="126"/>
        <v>474176.06807692349</v>
      </c>
      <c r="AD649" s="137">
        <f t="shared" si="130"/>
        <v>10778476.41723522</v>
      </c>
      <c r="AE649" s="138">
        <v>0.31559999999999999</v>
      </c>
      <c r="AF649" s="137">
        <f t="shared" si="122"/>
        <v>3401687.1572794351</v>
      </c>
      <c r="AG649" s="137">
        <v>3047229.8158350801</v>
      </c>
      <c r="AH649" s="154"/>
      <c r="AI649" s="154"/>
      <c r="AJ649" s="135" t="s">
        <v>186</v>
      </c>
      <c r="AK649" s="119" t="s">
        <v>186</v>
      </c>
      <c r="AM649" s="131"/>
    </row>
    <row r="650" spans="1:39" s="119" customFormat="1" ht="15" customHeight="1" x14ac:dyDescent="0.3">
      <c r="A650" s="119">
        <v>2017</v>
      </c>
      <c r="B650" s="119" t="s">
        <v>38</v>
      </c>
      <c r="C650" s="119" t="s">
        <v>59</v>
      </c>
      <c r="D650" s="119" t="s">
        <v>210</v>
      </c>
      <c r="E650" s="119" t="s">
        <v>249</v>
      </c>
      <c r="F650" s="119" t="s">
        <v>767</v>
      </c>
      <c r="G650" s="119" t="s">
        <v>767</v>
      </c>
      <c r="H650" s="119" t="s">
        <v>767</v>
      </c>
      <c r="I650" s="163" t="s">
        <v>204</v>
      </c>
      <c r="J650" s="119" t="s">
        <v>575</v>
      </c>
      <c r="K650" s="119" t="s">
        <v>576</v>
      </c>
      <c r="L650" s="119" t="s">
        <v>767</v>
      </c>
      <c r="M650" s="119" t="s">
        <v>595</v>
      </c>
      <c r="N650" s="136">
        <v>0</v>
      </c>
      <c r="O650" s="135" t="s">
        <v>47</v>
      </c>
      <c r="P650" s="135"/>
      <c r="Q650" s="137">
        <v>0</v>
      </c>
      <c r="R650" s="137">
        <v>0</v>
      </c>
      <c r="S650" s="137">
        <v>6785372</v>
      </c>
      <c r="T650" s="137">
        <f t="shared" si="123"/>
        <v>0</v>
      </c>
      <c r="U650" s="137">
        <f t="shared" si="127"/>
        <v>6785372</v>
      </c>
      <c r="V650" s="137">
        <v>7777342</v>
      </c>
      <c r="W650" s="137">
        <f t="shared" si="128"/>
        <v>-991970</v>
      </c>
      <c r="X650" s="137">
        <f t="shared" si="124"/>
        <v>-991970</v>
      </c>
      <c r="Y650" s="137">
        <f t="shared" si="129"/>
        <v>0</v>
      </c>
      <c r="Z650" s="137">
        <v>7777342</v>
      </c>
      <c r="AA650" s="137">
        <f t="shared" si="125"/>
        <v>0</v>
      </c>
      <c r="AB650" s="146">
        <f t="shared" ref="AB650:AB655" si="131">IF(O650="返货",Z650/(1+N650),IF(O650="返现",Z650,IF(O650="折扣",Z650*N650,IF(O650="无",Z650))))</f>
        <v>7777342</v>
      </c>
      <c r="AC650" s="147">
        <f t="shared" si="126"/>
        <v>0</v>
      </c>
      <c r="AD650" s="137">
        <f t="shared" si="130"/>
        <v>7623952.2142092334</v>
      </c>
      <c r="AE650" s="138">
        <v>0.35339999999999999</v>
      </c>
      <c r="AF650" s="137">
        <f t="shared" si="122"/>
        <v>2694304.7125015431</v>
      </c>
      <c r="AG650" s="137">
        <v>732164.73687407398</v>
      </c>
      <c r="AH650" s="154"/>
      <c r="AI650" s="154"/>
      <c r="AJ650" s="136">
        <v>0.35</v>
      </c>
      <c r="AK650" s="156">
        <v>0.35</v>
      </c>
      <c r="AM650" s="131"/>
    </row>
    <row r="651" spans="1:39" s="119" customFormat="1" ht="15" customHeight="1" x14ac:dyDescent="0.3">
      <c r="A651" s="119">
        <v>2017</v>
      </c>
      <c r="B651" s="119" t="s">
        <v>38</v>
      </c>
      <c r="C651" s="119" t="s">
        <v>59</v>
      </c>
      <c r="D651" s="119" t="s">
        <v>210</v>
      </c>
      <c r="E651" s="119" t="s">
        <v>249</v>
      </c>
      <c r="F651" s="119" t="s">
        <v>767</v>
      </c>
      <c r="G651" s="119" t="s">
        <v>767</v>
      </c>
      <c r="H651" s="119" t="s">
        <v>767</v>
      </c>
      <c r="I651" s="163" t="s">
        <v>204</v>
      </c>
      <c r="J651" s="119" t="s">
        <v>575</v>
      </c>
      <c r="K651" s="119" t="s">
        <v>576</v>
      </c>
      <c r="L651" s="119" t="s">
        <v>767</v>
      </c>
      <c r="M651" s="119" t="s">
        <v>160</v>
      </c>
      <c r="N651" s="135">
        <v>0</v>
      </c>
      <c r="O651" s="135" t="s">
        <v>47</v>
      </c>
      <c r="P651" s="135"/>
      <c r="Q651" s="137">
        <v>0</v>
      </c>
      <c r="R651" s="137">
        <v>0</v>
      </c>
      <c r="S651" s="137">
        <v>1552500</v>
      </c>
      <c r="T651" s="137">
        <f t="shared" si="123"/>
        <v>0</v>
      </c>
      <c r="U651" s="137">
        <f t="shared" si="127"/>
        <v>1552500</v>
      </c>
      <c r="V651" s="137">
        <v>687500</v>
      </c>
      <c r="W651" s="137">
        <f t="shared" si="128"/>
        <v>865000</v>
      </c>
      <c r="X651" s="137">
        <f t="shared" si="124"/>
        <v>865000</v>
      </c>
      <c r="Y651" s="137">
        <f t="shared" si="129"/>
        <v>0</v>
      </c>
      <c r="Z651" s="137">
        <v>687500</v>
      </c>
      <c r="AA651" s="137">
        <f t="shared" si="125"/>
        <v>0</v>
      </c>
      <c r="AB651" s="146">
        <f t="shared" si="131"/>
        <v>687500</v>
      </c>
      <c r="AC651" s="147">
        <f t="shared" si="126"/>
        <v>0</v>
      </c>
      <c r="AD651" s="137">
        <f t="shared" si="130"/>
        <v>673940.67886803078</v>
      </c>
      <c r="AE651" s="138">
        <v>0.1077</v>
      </c>
      <c r="AF651" s="137">
        <f t="shared" si="122"/>
        <v>72583.411114086921</v>
      </c>
      <c r="AG651" s="137">
        <v>74043.75</v>
      </c>
      <c r="AH651" s="154"/>
      <c r="AI651" s="154"/>
      <c r="AJ651" s="135" t="s">
        <v>47</v>
      </c>
      <c r="AK651" s="119" t="s">
        <v>47</v>
      </c>
      <c r="AM651" s="131"/>
    </row>
    <row r="652" spans="1:39" s="119" customFormat="1" ht="15" customHeight="1" x14ac:dyDescent="0.3">
      <c r="A652" s="119">
        <v>2017</v>
      </c>
      <c r="B652" s="119" t="s">
        <v>38</v>
      </c>
      <c r="C652" s="119" t="s">
        <v>59</v>
      </c>
      <c r="D652" s="119" t="s">
        <v>210</v>
      </c>
      <c r="E652" s="119" t="s">
        <v>61</v>
      </c>
      <c r="F652" s="119" t="s">
        <v>768</v>
      </c>
      <c r="G652" s="119" t="s">
        <v>768</v>
      </c>
      <c r="H652" s="119" t="s">
        <v>768</v>
      </c>
      <c r="I652" s="163" t="s">
        <v>204</v>
      </c>
      <c r="J652" s="119" t="s">
        <v>575</v>
      </c>
      <c r="K652" s="119" t="s">
        <v>576</v>
      </c>
      <c r="L652" s="119" t="s">
        <v>769</v>
      </c>
      <c r="M652" s="119" t="s">
        <v>46</v>
      </c>
      <c r="N652" s="136">
        <v>0.02</v>
      </c>
      <c r="O652" s="135" t="s">
        <v>51</v>
      </c>
      <c r="P652" s="135"/>
      <c r="Q652" s="137">
        <v>0</v>
      </c>
      <c r="R652" s="137">
        <v>0</v>
      </c>
      <c r="S652" s="137">
        <v>3068.76</v>
      </c>
      <c r="T652" s="137">
        <f t="shared" si="123"/>
        <v>61.375200000000007</v>
      </c>
      <c r="U652" s="137">
        <f t="shared" si="127"/>
        <v>3130.1352000000002</v>
      </c>
      <c r="V652" s="137">
        <v>2675000</v>
      </c>
      <c r="W652" s="137">
        <f t="shared" si="128"/>
        <v>-2671869.8648000001</v>
      </c>
      <c r="X652" s="137">
        <f t="shared" si="124"/>
        <v>-2619480.2596078431</v>
      </c>
      <c r="Y652" s="137">
        <f t="shared" si="129"/>
        <v>-52389.605192156974</v>
      </c>
      <c r="Z652" s="137">
        <v>62830.25</v>
      </c>
      <c r="AA652" s="137">
        <f t="shared" si="125"/>
        <v>2612169.75</v>
      </c>
      <c r="AB652" s="146">
        <f t="shared" si="131"/>
        <v>61598.284313725489</v>
      </c>
      <c r="AC652" s="147">
        <f t="shared" si="126"/>
        <v>1231.9656862745105</v>
      </c>
      <c r="AD652" s="137">
        <f t="shared" si="130"/>
        <v>61591.071037742673</v>
      </c>
      <c r="AE652" s="138">
        <v>0.1077</v>
      </c>
      <c r="AF652" s="137">
        <f t="shared" si="122"/>
        <v>6633.3583507648864</v>
      </c>
      <c r="AG652" s="137">
        <v>5534.8522387254898</v>
      </c>
      <c r="AH652" s="154"/>
      <c r="AI652" s="154"/>
      <c r="AJ652" s="135" t="s">
        <v>173</v>
      </c>
      <c r="AK652" s="119" t="s">
        <v>173</v>
      </c>
      <c r="AM652" s="131"/>
    </row>
    <row r="653" spans="1:39" s="119" customFormat="1" ht="15" customHeight="1" x14ac:dyDescent="0.3">
      <c r="A653" s="119">
        <v>2017</v>
      </c>
      <c r="B653" s="119" t="s">
        <v>38</v>
      </c>
      <c r="C653" s="119" t="s">
        <v>59</v>
      </c>
      <c r="D653" s="119" t="s">
        <v>210</v>
      </c>
      <c r="E653" s="119" t="s">
        <v>61</v>
      </c>
      <c r="F653" s="119" t="s">
        <v>768</v>
      </c>
      <c r="G653" s="119" t="s">
        <v>768</v>
      </c>
      <c r="H653" s="119" t="s">
        <v>768</v>
      </c>
      <c r="I653" s="163" t="s">
        <v>204</v>
      </c>
      <c r="J653" s="119" t="s">
        <v>575</v>
      </c>
      <c r="K653" s="119" t="s">
        <v>576</v>
      </c>
      <c r="L653" s="119" t="s">
        <v>769</v>
      </c>
      <c r="M653" s="119" t="s">
        <v>185</v>
      </c>
      <c r="N653" s="136">
        <v>0.08</v>
      </c>
      <c r="O653" s="135" t="s">
        <v>51</v>
      </c>
      <c r="P653" s="135"/>
      <c r="Q653" s="137">
        <v>0</v>
      </c>
      <c r="R653" s="137">
        <v>0</v>
      </c>
      <c r="S653" s="137">
        <v>2493154.9300000002</v>
      </c>
      <c r="T653" s="137">
        <f t="shared" si="123"/>
        <v>199452.39440000002</v>
      </c>
      <c r="U653" s="137">
        <f t="shared" si="127"/>
        <v>2692607.3244000003</v>
      </c>
      <c r="V653" s="137">
        <v>0</v>
      </c>
      <c r="W653" s="137">
        <f t="shared" si="128"/>
        <v>2692607.3244000003</v>
      </c>
      <c r="X653" s="137">
        <f t="shared" si="124"/>
        <v>2493154.9300000002</v>
      </c>
      <c r="Y653" s="137">
        <f t="shared" si="129"/>
        <v>199452.39440000011</v>
      </c>
      <c r="Z653" s="137">
        <v>2612169.75</v>
      </c>
      <c r="AA653" s="137">
        <f t="shared" si="125"/>
        <v>-2612169.75</v>
      </c>
      <c r="AB653" s="146">
        <f t="shared" si="131"/>
        <v>2418675.6944444445</v>
      </c>
      <c r="AC653" s="147">
        <f t="shared" si="126"/>
        <v>193494.0555555555</v>
      </c>
      <c r="AD653" s="137">
        <f t="shared" si="130"/>
        <v>2560650.8431033222</v>
      </c>
      <c r="AE653" s="138">
        <v>0.31559999999999999</v>
      </c>
      <c r="AF653" s="137">
        <f t="shared" si="122"/>
        <v>808141.40608340851</v>
      </c>
      <c r="AG653" s="137">
        <v>630906.71754444402</v>
      </c>
      <c r="AH653" s="154"/>
      <c r="AI653" s="154"/>
      <c r="AJ653" s="135" t="s">
        <v>53</v>
      </c>
      <c r="AK653" s="119" t="s">
        <v>53</v>
      </c>
      <c r="AM653" s="131"/>
    </row>
    <row r="654" spans="1:39" s="119" customFormat="1" ht="15" customHeight="1" x14ac:dyDescent="0.3">
      <c r="A654" s="119">
        <v>2017</v>
      </c>
      <c r="B654" s="119" t="s">
        <v>38</v>
      </c>
      <c r="C654" s="119" t="s">
        <v>59</v>
      </c>
      <c r="D654" s="119" t="s">
        <v>210</v>
      </c>
      <c r="E654" s="119" t="s">
        <v>67</v>
      </c>
      <c r="F654" s="119" t="s">
        <v>770</v>
      </c>
      <c r="G654" s="119" t="s">
        <v>770</v>
      </c>
      <c r="H654" s="119" t="s">
        <v>770</v>
      </c>
      <c r="I654" s="163" t="s">
        <v>204</v>
      </c>
      <c r="J654" s="119" t="s">
        <v>575</v>
      </c>
      <c r="K654" s="119" t="s">
        <v>576</v>
      </c>
      <c r="L654" s="119" t="s">
        <v>770</v>
      </c>
      <c r="M654" s="119" t="s">
        <v>185</v>
      </c>
      <c r="N654" s="136">
        <v>0.15</v>
      </c>
      <c r="O654" s="135" t="s">
        <v>51</v>
      </c>
      <c r="P654" s="135"/>
      <c r="Q654" s="137">
        <v>0</v>
      </c>
      <c r="R654" s="137">
        <v>0</v>
      </c>
      <c r="S654" s="137">
        <v>1656.8</v>
      </c>
      <c r="T654" s="137">
        <f t="shared" si="123"/>
        <v>248.51999999999998</v>
      </c>
      <c r="U654" s="137">
        <f t="shared" si="127"/>
        <v>1905.32</v>
      </c>
      <c r="V654" s="137">
        <v>0</v>
      </c>
      <c r="W654" s="137">
        <f t="shared" si="128"/>
        <v>1905.32</v>
      </c>
      <c r="X654" s="137">
        <f t="shared" si="124"/>
        <v>1656.8000000000002</v>
      </c>
      <c r="Y654" s="137">
        <f t="shared" si="129"/>
        <v>248.51999999999975</v>
      </c>
      <c r="Z654" s="137">
        <v>1656.8</v>
      </c>
      <c r="AA654" s="137">
        <f t="shared" si="125"/>
        <v>-1656.8</v>
      </c>
      <c r="AB654" s="146">
        <f t="shared" si="131"/>
        <v>1440.695652173913</v>
      </c>
      <c r="AC654" s="147">
        <f t="shared" si="126"/>
        <v>216.10434782608695</v>
      </c>
      <c r="AD654" s="137">
        <f t="shared" si="130"/>
        <v>1624.1235152706229</v>
      </c>
      <c r="AE654" s="138">
        <v>0.31559999999999999</v>
      </c>
      <c r="AF654" s="137">
        <f t="shared" si="122"/>
        <v>512.57338141940852</v>
      </c>
      <c r="AG654" s="137">
        <v>306.78173217391299</v>
      </c>
      <c r="AH654" s="154"/>
      <c r="AI654" s="154"/>
      <c r="AJ654" s="135" t="s">
        <v>662</v>
      </c>
      <c r="AK654" s="119" t="s">
        <v>662</v>
      </c>
      <c r="AM654" s="131"/>
    </row>
    <row r="655" spans="1:39" s="119" customFormat="1" ht="15" customHeight="1" x14ac:dyDescent="0.3">
      <c r="A655" s="119">
        <v>2017</v>
      </c>
      <c r="B655" s="119" t="s">
        <v>38</v>
      </c>
      <c r="C655" s="119" t="s">
        <v>59</v>
      </c>
      <c r="D655" s="119" t="s">
        <v>210</v>
      </c>
      <c r="E655" s="119" t="s">
        <v>67</v>
      </c>
      <c r="F655" s="119" t="s">
        <v>770</v>
      </c>
      <c r="G655" s="119" t="s">
        <v>770</v>
      </c>
      <c r="H655" s="119" t="s">
        <v>770</v>
      </c>
      <c r="I655" s="163" t="s">
        <v>204</v>
      </c>
      <c r="J655" s="119" t="s">
        <v>575</v>
      </c>
      <c r="K655" s="119" t="s">
        <v>576</v>
      </c>
      <c r="L655" s="119" t="s">
        <v>770</v>
      </c>
      <c r="M655" s="119" t="s">
        <v>46</v>
      </c>
      <c r="N655" s="135">
        <v>0.05</v>
      </c>
      <c r="O655" s="135" t="s">
        <v>51</v>
      </c>
      <c r="P655" s="135" t="s">
        <v>440</v>
      </c>
      <c r="Q655" s="137">
        <v>0</v>
      </c>
      <c r="R655" s="137">
        <v>0</v>
      </c>
      <c r="S655" s="137">
        <v>254915.77</v>
      </c>
      <c r="T655" s="137">
        <f t="shared" si="123"/>
        <v>12745.788500000001</v>
      </c>
      <c r="U655" s="137">
        <f t="shared" si="127"/>
        <v>267661.55849999998</v>
      </c>
      <c r="V655" s="137">
        <v>264592.59000000003</v>
      </c>
      <c r="W655" s="137">
        <f t="shared" si="128"/>
        <v>3068.968499999959</v>
      </c>
      <c r="X655" s="137">
        <f t="shared" si="124"/>
        <v>2922.8271428571038</v>
      </c>
      <c r="Y655" s="137">
        <f t="shared" si="129"/>
        <v>146.14135714285521</v>
      </c>
      <c r="Z655" s="137">
        <f>272773.37-Z1171</f>
        <v>52773.369999999995</v>
      </c>
      <c r="AA655" s="137">
        <f t="shared" si="125"/>
        <v>211819.22000000003</v>
      </c>
      <c r="AB655" s="146">
        <f t="shared" si="131"/>
        <v>50260.352380952376</v>
      </c>
      <c r="AC655" s="147">
        <f t="shared" si="126"/>
        <v>2513.0176190476195</v>
      </c>
      <c r="AD655" s="137">
        <f t="shared" si="130"/>
        <v>51732.539351205472</v>
      </c>
      <c r="AE655" s="138">
        <v>0.1077</v>
      </c>
      <c r="AF655" s="137">
        <f t="shared" si="122"/>
        <v>5571.5944881248297</v>
      </c>
      <c r="AG655" s="137">
        <v>16388.4838537619</v>
      </c>
      <c r="AH655" s="154"/>
      <c r="AI655" s="154"/>
      <c r="AJ655" s="135" t="s">
        <v>63</v>
      </c>
      <c r="AK655" s="119" t="s">
        <v>63</v>
      </c>
      <c r="AM655" s="131"/>
    </row>
    <row r="656" spans="1:39" s="119" customFormat="1" ht="15" customHeight="1" x14ac:dyDescent="0.3">
      <c r="A656" s="119">
        <v>2017</v>
      </c>
      <c r="B656" s="119" t="s">
        <v>38</v>
      </c>
      <c r="C656" s="119" t="s">
        <v>59</v>
      </c>
      <c r="D656" s="119" t="s">
        <v>210</v>
      </c>
      <c r="E656" s="119" t="s">
        <v>131</v>
      </c>
      <c r="F656" s="119" t="s">
        <v>771</v>
      </c>
      <c r="G656" s="119" t="s">
        <v>771</v>
      </c>
      <c r="H656" s="119" t="s">
        <v>771</v>
      </c>
      <c r="I656" s="163" t="s">
        <v>204</v>
      </c>
      <c r="J656" s="119" t="s">
        <v>575</v>
      </c>
      <c r="K656" s="119" t="s">
        <v>576</v>
      </c>
      <c r="L656" s="119" t="s">
        <v>771</v>
      </c>
      <c r="M656" s="119" t="s">
        <v>46</v>
      </c>
      <c r="N656" s="136">
        <v>0.02</v>
      </c>
      <c r="O656" s="135" t="s">
        <v>51</v>
      </c>
      <c r="P656" s="135"/>
      <c r="Q656" s="137">
        <v>24237.279999999999</v>
      </c>
      <c r="R656" s="137">
        <v>0</v>
      </c>
      <c r="S656" s="137">
        <v>1248093.92</v>
      </c>
      <c r="T656" s="137">
        <f t="shared" si="123"/>
        <v>24961.878399999998</v>
      </c>
      <c r="U656" s="137">
        <f t="shared" si="127"/>
        <v>1273055.7984</v>
      </c>
      <c r="V656" s="137">
        <v>2428658.2999999998</v>
      </c>
      <c r="W656" s="137">
        <f t="shared" si="128"/>
        <v>-1155602.5015999998</v>
      </c>
      <c r="X656" s="137">
        <f t="shared" si="124"/>
        <v>-1132943.6290196076</v>
      </c>
      <c r="Y656" s="137">
        <f t="shared" si="129"/>
        <v>-22658.872580392286</v>
      </c>
      <c r="Z656" s="137">
        <v>1276877.18</v>
      </c>
      <c r="AA656" s="137">
        <f t="shared" si="125"/>
        <v>1176018.3999999997</v>
      </c>
      <c r="AB656" s="146">
        <f>IF(O656="返货",(Z656-Q656)/(1+N656),IF(O656="返现",(Z656-Q656),IF(O656="折扣",(Z656-Q656)*N656,IF(O656="无",(Z656-Q656)))))</f>
        <v>1228078.3333333333</v>
      </c>
      <c r="AC656" s="147">
        <f t="shared" si="126"/>
        <v>48798.846666666679</v>
      </c>
      <c r="AD656" s="137">
        <f t="shared" si="130"/>
        <v>1251693.779665886</v>
      </c>
      <c r="AE656" s="138">
        <v>0.1077</v>
      </c>
      <c r="AF656" s="137">
        <f t="shared" si="122"/>
        <v>134807.42007001591</v>
      </c>
      <c r="AG656" s="137">
        <v>112482.86483501999</v>
      </c>
      <c r="AH656" s="154"/>
      <c r="AI656" s="154"/>
      <c r="AJ656" s="135" t="s">
        <v>173</v>
      </c>
      <c r="AK656" s="119" t="s">
        <v>173</v>
      </c>
      <c r="AM656" s="131"/>
    </row>
    <row r="657" spans="1:39" s="119" customFormat="1" ht="15" customHeight="1" x14ac:dyDescent="0.3">
      <c r="A657" s="119">
        <v>2017</v>
      </c>
      <c r="B657" s="119" t="s">
        <v>38</v>
      </c>
      <c r="C657" s="119" t="s">
        <v>59</v>
      </c>
      <c r="D657" s="119" t="s">
        <v>210</v>
      </c>
      <c r="E657" s="119" t="s">
        <v>131</v>
      </c>
      <c r="F657" s="119" t="s">
        <v>771</v>
      </c>
      <c r="G657" s="119" t="s">
        <v>771</v>
      </c>
      <c r="H657" s="119" t="s">
        <v>771</v>
      </c>
      <c r="I657" s="163" t="s">
        <v>204</v>
      </c>
      <c r="J657" s="119" t="s">
        <v>575</v>
      </c>
      <c r="K657" s="119" t="s">
        <v>576</v>
      </c>
      <c r="L657" s="119" t="s">
        <v>771</v>
      </c>
      <c r="M657" s="119" t="s">
        <v>185</v>
      </c>
      <c r="N657" s="136">
        <v>0.08</v>
      </c>
      <c r="O657" s="135" t="s">
        <v>51</v>
      </c>
      <c r="P657" s="135"/>
      <c r="Q657" s="137">
        <v>7520.97</v>
      </c>
      <c r="R657" s="137">
        <v>0</v>
      </c>
      <c r="S657" s="137">
        <v>1171906.08</v>
      </c>
      <c r="T657" s="137">
        <f t="shared" si="123"/>
        <v>93752.486400000009</v>
      </c>
      <c r="U657" s="137">
        <f t="shared" si="127"/>
        <v>1265658.5664000001</v>
      </c>
      <c r="V657" s="137">
        <v>0</v>
      </c>
      <c r="W657" s="137">
        <f t="shared" si="128"/>
        <v>1265658.5664000001</v>
      </c>
      <c r="X657" s="137">
        <f t="shared" si="124"/>
        <v>1171906.08</v>
      </c>
      <c r="Y657" s="137">
        <f t="shared" si="129"/>
        <v>93752.486400000053</v>
      </c>
      <c r="Z657" s="137">
        <v>1183552</v>
      </c>
      <c r="AA657" s="137">
        <f t="shared" si="125"/>
        <v>-1176031.03</v>
      </c>
      <c r="AB657" s="146">
        <f>IF(O657="返货",(Z657-Q657)/(1+N657),IF(O657="返现",(Z657-Q657),IF(O657="折扣",(Z657-Q657)*N657,IF(O657="无",(Z657-Q657)))))</f>
        <v>1088917.6203703703</v>
      </c>
      <c r="AC657" s="147">
        <f t="shared" si="126"/>
        <v>94634.379629629664</v>
      </c>
      <c r="AD657" s="137">
        <f t="shared" si="130"/>
        <v>1160209.2194263497</v>
      </c>
      <c r="AE657" s="138">
        <v>0.31559999999999999</v>
      </c>
      <c r="AF657" s="137">
        <f t="shared" si="122"/>
        <v>366162.02965095598</v>
      </c>
      <c r="AG657" s="137">
        <v>285858.492681481</v>
      </c>
      <c r="AH657" s="154"/>
      <c r="AI657" s="154"/>
      <c r="AJ657" s="135" t="s">
        <v>53</v>
      </c>
      <c r="AK657" s="119" t="s">
        <v>53</v>
      </c>
      <c r="AM657" s="131"/>
    </row>
    <row r="658" spans="1:39" s="119" customFormat="1" ht="15" customHeight="1" x14ac:dyDescent="0.3">
      <c r="A658" s="119">
        <v>2017</v>
      </c>
      <c r="B658" s="119" t="s">
        <v>38</v>
      </c>
      <c r="C658" s="119" t="s">
        <v>59</v>
      </c>
      <c r="D658" s="119" t="s">
        <v>210</v>
      </c>
      <c r="E658" s="119" t="s">
        <v>131</v>
      </c>
      <c r="F658" s="119" t="s">
        <v>771</v>
      </c>
      <c r="G658" s="119" t="s">
        <v>771</v>
      </c>
      <c r="H658" s="119" t="s">
        <v>771</v>
      </c>
      <c r="I658" s="163" t="s">
        <v>204</v>
      </c>
      <c r="J658" s="119" t="s">
        <v>575</v>
      </c>
      <c r="K658" s="119" t="s">
        <v>576</v>
      </c>
      <c r="L658" s="119" t="s">
        <v>771</v>
      </c>
      <c r="M658" s="119" t="s">
        <v>595</v>
      </c>
      <c r="N658" s="136">
        <v>0</v>
      </c>
      <c r="O658" s="135" t="s">
        <v>47</v>
      </c>
      <c r="P658" s="135"/>
      <c r="Q658" s="137">
        <v>0</v>
      </c>
      <c r="R658" s="137">
        <v>0</v>
      </c>
      <c r="S658" s="137">
        <v>46158</v>
      </c>
      <c r="T658" s="137">
        <f t="shared" si="123"/>
        <v>0</v>
      </c>
      <c r="U658" s="137">
        <f t="shared" si="127"/>
        <v>46158</v>
      </c>
      <c r="V658" s="137">
        <v>46158</v>
      </c>
      <c r="W658" s="137">
        <f t="shared" si="128"/>
        <v>0</v>
      </c>
      <c r="X658" s="137">
        <f t="shared" si="124"/>
        <v>0</v>
      </c>
      <c r="Y658" s="137">
        <f t="shared" si="129"/>
        <v>0</v>
      </c>
      <c r="Z658" s="137">
        <v>46158</v>
      </c>
      <c r="AA658" s="137">
        <f t="shared" si="125"/>
        <v>0</v>
      </c>
      <c r="AB658" s="146">
        <f t="shared" ref="AB658:AB669" si="132">IF(O658="返货",Z658/(1+N658),IF(O658="返现",Z658,IF(O658="折扣",Z658*N658,IF(O658="无",Z658))))</f>
        <v>46158</v>
      </c>
      <c r="AC658" s="147">
        <f t="shared" si="126"/>
        <v>0</v>
      </c>
      <c r="AD658" s="137">
        <f t="shared" si="130"/>
        <v>45247.641971186269</v>
      </c>
      <c r="AE658" s="138">
        <v>0.35339999999999999</v>
      </c>
      <c r="AF658" s="137">
        <f t="shared" si="122"/>
        <v>15990.516672617227</v>
      </c>
      <c r="AG658" s="137">
        <v>4345.34831111111</v>
      </c>
      <c r="AH658" s="154"/>
      <c r="AI658" s="154"/>
      <c r="AJ658" s="136">
        <v>0.35</v>
      </c>
      <c r="AK658" s="156">
        <v>0.35</v>
      </c>
      <c r="AM658" s="131"/>
    </row>
    <row r="659" spans="1:39" s="119" customFormat="1" ht="15" customHeight="1" x14ac:dyDescent="0.3">
      <c r="A659" s="119">
        <v>2017</v>
      </c>
      <c r="B659" s="119" t="s">
        <v>38</v>
      </c>
      <c r="C659" s="119" t="s">
        <v>59</v>
      </c>
      <c r="D659" s="119" t="s">
        <v>210</v>
      </c>
      <c r="E659" s="119" t="s">
        <v>131</v>
      </c>
      <c r="F659" s="119" t="s">
        <v>772</v>
      </c>
      <c r="G659" s="119" t="s">
        <v>772</v>
      </c>
      <c r="H659" s="119" t="s">
        <v>772</v>
      </c>
      <c r="I659" s="163" t="s">
        <v>204</v>
      </c>
      <c r="J659" s="119" t="s">
        <v>575</v>
      </c>
      <c r="K659" s="119" t="s">
        <v>576</v>
      </c>
      <c r="L659" s="119" t="s">
        <v>772</v>
      </c>
      <c r="M659" s="119" t="s">
        <v>46</v>
      </c>
      <c r="N659" s="136">
        <v>0.02</v>
      </c>
      <c r="O659" s="135" t="s">
        <v>51</v>
      </c>
      <c r="P659" s="135"/>
      <c r="Q659" s="137">
        <v>0</v>
      </c>
      <c r="R659" s="137">
        <v>0</v>
      </c>
      <c r="S659" s="137">
        <v>20000</v>
      </c>
      <c r="T659" s="137">
        <f t="shared" si="123"/>
        <v>400</v>
      </c>
      <c r="U659" s="137">
        <f t="shared" si="127"/>
        <v>20400</v>
      </c>
      <c r="V659" s="137">
        <v>20400</v>
      </c>
      <c r="W659" s="137">
        <f t="shared" si="128"/>
        <v>0</v>
      </c>
      <c r="X659" s="137">
        <f t="shared" si="124"/>
        <v>0</v>
      </c>
      <c r="Y659" s="137">
        <f t="shared" si="129"/>
        <v>0</v>
      </c>
      <c r="Z659" s="137">
        <v>20400</v>
      </c>
      <c r="AA659" s="137">
        <f t="shared" si="125"/>
        <v>0</v>
      </c>
      <c r="AB659" s="146">
        <f t="shared" si="132"/>
        <v>20000</v>
      </c>
      <c r="AC659" s="147">
        <f t="shared" si="126"/>
        <v>400</v>
      </c>
      <c r="AD659" s="137">
        <f t="shared" si="130"/>
        <v>19997.65796204775</v>
      </c>
      <c r="AE659" s="138">
        <v>0.1077</v>
      </c>
      <c r="AF659" s="137">
        <f t="shared" si="122"/>
        <v>2153.7477625125425</v>
      </c>
      <c r="AG659" s="137">
        <v>1797.08</v>
      </c>
      <c r="AH659" s="154"/>
      <c r="AI659" s="154"/>
      <c r="AJ659" s="135" t="s">
        <v>173</v>
      </c>
      <c r="AK659" s="119" t="s">
        <v>173</v>
      </c>
      <c r="AM659" s="131"/>
    </row>
    <row r="660" spans="1:39" s="119" customFormat="1" ht="15" customHeight="1" x14ac:dyDescent="0.3">
      <c r="A660" s="119">
        <v>2017</v>
      </c>
      <c r="B660" s="119" t="s">
        <v>38</v>
      </c>
      <c r="C660" s="119" t="s">
        <v>59</v>
      </c>
      <c r="D660" s="119" t="s">
        <v>210</v>
      </c>
      <c r="E660" s="119" t="s">
        <v>131</v>
      </c>
      <c r="F660" s="119" t="s">
        <v>773</v>
      </c>
      <c r="G660" s="119" t="s">
        <v>773</v>
      </c>
      <c r="H660" s="119" t="s">
        <v>773</v>
      </c>
      <c r="I660" s="163" t="s">
        <v>204</v>
      </c>
      <c r="J660" s="119" t="s">
        <v>575</v>
      </c>
      <c r="K660" s="119" t="s">
        <v>576</v>
      </c>
      <c r="L660" s="119" t="s">
        <v>774</v>
      </c>
      <c r="M660" s="119" t="s">
        <v>46</v>
      </c>
      <c r="N660" s="136">
        <v>0.02</v>
      </c>
      <c r="O660" s="135" t="s">
        <v>51</v>
      </c>
      <c r="P660" s="135"/>
      <c r="Q660" s="137">
        <v>0</v>
      </c>
      <c r="R660" s="137">
        <v>0</v>
      </c>
      <c r="S660" s="137">
        <v>705000</v>
      </c>
      <c r="T660" s="137">
        <f t="shared" si="123"/>
        <v>14100</v>
      </c>
      <c r="U660" s="137">
        <f t="shared" si="127"/>
        <v>719100</v>
      </c>
      <c r="V660" s="137">
        <v>719100</v>
      </c>
      <c r="W660" s="137">
        <f t="shared" si="128"/>
        <v>0</v>
      </c>
      <c r="X660" s="137">
        <f t="shared" si="124"/>
        <v>0</v>
      </c>
      <c r="Y660" s="137">
        <f t="shared" si="129"/>
        <v>0</v>
      </c>
      <c r="Z660" s="137">
        <v>719100</v>
      </c>
      <c r="AA660" s="137">
        <f t="shared" si="125"/>
        <v>0</v>
      </c>
      <c r="AB660" s="146">
        <f t="shared" si="132"/>
        <v>705000</v>
      </c>
      <c r="AC660" s="147">
        <f t="shared" si="126"/>
        <v>14100</v>
      </c>
      <c r="AD660" s="137">
        <f t="shared" si="130"/>
        <v>704917.44316218316</v>
      </c>
      <c r="AE660" s="138">
        <v>0.1077</v>
      </c>
      <c r="AF660" s="137">
        <f t="shared" si="122"/>
        <v>75919.608628567134</v>
      </c>
      <c r="AG660" s="137">
        <v>63347.07</v>
      </c>
      <c r="AH660" s="154"/>
      <c r="AI660" s="154"/>
      <c r="AJ660" s="135" t="s">
        <v>173</v>
      </c>
      <c r="AK660" s="119" t="s">
        <v>173</v>
      </c>
      <c r="AM660" s="131"/>
    </row>
    <row r="661" spans="1:39" s="119" customFormat="1" ht="15" customHeight="1" x14ac:dyDescent="0.3">
      <c r="A661" s="119">
        <v>2017</v>
      </c>
      <c r="B661" s="119" t="s">
        <v>38</v>
      </c>
      <c r="C661" s="119" t="s">
        <v>59</v>
      </c>
      <c r="D661" s="119" t="s">
        <v>210</v>
      </c>
      <c r="E661" s="119" t="s">
        <v>131</v>
      </c>
      <c r="F661" s="119" t="s">
        <v>775</v>
      </c>
      <c r="G661" s="119" t="s">
        <v>775</v>
      </c>
      <c r="H661" s="119" t="s">
        <v>775</v>
      </c>
      <c r="I661" s="163" t="s">
        <v>204</v>
      </c>
      <c r="J661" s="119" t="s">
        <v>624</v>
      </c>
      <c r="K661" s="119" t="s">
        <v>625</v>
      </c>
      <c r="L661" s="119" t="s">
        <v>775</v>
      </c>
      <c r="M661" s="119" t="s">
        <v>46</v>
      </c>
      <c r="N661" s="136">
        <v>0.02</v>
      </c>
      <c r="O661" s="135" t="s">
        <v>51</v>
      </c>
      <c r="P661" s="135"/>
      <c r="Q661" s="137">
        <v>0</v>
      </c>
      <c r="R661" s="137">
        <v>0</v>
      </c>
      <c r="S661" s="137">
        <v>10000</v>
      </c>
      <c r="T661" s="137">
        <f t="shared" si="123"/>
        <v>200</v>
      </c>
      <c r="U661" s="137">
        <f t="shared" si="127"/>
        <v>10200</v>
      </c>
      <c r="V661" s="137">
        <v>0</v>
      </c>
      <c r="W661" s="137">
        <f t="shared" si="128"/>
        <v>10200</v>
      </c>
      <c r="X661" s="137">
        <f t="shared" si="124"/>
        <v>10000</v>
      </c>
      <c r="Y661" s="137">
        <f t="shared" si="129"/>
        <v>200</v>
      </c>
      <c r="Z661" s="137">
        <v>0</v>
      </c>
      <c r="AA661" s="137">
        <f t="shared" si="125"/>
        <v>0</v>
      </c>
      <c r="AB661" s="146">
        <f t="shared" si="132"/>
        <v>0</v>
      </c>
      <c r="AC661" s="147">
        <f t="shared" si="126"/>
        <v>0</v>
      </c>
      <c r="AD661" s="137">
        <f>Z661*0.905731236248844</f>
        <v>0</v>
      </c>
      <c r="AE661" s="138">
        <v>7.0000000000000007E-2</v>
      </c>
      <c r="AF661" s="137">
        <f t="shared" si="122"/>
        <v>0</v>
      </c>
      <c r="AG661" s="137">
        <v>0</v>
      </c>
      <c r="AH661" s="154"/>
      <c r="AI661" s="154"/>
      <c r="AJ661" s="135" t="s">
        <v>173</v>
      </c>
      <c r="AK661" s="119" t="s">
        <v>173</v>
      </c>
      <c r="AM661" s="131"/>
    </row>
    <row r="662" spans="1:39" s="119" customFormat="1" ht="15" customHeight="1" x14ac:dyDescent="0.3">
      <c r="A662" s="119">
        <v>2017</v>
      </c>
      <c r="B662" s="119" t="s">
        <v>38</v>
      </c>
      <c r="C662" s="119" t="s">
        <v>59</v>
      </c>
      <c r="D662" s="119" t="s">
        <v>210</v>
      </c>
      <c r="E662" s="119" t="s">
        <v>131</v>
      </c>
      <c r="F662" s="119" t="s">
        <v>775</v>
      </c>
      <c r="G662" s="119" t="s">
        <v>775</v>
      </c>
      <c r="H662" s="119" t="s">
        <v>775</v>
      </c>
      <c r="I662" s="163" t="s">
        <v>204</v>
      </c>
      <c r="J662" s="119" t="s">
        <v>603</v>
      </c>
      <c r="K662" s="119" t="s">
        <v>639</v>
      </c>
      <c r="L662" s="119" t="s">
        <v>775</v>
      </c>
      <c r="M662" s="119" t="s">
        <v>46</v>
      </c>
      <c r="N662" s="136">
        <v>0.02</v>
      </c>
      <c r="O662" s="135" t="s">
        <v>51</v>
      </c>
      <c r="P662" s="135"/>
      <c r="Q662" s="137">
        <v>0</v>
      </c>
      <c r="R662" s="137">
        <v>0</v>
      </c>
      <c r="S662" s="137">
        <v>6988</v>
      </c>
      <c r="T662" s="137">
        <f t="shared" si="123"/>
        <v>139.76</v>
      </c>
      <c r="U662" s="137">
        <f t="shared" si="127"/>
        <v>7127.76</v>
      </c>
      <c r="V662" s="137">
        <v>30000</v>
      </c>
      <c r="W662" s="137">
        <f t="shared" si="128"/>
        <v>-22872.239999999998</v>
      </c>
      <c r="X662" s="137">
        <f t="shared" si="124"/>
        <v>-22423.76470588235</v>
      </c>
      <c r="Y662" s="137">
        <f t="shared" si="129"/>
        <v>-448.47529411764845</v>
      </c>
      <c r="Z662" s="137">
        <v>16988</v>
      </c>
      <c r="AA662" s="137">
        <f t="shared" si="125"/>
        <v>13012</v>
      </c>
      <c r="AB662" s="146">
        <f t="shared" si="132"/>
        <v>16654.901960784315</v>
      </c>
      <c r="AC662" s="147">
        <f t="shared" si="126"/>
        <v>333.09803921568528</v>
      </c>
      <c r="AD662" s="137">
        <v>16988</v>
      </c>
      <c r="AE662" s="138">
        <v>7.0000000000000007E-2</v>
      </c>
      <c r="AF662" s="137">
        <f t="shared" si="122"/>
        <v>1189.1600000000001</v>
      </c>
      <c r="AG662" s="137">
        <v>856.06196078431503</v>
      </c>
      <c r="AH662" s="154"/>
      <c r="AI662" s="154"/>
      <c r="AJ662" s="135" t="s">
        <v>173</v>
      </c>
      <c r="AK662" s="119" t="s">
        <v>173</v>
      </c>
      <c r="AM662" s="131"/>
    </row>
    <row r="663" spans="1:39" s="119" customFormat="1" ht="15" customHeight="1" x14ac:dyDescent="0.3">
      <c r="A663" s="119">
        <v>2017</v>
      </c>
      <c r="B663" s="119" t="s">
        <v>38</v>
      </c>
      <c r="C663" s="119" t="s">
        <v>54</v>
      </c>
      <c r="D663" s="119" t="s">
        <v>55</v>
      </c>
      <c r="E663" s="119" t="s">
        <v>56</v>
      </c>
      <c r="F663" s="119" t="s">
        <v>776</v>
      </c>
      <c r="G663" s="119" t="s">
        <v>776</v>
      </c>
      <c r="H663" s="119" t="s">
        <v>776</v>
      </c>
      <c r="I663" s="163" t="s">
        <v>204</v>
      </c>
      <c r="J663" s="119" t="s">
        <v>575</v>
      </c>
      <c r="K663" s="119" t="s">
        <v>576</v>
      </c>
      <c r="L663" s="119" t="s">
        <v>776</v>
      </c>
      <c r="M663" s="119" t="s">
        <v>46</v>
      </c>
      <c r="N663" s="136">
        <v>0.02</v>
      </c>
      <c r="O663" s="135" t="s">
        <v>51</v>
      </c>
      <c r="P663" s="135"/>
      <c r="Q663" s="137">
        <v>0</v>
      </c>
      <c r="R663" s="137">
        <v>0</v>
      </c>
      <c r="S663" s="137">
        <v>10000</v>
      </c>
      <c r="T663" s="137">
        <f t="shared" si="123"/>
        <v>200</v>
      </c>
      <c r="U663" s="137">
        <f t="shared" si="127"/>
        <v>10200</v>
      </c>
      <c r="V663" s="137">
        <v>10000</v>
      </c>
      <c r="W663" s="137">
        <f t="shared" si="128"/>
        <v>200</v>
      </c>
      <c r="X663" s="137">
        <f t="shared" si="124"/>
        <v>196.07843137254901</v>
      </c>
      <c r="Y663" s="137">
        <f t="shared" si="129"/>
        <v>3.9215686274509949</v>
      </c>
      <c r="Z663" s="137">
        <v>10000</v>
      </c>
      <c r="AA663" s="137">
        <f t="shared" si="125"/>
        <v>0</v>
      </c>
      <c r="AB663" s="146">
        <f t="shared" si="132"/>
        <v>9803.9215686274511</v>
      </c>
      <c r="AC663" s="147">
        <f t="shared" si="126"/>
        <v>196.07843137254895</v>
      </c>
      <c r="AD663" s="137">
        <f t="shared" ref="AD663:AD681" si="133">Z663*0.980277351080772</f>
        <v>9802.7735108077195</v>
      </c>
      <c r="AE663" s="138">
        <v>0.1077</v>
      </c>
      <c r="AF663" s="137">
        <f t="shared" si="122"/>
        <v>1055.7587071139915</v>
      </c>
      <c r="AG663" s="137">
        <v>880.92156862745105</v>
      </c>
      <c r="AH663" s="154"/>
      <c r="AI663" s="154"/>
      <c r="AJ663" s="135" t="s">
        <v>173</v>
      </c>
      <c r="AK663" s="119" t="s">
        <v>173</v>
      </c>
      <c r="AM663" s="131"/>
    </row>
    <row r="664" spans="1:39" s="119" customFormat="1" ht="15" customHeight="1" x14ac:dyDescent="0.3">
      <c r="A664" s="119">
        <v>2017</v>
      </c>
      <c r="B664" s="119" t="s">
        <v>38</v>
      </c>
      <c r="C664" s="119" t="s">
        <v>54</v>
      </c>
      <c r="D664" s="119" t="s">
        <v>55</v>
      </c>
      <c r="E664" s="119" t="s">
        <v>115</v>
      </c>
      <c r="F664" s="119" t="s">
        <v>777</v>
      </c>
      <c r="G664" s="119" t="s">
        <v>777</v>
      </c>
      <c r="H664" s="119" t="s">
        <v>777</v>
      </c>
      <c r="I664" s="163" t="s">
        <v>204</v>
      </c>
      <c r="J664" s="119" t="s">
        <v>575</v>
      </c>
      <c r="K664" s="119" t="s">
        <v>576</v>
      </c>
      <c r="L664" s="119" t="s">
        <v>778</v>
      </c>
      <c r="M664" s="119" t="s">
        <v>185</v>
      </c>
      <c r="N664" s="136">
        <v>0.15</v>
      </c>
      <c r="O664" s="135" t="s">
        <v>51</v>
      </c>
      <c r="P664" s="135"/>
      <c r="Q664" s="137">
        <v>0</v>
      </c>
      <c r="R664" s="137">
        <v>0</v>
      </c>
      <c r="S664" s="137">
        <v>2386.2199999999998</v>
      </c>
      <c r="T664" s="137">
        <f t="shared" si="123"/>
        <v>357.93299999999994</v>
      </c>
      <c r="U664" s="137">
        <f t="shared" si="127"/>
        <v>2744.1529999999998</v>
      </c>
      <c r="V664" s="137">
        <v>0</v>
      </c>
      <c r="W664" s="137">
        <f t="shared" si="128"/>
        <v>2744.1529999999998</v>
      </c>
      <c r="X664" s="137">
        <f t="shared" si="124"/>
        <v>2386.2199999999998</v>
      </c>
      <c r="Y664" s="137">
        <f t="shared" si="129"/>
        <v>357.93299999999999</v>
      </c>
      <c r="Z664" s="137">
        <v>2505.5300000000002</v>
      </c>
      <c r="AA664" s="137">
        <f t="shared" si="125"/>
        <v>-2505.5300000000002</v>
      </c>
      <c r="AB664" s="146">
        <f t="shared" si="132"/>
        <v>2178.7217391304353</v>
      </c>
      <c r="AC664" s="147">
        <f t="shared" si="126"/>
        <v>326.80826086956495</v>
      </c>
      <c r="AD664" s="137">
        <f t="shared" si="133"/>
        <v>2456.1143114534066</v>
      </c>
      <c r="AE664" s="138">
        <v>0.31559999999999999</v>
      </c>
      <c r="AF664" s="137">
        <f t="shared" si="122"/>
        <v>775.14967669469513</v>
      </c>
      <c r="AG664" s="137">
        <v>463.93700713043501</v>
      </c>
      <c r="AH664" s="154"/>
      <c r="AI664" s="154"/>
      <c r="AJ664" s="135" t="s">
        <v>662</v>
      </c>
      <c r="AK664" s="119" t="s">
        <v>662</v>
      </c>
      <c r="AM664" s="131"/>
    </row>
    <row r="665" spans="1:39" s="119" customFormat="1" ht="15" customHeight="1" x14ac:dyDescent="0.3">
      <c r="A665" s="119">
        <v>2017</v>
      </c>
      <c r="B665" s="119" t="s">
        <v>38</v>
      </c>
      <c r="C665" s="119" t="s">
        <v>54</v>
      </c>
      <c r="D665" s="119" t="s">
        <v>55</v>
      </c>
      <c r="E665" s="119" t="s">
        <v>115</v>
      </c>
      <c r="F665" s="119" t="s">
        <v>777</v>
      </c>
      <c r="G665" s="119" t="s">
        <v>777</v>
      </c>
      <c r="H665" s="119" t="s">
        <v>777</v>
      </c>
      <c r="I665" s="163" t="s">
        <v>204</v>
      </c>
      <c r="J665" s="119" t="s">
        <v>575</v>
      </c>
      <c r="K665" s="119" t="s">
        <v>576</v>
      </c>
      <c r="L665" s="119" t="s">
        <v>778</v>
      </c>
      <c r="M665" s="119" t="s">
        <v>46</v>
      </c>
      <c r="N665" s="136">
        <v>0.05</v>
      </c>
      <c r="O665" s="135" t="s">
        <v>51</v>
      </c>
      <c r="P665" s="135"/>
      <c r="Q665" s="137">
        <v>0</v>
      </c>
      <c r="R665" s="137">
        <v>0</v>
      </c>
      <c r="S665" s="137">
        <v>3082.17</v>
      </c>
      <c r="T665" s="137">
        <f t="shared" si="123"/>
        <v>154.10850000000002</v>
      </c>
      <c r="U665" s="137">
        <f t="shared" si="127"/>
        <v>3236.2784999999999</v>
      </c>
      <c r="V665" s="137">
        <v>10200</v>
      </c>
      <c r="W665" s="137">
        <f t="shared" si="128"/>
        <v>-6963.7214999999997</v>
      </c>
      <c r="X665" s="137">
        <f t="shared" si="124"/>
        <v>-6632.1157142857137</v>
      </c>
      <c r="Y665" s="137">
        <f t="shared" si="129"/>
        <v>-331.60578571428596</v>
      </c>
      <c r="Z665" s="137">
        <v>3236.28</v>
      </c>
      <c r="AA665" s="137">
        <f t="shared" si="125"/>
        <v>6963.7199999999993</v>
      </c>
      <c r="AB665" s="146">
        <f t="shared" si="132"/>
        <v>3082.1714285714288</v>
      </c>
      <c r="AC665" s="147">
        <f t="shared" si="126"/>
        <v>154.10857142857139</v>
      </c>
      <c r="AD665" s="137">
        <f t="shared" si="133"/>
        <v>3172.4519857556811</v>
      </c>
      <c r="AE665" s="138">
        <v>0.1077</v>
      </c>
      <c r="AF665" s="137">
        <f t="shared" si="122"/>
        <v>341.67307886588685</v>
      </c>
      <c r="AG665" s="137">
        <v>194.43878457142901</v>
      </c>
      <c r="AH665" s="154"/>
      <c r="AI665" s="154"/>
      <c r="AJ665" s="135" t="s">
        <v>63</v>
      </c>
      <c r="AK665" s="119" t="s">
        <v>63</v>
      </c>
      <c r="AM665" s="131"/>
    </row>
    <row r="666" spans="1:39" s="119" customFormat="1" ht="15" customHeight="1" x14ac:dyDescent="0.3">
      <c r="A666" s="119">
        <v>2017</v>
      </c>
      <c r="B666" s="119" t="s">
        <v>38</v>
      </c>
      <c r="C666" s="119" t="s">
        <v>54</v>
      </c>
      <c r="D666" s="119" t="s">
        <v>55</v>
      </c>
      <c r="E666" s="119" t="s">
        <v>368</v>
      </c>
      <c r="F666" s="119" t="s">
        <v>779</v>
      </c>
      <c r="G666" s="119" t="s">
        <v>779</v>
      </c>
      <c r="H666" s="119" t="s">
        <v>779</v>
      </c>
      <c r="I666" s="163" t="s">
        <v>204</v>
      </c>
      <c r="J666" s="119" t="s">
        <v>575</v>
      </c>
      <c r="K666" s="119" t="s">
        <v>576</v>
      </c>
      <c r="L666" s="119" t="s">
        <v>65</v>
      </c>
      <c r="M666" s="119" t="s">
        <v>46</v>
      </c>
      <c r="N666" s="136">
        <v>0.02</v>
      </c>
      <c r="O666" s="135" t="s">
        <v>51</v>
      </c>
      <c r="P666" s="135"/>
      <c r="Q666" s="137">
        <v>0</v>
      </c>
      <c r="R666" s="137">
        <v>0</v>
      </c>
      <c r="S666" s="137">
        <v>2398519.1</v>
      </c>
      <c r="T666" s="137">
        <f t="shared" si="123"/>
        <v>47970.382000000005</v>
      </c>
      <c r="U666" s="137">
        <f t="shared" si="127"/>
        <v>2446489.4820000003</v>
      </c>
      <c r="V666" s="137">
        <v>0</v>
      </c>
      <c r="W666" s="137">
        <f t="shared" si="128"/>
        <v>2446489.4820000003</v>
      </c>
      <c r="X666" s="137">
        <f t="shared" si="124"/>
        <v>2398519.1</v>
      </c>
      <c r="Y666" s="137">
        <f t="shared" si="129"/>
        <v>47970.382000000216</v>
      </c>
      <c r="Z666" s="137">
        <v>2446489.4786</v>
      </c>
      <c r="AA666" s="137">
        <f t="shared" si="125"/>
        <v>-2446489.4786</v>
      </c>
      <c r="AB666" s="146">
        <f t="shared" si="132"/>
        <v>2398519.0966666667</v>
      </c>
      <c r="AC666" s="147">
        <f t="shared" si="126"/>
        <v>47970.381933333352</v>
      </c>
      <c r="AD666" s="137">
        <f t="shared" si="133"/>
        <v>2398238.2255289871</v>
      </c>
      <c r="AE666" s="138">
        <v>0.1077</v>
      </c>
      <c r="AF666" s="137">
        <f t="shared" si="122"/>
        <v>258290.25688947193</v>
      </c>
      <c r="AG666" s="137">
        <v>0</v>
      </c>
      <c r="AH666" s="154"/>
      <c r="AI666" s="154"/>
      <c r="AJ666" s="135" t="s">
        <v>173</v>
      </c>
      <c r="AK666" s="119" t="s">
        <v>173</v>
      </c>
      <c r="AM666" s="131"/>
    </row>
    <row r="667" spans="1:39" s="119" customFormat="1" ht="15" customHeight="1" x14ac:dyDescent="0.3">
      <c r="A667" s="119">
        <v>2017</v>
      </c>
      <c r="B667" s="119" t="s">
        <v>38</v>
      </c>
      <c r="C667" s="119" t="s">
        <v>54</v>
      </c>
      <c r="D667" s="119" t="s">
        <v>55</v>
      </c>
      <c r="E667" s="119" t="s">
        <v>368</v>
      </c>
      <c r="F667" s="119" t="s">
        <v>779</v>
      </c>
      <c r="G667" s="119" t="s">
        <v>779</v>
      </c>
      <c r="H667" s="119" t="s">
        <v>779</v>
      </c>
      <c r="I667" s="163" t="s">
        <v>204</v>
      </c>
      <c r="J667" s="119" t="s">
        <v>575</v>
      </c>
      <c r="K667" s="119" t="s">
        <v>576</v>
      </c>
      <c r="L667" s="119" t="s">
        <v>65</v>
      </c>
      <c r="M667" s="119" t="s">
        <v>185</v>
      </c>
      <c r="N667" s="136">
        <v>0.08</v>
      </c>
      <c r="O667" s="135" t="s">
        <v>51</v>
      </c>
      <c r="P667" s="135"/>
      <c r="Q667" s="137">
        <v>0</v>
      </c>
      <c r="R667" s="137">
        <v>0</v>
      </c>
      <c r="S667" s="137">
        <v>3820894.33</v>
      </c>
      <c r="T667" s="137">
        <f t="shared" si="123"/>
        <v>305671.54639999999</v>
      </c>
      <c r="U667" s="137">
        <f t="shared" si="127"/>
        <v>4126565.8764</v>
      </c>
      <c r="V667" s="137">
        <v>0</v>
      </c>
      <c r="W667" s="137">
        <f t="shared" si="128"/>
        <v>4126565.8764</v>
      </c>
      <c r="X667" s="137">
        <f t="shared" si="124"/>
        <v>3820894.3299999996</v>
      </c>
      <c r="Y667" s="137">
        <f t="shared" si="129"/>
        <v>305671.54640000034</v>
      </c>
      <c r="Z667" s="137">
        <v>4126565.8800000004</v>
      </c>
      <c r="AA667" s="137">
        <f t="shared" si="125"/>
        <v>-4126565.8800000004</v>
      </c>
      <c r="AB667" s="146">
        <f t="shared" si="132"/>
        <v>3820894.3333333335</v>
      </c>
      <c r="AC667" s="147">
        <f t="shared" si="126"/>
        <v>305671.54666666687</v>
      </c>
      <c r="AD667" s="137">
        <f t="shared" si="133"/>
        <v>4045179.0699066953</v>
      </c>
      <c r="AE667" s="138">
        <v>0.31559999999999999</v>
      </c>
      <c r="AF667" s="137">
        <f t="shared" si="122"/>
        <v>1276658.514462553</v>
      </c>
      <c r="AG667" s="137">
        <v>0</v>
      </c>
      <c r="AH667" s="154"/>
      <c r="AI667" s="154"/>
      <c r="AJ667" s="135" t="s">
        <v>53</v>
      </c>
      <c r="AK667" s="119" t="s">
        <v>53</v>
      </c>
      <c r="AM667" s="131"/>
    </row>
    <row r="668" spans="1:39" s="119" customFormat="1" ht="15" customHeight="1" x14ac:dyDescent="0.3">
      <c r="A668" s="119">
        <v>2017</v>
      </c>
      <c r="B668" s="119" t="s">
        <v>38</v>
      </c>
      <c r="C668" s="119" t="s">
        <v>54</v>
      </c>
      <c r="D668" s="119" t="s">
        <v>55</v>
      </c>
      <c r="E668" s="119" t="s">
        <v>368</v>
      </c>
      <c r="F668" s="119" t="s">
        <v>780</v>
      </c>
      <c r="G668" s="119" t="s">
        <v>780</v>
      </c>
      <c r="H668" s="119" t="s">
        <v>780</v>
      </c>
      <c r="I668" s="163" t="s">
        <v>204</v>
      </c>
      <c r="J668" s="119" t="s">
        <v>575</v>
      </c>
      <c r="K668" s="119" t="s">
        <v>576</v>
      </c>
      <c r="L668" s="119" t="s">
        <v>781</v>
      </c>
      <c r="M668" s="119" t="s">
        <v>46</v>
      </c>
      <c r="N668" s="136">
        <v>0.02</v>
      </c>
      <c r="O668" s="135" t="s">
        <v>51</v>
      </c>
      <c r="P668" s="135"/>
      <c r="Q668" s="137">
        <v>0</v>
      </c>
      <c r="R668" s="137">
        <v>0</v>
      </c>
      <c r="S668" s="137">
        <v>26618.04</v>
      </c>
      <c r="T668" s="137">
        <f t="shared" si="123"/>
        <v>532.36080000000004</v>
      </c>
      <c r="U668" s="137">
        <f t="shared" si="127"/>
        <v>27150.400799999999</v>
      </c>
      <c r="V668" s="137">
        <v>81600</v>
      </c>
      <c r="W668" s="137">
        <f t="shared" si="128"/>
        <v>-54449.599199999997</v>
      </c>
      <c r="X668" s="137">
        <f t="shared" si="124"/>
        <v>-53381.96</v>
      </c>
      <c r="Y668" s="137">
        <f t="shared" si="129"/>
        <v>-1067.6391999999978</v>
      </c>
      <c r="Z668" s="137">
        <v>27150.400000000001</v>
      </c>
      <c r="AA668" s="137">
        <f t="shared" si="125"/>
        <v>54449.599999999999</v>
      </c>
      <c r="AB668" s="146">
        <f t="shared" si="132"/>
        <v>26618.039215686276</v>
      </c>
      <c r="AC668" s="147">
        <f t="shared" si="126"/>
        <v>532.36078431372516</v>
      </c>
      <c r="AD668" s="137">
        <f t="shared" si="133"/>
        <v>26614.922192783393</v>
      </c>
      <c r="AE668" s="138">
        <v>0.1077</v>
      </c>
      <c r="AF668" s="137">
        <f t="shared" si="122"/>
        <v>2866.4271201627716</v>
      </c>
      <c r="AG668" s="137">
        <v>2391.73729568628</v>
      </c>
      <c r="AH668" s="154"/>
      <c r="AI668" s="154"/>
      <c r="AJ668" s="135" t="s">
        <v>173</v>
      </c>
      <c r="AK668" s="119" t="s">
        <v>173</v>
      </c>
      <c r="AM668" s="131"/>
    </row>
    <row r="669" spans="1:39" s="119" customFormat="1" ht="15" customHeight="1" x14ac:dyDescent="0.3">
      <c r="A669" s="119">
        <v>2017</v>
      </c>
      <c r="B669" s="119" t="s">
        <v>38</v>
      </c>
      <c r="C669" s="119" t="s">
        <v>54</v>
      </c>
      <c r="D669" s="119" t="s">
        <v>55</v>
      </c>
      <c r="E669" s="119" t="s">
        <v>368</v>
      </c>
      <c r="F669" s="119" t="s">
        <v>780</v>
      </c>
      <c r="G669" s="119" t="s">
        <v>780</v>
      </c>
      <c r="H669" s="119" t="s">
        <v>780</v>
      </c>
      <c r="I669" s="163" t="s">
        <v>204</v>
      </c>
      <c r="J669" s="119" t="s">
        <v>575</v>
      </c>
      <c r="K669" s="119" t="s">
        <v>576</v>
      </c>
      <c r="L669" s="119" t="s">
        <v>781</v>
      </c>
      <c r="M669" s="119" t="s">
        <v>185</v>
      </c>
      <c r="N669" s="136">
        <v>0.08</v>
      </c>
      <c r="O669" s="135" t="s">
        <v>51</v>
      </c>
      <c r="P669" s="135"/>
      <c r="Q669" s="137">
        <v>0</v>
      </c>
      <c r="R669" s="137">
        <v>0</v>
      </c>
      <c r="S669" s="137">
        <v>7212.06</v>
      </c>
      <c r="T669" s="137">
        <f t="shared" si="123"/>
        <v>576.96480000000008</v>
      </c>
      <c r="U669" s="137">
        <f t="shared" si="127"/>
        <v>7789.0248000000001</v>
      </c>
      <c r="V669" s="137">
        <v>0</v>
      </c>
      <c r="W669" s="137">
        <f t="shared" si="128"/>
        <v>7789.0248000000001</v>
      </c>
      <c r="X669" s="137">
        <f t="shared" si="124"/>
        <v>7212.0599999999995</v>
      </c>
      <c r="Y669" s="137">
        <f t="shared" si="129"/>
        <v>576.96480000000065</v>
      </c>
      <c r="Z669" s="137">
        <v>7356.3</v>
      </c>
      <c r="AA669" s="137">
        <f t="shared" si="125"/>
        <v>-7356.3</v>
      </c>
      <c r="AB669" s="146">
        <f t="shared" si="132"/>
        <v>6811.3888888888887</v>
      </c>
      <c r="AC669" s="147">
        <f t="shared" si="126"/>
        <v>544.9111111111115</v>
      </c>
      <c r="AD669" s="137">
        <f t="shared" si="133"/>
        <v>7211.2142777554827</v>
      </c>
      <c r="AE669" s="138">
        <v>0.31559999999999999</v>
      </c>
      <c r="AF669" s="137">
        <f t="shared" si="122"/>
        <v>2275.8592260596301</v>
      </c>
      <c r="AG669" s="137">
        <v>1776.73716888889</v>
      </c>
      <c r="AH669" s="154"/>
      <c r="AI669" s="154"/>
      <c r="AJ669" s="135" t="s">
        <v>53</v>
      </c>
      <c r="AK669" s="119" t="s">
        <v>53</v>
      </c>
      <c r="AM669" s="131"/>
    </row>
    <row r="670" spans="1:39" s="119" customFormat="1" ht="15" customHeight="1" x14ac:dyDescent="0.3">
      <c r="A670" s="119">
        <v>2017</v>
      </c>
      <c r="B670" s="119" t="s">
        <v>38</v>
      </c>
      <c r="C670" s="119" t="s">
        <v>54</v>
      </c>
      <c r="D670" s="119" t="s">
        <v>55</v>
      </c>
      <c r="E670" s="119" t="s">
        <v>368</v>
      </c>
      <c r="F670" s="119" t="s">
        <v>65</v>
      </c>
      <c r="G670" s="119" t="s">
        <v>65</v>
      </c>
      <c r="H670" s="119" t="s">
        <v>65</v>
      </c>
      <c r="I670" s="163" t="s">
        <v>204</v>
      </c>
      <c r="J670" s="119" t="s">
        <v>575</v>
      </c>
      <c r="K670" s="119" t="s">
        <v>576</v>
      </c>
      <c r="L670" s="119" t="s">
        <v>65</v>
      </c>
      <c r="M670" s="119" t="s">
        <v>46</v>
      </c>
      <c r="N670" s="136">
        <v>0.02</v>
      </c>
      <c r="O670" s="135" t="s">
        <v>51</v>
      </c>
      <c r="P670" s="135" t="s">
        <v>15</v>
      </c>
      <c r="Q670" s="137">
        <v>0</v>
      </c>
      <c r="R670" s="137">
        <v>0</v>
      </c>
      <c r="S670" s="137">
        <v>2537839.9700000002</v>
      </c>
      <c r="T670" s="137">
        <f t="shared" si="123"/>
        <v>50756.799400000004</v>
      </c>
      <c r="U670" s="137">
        <f t="shared" si="127"/>
        <v>2588596.7694000001</v>
      </c>
      <c r="V670" s="137">
        <v>35527137.960000001</v>
      </c>
      <c r="W670" s="137">
        <f t="shared" si="128"/>
        <v>-32938541.1906</v>
      </c>
      <c r="X670" s="137">
        <f t="shared" si="124"/>
        <v>-32292687.441764705</v>
      </c>
      <c r="Y670" s="137">
        <f t="shared" si="129"/>
        <v>-645853.74883529544</v>
      </c>
      <c r="Z670" s="137">
        <v>2411009.2714</v>
      </c>
      <c r="AA670" s="137">
        <f t="shared" si="125"/>
        <v>33116128.6886</v>
      </c>
      <c r="AB670" s="146">
        <f>Z670/(1+N670)</f>
        <v>2363734.5798039213</v>
      </c>
      <c r="AC670" s="147">
        <f t="shared" si="126"/>
        <v>47274.691596078686</v>
      </c>
      <c r="AD670" s="137">
        <f t="shared" si="133"/>
        <v>2363457.781999174</v>
      </c>
      <c r="AE670" s="138">
        <v>0.1077</v>
      </c>
      <c r="AF670" s="137">
        <f t="shared" si="122"/>
        <v>254544.40312131104</v>
      </c>
      <c r="AG670" s="137">
        <v>427907.54184558801</v>
      </c>
      <c r="AH670" s="154"/>
      <c r="AI670" s="154"/>
      <c r="AJ670" s="135" t="s">
        <v>173</v>
      </c>
      <c r="AK670" s="119" t="s">
        <v>173</v>
      </c>
      <c r="AM670" s="131"/>
    </row>
    <row r="671" spans="1:39" s="119" customFormat="1" ht="15" customHeight="1" x14ac:dyDescent="0.3">
      <c r="A671" s="119">
        <v>2017</v>
      </c>
      <c r="B671" s="119" t="s">
        <v>38</v>
      </c>
      <c r="C671" s="119" t="s">
        <v>54</v>
      </c>
      <c r="D671" s="119" t="s">
        <v>55</v>
      </c>
      <c r="E671" s="119" t="s">
        <v>368</v>
      </c>
      <c r="F671" s="119" t="s">
        <v>65</v>
      </c>
      <c r="G671" s="119" t="s">
        <v>65</v>
      </c>
      <c r="H671" s="119" t="s">
        <v>65</v>
      </c>
      <c r="I671" s="163" t="s">
        <v>204</v>
      </c>
      <c r="J671" s="119" t="s">
        <v>575</v>
      </c>
      <c r="K671" s="119" t="s">
        <v>576</v>
      </c>
      <c r="L671" s="119" t="s">
        <v>65</v>
      </c>
      <c r="M671" s="119" t="s">
        <v>185</v>
      </c>
      <c r="N671" s="136">
        <v>0.08</v>
      </c>
      <c r="O671" s="135" t="s">
        <v>51</v>
      </c>
      <c r="P671" s="135" t="s">
        <v>1663</v>
      </c>
      <c r="Q671" s="137">
        <v>608928.90710000007</v>
      </c>
      <c r="R671" s="137">
        <v>0</v>
      </c>
      <c r="S671" s="137">
        <v>24698066.5</v>
      </c>
      <c r="T671" s="137">
        <f t="shared" si="123"/>
        <v>1975845.32</v>
      </c>
      <c r="U671" s="137">
        <f t="shared" si="127"/>
        <v>26673911.82</v>
      </c>
      <c r="V671" s="137">
        <v>0</v>
      </c>
      <c r="W671" s="137">
        <f t="shared" si="128"/>
        <v>26673911.82</v>
      </c>
      <c r="X671" s="137">
        <f t="shared" si="124"/>
        <v>24698066.5</v>
      </c>
      <c r="Y671" s="137">
        <f t="shared" si="129"/>
        <v>1975845.3200000003</v>
      </c>
      <c r="Z671" s="137">
        <v>27127308.699999999</v>
      </c>
      <c r="AA671" s="137">
        <f t="shared" si="125"/>
        <v>-26518379.7929</v>
      </c>
      <c r="AB671" s="146">
        <f>(Z671-Q671)/(1+N671)</f>
        <v>24554055.363796294</v>
      </c>
      <c r="AC671" s="147">
        <f t="shared" si="126"/>
        <v>2573253.3362037055</v>
      </c>
      <c r="AD671" s="137">
        <f t="shared" si="133"/>
        <v>26592286.314386379</v>
      </c>
      <c r="AE671" s="138">
        <v>0.31559999999999999</v>
      </c>
      <c r="AF671" s="137">
        <f t="shared" si="122"/>
        <v>8392525.5608203411</v>
      </c>
      <c r="AG671" s="137">
        <v>7548620.9967072597</v>
      </c>
      <c r="AH671" s="154"/>
      <c r="AI671" s="154"/>
      <c r="AJ671" s="135" t="s">
        <v>53</v>
      </c>
      <c r="AK671" s="119" t="s">
        <v>53</v>
      </c>
      <c r="AM671" s="131"/>
    </row>
    <row r="672" spans="1:39" s="119" customFormat="1" ht="15" customHeight="1" x14ac:dyDescent="0.3">
      <c r="A672" s="119">
        <v>2017</v>
      </c>
      <c r="B672" s="119" t="s">
        <v>38</v>
      </c>
      <c r="C672" s="119" t="s">
        <v>54</v>
      </c>
      <c r="D672" s="119" t="s">
        <v>55</v>
      </c>
      <c r="E672" s="119" t="s">
        <v>368</v>
      </c>
      <c r="F672" s="119" t="s">
        <v>65</v>
      </c>
      <c r="G672" s="119" t="s">
        <v>65</v>
      </c>
      <c r="H672" s="119" t="s">
        <v>65</v>
      </c>
      <c r="I672" s="163" t="s">
        <v>204</v>
      </c>
      <c r="J672" s="119" t="s">
        <v>575</v>
      </c>
      <c r="K672" s="119" t="s">
        <v>576</v>
      </c>
      <c r="L672" s="119" t="s">
        <v>65</v>
      </c>
      <c r="M672" s="119" t="s">
        <v>595</v>
      </c>
      <c r="N672" s="136">
        <v>0</v>
      </c>
      <c r="O672" s="135" t="s">
        <v>47</v>
      </c>
      <c r="P672" s="135"/>
      <c r="Q672" s="137">
        <v>0</v>
      </c>
      <c r="R672" s="137">
        <v>0</v>
      </c>
      <c r="S672" s="137">
        <v>2982000</v>
      </c>
      <c r="T672" s="137">
        <f t="shared" si="123"/>
        <v>0</v>
      </c>
      <c r="U672" s="137">
        <f t="shared" si="127"/>
        <v>2982000</v>
      </c>
      <c r="V672" s="137">
        <v>2982000</v>
      </c>
      <c r="W672" s="137">
        <f t="shared" si="128"/>
        <v>0</v>
      </c>
      <c r="X672" s="137">
        <f t="shared" si="124"/>
        <v>0</v>
      </c>
      <c r="Y672" s="137">
        <f t="shared" si="129"/>
        <v>0</v>
      </c>
      <c r="Z672" s="137">
        <v>2982000</v>
      </c>
      <c r="AA672" s="137">
        <f t="shared" si="125"/>
        <v>0</v>
      </c>
      <c r="AB672" s="146">
        <f t="shared" ref="AB672:AB701" si="134">IF(O672="返货",Z672/(1+N672),IF(O672="返现",Z672,IF(O672="折扣",Z672*N672,IF(O672="无",Z672))))</f>
        <v>2982000</v>
      </c>
      <c r="AC672" s="147">
        <f t="shared" si="126"/>
        <v>0</v>
      </c>
      <c r="AD672" s="137">
        <f t="shared" si="133"/>
        <v>2923187.060922862</v>
      </c>
      <c r="AE672" s="138">
        <v>0.35339999999999999</v>
      </c>
      <c r="AF672" s="137">
        <f t="shared" si="122"/>
        <v>1033054.3073301394</v>
      </c>
      <c r="AG672" s="137">
        <v>280727.68888888898</v>
      </c>
      <c r="AH672" s="154"/>
      <c r="AI672" s="154"/>
      <c r="AJ672" s="136">
        <v>0.35</v>
      </c>
      <c r="AK672" s="156">
        <v>0.35</v>
      </c>
      <c r="AM672" s="131"/>
    </row>
    <row r="673" spans="1:39" s="119" customFormat="1" ht="15" customHeight="1" x14ac:dyDescent="0.3">
      <c r="A673" s="119">
        <v>2017</v>
      </c>
      <c r="B673" s="119" t="s">
        <v>38</v>
      </c>
      <c r="C673" s="119" t="s">
        <v>54</v>
      </c>
      <c r="D673" s="119" t="s">
        <v>55</v>
      </c>
      <c r="E673" s="119" t="s">
        <v>368</v>
      </c>
      <c r="F673" s="119" t="s">
        <v>782</v>
      </c>
      <c r="G673" s="119" t="s">
        <v>782</v>
      </c>
      <c r="H673" s="119" t="s">
        <v>782</v>
      </c>
      <c r="I673" s="163" t="s">
        <v>204</v>
      </c>
      <c r="J673" s="119" t="s">
        <v>575</v>
      </c>
      <c r="K673" s="119" t="s">
        <v>576</v>
      </c>
      <c r="L673" s="119" t="s">
        <v>783</v>
      </c>
      <c r="M673" s="119" t="s">
        <v>185</v>
      </c>
      <c r="N673" s="136">
        <v>0.1</v>
      </c>
      <c r="O673" s="135" t="s">
        <v>51</v>
      </c>
      <c r="P673" s="135"/>
      <c r="Q673" s="137">
        <v>0</v>
      </c>
      <c r="R673" s="137">
        <v>0</v>
      </c>
      <c r="S673" s="137">
        <v>48273.919999999998</v>
      </c>
      <c r="T673" s="137">
        <f t="shared" si="123"/>
        <v>4827.3919999999998</v>
      </c>
      <c r="U673" s="137">
        <f t="shared" si="127"/>
        <v>53101.311999999998</v>
      </c>
      <c r="V673" s="137">
        <v>0</v>
      </c>
      <c r="W673" s="137">
        <f t="shared" si="128"/>
        <v>53101.311999999998</v>
      </c>
      <c r="X673" s="137">
        <f t="shared" si="124"/>
        <v>48273.919999999991</v>
      </c>
      <c r="Y673" s="137">
        <f t="shared" si="129"/>
        <v>4827.3920000000071</v>
      </c>
      <c r="Z673" s="137">
        <v>48273.919999999998</v>
      </c>
      <c r="AA673" s="137">
        <f t="shared" si="125"/>
        <v>-48273.919999999998</v>
      </c>
      <c r="AB673" s="146">
        <f t="shared" si="134"/>
        <v>43885.381818181813</v>
      </c>
      <c r="AC673" s="147">
        <f t="shared" si="126"/>
        <v>4388.538181818185</v>
      </c>
      <c r="AD673" s="137">
        <f t="shared" si="133"/>
        <v>47321.830423885098</v>
      </c>
      <c r="AE673" s="138">
        <v>0.31559999999999999</v>
      </c>
      <c r="AF673" s="137">
        <f t="shared" si="122"/>
        <v>14934.769681778136</v>
      </c>
      <c r="AG673" s="137">
        <v>10846.710970181801</v>
      </c>
      <c r="AH673" s="154"/>
      <c r="AI673" s="154"/>
      <c r="AJ673" s="135" t="s">
        <v>69</v>
      </c>
      <c r="AK673" s="119" t="s">
        <v>69</v>
      </c>
      <c r="AM673" s="131"/>
    </row>
    <row r="674" spans="1:39" s="119" customFormat="1" ht="15" customHeight="1" x14ac:dyDescent="0.3">
      <c r="A674" s="119">
        <v>2017</v>
      </c>
      <c r="B674" s="119" t="s">
        <v>38</v>
      </c>
      <c r="C674" s="119" t="s">
        <v>54</v>
      </c>
      <c r="D674" s="119" t="s">
        <v>55</v>
      </c>
      <c r="E674" s="119" t="s">
        <v>368</v>
      </c>
      <c r="F674" s="119" t="s">
        <v>782</v>
      </c>
      <c r="G674" s="119" t="s">
        <v>782</v>
      </c>
      <c r="H674" s="119" t="s">
        <v>782</v>
      </c>
      <c r="I674" s="163" t="s">
        <v>204</v>
      </c>
      <c r="J674" s="119" t="s">
        <v>575</v>
      </c>
      <c r="K674" s="119" t="s">
        <v>576</v>
      </c>
      <c r="L674" s="119" t="s">
        <v>783</v>
      </c>
      <c r="M674" s="119" t="s">
        <v>46</v>
      </c>
      <c r="N674" s="136">
        <v>0.03</v>
      </c>
      <c r="O674" s="135" t="s">
        <v>51</v>
      </c>
      <c r="P674" s="135"/>
      <c r="Q674" s="137">
        <v>0</v>
      </c>
      <c r="R674" s="137">
        <v>0</v>
      </c>
      <c r="S674" s="137">
        <v>20250.54</v>
      </c>
      <c r="T674" s="137">
        <f t="shared" si="123"/>
        <v>607.51620000000003</v>
      </c>
      <c r="U674" s="137">
        <f t="shared" si="127"/>
        <v>20858.056199999999</v>
      </c>
      <c r="V674" s="137">
        <v>70000</v>
      </c>
      <c r="W674" s="137">
        <f t="shared" si="128"/>
        <v>-49141.943800000001</v>
      </c>
      <c r="X674" s="137">
        <f t="shared" si="124"/>
        <v>-47710.62504854369</v>
      </c>
      <c r="Y674" s="137">
        <f t="shared" si="129"/>
        <v>-1431.3187514563106</v>
      </c>
      <c r="Z674" s="137">
        <v>20250.54</v>
      </c>
      <c r="AA674" s="137">
        <f t="shared" si="125"/>
        <v>49749.46</v>
      </c>
      <c r="AB674" s="146">
        <f t="shared" si="134"/>
        <v>19660.718446601943</v>
      </c>
      <c r="AC674" s="147">
        <f t="shared" si="126"/>
        <v>589.82155339805831</v>
      </c>
      <c r="AD674" s="137">
        <f t="shared" si="133"/>
        <v>19851.145709155218</v>
      </c>
      <c r="AE674" s="138">
        <v>0.1077</v>
      </c>
      <c r="AF674" s="137">
        <f t="shared" si="122"/>
        <v>2137.9683928760169</v>
      </c>
      <c r="AG674" s="137">
        <v>1591.1616046019401</v>
      </c>
      <c r="AH674" s="154"/>
      <c r="AI674" s="154"/>
      <c r="AJ674" s="135" t="s">
        <v>189</v>
      </c>
      <c r="AK674" s="119" t="s">
        <v>189</v>
      </c>
      <c r="AM674" s="131"/>
    </row>
    <row r="675" spans="1:39" s="119" customFormat="1" ht="15" customHeight="1" x14ac:dyDescent="0.3">
      <c r="A675" s="119">
        <v>2017</v>
      </c>
      <c r="B675" s="119" t="s">
        <v>38</v>
      </c>
      <c r="C675" s="119" t="s">
        <v>54</v>
      </c>
      <c r="D675" s="119" t="s">
        <v>55</v>
      </c>
      <c r="E675" s="119" t="s">
        <v>368</v>
      </c>
      <c r="F675" s="119" t="s">
        <v>784</v>
      </c>
      <c r="G675" s="119" t="s">
        <v>784</v>
      </c>
      <c r="H675" s="119" t="s">
        <v>784</v>
      </c>
      <c r="I675" s="163" t="s">
        <v>204</v>
      </c>
      <c r="J675" s="119" t="s">
        <v>575</v>
      </c>
      <c r="K675" s="119" t="s">
        <v>576</v>
      </c>
      <c r="L675" s="119" t="s">
        <v>784</v>
      </c>
      <c r="M675" s="119" t="s">
        <v>46</v>
      </c>
      <c r="N675" s="136">
        <v>0.02</v>
      </c>
      <c r="O675" s="135" t="s">
        <v>51</v>
      </c>
      <c r="P675" s="135"/>
      <c r="Q675" s="137">
        <v>0</v>
      </c>
      <c r="R675" s="137">
        <v>0</v>
      </c>
      <c r="S675" s="137">
        <v>9353.2000000000007</v>
      </c>
      <c r="T675" s="137">
        <f t="shared" si="123"/>
        <v>187.06400000000002</v>
      </c>
      <c r="U675" s="137">
        <f t="shared" si="127"/>
        <v>9540.264000000001</v>
      </c>
      <c r="V675" s="137">
        <v>10000</v>
      </c>
      <c r="W675" s="137">
        <f t="shared" si="128"/>
        <v>-459.73599999999897</v>
      </c>
      <c r="X675" s="137">
        <f t="shared" si="124"/>
        <v>-450.72156862744998</v>
      </c>
      <c r="Y675" s="137">
        <f t="shared" si="129"/>
        <v>-9.0144313725489837</v>
      </c>
      <c r="Z675" s="137">
        <v>9353.2000000000007</v>
      </c>
      <c r="AA675" s="137">
        <f t="shared" si="125"/>
        <v>646.79999999999927</v>
      </c>
      <c r="AB675" s="146">
        <f t="shared" si="134"/>
        <v>9169.8039215686276</v>
      </c>
      <c r="AC675" s="147">
        <f t="shared" si="126"/>
        <v>183.3960784313731</v>
      </c>
      <c r="AD675" s="137">
        <f t="shared" si="133"/>
        <v>9168.7301201286773</v>
      </c>
      <c r="AE675" s="138">
        <v>0.1077</v>
      </c>
      <c r="AF675" s="137">
        <f t="shared" si="122"/>
        <v>987.47223393785862</v>
      </c>
      <c r="AG675" s="137">
        <v>823.94356156862705</v>
      </c>
      <c r="AH675" s="154"/>
      <c r="AI675" s="154"/>
      <c r="AJ675" s="135" t="s">
        <v>173</v>
      </c>
      <c r="AK675" s="119" t="s">
        <v>173</v>
      </c>
      <c r="AM675" s="131"/>
    </row>
    <row r="676" spans="1:39" s="119" customFormat="1" ht="15" customHeight="1" x14ac:dyDescent="0.3">
      <c r="A676" s="119">
        <v>2017</v>
      </c>
      <c r="B676" s="119" t="s">
        <v>38</v>
      </c>
      <c r="C676" s="119" t="s">
        <v>54</v>
      </c>
      <c r="D676" s="119" t="s">
        <v>55</v>
      </c>
      <c r="E676" s="119" t="s">
        <v>368</v>
      </c>
      <c r="F676" s="119" t="s">
        <v>784</v>
      </c>
      <c r="G676" s="119" t="s">
        <v>784</v>
      </c>
      <c r="H676" s="119" t="s">
        <v>784</v>
      </c>
      <c r="I676" s="163" t="s">
        <v>204</v>
      </c>
      <c r="J676" s="119" t="s">
        <v>575</v>
      </c>
      <c r="K676" s="119" t="s">
        <v>576</v>
      </c>
      <c r="L676" s="119" t="s">
        <v>784</v>
      </c>
      <c r="M676" s="119" t="s">
        <v>185</v>
      </c>
      <c r="N676" s="136">
        <v>0.08</v>
      </c>
      <c r="O676" s="135" t="s">
        <v>51</v>
      </c>
      <c r="P676" s="135"/>
      <c r="Q676" s="137">
        <v>0</v>
      </c>
      <c r="R676" s="137">
        <v>0</v>
      </c>
      <c r="S676" s="137">
        <v>646.79999999999995</v>
      </c>
      <c r="T676" s="137">
        <f t="shared" si="123"/>
        <v>51.744</v>
      </c>
      <c r="U676" s="137">
        <f t="shared" si="127"/>
        <v>698.54399999999998</v>
      </c>
      <c r="V676" s="137">
        <v>0</v>
      </c>
      <c r="W676" s="137">
        <f t="shared" si="128"/>
        <v>698.54399999999998</v>
      </c>
      <c r="X676" s="137">
        <f t="shared" si="124"/>
        <v>646.79999999999995</v>
      </c>
      <c r="Y676" s="137">
        <f t="shared" si="129"/>
        <v>51.744000000000028</v>
      </c>
      <c r="Z676" s="137">
        <v>646.79999999999995</v>
      </c>
      <c r="AA676" s="137">
        <f t="shared" si="125"/>
        <v>-646.79999999999995</v>
      </c>
      <c r="AB676" s="146">
        <f t="shared" si="134"/>
        <v>598.8888888888888</v>
      </c>
      <c r="AC676" s="147">
        <f t="shared" si="126"/>
        <v>47.911111111111154</v>
      </c>
      <c r="AD676" s="137">
        <f t="shared" si="133"/>
        <v>634.04339067904323</v>
      </c>
      <c r="AE676" s="138">
        <v>0.31559999999999999</v>
      </c>
      <c r="AF676" s="137">
        <f t="shared" si="122"/>
        <v>200.10409409830604</v>
      </c>
      <c r="AG676" s="137">
        <v>156.21896888888901</v>
      </c>
      <c r="AH676" s="154"/>
      <c r="AI676" s="154"/>
      <c r="AJ676" s="135" t="s">
        <v>53</v>
      </c>
      <c r="AK676" s="119" t="s">
        <v>53</v>
      </c>
      <c r="AM676" s="131"/>
    </row>
    <row r="677" spans="1:39" s="119" customFormat="1" ht="15" customHeight="1" x14ac:dyDescent="0.3">
      <c r="A677" s="119">
        <v>2017</v>
      </c>
      <c r="B677" s="119" t="s">
        <v>38</v>
      </c>
      <c r="C677" s="119" t="s">
        <v>54</v>
      </c>
      <c r="D677" s="119" t="s">
        <v>55</v>
      </c>
      <c r="E677" s="119" t="s">
        <v>368</v>
      </c>
      <c r="F677" s="119" t="s">
        <v>489</v>
      </c>
      <c r="G677" s="119" t="s">
        <v>489</v>
      </c>
      <c r="H677" s="119" t="s">
        <v>489</v>
      </c>
      <c r="I677" s="163" t="s">
        <v>204</v>
      </c>
      <c r="J677" s="119" t="s">
        <v>575</v>
      </c>
      <c r="K677" s="119" t="s">
        <v>576</v>
      </c>
      <c r="L677" s="119" t="s">
        <v>785</v>
      </c>
      <c r="M677" s="119" t="s">
        <v>185</v>
      </c>
      <c r="N677" s="136">
        <v>0.15</v>
      </c>
      <c r="O677" s="135" t="s">
        <v>51</v>
      </c>
      <c r="P677" s="135"/>
      <c r="Q677" s="137">
        <v>0</v>
      </c>
      <c r="R677" s="137">
        <v>0</v>
      </c>
      <c r="S677" s="137">
        <v>17739.13</v>
      </c>
      <c r="T677" s="137">
        <f t="shared" si="123"/>
        <v>2660.8695000000002</v>
      </c>
      <c r="U677" s="137">
        <f t="shared" si="127"/>
        <v>20399.999500000002</v>
      </c>
      <c r="V677" s="137">
        <v>0</v>
      </c>
      <c r="W677" s="137">
        <f t="shared" si="128"/>
        <v>20399.999500000002</v>
      </c>
      <c r="X677" s="137">
        <f t="shared" si="124"/>
        <v>17739.130000000005</v>
      </c>
      <c r="Y677" s="137">
        <f t="shared" si="129"/>
        <v>2660.8694999999971</v>
      </c>
      <c r="Z677" s="137">
        <v>49887.58</v>
      </c>
      <c r="AA677" s="137">
        <f t="shared" si="125"/>
        <v>-49887.58</v>
      </c>
      <c r="AB677" s="146">
        <f t="shared" si="134"/>
        <v>43380.504347826092</v>
      </c>
      <c r="AC677" s="147">
        <f t="shared" si="126"/>
        <v>6507.0756521739095</v>
      </c>
      <c r="AD677" s="137">
        <f t="shared" si="133"/>
        <v>48903.664774230099</v>
      </c>
      <c r="AE677" s="138">
        <v>0.31559999999999999</v>
      </c>
      <c r="AF677" s="137">
        <f t="shared" si="122"/>
        <v>15433.996602747018</v>
      </c>
      <c r="AG677" s="137">
        <v>9237.4445958260894</v>
      </c>
      <c r="AH677" s="154"/>
      <c r="AI677" s="154"/>
      <c r="AJ677" s="135" t="s">
        <v>662</v>
      </c>
      <c r="AK677" s="119" t="s">
        <v>662</v>
      </c>
      <c r="AM677" s="131"/>
    </row>
    <row r="678" spans="1:39" s="119" customFormat="1" ht="15" customHeight="1" x14ac:dyDescent="0.3">
      <c r="A678" s="119">
        <v>2017</v>
      </c>
      <c r="B678" s="119" t="s">
        <v>38</v>
      </c>
      <c r="C678" s="119" t="s">
        <v>54</v>
      </c>
      <c r="D678" s="119" t="s">
        <v>55</v>
      </c>
      <c r="E678" s="119" t="s">
        <v>368</v>
      </c>
      <c r="F678" s="119" t="s">
        <v>489</v>
      </c>
      <c r="G678" s="119" t="s">
        <v>489</v>
      </c>
      <c r="H678" s="119" t="s">
        <v>489</v>
      </c>
      <c r="I678" s="163" t="s">
        <v>204</v>
      </c>
      <c r="J678" s="119" t="s">
        <v>575</v>
      </c>
      <c r="K678" s="119" t="s">
        <v>576</v>
      </c>
      <c r="L678" s="119" t="s">
        <v>785</v>
      </c>
      <c r="M678" s="119" t="s">
        <v>46</v>
      </c>
      <c r="N678" s="136">
        <v>0.05</v>
      </c>
      <c r="O678" s="135" t="s">
        <v>51</v>
      </c>
      <c r="P678" s="135" t="s">
        <v>440</v>
      </c>
      <c r="Q678" s="137">
        <v>0</v>
      </c>
      <c r="R678" s="137">
        <v>0</v>
      </c>
      <c r="S678" s="137">
        <v>799984.93</v>
      </c>
      <c r="T678" s="137">
        <f t="shared" si="123"/>
        <v>39999.246500000008</v>
      </c>
      <c r="U678" s="137">
        <f t="shared" si="127"/>
        <v>839984.17650000006</v>
      </c>
      <c r="V678" s="137">
        <v>1113100</v>
      </c>
      <c r="W678" s="137">
        <f t="shared" si="128"/>
        <v>-273115.82349999994</v>
      </c>
      <c r="X678" s="137">
        <f t="shared" si="124"/>
        <v>-260110.30809523803</v>
      </c>
      <c r="Y678" s="137">
        <f t="shared" si="129"/>
        <v>-13005.515404761914</v>
      </c>
      <c r="Z678" s="137">
        <v>809084.17</v>
      </c>
      <c r="AA678" s="137">
        <f t="shared" si="125"/>
        <v>304015.82999999996</v>
      </c>
      <c r="AB678" s="146">
        <f t="shared" si="134"/>
        <v>770556.35238095233</v>
      </c>
      <c r="AC678" s="147">
        <f t="shared" si="126"/>
        <v>38527.81761904771</v>
      </c>
      <c r="AD678" s="137">
        <f t="shared" si="133"/>
        <v>793126.88696898508</v>
      </c>
      <c r="AE678" s="138">
        <v>0.1077</v>
      </c>
      <c r="AF678" s="137">
        <f t="shared" si="122"/>
        <v>85419.765726559694</v>
      </c>
      <c r="AG678" s="137">
        <v>50467.049519333297</v>
      </c>
      <c r="AH678" s="154"/>
      <c r="AI678" s="154"/>
      <c r="AJ678" s="135" t="s">
        <v>63</v>
      </c>
      <c r="AK678" s="119" t="s">
        <v>63</v>
      </c>
      <c r="AM678" s="131"/>
    </row>
    <row r="679" spans="1:39" s="119" customFormat="1" ht="15" customHeight="1" x14ac:dyDescent="0.3">
      <c r="A679" s="119">
        <v>2017</v>
      </c>
      <c r="B679" s="119" t="s">
        <v>38</v>
      </c>
      <c r="C679" s="119" t="s">
        <v>54</v>
      </c>
      <c r="D679" s="119" t="s">
        <v>55</v>
      </c>
      <c r="E679" s="119" t="s">
        <v>368</v>
      </c>
      <c r="F679" s="119" t="s">
        <v>786</v>
      </c>
      <c r="G679" s="119" t="s">
        <v>786</v>
      </c>
      <c r="H679" s="119" t="s">
        <v>786</v>
      </c>
      <c r="I679" s="163" t="s">
        <v>204</v>
      </c>
      <c r="J679" s="119" t="s">
        <v>575</v>
      </c>
      <c r="K679" s="119" t="s">
        <v>576</v>
      </c>
      <c r="L679" s="119" t="s">
        <v>787</v>
      </c>
      <c r="M679" s="119" t="s">
        <v>46</v>
      </c>
      <c r="N679" s="136">
        <v>0.02</v>
      </c>
      <c r="O679" s="135" t="s">
        <v>51</v>
      </c>
      <c r="P679" s="135"/>
      <c r="Q679" s="137">
        <v>0</v>
      </c>
      <c r="R679" s="137">
        <v>0</v>
      </c>
      <c r="S679" s="137">
        <v>7686.1</v>
      </c>
      <c r="T679" s="137">
        <f t="shared" si="123"/>
        <v>153.72200000000001</v>
      </c>
      <c r="U679" s="137">
        <f t="shared" si="127"/>
        <v>7839.8220000000001</v>
      </c>
      <c r="V679" s="137">
        <v>10000</v>
      </c>
      <c r="W679" s="137">
        <f t="shared" si="128"/>
        <v>-2160.1779999999999</v>
      </c>
      <c r="X679" s="137">
        <f t="shared" si="124"/>
        <v>-2117.8215686274507</v>
      </c>
      <c r="Y679" s="137">
        <f t="shared" si="129"/>
        <v>-42.356431372549196</v>
      </c>
      <c r="Z679" s="137">
        <v>7686.1</v>
      </c>
      <c r="AA679" s="137">
        <f t="shared" si="125"/>
        <v>2313.8999999999996</v>
      </c>
      <c r="AB679" s="146">
        <f t="shared" si="134"/>
        <v>7535.3921568627457</v>
      </c>
      <c r="AC679" s="147">
        <f t="shared" si="126"/>
        <v>150.70784313725471</v>
      </c>
      <c r="AD679" s="137">
        <f t="shared" si="133"/>
        <v>7534.5097481419216</v>
      </c>
      <c r="AE679" s="138">
        <v>0.1077</v>
      </c>
      <c r="AF679" s="137">
        <f t="shared" si="122"/>
        <v>811.46669987488497</v>
      </c>
      <c r="AG679" s="137">
        <v>677.08512686274503</v>
      </c>
      <c r="AH679" s="154"/>
      <c r="AI679" s="154"/>
      <c r="AJ679" s="135" t="s">
        <v>173</v>
      </c>
      <c r="AK679" s="119" t="s">
        <v>173</v>
      </c>
      <c r="AM679" s="131"/>
    </row>
    <row r="680" spans="1:39" s="119" customFormat="1" ht="15" customHeight="1" x14ac:dyDescent="0.3">
      <c r="A680" s="119">
        <v>2017</v>
      </c>
      <c r="B680" s="119" t="s">
        <v>38</v>
      </c>
      <c r="C680" s="119" t="s">
        <v>54</v>
      </c>
      <c r="D680" s="119" t="s">
        <v>55</v>
      </c>
      <c r="E680" s="119" t="s">
        <v>368</v>
      </c>
      <c r="F680" s="119" t="s">
        <v>786</v>
      </c>
      <c r="G680" s="119" t="s">
        <v>788</v>
      </c>
      <c r="H680" s="119" t="s">
        <v>788</v>
      </c>
      <c r="I680" s="163" t="s">
        <v>204</v>
      </c>
      <c r="J680" s="119" t="s">
        <v>575</v>
      </c>
      <c r="K680" s="119" t="s">
        <v>576</v>
      </c>
      <c r="L680" s="119" t="s">
        <v>789</v>
      </c>
      <c r="M680" s="119" t="s">
        <v>46</v>
      </c>
      <c r="N680" s="136">
        <v>0.02</v>
      </c>
      <c r="O680" s="135" t="s">
        <v>51</v>
      </c>
      <c r="P680" s="135"/>
      <c r="Q680" s="137">
        <v>0</v>
      </c>
      <c r="R680" s="137">
        <v>0</v>
      </c>
      <c r="S680" s="137">
        <v>4200</v>
      </c>
      <c r="T680" s="137">
        <f t="shared" si="123"/>
        <v>84</v>
      </c>
      <c r="U680" s="137">
        <f t="shared" si="127"/>
        <v>4284</v>
      </c>
      <c r="V680" s="137">
        <v>10000</v>
      </c>
      <c r="W680" s="137">
        <f t="shared" si="128"/>
        <v>-5716</v>
      </c>
      <c r="X680" s="137">
        <f t="shared" si="124"/>
        <v>-5603.9215686274511</v>
      </c>
      <c r="Y680" s="137">
        <f t="shared" si="129"/>
        <v>-112.07843137254895</v>
      </c>
      <c r="Z680" s="137">
        <v>4200</v>
      </c>
      <c r="AA680" s="137">
        <f t="shared" si="125"/>
        <v>5800</v>
      </c>
      <c r="AB680" s="146">
        <f t="shared" si="134"/>
        <v>4117.6470588235297</v>
      </c>
      <c r="AC680" s="147">
        <f t="shared" si="126"/>
        <v>82.352941176470267</v>
      </c>
      <c r="AD680" s="137">
        <f t="shared" si="133"/>
        <v>4117.1648745392422</v>
      </c>
      <c r="AE680" s="138">
        <v>0.1077</v>
      </c>
      <c r="AF680" s="137">
        <f t="shared" si="122"/>
        <v>443.41865698787637</v>
      </c>
      <c r="AG680" s="137">
        <v>369.98705882352999</v>
      </c>
      <c r="AH680" s="154"/>
      <c r="AI680" s="154"/>
      <c r="AJ680" s="135" t="s">
        <v>173</v>
      </c>
      <c r="AK680" s="119" t="s">
        <v>173</v>
      </c>
      <c r="AM680" s="131"/>
    </row>
    <row r="681" spans="1:39" s="119" customFormat="1" ht="15" customHeight="1" x14ac:dyDescent="0.3">
      <c r="A681" s="119">
        <v>2017</v>
      </c>
      <c r="B681" s="119" t="s">
        <v>38</v>
      </c>
      <c r="C681" s="119" t="s">
        <v>54</v>
      </c>
      <c r="D681" s="119" t="s">
        <v>55</v>
      </c>
      <c r="E681" s="119" t="s">
        <v>368</v>
      </c>
      <c r="F681" s="119" t="s">
        <v>786</v>
      </c>
      <c r="G681" s="119" t="s">
        <v>788</v>
      </c>
      <c r="H681" s="119" t="s">
        <v>788</v>
      </c>
      <c r="I681" s="163" t="s">
        <v>204</v>
      </c>
      <c r="J681" s="119" t="s">
        <v>575</v>
      </c>
      <c r="K681" s="119" t="s">
        <v>576</v>
      </c>
      <c r="L681" s="119" t="s">
        <v>787</v>
      </c>
      <c r="M681" s="119" t="s">
        <v>185</v>
      </c>
      <c r="N681" s="136">
        <v>0.08</v>
      </c>
      <c r="O681" s="135" t="s">
        <v>51</v>
      </c>
      <c r="P681" s="135"/>
      <c r="Q681" s="137">
        <v>0</v>
      </c>
      <c r="R681" s="137">
        <v>0</v>
      </c>
      <c r="S681" s="137">
        <v>5800</v>
      </c>
      <c r="T681" s="137">
        <f t="shared" si="123"/>
        <v>464</v>
      </c>
      <c r="U681" s="137">
        <f t="shared" si="127"/>
        <v>6264</v>
      </c>
      <c r="V681" s="137">
        <v>0</v>
      </c>
      <c r="W681" s="137">
        <f t="shared" si="128"/>
        <v>6264</v>
      </c>
      <c r="X681" s="137">
        <f t="shared" si="124"/>
        <v>5800</v>
      </c>
      <c r="Y681" s="137">
        <f t="shared" si="129"/>
        <v>464</v>
      </c>
      <c r="Z681" s="137">
        <v>0</v>
      </c>
      <c r="AA681" s="137">
        <f t="shared" si="125"/>
        <v>0</v>
      </c>
      <c r="AB681" s="146">
        <f t="shared" si="134"/>
        <v>0</v>
      </c>
      <c r="AC681" s="147">
        <f t="shared" si="126"/>
        <v>0</v>
      </c>
      <c r="AD681" s="137">
        <f t="shared" si="133"/>
        <v>0</v>
      </c>
      <c r="AE681" s="138">
        <v>0.31559999999999999</v>
      </c>
      <c r="AF681" s="137">
        <f t="shared" si="122"/>
        <v>0</v>
      </c>
      <c r="AG681" s="137">
        <v>0</v>
      </c>
      <c r="AH681" s="154"/>
      <c r="AI681" s="154"/>
      <c r="AJ681" s="135" t="s">
        <v>53</v>
      </c>
      <c r="AK681" s="119" t="s">
        <v>53</v>
      </c>
      <c r="AM681" s="131"/>
    </row>
    <row r="682" spans="1:39" s="119" customFormat="1" ht="15" customHeight="1" x14ac:dyDescent="0.3">
      <c r="A682" s="119">
        <v>2017</v>
      </c>
      <c r="B682" s="119" t="s">
        <v>333</v>
      </c>
      <c r="C682" s="119" t="s">
        <v>54</v>
      </c>
      <c r="D682" s="119" t="s">
        <v>55</v>
      </c>
      <c r="E682" s="119" t="s">
        <v>368</v>
      </c>
      <c r="F682" s="119" t="s">
        <v>790</v>
      </c>
      <c r="G682" s="119" t="s">
        <v>791</v>
      </c>
      <c r="H682" s="119" t="s">
        <v>791</v>
      </c>
      <c r="I682" s="163" t="s">
        <v>204</v>
      </c>
      <c r="J682" s="119" t="s">
        <v>603</v>
      </c>
      <c r="K682" s="119" t="s">
        <v>639</v>
      </c>
      <c r="L682" s="119" t="s">
        <v>790</v>
      </c>
      <c r="M682" s="119" t="s">
        <v>46</v>
      </c>
      <c r="N682" s="136">
        <v>0.02</v>
      </c>
      <c r="O682" s="135" t="s">
        <v>51</v>
      </c>
      <c r="P682" s="135"/>
      <c r="Q682" s="137">
        <v>0</v>
      </c>
      <c r="R682" s="137">
        <v>0</v>
      </c>
      <c r="S682" s="137">
        <v>8492.23</v>
      </c>
      <c r="T682" s="137">
        <f t="shared" si="123"/>
        <v>169.84459999999999</v>
      </c>
      <c r="U682" s="137">
        <f t="shared" si="127"/>
        <v>8662.0745999999999</v>
      </c>
      <c r="V682" s="137">
        <v>10200</v>
      </c>
      <c r="W682" s="137">
        <f t="shared" si="128"/>
        <v>-1537.9254000000001</v>
      </c>
      <c r="X682" s="137">
        <f t="shared" si="124"/>
        <v>-1507.77</v>
      </c>
      <c r="Y682" s="137">
        <f t="shared" si="129"/>
        <v>-30.1554000000001</v>
      </c>
      <c r="Z682" s="137">
        <v>8662.07</v>
      </c>
      <c r="AA682" s="137">
        <f t="shared" si="125"/>
        <v>1537.9300000000003</v>
      </c>
      <c r="AB682" s="146">
        <f t="shared" si="134"/>
        <v>8492.2254901960787</v>
      </c>
      <c r="AC682" s="147">
        <f t="shared" si="126"/>
        <v>169.84450980392103</v>
      </c>
      <c r="AD682" s="137">
        <v>8662.07</v>
      </c>
      <c r="AE682" s="138">
        <v>7.0000000000000007E-2</v>
      </c>
      <c r="AF682" s="137">
        <f t="shared" si="122"/>
        <v>606.34490000000005</v>
      </c>
      <c r="AG682" s="137">
        <v>436.50039019607902</v>
      </c>
      <c r="AH682" s="154"/>
      <c r="AI682" s="154"/>
      <c r="AJ682" s="135" t="s">
        <v>173</v>
      </c>
      <c r="AK682" s="119" t="s">
        <v>173</v>
      </c>
      <c r="AM682" s="131"/>
    </row>
    <row r="683" spans="1:39" s="119" customFormat="1" ht="15" customHeight="1" x14ac:dyDescent="0.3">
      <c r="A683" s="119">
        <v>2017</v>
      </c>
      <c r="B683" s="119" t="s">
        <v>333</v>
      </c>
      <c r="C683" s="119" t="s">
        <v>54</v>
      </c>
      <c r="D683" s="119" t="s">
        <v>55</v>
      </c>
      <c r="E683" s="119" t="s">
        <v>368</v>
      </c>
      <c r="F683" s="119" t="s">
        <v>790</v>
      </c>
      <c r="G683" s="119" t="s">
        <v>791</v>
      </c>
      <c r="H683" s="119" t="s">
        <v>791</v>
      </c>
      <c r="I683" s="163" t="s">
        <v>204</v>
      </c>
      <c r="J683" s="119" t="s">
        <v>603</v>
      </c>
      <c r="K683" s="119" t="s">
        <v>639</v>
      </c>
      <c r="L683" s="119" t="s">
        <v>790</v>
      </c>
      <c r="M683" s="119" t="s">
        <v>185</v>
      </c>
      <c r="N683" s="136">
        <v>0.08</v>
      </c>
      <c r="O683" s="135" t="s">
        <v>51</v>
      </c>
      <c r="P683" s="135"/>
      <c r="Q683" s="137">
        <v>0</v>
      </c>
      <c r="R683" s="137">
        <v>0</v>
      </c>
      <c r="S683" s="137">
        <v>1507.77</v>
      </c>
      <c r="T683" s="137">
        <f t="shared" si="123"/>
        <v>120.6216</v>
      </c>
      <c r="U683" s="137">
        <f t="shared" si="127"/>
        <v>1628.3915999999999</v>
      </c>
      <c r="V683" s="137">
        <v>0</v>
      </c>
      <c r="W683" s="137">
        <f t="shared" si="128"/>
        <v>1628.3915999999999</v>
      </c>
      <c r="X683" s="137">
        <f t="shared" si="124"/>
        <v>1507.7699999999998</v>
      </c>
      <c r="Y683" s="137">
        <f t="shared" si="129"/>
        <v>120.62160000000017</v>
      </c>
      <c r="Z683" s="137">
        <v>1537.93</v>
      </c>
      <c r="AA683" s="137">
        <f t="shared" si="125"/>
        <v>-1537.93</v>
      </c>
      <c r="AB683" s="146">
        <f t="shared" si="134"/>
        <v>1424.0092592592591</v>
      </c>
      <c r="AC683" s="147">
        <f t="shared" si="126"/>
        <v>113.92074074074094</v>
      </c>
      <c r="AD683" s="137">
        <v>1537.93</v>
      </c>
      <c r="AE683" s="138">
        <v>0.2</v>
      </c>
      <c r="AF683" s="137">
        <f t="shared" si="122"/>
        <v>307.58600000000001</v>
      </c>
      <c r="AG683" s="137">
        <v>193.66525925925899</v>
      </c>
      <c r="AH683" s="154"/>
      <c r="AI683" s="154"/>
      <c r="AJ683" s="135" t="s">
        <v>53</v>
      </c>
      <c r="AK683" s="119" t="s">
        <v>53</v>
      </c>
      <c r="AM683" s="131"/>
    </row>
    <row r="684" spans="1:39" s="119" customFormat="1" ht="15" customHeight="1" x14ac:dyDescent="0.3">
      <c r="A684" s="119">
        <v>2017</v>
      </c>
      <c r="B684" s="119" t="s">
        <v>38</v>
      </c>
      <c r="C684" s="119" t="s">
        <v>54</v>
      </c>
      <c r="D684" s="119" t="s">
        <v>55</v>
      </c>
      <c r="E684" s="119" t="s">
        <v>368</v>
      </c>
      <c r="F684" s="119" t="s">
        <v>792</v>
      </c>
      <c r="G684" s="119" t="s">
        <v>792</v>
      </c>
      <c r="H684" s="119" t="s">
        <v>792</v>
      </c>
      <c r="I684" s="163" t="s">
        <v>204</v>
      </c>
      <c r="J684" s="119" t="s">
        <v>575</v>
      </c>
      <c r="K684" s="119" t="s">
        <v>576</v>
      </c>
      <c r="L684" s="119" t="s">
        <v>792</v>
      </c>
      <c r="M684" s="119" t="s">
        <v>46</v>
      </c>
      <c r="N684" s="136">
        <v>0.02</v>
      </c>
      <c r="O684" s="135" t="s">
        <v>51</v>
      </c>
      <c r="P684" s="135"/>
      <c r="Q684" s="137">
        <v>0</v>
      </c>
      <c r="R684" s="137">
        <v>0</v>
      </c>
      <c r="S684" s="137">
        <v>5206.1099999999997</v>
      </c>
      <c r="T684" s="137">
        <f t="shared" si="123"/>
        <v>104.12219999999999</v>
      </c>
      <c r="U684" s="137">
        <f t="shared" si="127"/>
        <v>5310.2321999999995</v>
      </c>
      <c r="V684" s="137">
        <v>30000</v>
      </c>
      <c r="W684" s="137">
        <f t="shared" si="128"/>
        <v>-24689.767800000001</v>
      </c>
      <c r="X684" s="137">
        <f t="shared" si="124"/>
        <v>-24205.654705882353</v>
      </c>
      <c r="Y684" s="137">
        <f t="shared" si="129"/>
        <v>-484.11309411764887</v>
      </c>
      <c r="Z684" s="137">
        <v>5206.1099999999997</v>
      </c>
      <c r="AA684" s="137">
        <f t="shared" si="125"/>
        <v>24793.89</v>
      </c>
      <c r="AB684" s="146">
        <f t="shared" si="134"/>
        <v>5104.0294117647054</v>
      </c>
      <c r="AC684" s="147">
        <f t="shared" si="126"/>
        <v>102.08058823529427</v>
      </c>
      <c r="AD684" s="137">
        <f t="shared" ref="AD684:AD700" si="135">Z684*0.980277351080772</f>
        <v>5103.4317202351176</v>
      </c>
      <c r="AE684" s="138">
        <v>0.1077</v>
      </c>
      <c r="AF684" s="137">
        <f t="shared" si="122"/>
        <v>549.63959626932217</v>
      </c>
      <c r="AG684" s="137">
        <v>458.61745876470599</v>
      </c>
      <c r="AH684" s="154"/>
      <c r="AI684" s="154"/>
      <c r="AJ684" s="135" t="s">
        <v>173</v>
      </c>
      <c r="AK684" s="119" t="s">
        <v>173</v>
      </c>
      <c r="AM684" s="131"/>
    </row>
    <row r="685" spans="1:39" s="119" customFormat="1" ht="15" customHeight="1" x14ac:dyDescent="0.3">
      <c r="A685" s="119">
        <v>2017</v>
      </c>
      <c r="B685" s="119" t="s">
        <v>199</v>
      </c>
      <c r="C685" s="119" t="s">
        <v>54</v>
      </c>
      <c r="D685" s="119" t="s">
        <v>55</v>
      </c>
      <c r="E685" s="119" t="s">
        <v>64</v>
      </c>
      <c r="F685" s="119" t="s">
        <v>496</v>
      </c>
      <c r="G685" s="119" t="s">
        <v>497</v>
      </c>
      <c r="H685" s="163" t="s">
        <v>498</v>
      </c>
      <c r="I685" s="163" t="s">
        <v>204</v>
      </c>
      <c r="J685" s="119" t="s">
        <v>575</v>
      </c>
      <c r="K685" s="119" t="s">
        <v>576</v>
      </c>
      <c r="L685" s="119" t="s">
        <v>499</v>
      </c>
      <c r="M685" s="119" t="s">
        <v>46</v>
      </c>
      <c r="N685" s="136">
        <v>0.02</v>
      </c>
      <c r="O685" s="135" t="s">
        <v>51</v>
      </c>
      <c r="P685" s="135"/>
      <c r="Q685" s="137">
        <v>0</v>
      </c>
      <c r="R685" s="137">
        <v>0</v>
      </c>
      <c r="S685" s="137">
        <v>1654312.28</v>
      </c>
      <c r="T685" s="137">
        <f t="shared" si="123"/>
        <v>33086.245600000002</v>
      </c>
      <c r="U685" s="137">
        <f t="shared" si="127"/>
        <v>1687398.5256000001</v>
      </c>
      <c r="V685" s="137">
        <v>1676000</v>
      </c>
      <c r="W685" s="137">
        <f t="shared" si="128"/>
        <v>11398.525600000052</v>
      </c>
      <c r="X685" s="137">
        <f t="shared" si="124"/>
        <v>11175.025098039267</v>
      </c>
      <c r="Y685" s="137">
        <f t="shared" si="129"/>
        <v>223.50050196078519</v>
      </c>
      <c r="Z685" s="137">
        <v>1424827.33</v>
      </c>
      <c r="AA685" s="137">
        <f t="shared" si="125"/>
        <v>251172.66999999993</v>
      </c>
      <c r="AB685" s="146">
        <f t="shared" si="134"/>
        <v>1396889.5392156863</v>
      </c>
      <c r="AC685" s="147">
        <f t="shared" si="126"/>
        <v>27937.790784313809</v>
      </c>
      <c r="AD685" s="137">
        <f t="shared" si="135"/>
        <v>1396725.9607998889</v>
      </c>
      <c r="AE685" s="138">
        <v>0.1077</v>
      </c>
      <c r="AF685" s="137">
        <f t="shared" si="122"/>
        <v>150427.38597814806</v>
      </c>
      <c r="AG685" s="137">
        <v>125516.112656686</v>
      </c>
      <c r="AH685" s="154"/>
      <c r="AI685" s="154"/>
      <c r="AJ685" s="135" t="s">
        <v>173</v>
      </c>
      <c r="AK685" s="119" t="s">
        <v>173</v>
      </c>
      <c r="AM685" s="131"/>
    </row>
    <row r="686" spans="1:39" s="119" customFormat="1" ht="15" customHeight="1" x14ac:dyDescent="0.3">
      <c r="A686" s="119">
        <v>2017</v>
      </c>
      <c r="B686" s="119" t="s">
        <v>199</v>
      </c>
      <c r="C686" s="119" t="s">
        <v>54</v>
      </c>
      <c r="D686" s="119" t="s">
        <v>55</v>
      </c>
      <c r="E686" s="119" t="s">
        <v>64</v>
      </c>
      <c r="F686" s="119" t="s">
        <v>496</v>
      </c>
      <c r="G686" s="119" t="s">
        <v>497</v>
      </c>
      <c r="H686" s="163" t="s">
        <v>498</v>
      </c>
      <c r="I686" s="163" t="s">
        <v>204</v>
      </c>
      <c r="J686" s="119" t="s">
        <v>575</v>
      </c>
      <c r="K686" s="119" t="s">
        <v>576</v>
      </c>
      <c r="L686" s="119" t="s">
        <v>499</v>
      </c>
      <c r="M686" s="119" t="s">
        <v>185</v>
      </c>
      <c r="N686" s="136">
        <v>0.08</v>
      </c>
      <c r="O686" s="135" t="s">
        <v>51</v>
      </c>
      <c r="P686" s="135"/>
      <c r="Q686" s="137">
        <v>0</v>
      </c>
      <c r="R686" s="137">
        <v>0</v>
      </c>
      <c r="S686" s="137">
        <v>505525.5</v>
      </c>
      <c r="T686" s="137">
        <f t="shared" si="123"/>
        <v>40442.04</v>
      </c>
      <c r="U686" s="137">
        <f t="shared" si="127"/>
        <v>545967.54</v>
      </c>
      <c r="V686" s="137">
        <v>0</v>
      </c>
      <c r="W686" s="137">
        <f t="shared" si="128"/>
        <v>545967.54</v>
      </c>
      <c r="X686" s="137">
        <f t="shared" si="124"/>
        <v>505525.5</v>
      </c>
      <c r="Y686" s="137">
        <f t="shared" si="129"/>
        <v>40442.040000000037</v>
      </c>
      <c r="Z686" s="137">
        <v>23052.16</v>
      </c>
      <c r="AA686" s="137">
        <f t="shared" si="125"/>
        <v>-23052.16</v>
      </c>
      <c r="AB686" s="146">
        <f t="shared" si="134"/>
        <v>21344.592592592591</v>
      </c>
      <c r="AC686" s="147">
        <f t="shared" si="126"/>
        <v>1707.5674074074086</v>
      </c>
      <c r="AD686" s="137">
        <f t="shared" si="135"/>
        <v>22597.510341490128</v>
      </c>
      <c r="AE686" s="138">
        <v>0.31559999999999999</v>
      </c>
      <c r="AF686" s="137">
        <f t="shared" si="122"/>
        <v>7131.774263774284</v>
      </c>
      <c r="AG686" s="137">
        <v>5567.6942885925901</v>
      </c>
      <c r="AH686" s="154"/>
      <c r="AI686" s="154"/>
      <c r="AJ686" s="135" t="s">
        <v>53</v>
      </c>
      <c r="AK686" s="119" t="s">
        <v>53</v>
      </c>
      <c r="AM686" s="131"/>
    </row>
    <row r="687" spans="1:39" s="119" customFormat="1" ht="15" customHeight="1" x14ac:dyDescent="0.3">
      <c r="A687" s="119">
        <v>2017</v>
      </c>
      <c r="B687" s="119" t="s">
        <v>38</v>
      </c>
      <c r="C687" s="119" t="s">
        <v>54</v>
      </c>
      <c r="D687" s="119" t="s">
        <v>55</v>
      </c>
      <c r="E687" s="119" t="s">
        <v>64</v>
      </c>
      <c r="F687" s="119" t="s">
        <v>793</v>
      </c>
      <c r="G687" s="119" t="s">
        <v>793</v>
      </c>
      <c r="H687" s="119" t="s">
        <v>793</v>
      </c>
      <c r="I687" s="163" t="s">
        <v>204</v>
      </c>
      <c r="J687" s="119" t="s">
        <v>575</v>
      </c>
      <c r="K687" s="119" t="s">
        <v>576</v>
      </c>
      <c r="L687" s="119" t="s">
        <v>793</v>
      </c>
      <c r="M687" s="119" t="s">
        <v>46</v>
      </c>
      <c r="N687" s="136">
        <v>0.02</v>
      </c>
      <c r="O687" s="135" t="s">
        <v>51</v>
      </c>
      <c r="P687" s="135"/>
      <c r="Q687" s="137">
        <v>0</v>
      </c>
      <c r="R687" s="137">
        <v>0</v>
      </c>
      <c r="S687" s="137">
        <v>10000</v>
      </c>
      <c r="T687" s="137">
        <f t="shared" si="123"/>
        <v>200</v>
      </c>
      <c r="U687" s="137">
        <f t="shared" si="127"/>
        <v>10200</v>
      </c>
      <c r="V687" s="137">
        <v>10000</v>
      </c>
      <c r="W687" s="137">
        <f t="shared" si="128"/>
        <v>200</v>
      </c>
      <c r="X687" s="137">
        <f t="shared" si="124"/>
        <v>196.07843137254901</v>
      </c>
      <c r="Y687" s="137">
        <f t="shared" si="129"/>
        <v>3.9215686274509949</v>
      </c>
      <c r="Z687" s="137">
        <v>10000</v>
      </c>
      <c r="AA687" s="137">
        <f t="shared" si="125"/>
        <v>0</v>
      </c>
      <c r="AB687" s="146">
        <f t="shared" si="134"/>
        <v>9803.9215686274511</v>
      </c>
      <c r="AC687" s="147">
        <f t="shared" si="126"/>
        <v>196.07843137254895</v>
      </c>
      <c r="AD687" s="137">
        <f t="shared" si="135"/>
        <v>9802.7735108077195</v>
      </c>
      <c r="AE687" s="138">
        <v>0.1077</v>
      </c>
      <c r="AF687" s="137">
        <f t="shared" ref="AF687:AF750" si="136">AD687*AE687</f>
        <v>1055.7587071139915</v>
      </c>
      <c r="AG687" s="137">
        <v>880.92156862745105</v>
      </c>
      <c r="AH687" s="154"/>
      <c r="AI687" s="154"/>
      <c r="AJ687" s="135" t="s">
        <v>173</v>
      </c>
      <c r="AK687" s="119" t="s">
        <v>173</v>
      </c>
      <c r="AM687" s="131"/>
    </row>
    <row r="688" spans="1:39" s="119" customFormat="1" ht="15" customHeight="1" x14ac:dyDescent="0.3">
      <c r="A688" s="119">
        <v>2017</v>
      </c>
      <c r="B688" s="119" t="s">
        <v>333</v>
      </c>
      <c r="C688" s="119" t="s">
        <v>54</v>
      </c>
      <c r="D688" s="119" t="s">
        <v>55</v>
      </c>
      <c r="E688" s="119" t="s">
        <v>64</v>
      </c>
      <c r="F688" s="119" t="s">
        <v>376</v>
      </c>
      <c r="G688" s="119" t="s">
        <v>794</v>
      </c>
      <c r="H688" s="119" t="s">
        <v>794</v>
      </c>
      <c r="I688" s="163" t="s">
        <v>204</v>
      </c>
      <c r="J688" s="119" t="s">
        <v>575</v>
      </c>
      <c r="K688" s="119" t="s">
        <v>576</v>
      </c>
      <c r="L688" s="119" t="s">
        <v>376</v>
      </c>
      <c r="M688" s="119" t="s">
        <v>46</v>
      </c>
      <c r="N688" s="136">
        <v>0.02</v>
      </c>
      <c r="O688" s="135" t="s">
        <v>51</v>
      </c>
      <c r="P688" s="135"/>
      <c r="Q688" s="137">
        <v>0</v>
      </c>
      <c r="R688" s="137">
        <v>0</v>
      </c>
      <c r="S688" s="137">
        <v>8485.8700000000008</v>
      </c>
      <c r="T688" s="137">
        <f t="shared" si="123"/>
        <v>169.71740000000003</v>
      </c>
      <c r="U688" s="137">
        <f t="shared" si="127"/>
        <v>8655.5874000000003</v>
      </c>
      <c r="V688" s="137">
        <v>30200</v>
      </c>
      <c r="W688" s="137">
        <f t="shared" si="128"/>
        <v>-21544.4126</v>
      </c>
      <c r="X688" s="137">
        <f t="shared" si="124"/>
        <v>-21121.973137254899</v>
      </c>
      <c r="Y688" s="137">
        <f t="shared" si="129"/>
        <v>-422.43946274510017</v>
      </c>
      <c r="Z688" s="137">
        <v>8485.8700000000008</v>
      </c>
      <c r="AA688" s="137">
        <f t="shared" si="125"/>
        <v>21714.129999999997</v>
      </c>
      <c r="AB688" s="146">
        <f t="shared" si="134"/>
        <v>8319.4803921568637</v>
      </c>
      <c r="AC688" s="147">
        <f t="shared" si="126"/>
        <v>166.38960784313713</v>
      </c>
      <c r="AD688" s="137">
        <f t="shared" si="135"/>
        <v>8318.506165215791</v>
      </c>
      <c r="AE688" s="138">
        <v>0.1077</v>
      </c>
      <c r="AF688" s="137">
        <f t="shared" si="136"/>
        <v>895.9031139937407</v>
      </c>
      <c r="AG688" s="137">
        <v>747.53859115686305</v>
      </c>
      <c r="AH688" s="154"/>
      <c r="AI688" s="154"/>
      <c r="AJ688" s="135" t="s">
        <v>173</v>
      </c>
      <c r="AK688" s="119" t="s">
        <v>173</v>
      </c>
      <c r="AM688" s="131"/>
    </row>
    <row r="689" spans="1:39" s="119" customFormat="1" ht="15" customHeight="1" x14ac:dyDescent="0.3">
      <c r="A689" s="119">
        <v>2017</v>
      </c>
      <c r="B689" s="119" t="s">
        <v>333</v>
      </c>
      <c r="C689" s="119" t="s">
        <v>54</v>
      </c>
      <c r="D689" s="119" t="s">
        <v>55</v>
      </c>
      <c r="E689" s="119" t="s">
        <v>64</v>
      </c>
      <c r="F689" s="119" t="s">
        <v>376</v>
      </c>
      <c r="G689" s="119" t="s">
        <v>794</v>
      </c>
      <c r="H689" s="119" t="s">
        <v>794</v>
      </c>
      <c r="I689" s="163" t="s">
        <v>204</v>
      </c>
      <c r="J689" s="119" t="s">
        <v>575</v>
      </c>
      <c r="K689" s="119" t="s">
        <v>576</v>
      </c>
      <c r="L689" s="119" t="s">
        <v>376</v>
      </c>
      <c r="M689" s="119" t="s">
        <v>185</v>
      </c>
      <c r="N689" s="136">
        <v>0.08</v>
      </c>
      <c r="O689" s="135" t="s">
        <v>51</v>
      </c>
      <c r="P689" s="135"/>
      <c r="Q689" s="137">
        <v>0</v>
      </c>
      <c r="R689" s="137">
        <v>0</v>
      </c>
      <c r="S689" s="137">
        <v>10886.82</v>
      </c>
      <c r="T689" s="137">
        <f t="shared" si="123"/>
        <v>870.94560000000001</v>
      </c>
      <c r="U689" s="137">
        <f t="shared" si="127"/>
        <v>11757.765599999999</v>
      </c>
      <c r="V689" s="137">
        <v>0</v>
      </c>
      <c r="W689" s="137">
        <f t="shared" si="128"/>
        <v>11757.765599999999</v>
      </c>
      <c r="X689" s="137">
        <f t="shared" si="124"/>
        <v>10886.819999999998</v>
      </c>
      <c r="Y689" s="137">
        <f t="shared" si="129"/>
        <v>870.94560000000092</v>
      </c>
      <c r="Z689" s="137">
        <v>10886.82</v>
      </c>
      <c r="AA689" s="137">
        <f t="shared" si="125"/>
        <v>-10886.82</v>
      </c>
      <c r="AB689" s="146">
        <f t="shared" si="134"/>
        <v>10080.388888888889</v>
      </c>
      <c r="AC689" s="147">
        <f t="shared" si="126"/>
        <v>806.43111111111102</v>
      </c>
      <c r="AD689" s="137">
        <f t="shared" si="135"/>
        <v>10672.10307129317</v>
      </c>
      <c r="AE689" s="138">
        <v>0.31559999999999999</v>
      </c>
      <c r="AF689" s="137">
        <f t="shared" si="136"/>
        <v>3368.1157293001243</v>
      </c>
      <c r="AG689" s="137">
        <v>2629.4492808888899</v>
      </c>
      <c r="AH689" s="154"/>
      <c r="AI689" s="154"/>
      <c r="AJ689" s="135" t="s">
        <v>53</v>
      </c>
      <c r="AK689" s="119" t="s">
        <v>53</v>
      </c>
      <c r="AM689" s="131"/>
    </row>
    <row r="690" spans="1:39" s="119" customFormat="1" ht="15" customHeight="1" x14ac:dyDescent="0.3">
      <c r="A690" s="119">
        <v>2017</v>
      </c>
      <c r="B690" s="119" t="s">
        <v>38</v>
      </c>
      <c r="C690" s="119" t="s">
        <v>54</v>
      </c>
      <c r="D690" s="119" t="s">
        <v>55</v>
      </c>
      <c r="E690" s="119" t="s">
        <v>64</v>
      </c>
      <c r="F690" s="119" t="s">
        <v>135</v>
      </c>
      <c r="G690" s="119" t="s">
        <v>135</v>
      </c>
      <c r="H690" s="119" t="s">
        <v>135</v>
      </c>
      <c r="I690" s="163" t="s">
        <v>204</v>
      </c>
      <c r="J690" s="119" t="s">
        <v>575</v>
      </c>
      <c r="K690" s="119" t="s">
        <v>576</v>
      </c>
      <c r="L690" s="119" t="s">
        <v>135</v>
      </c>
      <c r="M690" s="119" t="s">
        <v>46</v>
      </c>
      <c r="N690" s="136">
        <v>0</v>
      </c>
      <c r="O690" s="135" t="s">
        <v>51</v>
      </c>
      <c r="P690" s="135"/>
      <c r="Q690" s="137">
        <v>0</v>
      </c>
      <c r="R690" s="137">
        <v>0</v>
      </c>
      <c r="S690" s="137">
        <v>15750.71</v>
      </c>
      <c r="T690" s="137">
        <f t="shared" si="123"/>
        <v>0</v>
      </c>
      <c r="U690" s="137">
        <f t="shared" si="127"/>
        <v>15750.71</v>
      </c>
      <c r="V690" s="137">
        <v>16750.71</v>
      </c>
      <c r="W690" s="137">
        <f t="shared" si="128"/>
        <v>-1000</v>
      </c>
      <c r="X690" s="137">
        <f t="shared" si="124"/>
        <v>-1000</v>
      </c>
      <c r="Y690" s="137">
        <f t="shared" si="129"/>
        <v>0</v>
      </c>
      <c r="Z690" s="137">
        <v>15750.71</v>
      </c>
      <c r="AA690" s="137">
        <f t="shared" si="125"/>
        <v>1000</v>
      </c>
      <c r="AB690" s="146">
        <f t="shared" si="134"/>
        <v>15750.71</v>
      </c>
      <c r="AC690" s="147">
        <f t="shared" si="126"/>
        <v>0</v>
      </c>
      <c r="AD690" s="137">
        <f t="shared" si="135"/>
        <v>15440.064276441424</v>
      </c>
      <c r="AE690" s="138">
        <v>0.1077</v>
      </c>
      <c r="AF690" s="137">
        <f t="shared" si="136"/>
        <v>1662.8949225727415</v>
      </c>
      <c r="AG690" s="137">
        <v>1387.5140160196099</v>
      </c>
      <c r="AH690" s="154"/>
      <c r="AI690" s="154"/>
      <c r="AJ690" s="135" t="s">
        <v>173</v>
      </c>
      <c r="AK690" s="119" t="s">
        <v>173</v>
      </c>
      <c r="AM690" s="131"/>
    </row>
    <row r="691" spans="1:39" s="119" customFormat="1" ht="15" customHeight="1" x14ac:dyDescent="0.3">
      <c r="A691" s="119">
        <v>2017</v>
      </c>
      <c r="B691" s="119" t="s">
        <v>38</v>
      </c>
      <c r="C691" s="119" t="s">
        <v>54</v>
      </c>
      <c r="D691" s="119" t="s">
        <v>55</v>
      </c>
      <c r="E691" s="119" t="s">
        <v>64</v>
      </c>
      <c r="F691" s="119" t="s">
        <v>135</v>
      </c>
      <c r="G691" s="119" t="s">
        <v>135</v>
      </c>
      <c r="H691" s="119" t="s">
        <v>135</v>
      </c>
      <c r="I691" s="163" t="s">
        <v>204</v>
      </c>
      <c r="J691" s="119" t="s">
        <v>575</v>
      </c>
      <c r="K691" s="119" t="s">
        <v>576</v>
      </c>
      <c r="L691" s="119" t="s">
        <v>135</v>
      </c>
      <c r="M691" s="119" t="s">
        <v>185</v>
      </c>
      <c r="N691" s="136">
        <v>0</v>
      </c>
      <c r="O691" s="135" t="s">
        <v>51</v>
      </c>
      <c r="P691" s="135"/>
      <c r="Q691" s="137">
        <v>0</v>
      </c>
      <c r="R691" s="137">
        <v>0</v>
      </c>
      <c r="S691" s="137">
        <v>1000</v>
      </c>
      <c r="T691" s="137">
        <f t="shared" si="123"/>
        <v>0</v>
      </c>
      <c r="U691" s="137">
        <f t="shared" si="127"/>
        <v>1000</v>
      </c>
      <c r="V691" s="137">
        <v>0</v>
      </c>
      <c r="W691" s="137">
        <f t="shared" si="128"/>
        <v>1000</v>
      </c>
      <c r="X691" s="137">
        <f t="shared" si="124"/>
        <v>1000</v>
      </c>
      <c r="Y691" s="137">
        <f t="shared" si="129"/>
        <v>0</v>
      </c>
      <c r="Z691" s="137">
        <v>1000</v>
      </c>
      <c r="AA691" s="137">
        <f t="shared" si="125"/>
        <v>-1000</v>
      </c>
      <c r="AB691" s="146">
        <f t="shared" si="134"/>
        <v>1000</v>
      </c>
      <c r="AC691" s="147">
        <f t="shared" si="126"/>
        <v>0</v>
      </c>
      <c r="AD691" s="137">
        <f t="shared" si="135"/>
        <v>980.27735108077195</v>
      </c>
      <c r="AE691" s="138">
        <v>0.31559999999999999</v>
      </c>
      <c r="AF691" s="137">
        <f t="shared" si="136"/>
        <v>309.37553200109164</v>
      </c>
      <c r="AG691" s="137">
        <v>241.525925925926</v>
      </c>
      <c r="AH691" s="154"/>
      <c r="AI691" s="154"/>
      <c r="AJ691" s="135" t="s">
        <v>53</v>
      </c>
      <c r="AK691" s="119" t="s">
        <v>53</v>
      </c>
      <c r="AM691" s="131"/>
    </row>
    <row r="692" spans="1:39" s="119" customFormat="1" ht="15" customHeight="1" x14ac:dyDescent="0.3">
      <c r="A692" s="119">
        <v>2017</v>
      </c>
      <c r="B692" s="119" t="s">
        <v>38</v>
      </c>
      <c r="C692" s="119" t="s">
        <v>54</v>
      </c>
      <c r="D692" s="119" t="s">
        <v>55</v>
      </c>
      <c r="E692" s="119" t="s">
        <v>64</v>
      </c>
      <c r="F692" s="119" t="s">
        <v>795</v>
      </c>
      <c r="G692" s="119" t="s">
        <v>795</v>
      </c>
      <c r="H692" s="119" t="s">
        <v>795</v>
      </c>
      <c r="I692" s="163" t="s">
        <v>204</v>
      </c>
      <c r="J692" s="119" t="s">
        <v>575</v>
      </c>
      <c r="K692" s="119" t="s">
        <v>576</v>
      </c>
      <c r="L692" s="119" t="s">
        <v>795</v>
      </c>
      <c r="M692" s="119" t="s">
        <v>46</v>
      </c>
      <c r="N692" s="136">
        <v>0.02</v>
      </c>
      <c r="O692" s="135" t="s">
        <v>51</v>
      </c>
      <c r="P692" s="135"/>
      <c r="Q692" s="137">
        <v>0</v>
      </c>
      <c r="R692" s="137">
        <v>0</v>
      </c>
      <c r="S692" s="137">
        <v>205214.6</v>
      </c>
      <c r="T692" s="137">
        <f t="shared" si="123"/>
        <v>4104.2920000000004</v>
      </c>
      <c r="U692" s="137">
        <f t="shared" si="127"/>
        <v>209318.89199999999</v>
      </c>
      <c r="V692" s="137">
        <v>230000</v>
      </c>
      <c r="W692" s="137">
        <f t="shared" si="128"/>
        <v>-20681.108000000007</v>
      </c>
      <c r="X692" s="137">
        <f t="shared" si="124"/>
        <v>-20275.596078431379</v>
      </c>
      <c r="Y692" s="137">
        <f t="shared" si="129"/>
        <v>-405.51192156862817</v>
      </c>
      <c r="Z692" s="137">
        <v>184926.5</v>
      </c>
      <c r="AA692" s="137">
        <f t="shared" si="125"/>
        <v>45073.5</v>
      </c>
      <c r="AB692" s="146">
        <f t="shared" si="134"/>
        <v>181300.49019607843</v>
      </c>
      <c r="AC692" s="147">
        <f t="shared" si="126"/>
        <v>3626.0098039215663</v>
      </c>
      <c r="AD692" s="137">
        <f t="shared" si="135"/>
        <v>181279.25956463837</v>
      </c>
      <c r="AE692" s="138">
        <v>0.1077</v>
      </c>
      <c r="AF692" s="137">
        <f t="shared" si="136"/>
        <v>19523.776255111552</v>
      </c>
      <c r="AG692" s="137">
        <v>16290.5742460784</v>
      </c>
      <c r="AH692" s="154"/>
      <c r="AI692" s="154"/>
      <c r="AJ692" s="135" t="s">
        <v>173</v>
      </c>
      <c r="AK692" s="119" t="s">
        <v>173</v>
      </c>
      <c r="AM692" s="131"/>
    </row>
    <row r="693" spans="1:39" s="119" customFormat="1" ht="15" customHeight="1" x14ac:dyDescent="0.3">
      <c r="A693" s="119">
        <v>2017</v>
      </c>
      <c r="B693" s="119" t="s">
        <v>38</v>
      </c>
      <c r="C693" s="119" t="s">
        <v>54</v>
      </c>
      <c r="D693" s="119" t="s">
        <v>55</v>
      </c>
      <c r="E693" s="119" t="s">
        <v>64</v>
      </c>
      <c r="F693" s="119" t="s">
        <v>795</v>
      </c>
      <c r="G693" s="119" t="s">
        <v>795</v>
      </c>
      <c r="H693" s="119" t="s">
        <v>795</v>
      </c>
      <c r="I693" s="163" t="s">
        <v>204</v>
      </c>
      <c r="J693" s="119" t="s">
        <v>575</v>
      </c>
      <c r="K693" s="119" t="s">
        <v>576</v>
      </c>
      <c r="L693" s="119" t="s">
        <v>795</v>
      </c>
      <c r="M693" s="119" t="s">
        <v>185</v>
      </c>
      <c r="N693" s="136">
        <v>0.08</v>
      </c>
      <c r="O693" s="135" t="s">
        <v>51</v>
      </c>
      <c r="P693" s="135"/>
      <c r="Q693" s="137">
        <v>0</v>
      </c>
      <c r="R693" s="137">
        <v>0</v>
      </c>
      <c r="S693" s="137">
        <v>45073.5</v>
      </c>
      <c r="T693" s="137">
        <f t="shared" si="123"/>
        <v>3605.88</v>
      </c>
      <c r="U693" s="137">
        <f t="shared" si="127"/>
        <v>48679.38</v>
      </c>
      <c r="V693" s="137">
        <v>0</v>
      </c>
      <c r="W693" s="137">
        <f t="shared" si="128"/>
        <v>48679.38</v>
      </c>
      <c r="X693" s="137">
        <f t="shared" si="124"/>
        <v>45073.499999999993</v>
      </c>
      <c r="Y693" s="137">
        <f t="shared" si="129"/>
        <v>3605.8800000000047</v>
      </c>
      <c r="Z693" s="137">
        <v>45073.5</v>
      </c>
      <c r="AA693" s="137">
        <f t="shared" si="125"/>
        <v>-45073.5</v>
      </c>
      <c r="AB693" s="146">
        <f t="shared" si="134"/>
        <v>41734.722222222219</v>
      </c>
      <c r="AC693" s="147">
        <f t="shared" si="126"/>
        <v>3338.777777777781</v>
      </c>
      <c r="AD693" s="137">
        <f t="shared" si="135"/>
        <v>44184.531183939172</v>
      </c>
      <c r="AE693" s="138">
        <v>0.31559999999999999</v>
      </c>
      <c r="AF693" s="137">
        <f t="shared" si="136"/>
        <v>13944.638041651202</v>
      </c>
      <c r="AG693" s="137">
        <v>10886.4188222222</v>
      </c>
      <c r="AH693" s="154"/>
      <c r="AI693" s="154"/>
      <c r="AJ693" s="135" t="s">
        <v>53</v>
      </c>
      <c r="AK693" s="119" t="s">
        <v>53</v>
      </c>
      <c r="AM693" s="131"/>
    </row>
    <row r="694" spans="1:39" s="119" customFormat="1" ht="15" customHeight="1" x14ac:dyDescent="0.3">
      <c r="A694" s="119">
        <v>2017</v>
      </c>
      <c r="B694" s="119" t="s">
        <v>38</v>
      </c>
      <c r="C694" s="119" t="s">
        <v>54</v>
      </c>
      <c r="D694" s="119" t="s">
        <v>55</v>
      </c>
      <c r="E694" s="119" t="s">
        <v>64</v>
      </c>
      <c r="F694" s="119" t="s">
        <v>796</v>
      </c>
      <c r="G694" s="119" t="s">
        <v>796</v>
      </c>
      <c r="H694" s="119" t="s">
        <v>796</v>
      </c>
      <c r="I694" s="163" t="s">
        <v>204</v>
      </c>
      <c r="J694" s="119" t="s">
        <v>575</v>
      </c>
      <c r="K694" s="119" t="s">
        <v>576</v>
      </c>
      <c r="L694" s="119" t="s">
        <v>797</v>
      </c>
      <c r="M694" s="119" t="s">
        <v>46</v>
      </c>
      <c r="N694" s="136">
        <v>0</v>
      </c>
      <c r="O694" s="135" t="s">
        <v>1656</v>
      </c>
      <c r="P694" s="135"/>
      <c r="Q694" s="137">
        <v>0</v>
      </c>
      <c r="R694" s="137">
        <v>0</v>
      </c>
      <c r="S694" s="137">
        <v>49770.5</v>
      </c>
      <c r="T694" s="137">
        <f t="shared" si="123"/>
        <v>0</v>
      </c>
      <c r="U694" s="137">
        <f t="shared" si="127"/>
        <v>49770.5</v>
      </c>
      <c r="V694" s="137">
        <v>60000</v>
      </c>
      <c r="W694" s="137">
        <f t="shared" si="128"/>
        <v>-10229.5</v>
      </c>
      <c r="X694" s="137">
        <f t="shared" si="124"/>
        <v>-10229.5</v>
      </c>
      <c r="Y694" s="137">
        <f t="shared" si="129"/>
        <v>0</v>
      </c>
      <c r="Z694" s="137">
        <v>49770.5</v>
      </c>
      <c r="AA694" s="137">
        <f t="shared" si="125"/>
        <v>10229.5</v>
      </c>
      <c r="AB694" s="146">
        <f t="shared" si="134"/>
        <v>49770.5</v>
      </c>
      <c r="AC694" s="147">
        <f t="shared" si="126"/>
        <v>0</v>
      </c>
      <c r="AD694" s="137">
        <f t="shared" si="135"/>
        <v>48788.893901965559</v>
      </c>
      <c r="AE694" s="138">
        <v>0.1077</v>
      </c>
      <c r="AF694" s="137">
        <f t="shared" si="136"/>
        <v>5254.563873241691</v>
      </c>
      <c r="AG694" s="137">
        <v>4384.3906931372503</v>
      </c>
      <c r="AH694" s="154"/>
      <c r="AI694" s="154"/>
      <c r="AJ694" s="135" t="s">
        <v>173</v>
      </c>
      <c r="AK694" s="119" t="s">
        <v>173</v>
      </c>
      <c r="AM694" s="131"/>
    </row>
    <row r="695" spans="1:39" s="119" customFormat="1" ht="15" customHeight="1" x14ac:dyDescent="0.3">
      <c r="A695" s="119">
        <v>2017</v>
      </c>
      <c r="B695" s="119" t="s">
        <v>38</v>
      </c>
      <c r="C695" s="119" t="s">
        <v>54</v>
      </c>
      <c r="D695" s="119" t="s">
        <v>55</v>
      </c>
      <c r="E695" s="119" t="s">
        <v>64</v>
      </c>
      <c r="F695" s="119" t="s">
        <v>798</v>
      </c>
      <c r="G695" s="119" t="s">
        <v>798</v>
      </c>
      <c r="H695" s="119" t="s">
        <v>798</v>
      </c>
      <c r="I695" s="163" t="s">
        <v>204</v>
      </c>
      <c r="J695" s="119" t="s">
        <v>575</v>
      </c>
      <c r="K695" s="119" t="s">
        <v>576</v>
      </c>
      <c r="L695" s="119" t="s">
        <v>798</v>
      </c>
      <c r="M695" s="119" t="s">
        <v>46</v>
      </c>
      <c r="N695" s="136">
        <v>0.03</v>
      </c>
      <c r="O695" s="135" t="s">
        <v>51</v>
      </c>
      <c r="P695" s="135"/>
      <c r="Q695" s="137">
        <v>0</v>
      </c>
      <c r="R695" s="137">
        <v>0</v>
      </c>
      <c r="S695" s="137">
        <v>13369.22</v>
      </c>
      <c r="T695" s="137">
        <f t="shared" si="123"/>
        <v>401.07659999999998</v>
      </c>
      <c r="U695" s="137">
        <f t="shared" si="127"/>
        <v>13770.2966</v>
      </c>
      <c r="V695" s="137">
        <v>30000</v>
      </c>
      <c r="W695" s="137">
        <f t="shared" si="128"/>
        <v>-16229.7034</v>
      </c>
      <c r="X695" s="137">
        <f t="shared" si="124"/>
        <v>-15756.99359223301</v>
      </c>
      <c r="Y695" s="137">
        <f t="shared" si="129"/>
        <v>-472.70980776699071</v>
      </c>
      <c r="Z695" s="137">
        <v>13770.3</v>
      </c>
      <c r="AA695" s="137">
        <f t="shared" si="125"/>
        <v>16229.7</v>
      </c>
      <c r="AB695" s="146">
        <f t="shared" si="134"/>
        <v>13369.223300970873</v>
      </c>
      <c r="AC695" s="147">
        <f t="shared" si="126"/>
        <v>401.07669902912676</v>
      </c>
      <c r="AD695" s="137">
        <f t="shared" si="135"/>
        <v>13498.713207587554</v>
      </c>
      <c r="AE695" s="138">
        <v>0.1077</v>
      </c>
      <c r="AF695" s="137">
        <f t="shared" si="136"/>
        <v>1453.8114124571796</v>
      </c>
      <c r="AG695" s="137">
        <v>1081.9846109708701</v>
      </c>
      <c r="AH695" s="154"/>
      <c r="AI695" s="154"/>
      <c r="AJ695" s="136">
        <v>0.03</v>
      </c>
      <c r="AK695" s="156">
        <v>0.03</v>
      </c>
      <c r="AM695" s="131"/>
    </row>
    <row r="696" spans="1:39" s="119" customFormat="1" ht="15" customHeight="1" x14ac:dyDescent="0.3">
      <c r="A696" s="119">
        <v>2017</v>
      </c>
      <c r="B696" s="119" t="s">
        <v>38</v>
      </c>
      <c r="C696" s="119" t="s">
        <v>54</v>
      </c>
      <c r="D696" s="119" t="s">
        <v>55</v>
      </c>
      <c r="E696" s="119" t="s">
        <v>64</v>
      </c>
      <c r="F696" s="119" t="s">
        <v>798</v>
      </c>
      <c r="G696" s="119" t="s">
        <v>798</v>
      </c>
      <c r="H696" s="119" t="s">
        <v>798</v>
      </c>
      <c r="I696" s="163" t="s">
        <v>204</v>
      </c>
      <c r="J696" s="119" t="s">
        <v>575</v>
      </c>
      <c r="K696" s="119" t="s">
        <v>576</v>
      </c>
      <c r="L696" s="119" t="s">
        <v>798</v>
      </c>
      <c r="M696" s="119" t="s">
        <v>185</v>
      </c>
      <c r="N696" s="136">
        <v>0.08</v>
      </c>
      <c r="O696" s="135" t="s">
        <v>51</v>
      </c>
      <c r="P696" s="135"/>
      <c r="Q696" s="137">
        <v>0</v>
      </c>
      <c r="R696" s="137">
        <v>0</v>
      </c>
      <c r="S696" s="137">
        <v>6785.63</v>
      </c>
      <c r="T696" s="137">
        <f t="shared" si="123"/>
        <v>542.85040000000004</v>
      </c>
      <c r="U696" s="137">
        <f t="shared" si="127"/>
        <v>7328.4804000000004</v>
      </c>
      <c r="V696" s="137">
        <v>0</v>
      </c>
      <c r="W696" s="137">
        <f t="shared" si="128"/>
        <v>7328.4804000000004</v>
      </c>
      <c r="X696" s="137">
        <f t="shared" si="124"/>
        <v>6785.63</v>
      </c>
      <c r="Y696" s="137">
        <f t="shared" si="129"/>
        <v>542.85040000000026</v>
      </c>
      <c r="Z696" s="137">
        <v>6989.2</v>
      </c>
      <c r="AA696" s="137">
        <f t="shared" si="125"/>
        <v>-6989.2</v>
      </c>
      <c r="AB696" s="146">
        <f t="shared" si="134"/>
        <v>6471.4814814814808</v>
      </c>
      <c r="AC696" s="147">
        <f t="shared" si="126"/>
        <v>517.71851851851898</v>
      </c>
      <c r="AD696" s="137">
        <f t="shared" si="135"/>
        <v>6851.354462173731</v>
      </c>
      <c r="AE696" s="138">
        <v>0.31559999999999999</v>
      </c>
      <c r="AF696" s="137">
        <f t="shared" si="136"/>
        <v>2162.2874682620295</v>
      </c>
      <c r="AG696" s="137">
        <v>1688.0730014814801</v>
      </c>
      <c r="AH696" s="154"/>
      <c r="AI696" s="154"/>
      <c r="AJ696" s="136">
        <v>0.08</v>
      </c>
      <c r="AK696" s="156">
        <v>0.08</v>
      </c>
      <c r="AM696" s="131"/>
    </row>
    <row r="697" spans="1:39" s="119" customFormat="1" ht="15" customHeight="1" x14ac:dyDescent="0.3">
      <c r="A697" s="119">
        <v>2017</v>
      </c>
      <c r="B697" s="119" t="s">
        <v>38</v>
      </c>
      <c r="C697" s="119" t="s">
        <v>54</v>
      </c>
      <c r="D697" s="119" t="s">
        <v>55</v>
      </c>
      <c r="E697" s="119" t="s">
        <v>64</v>
      </c>
      <c r="F697" s="119" t="s">
        <v>224</v>
      </c>
      <c r="G697" s="119" t="s">
        <v>224</v>
      </c>
      <c r="H697" s="119" t="s">
        <v>224</v>
      </c>
      <c r="I697" s="163" t="s">
        <v>204</v>
      </c>
      <c r="J697" s="119" t="s">
        <v>575</v>
      </c>
      <c r="K697" s="119" t="s">
        <v>576</v>
      </c>
      <c r="L697" s="119" t="s">
        <v>224</v>
      </c>
      <c r="M697" s="119" t="s">
        <v>46</v>
      </c>
      <c r="N697" s="136">
        <v>0.04</v>
      </c>
      <c r="O697" s="135" t="s">
        <v>51</v>
      </c>
      <c r="P697" s="135"/>
      <c r="Q697" s="137">
        <v>0</v>
      </c>
      <c r="R697" s="137">
        <v>0</v>
      </c>
      <c r="S697" s="137">
        <v>51439.34</v>
      </c>
      <c r="T697" s="137">
        <f t="shared" si="123"/>
        <v>2057.5735999999997</v>
      </c>
      <c r="U697" s="137">
        <f t="shared" si="127"/>
        <v>53496.9136</v>
      </c>
      <c r="V697" s="137">
        <v>71400</v>
      </c>
      <c r="W697" s="137">
        <f t="shared" si="128"/>
        <v>-17903.0864</v>
      </c>
      <c r="X697" s="137">
        <f t="shared" si="124"/>
        <v>-17214.506153846152</v>
      </c>
      <c r="Y697" s="137">
        <f t="shared" si="129"/>
        <v>-688.58024615384784</v>
      </c>
      <c r="Z697" s="137">
        <v>54185.5</v>
      </c>
      <c r="AA697" s="137">
        <f t="shared" si="125"/>
        <v>17214.5</v>
      </c>
      <c r="AB697" s="146">
        <f t="shared" si="134"/>
        <v>52101.442307692305</v>
      </c>
      <c r="AC697" s="147">
        <f t="shared" si="126"/>
        <v>2084.0576923076951</v>
      </c>
      <c r="AD697" s="137">
        <f t="shared" si="135"/>
        <v>53116.818406987171</v>
      </c>
      <c r="AE697" s="138">
        <v>0.1077</v>
      </c>
      <c r="AF697" s="137">
        <f t="shared" si="136"/>
        <v>5720.6813424325182</v>
      </c>
      <c r="AG697" s="137">
        <v>3751.7206576923099</v>
      </c>
      <c r="AH697" s="154"/>
      <c r="AI697" s="154"/>
      <c r="AJ697" s="136">
        <v>0.04</v>
      </c>
      <c r="AK697" s="156">
        <v>0.04</v>
      </c>
      <c r="AM697" s="131"/>
    </row>
    <row r="698" spans="1:39" s="119" customFormat="1" ht="15" customHeight="1" x14ac:dyDescent="0.3">
      <c r="A698" s="119">
        <v>2017</v>
      </c>
      <c r="B698" s="119" t="s">
        <v>38</v>
      </c>
      <c r="C698" s="119" t="s">
        <v>54</v>
      </c>
      <c r="D698" s="119" t="s">
        <v>102</v>
      </c>
      <c r="E698" s="119" t="s">
        <v>115</v>
      </c>
      <c r="F698" s="119" t="s">
        <v>799</v>
      </c>
      <c r="G698" s="119" t="s">
        <v>799</v>
      </c>
      <c r="H698" s="119" t="s">
        <v>799</v>
      </c>
      <c r="I698" s="163" t="s">
        <v>204</v>
      </c>
      <c r="J698" s="119" t="s">
        <v>575</v>
      </c>
      <c r="K698" s="119" t="s">
        <v>576</v>
      </c>
      <c r="L698" s="119" t="s">
        <v>800</v>
      </c>
      <c r="M698" s="119" t="s">
        <v>185</v>
      </c>
      <c r="N698" s="136">
        <v>0.15</v>
      </c>
      <c r="O698" s="135" t="s">
        <v>51</v>
      </c>
      <c r="P698" s="135"/>
      <c r="Q698" s="137">
        <v>0</v>
      </c>
      <c r="R698" s="137">
        <v>0</v>
      </c>
      <c r="S698" s="137">
        <v>1153.5999999999999</v>
      </c>
      <c r="T698" s="137">
        <f t="shared" si="123"/>
        <v>173.04</v>
      </c>
      <c r="U698" s="137">
        <f t="shared" si="127"/>
        <v>1326.6399999999999</v>
      </c>
      <c r="V698" s="137">
        <v>0</v>
      </c>
      <c r="W698" s="137">
        <f t="shared" si="128"/>
        <v>1326.6399999999999</v>
      </c>
      <c r="X698" s="137">
        <f t="shared" si="124"/>
        <v>1153.5999999999999</v>
      </c>
      <c r="Y698" s="137">
        <f t="shared" si="129"/>
        <v>173.03999999999996</v>
      </c>
      <c r="Z698" s="137">
        <v>1153.5999999999999</v>
      </c>
      <c r="AA698" s="137">
        <f t="shared" si="125"/>
        <v>-1153.5999999999999</v>
      </c>
      <c r="AB698" s="146">
        <f t="shared" si="134"/>
        <v>1003.1304347826087</v>
      </c>
      <c r="AC698" s="147">
        <f t="shared" si="126"/>
        <v>150.46956521739116</v>
      </c>
      <c r="AD698" s="137">
        <f t="shared" si="135"/>
        <v>1130.8479522067785</v>
      </c>
      <c r="AE698" s="138">
        <v>0.31559999999999999</v>
      </c>
      <c r="AF698" s="137">
        <f t="shared" si="136"/>
        <v>356.89561371645925</v>
      </c>
      <c r="AG698" s="137">
        <v>213.60659478260899</v>
      </c>
      <c r="AH698" s="154"/>
      <c r="AI698" s="154"/>
      <c r="AJ698" s="135" t="s">
        <v>662</v>
      </c>
      <c r="AK698" s="119" t="s">
        <v>662</v>
      </c>
      <c r="AM698" s="131"/>
    </row>
    <row r="699" spans="1:39" s="119" customFormat="1" ht="15" customHeight="1" x14ac:dyDescent="0.3">
      <c r="A699" s="119">
        <v>2017</v>
      </c>
      <c r="B699" s="119" t="s">
        <v>38</v>
      </c>
      <c r="C699" s="119" t="s">
        <v>54</v>
      </c>
      <c r="D699" s="119" t="s">
        <v>102</v>
      </c>
      <c r="E699" s="119" t="s">
        <v>115</v>
      </c>
      <c r="F699" s="119" t="s">
        <v>799</v>
      </c>
      <c r="G699" s="119" t="s">
        <v>799</v>
      </c>
      <c r="H699" s="119" t="s">
        <v>799</v>
      </c>
      <c r="I699" s="163" t="s">
        <v>204</v>
      </c>
      <c r="J699" s="119" t="s">
        <v>575</v>
      </c>
      <c r="K699" s="119" t="s">
        <v>576</v>
      </c>
      <c r="L699" s="119" t="s">
        <v>800</v>
      </c>
      <c r="M699" s="119" t="s">
        <v>46</v>
      </c>
      <c r="N699" s="135">
        <v>0.05</v>
      </c>
      <c r="O699" s="135" t="s">
        <v>51</v>
      </c>
      <c r="P699" s="135"/>
      <c r="Q699" s="137">
        <v>0</v>
      </c>
      <c r="R699" s="137">
        <v>0</v>
      </c>
      <c r="S699" s="137">
        <v>8846.4</v>
      </c>
      <c r="T699" s="137">
        <f t="shared" si="123"/>
        <v>442.32</v>
      </c>
      <c r="U699" s="137">
        <f t="shared" si="127"/>
        <v>9288.7199999999993</v>
      </c>
      <c r="V699" s="137">
        <v>10000</v>
      </c>
      <c r="W699" s="137">
        <f t="shared" si="128"/>
        <v>-711.28000000000065</v>
      </c>
      <c r="X699" s="137">
        <f t="shared" si="124"/>
        <v>-677.40952380952444</v>
      </c>
      <c r="Y699" s="137">
        <f t="shared" si="129"/>
        <v>-33.870476190476211</v>
      </c>
      <c r="Z699" s="137">
        <v>8846.4</v>
      </c>
      <c r="AA699" s="137">
        <f t="shared" si="125"/>
        <v>1153.6000000000004</v>
      </c>
      <c r="AB699" s="146">
        <f t="shared" si="134"/>
        <v>8425.1428571428569</v>
      </c>
      <c r="AC699" s="147">
        <f t="shared" si="126"/>
        <v>421.25714285714275</v>
      </c>
      <c r="AD699" s="137">
        <f t="shared" si="135"/>
        <v>8671.9255586009403</v>
      </c>
      <c r="AE699" s="138">
        <v>0.1077</v>
      </c>
      <c r="AF699" s="137">
        <f t="shared" si="136"/>
        <v>933.96638266132129</v>
      </c>
      <c r="AG699" s="137">
        <v>531.50013714285706</v>
      </c>
      <c r="AH699" s="154"/>
      <c r="AI699" s="154"/>
      <c r="AJ699" s="135" t="s">
        <v>63</v>
      </c>
      <c r="AK699" s="119" t="s">
        <v>63</v>
      </c>
      <c r="AM699" s="131"/>
    </row>
    <row r="700" spans="1:39" s="119" customFormat="1" ht="15" customHeight="1" x14ac:dyDescent="0.3">
      <c r="A700" s="119">
        <v>2017</v>
      </c>
      <c r="B700" s="119" t="s">
        <v>38</v>
      </c>
      <c r="C700" s="119" t="s">
        <v>54</v>
      </c>
      <c r="D700" s="119" t="s">
        <v>102</v>
      </c>
      <c r="E700" s="119" t="s">
        <v>115</v>
      </c>
      <c r="F700" s="119" t="s">
        <v>116</v>
      </c>
      <c r="G700" s="119" t="s">
        <v>116</v>
      </c>
      <c r="H700" s="119" t="s">
        <v>116</v>
      </c>
      <c r="I700" s="163" t="s">
        <v>204</v>
      </c>
      <c r="J700" s="119" t="s">
        <v>575</v>
      </c>
      <c r="K700" s="119" t="s">
        <v>576</v>
      </c>
      <c r="L700" s="119" t="s">
        <v>801</v>
      </c>
      <c r="M700" s="119" t="s">
        <v>46</v>
      </c>
      <c r="N700" s="136">
        <v>7.0000000000000007E-2</v>
      </c>
      <c r="O700" s="135" t="s">
        <v>51</v>
      </c>
      <c r="P700" s="135"/>
      <c r="Q700" s="137">
        <v>0</v>
      </c>
      <c r="R700" s="137">
        <v>0</v>
      </c>
      <c r="S700" s="137">
        <v>27378.1</v>
      </c>
      <c r="T700" s="137">
        <f t="shared" si="123"/>
        <v>1916.4670000000001</v>
      </c>
      <c r="U700" s="137">
        <f t="shared" si="127"/>
        <v>29294.566999999999</v>
      </c>
      <c r="V700" s="137">
        <v>40000</v>
      </c>
      <c r="W700" s="137">
        <f t="shared" si="128"/>
        <v>-10705.433000000001</v>
      </c>
      <c r="X700" s="137">
        <f t="shared" si="124"/>
        <v>-10005.077570093457</v>
      </c>
      <c r="Y700" s="137">
        <f t="shared" si="129"/>
        <v>-700.35542990654358</v>
      </c>
      <c r="Z700" s="137">
        <v>28747</v>
      </c>
      <c r="AA700" s="137">
        <f t="shared" si="125"/>
        <v>11253</v>
      </c>
      <c r="AB700" s="146">
        <f t="shared" si="134"/>
        <v>26866.355140186915</v>
      </c>
      <c r="AC700" s="147">
        <f t="shared" si="126"/>
        <v>1880.6448598130846</v>
      </c>
      <c r="AD700" s="137">
        <f t="shared" si="135"/>
        <v>28180.03301151895</v>
      </c>
      <c r="AE700" s="138">
        <v>0.1077</v>
      </c>
      <c r="AF700" s="137">
        <f t="shared" si="136"/>
        <v>3034.9895553405909</v>
      </c>
      <c r="AG700" s="137">
        <v>1215.4070401869201</v>
      </c>
      <c r="AH700" s="154"/>
      <c r="AI700" s="154"/>
      <c r="AJ700" s="135" t="s">
        <v>509</v>
      </c>
      <c r="AK700" s="119" t="s">
        <v>509</v>
      </c>
      <c r="AM700" s="131"/>
    </row>
    <row r="701" spans="1:39" s="119" customFormat="1" ht="15" customHeight="1" x14ac:dyDescent="0.3">
      <c r="A701" s="119">
        <v>2017</v>
      </c>
      <c r="B701" s="119" t="s">
        <v>38</v>
      </c>
      <c r="C701" s="119" t="s">
        <v>54</v>
      </c>
      <c r="D701" s="119" t="s">
        <v>102</v>
      </c>
      <c r="E701" s="119" t="s">
        <v>115</v>
      </c>
      <c r="F701" s="119" t="s">
        <v>802</v>
      </c>
      <c r="G701" s="119" t="s">
        <v>802</v>
      </c>
      <c r="H701" s="119" t="s">
        <v>802</v>
      </c>
      <c r="I701" s="163" t="s">
        <v>204</v>
      </c>
      <c r="J701" s="119" t="s">
        <v>603</v>
      </c>
      <c r="K701" s="119" t="s">
        <v>639</v>
      </c>
      <c r="L701" s="119" t="s">
        <v>802</v>
      </c>
      <c r="M701" s="119" t="s">
        <v>46</v>
      </c>
      <c r="N701" s="136">
        <v>0.02</v>
      </c>
      <c r="O701" s="135" t="s">
        <v>51</v>
      </c>
      <c r="P701" s="135"/>
      <c r="Q701" s="137">
        <v>0</v>
      </c>
      <c r="R701" s="137">
        <v>0</v>
      </c>
      <c r="S701" s="137">
        <v>10000</v>
      </c>
      <c r="T701" s="137">
        <f t="shared" si="123"/>
        <v>200</v>
      </c>
      <c r="U701" s="137">
        <f t="shared" si="127"/>
        <v>10200</v>
      </c>
      <c r="V701" s="137">
        <v>10000</v>
      </c>
      <c r="W701" s="137">
        <f t="shared" si="128"/>
        <v>200</v>
      </c>
      <c r="X701" s="137">
        <f t="shared" si="124"/>
        <v>196.07843137254901</v>
      </c>
      <c r="Y701" s="137">
        <f t="shared" si="129"/>
        <v>3.9215686274509949</v>
      </c>
      <c r="Z701" s="137">
        <v>10000</v>
      </c>
      <c r="AA701" s="137">
        <f t="shared" si="125"/>
        <v>0</v>
      </c>
      <c r="AB701" s="146">
        <f t="shared" si="134"/>
        <v>9803.9215686274511</v>
      </c>
      <c r="AC701" s="147">
        <f t="shared" si="126"/>
        <v>196.07843137254895</v>
      </c>
      <c r="AD701" s="137">
        <v>10000</v>
      </c>
      <c r="AE701" s="138">
        <v>7.0000000000000007E-2</v>
      </c>
      <c r="AF701" s="137">
        <f t="shared" si="136"/>
        <v>700.00000000000011</v>
      </c>
      <c r="AG701" s="137">
        <v>503.92156862745099</v>
      </c>
      <c r="AH701" s="154"/>
      <c r="AI701" s="154"/>
      <c r="AJ701" s="135" t="s">
        <v>173</v>
      </c>
      <c r="AK701" s="119" t="s">
        <v>173</v>
      </c>
      <c r="AM701" s="131"/>
    </row>
    <row r="702" spans="1:39" s="119" customFormat="1" ht="15" customHeight="1" x14ac:dyDescent="0.3">
      <c r="A702" s="119">
        <v>2017</v>
      </c>
      <c r="B702" s="119" t="s">
        <v>199</v>
      </c>
      <c r="C702" s="119" t="s">
        <v>54</v>
      </c>
      <c r="D702" s="119" t="s">
        <v>102</v>
      </c>
      <c r="E702" s="119" t="s">
        <v>103</v>
      </c>
      <c r="F702" s="119" t="s">
        <v>514</v>
      </c>
      <c r="G702" s="119" t="s">
        <v>803</v>
      </c>
      <c r="H702" s="119" t="s">
        <v>516</v>
      </c>
      <c r="I702" s="163" t="s">
        <v>204</v>
      </c>
      <c r="J702" s="119" t="s">
        <v>575</v>
      </c>
      <c r="K702" s="119" t="s">
        <v>576</v>
      </c>
      <c r="L702" s="119" t="s">
        <v>804</v>
      </c>
      <c r="M702" s="119" t="s">
        <v>46</v>
      </c>
      <c r="N702" s="136">
        <v>0.03</v>
      </c>
      <c r="O702" s="135" t="s">
        <v>51</v>
      </c>
      <c r="P702" s="135"/>
      <c r="Q702" s="137">
        <v>13240.02</v>
      </c>
      <c r="R702" s="137">
        <v>0</v>
      </c>
      <c r="S702" s="137">
        <v>445235.56</v>
      </c>
      <c r="T702" s="137">
        <f t="shared" si="123"/>
        <v>13357.066799999999</v>
      </c>
      <c r="U702" s="137">
        <f t="shared" si="127"/>
        <v>458592.62679999997</v>
      </c>
      <c r="V702" s="137">
        <v>536221.44999999995</v>
      </c>
      <c r="W702" s="137">
        <f t="shared" si="128"/>
        <v>-77628.823199999984</v>
      </c>
      <c r="X702" s="137">
        <f t="shared" si="124"/>
        <v>-75367.78951456309</v>
      </c>
      <c r="Y702" s="137">
        <f t="shared" si="129"/>
        <v>-2261.0336854368943</v>
      </c>
      <c r="Z702" s="137">
        <v>360025.06</v>
      </c>
      <c r="AA702" s="137">
        <f t="shared" si="125"/>
        <v>189436.40999999997</v>
      </c>
      <c r="AB702" s="146">
        <f>IF(O702="返货",(Z702-Q702)/(1+N702),IF(O702="返现",(Z702-Q702),IF(O702="折扣",(Z702-Q702)*N702,IF(O702="无",(Z702-Q702)))))</f>
        <v>336684.50485436892</v>
      </c>
      <c r="AC702" s="147">
        <f t="shared" si="126"/>
        <v>23340.555145631079</v>
      </c>
      <c r="AD702" s="137">
        <f t="shared" ref="AD702:AD714" si="137">Z702*0.980277351080772</f>
        <v>352924.41213949601</v>
      </c>
      <c r="AE702" s="138">
        <v>0.1077</v>
      </c>
      <c r="AF702" s="137">
        <f t="shared" si="136"/>
        <v>38009.959187423723</v>
      </c>
      <c r="AG702" s="137">
        <v>28288.532165883498</v>
      </c>
      <c r="AH702" s="154"/>
      <c r="AI702" s="154"/>
      <c r="AJ702" s="135" t="s">
        <v>189</v>
      </c>
      <c r="AK702" s="119" t="s">
        <v>189</v>
      </c>
      <c r="AM702" s="131"/>
    </row>
    <row r="703" spans="1:39" s="119" customFormat="1" ht="15" customHeight="1" x14ac:dyDescent="0.3">
      <c r="A703" s="119">
        <v>2017</v>
      </c>
      <c r="B703" s="119" t="s">
        <v>199</v>
      </c>
      <c r="C703" s="119" t="s">
        <v>54</v>
      </c>
      <c r="D703" s="119" t="s">
        <v>102</v>
      </c>
      <c r="E703" s="119" t="s">
        <v>103</v>
      </c>
      <c r="F703" s="119" t="s">
        <v>514</v>
      </c>
      <c r="G703" s="119" t="s">
        <v>803</v>
      </c>
      <c r="H703" s="119" t="s">
        <v>516</v>
      </c>
      <c r="I703" s="163" t="s">
        <v>204</v>
      </c>
      <c r="J703" s="119" t="s">
        <v>575</v>
      </c>
      <c r="K703" s="119" t="s">
        <v>576</v>
      </c>
      <c r="L703" s="119" t="s">
        <v>804</v>
      </c>
      <c r="M703" s="119" t="s">
        <v>185</v>
      </c>
      <c r="N703" s="136">
        <v>0.09</v>
      </c>
      <c r="O703" s="135" t="s">
        <v>51</v>
      </c>
      <c r="P703" s="135"/>
      <c r="Q703" s="137">
        <v>36600.32</v>
      </c>
      <c r="R703" s="137">
        <v>0</v>
      </c>
      <c r="S703" s="137">
        <v>182712.42</v>
      </c>
      <c r="T703" s="137">
        <f t="shared" si="123"/>
        <v>16444.1178</v>
      </c>
      <c r="U703" s="137">
        <f t="shared" si="127"/>
        <v>199156.53780000002</v>
      </c>
      <c r="V703" s="137">
        <v>0</v>
      </c>
      <c r="W703" s="137">
        <f t="shared" si="128"/>
        <v>199156.53780000002</v>
      </c>
      <c r="X703" s="137">
        <f t="shared" si="124"/>
        <v>182712.42</v>
      </c>
      <c r="Y703" s="137">
        <f t="shared" si="129"/>
        <v>16444.117800000007</v>
      </c>
      <c r="Z703" s="137">
        <v>219584.71</v>
      </c>
      <c r="AA703" s="137">
        <f t="shared" si="125"/>
        <v>-182984.38999999998</v>
      </c>
      <c r="AB703" s="146">
        <f>IF(O703="返货",(Z703-Q703)/(1+N703),IF(O703="返现",(Z703-Q703),IF(O703="折扣",(Z703-Q703)*N703,IF(O703="无",(Z703-Q703)))))</f>
        <v>167875.58715596327</v>
      </c>
      <c r="AC703" s="147">
        <f t="shared" si="126"/>
        <v>51709.122844036727</v>
      </c>
      <c r="AD703" s="137">
        <f t="shared" si="137"/>
        <v>215253.91785663948</v>
      </c>
      <c r="AE703" s="138">
        <v>0.31559999999999999</v>
      </c>
      <c r="AF703" s="137">
        <f t="shared" si="136"/>
        <v>67934.136475555424</v>
      </c>
      <c r="AG703" s="137">
        <v>51170.086861321099</v>
      </c>
      <c r="AH703" s="154"/>
      <c r="AI703" s="154"/>
      <c r="AJ703" s="135" t="s">
        <v>238</v>
      </c>
      <c r="AK703" s="119" t="s">
        <v>238</v>
      </c>
      <c r="AM703" s="131"/>
    </row>
    <row r="704" spans="1:39" s="119" customFormat="1" ht="15" customHeight="1" x14ac:dyDescent="0.3">
      <c r="A704" s="119">
        <v>2017</v>
      </c>
      <c r="B704" s="119" t="s">
        <v>199</v>
      </c>
      <c r="C704" s="119" t="s">
        <v>54</v>
      </c>
      <c r="D704" s="119" t="s">
        <v>102</v>
      </c>
      <c r="E704" s="119" t="s">
        <v>103</v>
      </c>
      <c r="F704" s="119" t="s">
        <v>805</v>
      </c>
      <c r="G704" s="119" t="s">
        <v>806</v>
      </c>
      <c r="H704" s="119" t="s">
        <v>807</v>
      </c>
      <c r="I704" s="163" t="s">
        <v>204</v>
      </c>
      <c r="J704" s="119" t="s">
        <v>575</v>
      </c>
      <c r="K704" s="119" t="s">
        <v>576</v>
      </c>
      <c r="L704" s="119" t="s">
        <v>805</v>
      </c>
      <c r="M704" s="119" t="s">
        <v>46</v>
      </c>
      <c r="N704" s="136">
        <v>0.03</v>
      </c>
      <c r="O704" s="135" t="s">
        <v>51</v>
      </c>
      <c r="P704" s="135"/>
      <c r="Q704" s="137">
        <v>0</v>
      </c>
      <c r="R704" s="137">
        <v>0</v>
      </c>
      <c r="S704" s="137">
        <v>80000</v>
      </c>
      <c r="T704" s="137">
        <f t="shared" si="123"/>
        <v>2400</v>
      </c>
      <c r="U704" s="137">
        <f t="shared" si="127"/>
        <v>82400</v>
      </c>
      <c r="V704" s="137">
        <v>19380.7</v>
      </c>
      <c r="W704" s="137">
        <f t="shared" si="128"/>
        <v>63019.3</v>
      </c>
      <c r="X704" s="137">
        <f t="shared" si="124"/>
        <v>61183.786407766995</v>
      </c>
      <c r="Y704" s="137">
        <f t="shared" si="129"/>
        <v>1835.5135922330082</v>
      </c>
      <c r="Z704" s="137">
        <v>12473.4</v>
      </c>
      <c r="AA704" s="137">
        <f t="shared" si="125"/>
        <v>6907.3000000000011</v>
      </c>
      <c r="AB704" s="146">
        <f>IF(O704="返货",Z704/(1+N704),IF(O704="返现",Z704,IF(O704="折扣",Z704*N704,IF(O704="无",Z704))))</f>
        <v>12110.097087378641</v>
      </c>
      <c r="AC704" s="147">
        <f t="shared" si="126"/>
        <v>363.3029126213587</v>
      </c>
      <c r="AD704" s="137">
        <f t="shared" si="137"/>
        <v>12227.391510970901</v>
      </c>
      <c r="AE704" s="138">
        <v>0.1077</v>
      </c>
      <c r="AF704" s="137">
        <f t="shared" si="136"/>
        <v>1316.8900657315662</v>
      </c>
      <c r="AG704" s="137">
        <v>980.08226737864095</v>
      </c>
      <c r="AH704" s="154"/>
      <c r="AI704" s="154"/>
      <c r="AJ704" s="135" t="s">
        <v>189</v>
      </c>
      <c r="AK704" s="119" t="s">
        <v>189</v>
      </c>
      <c r="AM704" s="131"/>
    </row>
    <row r="705" spans="1:39" s="119" customFormat="1" ht="15" customHeight="1" x14ac:dyDescent="0.3">
      <c r="A705" s="119">
        <v>2017</v>
      </c>
      <c r="B705" s="119" t="s">
        <v>199</v>
      </c>
      <c r="C705" s="119" t="s">
        <v>54</v>
      </c>
      <c r="D705" s="119" t="s">
        <v>102</v>
      </c>
      <c r="E705" s="119" t="s">
        <v>103</v>
      </c>
      <c r="F705" s="119" t="s">
        <v>805</v>
      </c>
      <c r="G705" s="119" t="s">
        <v>806</v>
      </c>
      <c r="H705" s="119" t="s">
        <v>807</v>
      </c>
      <c r="I705" s="163" t="s">
        <v>204</v>
      </c>
      <c r="J705" s="119" t="s">
        <v>575</v>
      </c>
      <c r="K705" s="119" t="s">
        <v>576</v>
      </c>
      <c r="L705" s="119" t="s">
        <v>805</v>
      </c>
      <c r="M705" s="119" t="s">
        <v>160</v>
      </c>
      <c r="N705" s="135">
        <v>0</v>
      </c>
      <c r="O705" s="135" t="s">
        <v>47</v>
      </c>
      <c r="P705" s="135"/>
      <c r="Q705" s="137">
        <v>0</v>
      </c>
      <c r="R705" s="137">
        <v>0</v>
      </c>
      <c r="S705" s="137">
        <v>50000</v>
      </c>
      <c r="T705" s="137">
        <f t="shared" si="123"/>
        <v>0</v>
      </c>
      <c r="U705" s="137">
        <f t="shared" si="127"/>
        <v>50000</v>
      </c>
      <c r="V705" s="137">
        <v>69354.84</v>
      </c>
      <c r="W705" s="137">
        <f t="shared" si="128"/>
        <v>-19354.839999999997</v>
      </c>
      <c r="X705" s="137">
        <f t="shared" si="124"/>
        <v>-19354.839999999997</v>
      </c>
      <c r="Y705" s="137">
        <f t="shared" si="129"/>
        <v>0</v>
      </c>
      <c r="Z705" s="137">
        <v>69354.84</v>
      </c>
      <c r="AA705" s="137">
        <f t="shared" si="125"/>
        <v>0</v>
      </c>
      <c r="AB705" s="146">
        <f>IF(O705="返货",Z705/(1+N705),IF(O705="返现",Z705,IF(O705="折扣",Z705*N705,IF(O705="无",Z705))))</f>
        <v>69354.84</v>
      </c>
      <c r="AC705" s="147">
        <f t="shared" si="126"/>
        <v>0</v>
      </c>
      <c r="AD705" s="137">
        <f t="shared" si="137"/>
        <v>67986.978839830757</v>
      </c>
      <c r="AE705" s="138">
        <v>0.1077</v>
      </c>
      <c r="AF705" s="137">
        <f t="shared" si="136"/>
        <v>7322.1976210497733</v>
      </c>
      <c r="AG705" s="137">
        <v>7469.5162680000003</v>
      </c>
      <c r="AH705" s="154"/>
      <c r="AI705" s="154"/>
      <c r="AJ705" s="135" t="s">
        <v>47</v>
      </c>
      <c r="AK705" s="119" t="s">
        <v>47</v>
      </c>
      <c r="AM705" s="131"/>
    </row>
    <row r="706" spans="1:39" s="119" customFormat="1" ht="15" customHeight="1" x14ac:dyDescent="0.3">
      <c r="A706" s="119">
        <v>2017</v>
      </c>
      <c r="B706" s="119" t="s">
        <v>199</v>
      </c>
      <c r="C706" s="119" t="s">
        <v>54</v>
      </c>
      <c r="D706" s="119" t="s">
        <v>102</v>
      </c>
      <c r="E706" s="119" t="s">
        <v>103</v>
      </c>
      <c r="F706" s="119" t="s">
        <v>389</v>
      </c>
      <c r="G706" s="119" t="s">
        <v>390</v>
      </c>
      <c r="H706" s="119" t="s">
        <v>391</v>
      </c>
      <c r="I706" s="163" t="s">
        <v>204</v>
      </c>
      <c r="J706" s="119" t="s">
        <v>575</v>
      </c>
      <c r="K706" s="119" t="s">
        <v>576</v>
      </c>
      <c r="L706" s="119" t="s">
        <v>808</v>
      </c>
      <c r="M706" s="119" t="s">
        <v>595</v>
      </c>
      <c r="N706" s="136">
        <v>0</v>
      </c>
      <c r="O706" s="135" t="s">
        <v>47</v>
      </c>
      <c r="P706" s="135"/>
      <c r="Q706" s="137">
        <v>0</v>
      </c>
      <c r="R706" s="137">
        <v>0</v>
      </c>
      <c r="S706" s="137">
        <v>81900</v>
      </c>
      <c r="T706" s="137">
        <f t="shared" ref="T706:T769" si="138">S706*N706</f>
        <v>0</v>
      </c>
      <c r="U706" s="137">
        <f t="shared" si="127"/>
        <v>81900</v>
      </c>
      <c r="V706" s="137">
        <v>81900</v>
      </c>
      <c r="W706" s="137">
        <f t="shared" si="128"/>
        <v>0</v>
      </c>
      <c r="X706" s="137">
        <f t="shared" ref="X706:X769" si="139">W706/(1+N706)</f>
        <v>0</v>
      </c>
      <c r="Y706" s="137">
        <f t="shared" si="129"/>
        <v>0</v>
      </c>
      <c r="Z706" s="137">
        <v>81900</v>
      </c>
      <c r="AA706" s="137">
        <f t="shared" ref="AA706:AA769" si="140">Q706+V706-Z706</f>
        <v>0</v>
      </c>
      <c r="AB706" s="146">
        <f>IF(O706="返货",Z706/(1+N706),IF(O706="返现",Z706,IF(O706="折扣",Z706*N706,IF(O706="无",Z706))))</f>
        <v>81900</v>
      </c>
      <c r="AC706" s="147">
        <f t="shared" ref="AC706:AC769" si="141">IF(O706="返现",Z706*N706,Z706-AB706)</f>
        <v>0</v>
      </c>
      <c r="AD706" s="137">
        <f t="shared" si="137"/>
        <v>80284.715053515218</v>
      </c>
      <c r="AE706" s="138">
        <v>0.35339999999999999</v>
      </c>
      <c r="AF706" s="137">
        <f t="shared" si="136"/>
        <v>28372.618299912276</v>
      </c>
      <c r="AG706" s="137">
        <v>28943.46</v>
      </c>
      <c r="AH706" s="154"/>
      <c r="AI706" s="154"/>
      <c r="AJ706" s="136">
        <v>1</v>
      </c>
      <c r="AK706" s="156">
        <v>1</v>
      </c>
      <c r="AM706" s="131"/>
    </row>
    <row r="707" spans="1:39" s="119" customFormat="1" ht="15" customHeight="1" x14ac:dyDescent="0.3">
      <c r="A707" s="119">
        <v>2017</v>
      </c>
      <c r="B707" s="119" t="s">
        <v>199</v>
      </c>
      <c r="C707" s="119" t="s">
        <v>54</v>
      </c>
      <c r="D707" s="119" t="s">
        <v>102</v>
      </c>
      <c r="E707" s="119" t="s">
        <v>103</v>
      </c>
      <c r="F707" s="119" t="s">
        <v>389</v>
      </c>
      <c r="G707" s="119" t="s">
        <v>390</v>
      </c>
      <c r="H707" s="119" t="s">
        <v>391</v>
      </c>
      <c r="I707" s="163" t="s">
        <v>204</v>
      </c>
      <c r="J707" s="119" t="s">
        <v>575</v>
      </c>
      <c r="K707" s="119" t="s">
        <v>576</v>
      </c>
      <c r="L707" s="119" t="s">
        <v>808</v>
      </c>
      <c r="M707" s="119" t="s">
        <v>46</v>
      </c>
      <c r="N707" s="136">
        <v>0.03</v>
      </c>
      <c r="O707" s="135" t="s">
        <v>51</v>
      </c>
      <c r="P707" s="135"/>
      <c r="Q707" s="137">
        <v>75999.915999999997</v>
      </c>
      <c r="R707" s="137">
        <v>0</v>
      </c>
      <c r="S707" s="137">
        <v>4857433.93</v>
      </c>
      <c r="T707" s="137">
        <f t="shared" si="138"/>
        <v>145723.01789999998</v>
      </c>
      <c r="U707" s="137">
        <f t="shared" ref="U707:U770" si="142">R707+S707+T707</f>
        <v>5003156.9479</v>
      </c>
      <c r="V707" s="137">
        <v>5595569.1699999999</v>
      </c>
      <c r="W707" s="137">
        <f t="shared" ref="W707:W770" si="143">U707-V707</f>
        <v>-592412.2220999999</v>
      </c>
      <c r="X707" s="137">
        <f t="shared" si="139"/>
        <v>-575157.49718446587</v>
      </c>
      <c r="Y707" s="137">
        <f t="shared" ref="Y707:Y770" si="144">W707-X707</f>
        <v>-17254.724915534025</v>
      </c>
      <c r="Z707" s="137">
        <v>4919186.9800000004</v>
      </c>
      <c r="AA707" s="137">
        <f t="shared" si="140"/>
        <v>752382.10599999968</v>
      </c>
      <c r="AB707" s="146">
        <f>IF(O707="返货",(Z707-Q707)/(1+N707),IF(O707="返现",(Z707-Q707),IF(O707="折扣",(Z707-Q707)*N707,IF(O707="无",(Z707-Q707)))))</f>
        <v>4702123.3631067965</v>
      </c>
      <c r="AC707" s="147">
        <f t="shared" si="141"/>
        <v>217063.61689320393</v>
      </c>
      <c r="AD707" s="137">
        <f t="shared" si="137"/>
        <v>4822167.5822254224</v>
      </c>
      <c r="AE707" s="138">
        <v>0.1077</v>
      </c>
      <c r="AF707" s="137">
        <f t="shared" si="136"/>
        <v>519347.44860567799</v>
      </c>
      <c r="AG707" s="137">
        <v>386519.14706638799</v>
      </c>
      <c r="AH707" s="154"/>
      <c r="AI707" s="154"/>
      <c r="AJ707" s="135" t="s">
        <v>189</v>
      </c>
      <c r="AK707" s="119" t="s">
        <v>189</v>
      </c>
      <c r="AM707" s="131"/>
    </row>
    <row r="708" spans="1:39" s="119" customFormat="1" ht="15" customHeight="1" x14ac:dyDescent="0.3">
      <c r="A708" s="119">
        <v>2017</v>
      </c>
      <c r="B708" s="119" t="s">
        <v>199</v>
      </c>
      <c r="C708" s="119" t="s">
        <v>54</v>
      </c>
      <c r="D708" s="119" t="s">
        <v>102</v>
      </c>
      <c r="E708" s="119" t="s">
        <v>103</v>
      </c>
      <c r="F708" s="119" t="s">
        <v>389</v>
      </c>
      <c r="G708" s="119" t="s">
        <v>390</v>
      </c>
      <c r="H708" s="119" t="s">
        <v>391</v>
      </c>
      <c r="I708" s="163" t="s">
        <v>204</v>
      </c>
      <c r="J708" s="119" t="s">
        <v>575</v>
      </c>
      <c r="K708" s="119" t="s">
        <v>576</v>
      </c>
      <c r="L708" s="119" t="s">
        <v>808</v>
      </c>
      <c r="M708" s="119" t="s">
        <v>185</v>
      </c>
      <c r="N708" s="136">
        <v>0.09</v>
      </c>
      <c r="O708" s="135" t="s">
        <v>51</v>
      </c>
      <c r="P708" s="135"/>
      <c r="Q708" s="137">
        <v>28783.919040000001</v>
      </c>
      <c r="R708" s="137">
        <v>0</v>
      </c>
      <c r="S708" s="137">
        <v>560356.05000000005</v>
      </c>
      <c r="T708" s="137">
        <f t="shared" si="138"/>
        <v>50432.044500000004</v>
      </c>
      <c r="U708" s="137">
        <f t="shared" si="142"/>
        <v>610788.09450000001</v>
      </c>
      <c r="V708" s="137">
        <v>0</v>
      </c>
      <c r="W708" s="137">
        <f t="shared" si="143"/>
        <v>610788.09450000001</v>
      </c>
      <c r="X708" s="137">
        <f t="shared" si="139"/>
        <v>560356.04999999993</v>
      </c>
      <c r="Y708" s="137">
        <f t="shared" si="144"/>
        <v>50432.044500000076</v>
      </c>
      <c r="Z708" s="137">
        <v>573004.94999999995</v>
      </c>
      <c r="AA708" s="137">
        <f t="shared" si="140"/>
        <v>-544221.03096</v>
      </c>
      <c r="AB708" s="146">
        <f>IF(O708="返货",(Z708-Q708)/(1+N708),IF(O708="返现",(Z708-Q708),IF(O708="折扣",(Z708-Q708)*N708,IF(O708="无",(Z708-Q708)))))</f>
        <v>499285.34950458712</v>
      </c>
      <c r="AC708" s="147">
        <f t="shared" si="141"/>
        <v>73719.600495412829</v>
      </c>
      <c r="AD708" s="137">
        <f t="shared" si="137"/>
        <v>561703.77454217011</v>
      </c>
      <c r="AE708" s="138">
        <v>0.31559999999999999</v>
      </c>
      <c r="AF708" s="137">
        <f t="shared" si="136"/>
        <v>177273.71124550889</v>
      </c>
      <c r="AG708" s="137">
        <v>133528.026898899</v>
      </c>
      <c r="AH708" s="154"/>
      <c r="AI708" s="154"/>
      <c r="AJ708" s="135" t="s">
        <v>238</v>
      </c>
      <c r="AK708" s="119" t="s">
        <v>238</v>
      </c>
      <c r="AM708" s="131"/>
    </row>
    <row r="709" spans="1:39" s="119" customFormat="1" ht="15" customHeight="1" x14ac:dyDescent="0.3">
      <c r="A709" s="119">
        <v>2017</v>
      </c>
      <c r="B709" s="119" t="s">
        <v>199</v>
      </c>
      <c r="C709" s="119" t="s">
        <v>54</v>
      </c>
      <c r="D709" s="119" t="s">
        <v>102</v>
      </c>
      <c r="E709" s="119" t="s">
        <v>103</v>
      </c>
      <c r="F709" s="119" t="s">
        <v>389</v>
      </c>
      <c r="G709" s="119" t="s">
        <v>390</v>
      </c>
      <c r="H709" s="119" t="s">
        <v>391</v>
      </c>
      <c r="I709" s="163" t="s">
        <v>204</v>
      </c>
      <c r="J709" s="119" t="s">
        <v>575</v>
      </c>
      <c r="K709" s="119" t="s">
        <v>576</v>
      </c>
      <c r="L709" s="119" t="s">
        <v>808</v>
      </c>
      <c r="M709" s="119" t="s">
        <v>160</v>
      </c>
      <c r="N709" s="135">
        <v>0</v>
      </c>
      <c r="O709" s="135" t="s">
        <v>47</v>
      </c>
      <c r="P709" s="135"/>
      <c r="Q709" s="137">
        <v>0</v>
      </c>
      <c r="R709" s="137">
        <v>0</v>
      </c>
      <c r="S709" s="137">
        <v>269354.84000000003</v>
      </c>
      <c r="T709" s="137">
        <f t="shared" si="138"/>
        <v>0</v>
      </c>
      <c r="U709" s="137">
        <f t="shared" si="142"/>
        <v>269354.84000000003</v>
      </c>
      <c r="V709" s="137">
        <v>266129.03000000003</v>
      </c>
      <c r="W709" s="137">
        <f t="shared" si="143"/>
        <v>3225.8099999999977</v>
      </c>
      <c r="X709" s="137">
        <f t="shared" si="139"/>
        <v>3225.8099999999977</v>
      </c>
      <c r="Y709" s="137">
        <f t="shared" si="144"/>
        <v>0</v>
      </c>
      <c r="Z709" s="137">
        <v>266129.03000000003</v>
      </c>
      <c r="AA709" s="137">
        <f t="shared" si="140"/>
        <v>0</v>
      </c>
      <c r="AB709" s="146">
        <f>IF(O709="返货",Z709/(1+N709),IF(O709="返现",Z709,IF(O709="折扣",Z709*N709,IF(O709="无",Z709))))</f>
        <v>266129.03000000003</v>
      </c>
      <c r="AC709" s="147">
        <f t="shared" si="141"/>
        <v>0</v>
      </c>
      <c r="AD709" s="137">
        <f t="shared" si="137"/>
        <v>260880.26057409533</v>
      </c>
      <c r="AE709" s="138">
        <v>0.1077</v>
      </c>
      <c r="AF709" s="137">
        <f t="shared" si="136"/>
        <v>28096.804063830066</v>
      </c>
      <c r="AG709" s="137">
        <v>28662.096530999999</v>
      </c>
      <c r="AH709" s="154"/>
      <c r="AI709" s="154"/>
      <c r="AJ709" s="135" t="s">
        <v>47</v>
      </c>
      <c r="AK709" s="119" t="s">
        <v>47</v>
      </c>
      <c r="AM709" s="131"/>
    </row>
    <row r="710" spans="1:39" s="119" customFormat="1" ht="15" customHeight="1" x14ac:dyDescent="0.3">
      <c r="A710" s="119">
        <v>2017</v>
      </c>
      <c r="B710" s="119" t="s">
        <v>38</v>
      </c>
      <c r="C710" s="119" t="s">
        <v>54</v>
      </c>
      <c r="D710" s="119" t="s">
        <v>102</v>
      </c>
      <c r="E710" s="119" t="s">
        <v>103</v>
      </c>
      <c r="F710" s="119" t="s">
        <v>395</v>
      </c>
      <c r="G710" s="119" t="s">
        <v>395</v>
      </c>
      <c r="H710" s="119" t="s">
        <v>395</v>
      </c>
      <c r="I710" s="163" t="s">
        <v>204</v>
      </c>
      <c r="J710" s="119" t="s">
        <v>575</v>
      </c>
      <c r="K710" s="119" t="s">
        <v>576</v>
      </c>
      <c r="L710" s="119" t="s">
        <v>395</v>
      </c>
      <c r="M710" s="119" t="s">
        <v>46</v>
      </c>
      <c r="N710" s="136">
        <v>0.02</v>
      </c>
      <c r="O710" s="135" t="s">
        <v>51</v>
      </c>
      <c r="P710" s="135"/>
      <c r="Q710" s="137">
        <v>0</v>
      </c>
      <c r="R710" s="137">
        <v>0</v>
      </c>
      <c r="S710" s="137">
        <v>10114926.99</v>
      </c>
      <c r="T710" s="137">
        <f t="shared" si="138"/>
        <v>202298.5398</v>
      </c>
      <c r="U710" s="137">
        <f t="shared" si="142"/>
        <v>10317225.5298</v>
      </c>
      <c r="V710" s="137">
        <v>11520483.859999999</v>
      </c>
      <c r="W710" s="137">
        <f t="shared" si="143"/>
        <v>-1203258.3301999997</v>
      </c>
      <c r="X710" s="137">
        <f t="shared" si="139"/>
        <v>-1179665.0296078429</v>
      </c>
      <c r="Y710" s="137">
        <f t="shared" si="144"/>
        <v>-23593.300592156826</v>
      </c>
      <c r="Z710" s="137">
        <v>10185410.85</v>
      </c>
      <c r="AA710" s="137">
        <f t="shared" si="140"/>
        <v>1335073.0099999998</v>
      </c>
      <c r="AB710" s="146">
        <f>IF(O710="返货",Z710/(1+N710),IF(O710="返现",Z710,IF(O710="折扣",Z710*N710,IF(O710="无",Z710))))</f>
        <v>9985696.9117647056</v>
      </c>
      <c r="AC710" s="147">
        <f t="shared" si="141"/>
        <v>199713.93823529407</v>
      </c>
      <c r="AD710" s="137">
        <f t="shared" si="137"/>
        <v>9984527.5677073542</v>
      </c>
      <c r="AE710" s="138">
        <v>0.1077</v>
      </c>
      <c r="AF710" s="137">
        <f t="shared" si="136"/>
        <v>1075333.619042082</v>
      </c>
      <c r="AG710" s="137">
        <v>897254.81030970602</v>
      </c>
      <c r="AH710" s="154"/>
      <c r="AI710" s="154"/>
      <c r="AJ710" s="135" t="s">
        <v>173</v>
      </c>
      <c r="AK710" s="119" t="s">
        <v>173</v>
      </c>
      <c r="AM710" s="131"/>
    </row>
    <row r="711" spans="1:39" s="119" customFormat="1" ht="15" customHeight="1" x14ac:dyDescent="0.3">
      <c r="A711" s="119">
        <v>2017</v>
      </c>
      <c r="B711" s="119" t="s">
        <v>38</v>
      </c>
      <c r="C711" s="119" t="s">
        <v>54</v>
      </c>
      <c r="D711" s="119" t="s">
        <v>102</v>
      </c>
      <c r="E711" s="119" t="s">
        <v>103</v>
      </c>
      <c r="F711" s="119" t="s">
        <v>395</v>
      </c>
      <c r="G711" s="119" t="s">
        <v>395</v>
      </c>
      <c r="H711" s="119" t="s">
        <v>395</v>
      </c>
      <c r="I711" s="163" t="s">
        <v>204</v>
      </c>
      <c r="J711" s="119" t="s">
        <v>575</v>
      </c>
      <c r="K711" s="119" t="s">
        <v>576</v>
      </c>
      <c r="L711" s="119" t="s">
        <v>395</v>
      </c>
      <c r="M711" s="119" t="s">
        <v>185</v>
      </c>
      <c r="N711" s="136">
        <v>0.08</v>
      </c>
      <c r="O711" s="135" t="s">
        <v>51</v>
      </c>
      <c r="P711" s="135"/>
      <c r="Q711" s="137">
        <v>0</v>
      </c>
      <c r="R711" s="137">
        <v>0</v>
      </c>
      <c r="S711" s="137">
        <v>965799.51</v>
      </c>
      <c r="T711" s="137">
        <f t="shared" si="138"/>
        <v>77263.960800000001</v>
      </c>
      <c r="U711" s="137">
        <f t="shared" si="142"/>
        <v>1043063.4708</v>
      </c>
      <c r="V711" s="137">
        <v>0</v>
      </c>
      <c r="W711" s="137">
        <f t="shared" si="143"/>
        <v>1043063.4708</v>
      </c>
      <c r="X711" s="137">
        <f t="shared" si="139"/>
        <v>965799.50999999989</v>
      </c>
      <c r="Y711" s="137">
        <f t="shared" si="144"/>
        <v>77263.960800000117</v>
      </c>
      <c r="Z711" s="137">
        <v>965799.51</v>
      </c>
      <c r="AA711" s="137">
        <f t="shared" si="140"/>
        <v>-965799.51</v>
      </c>
      <c r="AB711" s="146">
        <f>IF(O711="返货",Z711/(1+N711),IF(O711="返现",Z711,IF(O711="折扣",Z711*N711,IF(O711="无",Z711))))</f>
        <v>894258.8055555555</v>
      </c>
      <c r="AC711" s="147">
        <f t="shared" si="141"/>
        <v>71540.704444444505</v>
      </c>
      <c r="AD711" s="137">
        <f t="shared" si="137"/>
        <v>946751.38533790759</v>
      </c>
      <c r="AE711" s="138">
        <v>0.31559999999999999</v>
      </c>
      <c r="AF711" s="137">
        <f t="shared" si="136"/>
        <v>298794.73721264361</v>
      </c>
      <c r="AG711" s="137">
        <v>233265.62091155499</v>
      </c>
      <c r="AH711" s="154"/>
      <c r="AI711" s="154"/>
      <c r="AJ711" s="135" t="s">
        <v>53</v>
      </c>
      <c r="AK711" s="119" t="s">
        <v>53</v>
      </c>
      <c r="AM711" s="131"/>
    </row>
    <row r="712" spans="1:39" s="119" customFormat="1" ht="15" customHeight="1" x14ac:dyDescent="0.3">
      <c r="A712" s="119">
        <v>2017</v>
      </c>
      <c r="B712" s="119" t="s">
        <v>38</v>
      </c>
      <c r="C712" s="119" t="s">
        <v>54</v>
      </c>
      <c r="D712" s="119" t="s">
        <v>102</v>
      </c>
      <c r="E712" s="119" t="s">
        <v>103</v>
      </c>
      <c r="F712" s="119" t="s">
        <v>635</v>
      </c>
      <c r="G712" s="119" t="s">
        <v>635</v>
      </c>
      <c r="H712" s="119" t="s">
        <v>635</v>
      </c>
      <c r="I712" s="163" t="s">
        <v>204</v>
      </c>
      <c r="J712" s="119" t="s">
        <v>575</v>
      </c>
      <c r="K712" s="119" t="s">
        <v>576</v>
      </c>
      <c r="L712" s="119" t="s">
        <v>635</v>
      </c>
      <c r="M712" s="119" t="s">
        <v>46</v>
      </c>
      <c r="N712" s="136">
        <v>0.02</v>
      </c>
      <c r="O712" s="135" t="s">
        <v>51</v>
      </c>
      <c r="P712" s="135" t="s">
        <v>161</v>
      </c>
      <c r="Q712" s="137">
        <v>0</v>
      </c>
      <c r="R712" s="137">
        <v>0</v>
      </c>
      <c r="S712" s="137">
        <v>141557.03</v>
      </c>
      <c r="T712" s="137">
        <f t="shared" si="138"/>
        <v>2831.1406000000002</v>
      </c>
      <c r="U712" s="137">
        <f t="shared" si="142"/>
        <v>144388.17060000001</v>
      </c>
      <c r="V712" s="137">
        <v>250000</v>
      </c>
      <c r="W712" s="137">
        <f t="shared" si="143"/>
        <v>-105611.82939999999</v>
      </c>
      <c r="X712" s="137">
        <f t="shared" si="139"/>
        <v>-103541.00921568627</v>
      </c>
      <c r="Y712" s="137">
        <f t="shared" si="144"/>
        <v>-2070.8201843137213</v>
      </c>
      <c r="Z712" s="137">
        <v>129057.03</v>
      </c>
      <c r="AA712" s="137">
        <f t="shared" si="140"/>
        <v>120942.97</v>
      </c>
      <c r="AB712" s="146">
        <f>Z712/(1+N712)*(1+5%)</f>
        <v>132852.82500000001</v>
      </c>
      <c r="AC712" s="147">
        <f t="shared" si="141"/>
        <v>-3795.7950000000128</v>
      </c>
      <c r="AD712" s="137">
        <f t="shared" si="137"/>
        <v>126511.68350675172</v>
      </c>
      <c r="AE712" s="138">
        <v>0.1077</v>
      </c>
      <c r="AF712" s="137">
        <f t="shared" si="136"/>
        <v>13625.308313677162</v>
      </c>
      <c r="AG712" s="137">
        <v>11368.912130999999</v>
      </c>
      <c r="AH712" s="154"/>
      <c r="AI712" s="154"/>
      <c r="AJ712" s="135" t="s">
        <v>173</v>
      </c>
      <c r="AK712" s="119" t="s">
        <v>173</v>
      </c>
      <c r="AM712" s="131"/>
    </row>
    <row r="713" spans="1:39" s="119" customFormat="1" ht="15" customHeight="1" x14ac:dyDescent="0.3">
      <c r="A713" s="119">
        <v>2017</v>
      </c>
      <c r="B713" s="119" t="s">
        <v>38</v>
      </c>
      <c r="C713" s="119" t="s">
        <v>54</v>
      </c>
      <c r="D713" s="119" t="s">
        <v>102</v>
      </c>
      <c r="E713" s="119" t="s">
        <v>103</v>
      </c>
      <c r="F713" s="119" t="s">
        <v>635</v>
      </c>
      <c r="G713" s="119" t="s">
        <v>635</v>
      </c>
      <c r="H713" s="119" t="s">
        <v>635</v>
      </c>
      <c r="I713" s="163" t="s">
        <v>204</v>
      </c>
      <c r="J713" s="119" t="s">
        <v>575</v>
      </c>
      <c r="K713" s="119" t="s">
        <v>576</v>
      </c>
      <c r="L713" s="119" t="s">
        <v>809</v>
      </c>
      <c r="M713" s="119" t="s">
        <v>185</v>
      </c>
      <c r="N713" s="136">
        <v>0.08</v>
      </c>
      <c r="O713" s="135" t="s">
        <v>51</v>
      </c>
      <c r="P713" s="135" t="s">
        <v>161</v>
      </c>
      <c r="Q713" s="137">
        <v>0</v>
      </c>
      <c r="R713" s="137">
        <v>0</v>
      </c>
      <c r="S713" s="137">
        <v>120942.97</v>
      </c>
      <c r="T713" s="137">
        <f t="shared" si="138"/>
        <v>9675.4376000000011</v>
      </c>
      <c r="U713" s="137">
        <f t="shared" si="142"/>
        <v>130618.40760000001</v>
      </c>
      <c r="V713" s="137">
        <v>0</v>
      </c>
      <c r="W713" s="137">
        <f t="shared" si="143"/>
        <v>130618.40760000001</v>
      </c>
      <c r="X713" s="137">
        <f t="shared" si="139"/>
        <v>120942.97</v>
      </c>
      <c r="Y713" s="137">
        <f t="shared" si="144"/>
        <v>9675.4376000000047</v>
      </c>
      <c r="Z713" s="137">
        <v>120942.97</v>
      </c>
      <c r="AA713" s="137">
        <f t="shared" si="140"/>
        <v>-120942.97</v>
      </c>
      <c r="AB713" s="146">
        <f>Z713/(1+N713)*(1+5%)</f>
        <v>117583.44305555556</v>
      </c>
      <c r="AC713" s="147">
        <f t="shared" si="141"/>
        <v>3359.5269444444421</v>
      </c>
      <c r="AD713" s="137">
        <f t="shared" si="137"/>
        <v>118557.65426344128</v>
      </c>
      <c r="AE713" s="138">
        <v>0.31559999999999999</v>
      </c>
      <c r="AF713" s="137">
        <f t="shared" si="136"/>
        <v>37416.795685542063</v>
      </c>
      <c r="AG713" s="137">
        <v>29210.862813481501</v>
      </c>
      <c r="AH713" s="154"/>
      <c r="AI713" s="154"/>
      <c r="AJ713" s="135" t="s">
        <v>53</v>
      </c>
      <c r="AK713" s="119" t="s">
        <v>53</v>
      </c>
      <c r="AM713" s="131"/>
    </row>
    <row r="714" spans="1:39" s="119" customFormat="1" ht="15" customHeight="1" x14ac:dyDescent="0.3">
      <c r="A714" s="119">
        <v>2017</v>
      </c>
      <c r="B714" s="119" t="s">
        <v>38</v>
      </c>
      <c r="C714" s="119" t="s">
        <v>200</v>
      </c>
      <c r="D714" s="119" t="s">
        <v>201</v>
      </c>
      <c r="E714" s="119" t="s">
        <v>810</v>
      </c>
      <c r="F714" s="119" t="s">
        <v>811</v>
      </c>
      <c r="G714" s="119" t="s">
        <v>811</v>
      </c>
      <c r="H714" s="119" t="s">
        <v>811</v>
      </c>
      <c r="I714" s="163" t="s">
        <v>204</v>
      </c>
      <c r="J714" s="119" t="s">
        <v>575</v>
      </c>
      <c r="K714" s="119" t="s">
        <v>576</v>
      </c>
      <c r="L714" s="119" t="s">
        <v>811</v>
      </c>
      <c r="M714" s="119" t="s">
        <v>46</v>
      </c>
      <c r="N714" s="136">
        <v>0.02</v>
      </c>
      <c r="O714" s="135" t="s">
        <v>51</v>
      </c>
      <c r="P714" s="135"/>
      <c r="Q714" s="137">
        <v>0</v>
      </c>
      <c r="R714" s="137">
        <v>0</v>
      </c>
      <c r="S714" s="137">
        <v>7304.9</v>
      </c>
      <c r="T714" s="137">
        <f t="shared" si="138"/>
        <v>146.09799999999998</v>
      </c>
      <c r="U714" s="137">
        <f t="shared" si="142"/>
        <v>7450.9979999999996</v>
      </c>
      <c r="V714" s="137">
        <v>10000</v>
      </c>
      <c r="W714" s="137">
        <f t="shared" si="143"/>
        <v>-2549.0020000000004</v>
      </c>
      <c r="X714" s="137">
        <f t="shared" si="139"/>
        <v>-2499.0215686274514</v>
      </c>
      <c r="Y714" s="137">
        <f t="shared" si="144"/>
        <v>-49.980431372548992</v>
      </c>
      <c r="Z714" s="137">
        <v>7304.9</v>
      </c>
      <c r="AA714" s="137">
        <f t="shared" si="140"/>
        <v>2695.1000000000004</v>
      </c>
      <c r="AB714" s="146">
        <f t="shared" ref="AB714:AB724" si="145">IF(O714="返货",Z714/(1+N714),IF(O714="返现",Z714,IF(O714="折扣",Z714*N714,IF(O714="无",Z714))))</f>
        <v>7161.6666666666661</v>
      </c>
      <c r="AC714" s="147">
        <f t="shared" si="141"/>
        <v>143.23333333333358</v>
      </c>
      <c r="AD714" s="137">
        <f t="shared" si="137"/>
        <v>7160.8280219099306</v>
      </c>
      <c r="AE714" s="138">
        <v>0.1077</v>
      </c>
      <c r="AF714" s="137">
        <f t="shared" si="136"/>
        <v>771.2211779596995</v>
      </c>
      <c r="AG714" s="137">
        <v>643.50439666666603</v>
      </c>
      <c r="AH714" s="154"/>
      <c r="AI714" s="154"/>
      <c r="AJ714" s="135" t="s">
        <v>173</v>
      </c>
      <c r="AK714" s="119" t="s">
        <v>173</v>
      </c>
      <c r="AM714" s="131"/>
    </row>
    <row r="715" spans="1:39" s="119" customFormat="1" ht="15" customHeight="1" x14ac:dyDescent="0.3">
      <c r="A715" s="119">
        <v>2017</v>
      </c>
      <c r="B715" s="119" t="s">
        <v>199</v>
      </c>
      <c r="C715" s="119" t="s">
        <v>200</v>
      </c>
      <c r="D715" s="119" t="s">
        <v>201</v>
      </c>
      <c r="E715" s="119" t="s">
        <v>812</v>
      </c>
      <c r="F715" s="119" t="s">
        <v>202</v>
      </c>
      <c r="G715" s="119" t="s">
        <v>203</v>
      </c>
      <c r="H715" s="119" t="s">
        <v>203</v>
      </c>
      <c r="I715" s="163" t="s">
        <v>204</v>
      </c>
      <c r="J715" s="119" t="s">
        <v>205</v>
      </c>
      <c r="K715" s="119" t="s">
        <v>206</v>
      </c>
      <c r="L715" s="119" t="s">
        <v>207</v>
      </c>
      <c r="M715" s="119" t="s">
        <v>46</v>
      </c>
      <c r="N715" s="136">
        <v>0.02</v>
      </c>
      <c r="O715" s="135" t="s">
        <v>51</v>
      </c>
      <c r="P715" s="135"/>
      <c r="Q715" s="137">
        <v>0</v>
      </c>
      <c r="R715" s="137">
        <v>0</v>
      </c>
      <c r="S715" s="137">
        <v>1200000</v>
      </c>
      <c r="T715" s="137">
        <f t="shared" si="138"/>
        <v>24000</v>
      </c>
      <c r="U715" s="137">
        <f t="shared" si="142"/>
        <v>1224000</v>
      </c>
      <c r="V715" s="137">
        <v>800000</v>
      </c>
      <c r="W715" s="137">
        <f t="shared" si="143"/>
        <v>424000</v>
      </c>
      <c r="X715" s="137">
        <f t="shared" si="139"/>
        <v>415686.27450980392</v>
      </c>
      <c r="Y715" s="137">
        <f t="shared" si="144"/>
        <v>8313.7254901960841</v>
      </c>
      <c r="Z715" s="137">
        <v>209813.42</v>
      </c>
      <c r="AA715" s="137">
        <f t="shared" si="140"/>
        <v>590186.57999999996</v>
      </c>
      <c r="AB715" s="146">
        <f t="shared" si="145"/>
        <v>205699.43137254904</v>
      </c>
      <c r="AC715" s="147">
        <f t="shared" si="141"/>
        <v>4113.9886274509772</v>
      </c>
      <c r="AD715" s="137">
        <v>209813.42</v>
      </c>
      <c r="AE715" s="138">
        <v>7.0000000000000007E-2</v>
      </c>
      <c r="AF715" s="137">
        <f t="shared" si="136"/>
        <v>14686.939400000003</v>
      </c>
      <c r="AG715" s="137">
        <v>10572.950772549</v>
      </c>
      <c r="AH715" s="154"/>
      <c r="AI715" s="154"/>
      <c r="AJ715" s="135" t="s">
        <v>813</v>
      </c>
      <c r="AK715" s="119" t="s">
        <v>813</v>
      </c>
      <c r="AM715" s="131"/>
    </row>
    <row r="716" spans="1:39" s="119" customFormat="1" ht="15" customHeight="1" x14ac:dyDescent="0.3">
      <c r="A716" s="119">
        <v>2017</v>
      </c>
      <c r="B716" s="119" t="s">
        <v>38</v>
      </c>
      <c r="C716" s="119" t="s">
        <v>200</v>
      </c>
      <c r="D716" s="119" t="s">
        <v>201</v>
      </c>
      <c r="E716" s="119" t="s">
        <v>399</v>
      </c>
      <c r="F716" s="119" t="s">
        <v>814</v>
      </c>
      <c r="G716" s="119" t="s">
        <v>814</v>
      </c>
      <c r="H716" s="119" t="s">
        <v>814</v>
      </c>
      <c r="I716" s="163" t="s">
        <v>204</v>
      </c>
      <c r="J716" s="119" t="s">
        <v>575</v>
      </c>
      <c r="K716" s="119" t="s">
        <v>576</v>
      </c>
      <c r="L716" s="119" t="s">
        <v>814</v>
      </c>
      <c r="M716" s="119" t="s">
        <v>185</v>
      </c>
      <c r="N716" s="136">
        <v>0.02</v>
      </c>
      <c r="O716" s="135" t="s">
        <v>51</v>
      </c>
      <c r="P716" s="135"/>
      <c r="Q716" s="137">
        <v>0</v>
      </c>
      <c r="R716" s="137">
        <v>0</v>
      </c>
      <c r="S716" s="137">
        <v>32255.63</v>
      </c>
      <c r="T716" s="137">
        <f t="shared" si="138"/>
        <v>645.11260000000004</v>
      </c>
      <c r="U716" s="137">
        <f t="shared" si="142"/>
        <v>32900.742599999998</v>
      </c>
      <c r="V716" s="137">
        <v>0</v>
      </c>
      <c r="W716" s="137">
        <f t="shared" si="143"/>
        <v>32900.742599999998</v>
      </c>
      <c r="X716" s="137">
        <f t="shared" si="139"/>
        <v>32255.629999999997</v>
      </c>
      <c r="Y716" s="137">
        <f t="shared" si="144"/>
        <v>645.11260000000038</v>
      </c>
      <c r="Z716" s="137">
        <v>33206.74</v>
      </c>
      <c r="AA716" s="137">
        <f t="shared" si="140"/>
        <v>-33206.74</v>
      </c>
      <c r="AB716" s="146">
        <f t="shared" si="145"/>
        <v>32555.627450980388</v>
      </c>
      <c r="AC716" s="147">
        <f t="shared" si="141"/>
        <v>651.11254901961001</v>
      </c>
      <c r="AD716" s="137">
        <f t="shared" ref="AD716:AD726" si="146">Z716*0.980277351080772</f>
        <v>32551.815125227913</v>
      </c>
      <c r="AE716" s="138">
        <v>0.31559999999999999</v>
      </c>
      <c r="AF716" s="137">
        <f t="shared" si="136"/>
        <v>10273.352853521928</v>
      </c>
      <c r="AG716" s="137">
        <v>9828.9345949803901</v>
      </c>
      <c r="AH716" s="154"/>
      <c r="AI716" s="154"/>
      <c r="AJ716" s="135" t="s">
        <v>173</v>
      </c>
      <c r="AK716" s="119" t="s">
        <v>173</v>
      </c>
      <c r="AM716" s="131"/>
    </row>
    <row r="717" spans="1:39" s="119" customFormat="1" ht="15" customHeight="1" x14ac:dyDescent="0.3">
      <c r="A717" s="119">
        <v>2017</v>
      </c>
      <c r="B717" s="119" t="s">
        <v>38</v>
      </c>
      <c r="C717" s="119" t="s">
        <v>200</v>
      </c>
      <c r="D717" s="119" t="s">
        <v>201</v>
      </c>
      <c r="E717" s="119" t="s">
        <v>399</v>
      </c>
      <c r="F717" s="119" t="s">
        <v>814</v>
      </c>
      <c r="G717" s="119" t="s">
        <v>814</v>
      </c>
      <c r="H717" s="119" t="s">
        <v>814</v>
      </c>
      <c r="I717" s="163" t="s">
        <v>204</v>
      </c>
      <c r="J717" s="119" t="s">
        <v>575</v>
      </c>
      <c r="K717" s="119" t="s">
        <v>576</v>
      </c>
      <c r="L717" s="119" t="s">
        <v>814</v>
      </c>
      <c r="M717" s="119" t="s">
        <v>46</v>
      </c>
      <c r="N717" s="136">
        <v>0.02</v>
      </c>
      <c r="O717" s="135" t="s">
        <v>51</v>
      </c>
      <c r="P717" s="135"/>
      <c r="Q717" s="137">
        <v>0</v>
      </c>
      <c r="R717" s="137">
        <v>0</v>
      </c>
      <c r="S717" s="137">
        <v>19148.14</v>
      </c>
      <c r="T717" s="137">
        <f t="shared" si="138"/>
        <v>382.96280000000002</v>
      </c>
      <c r="U717" s="137">
        <f t="shared" si="142"/>
        <v>19531.102800000001</v>
      </c>
      <c r="V717" s="137">
        <v>61200</v>
      </c>
      <c r="W717" s="137">
        <f t="shared" si="143"/>
        <v>-41668.897199999999</v>
      </c>
      <c r="X717" s="137">
        <f t="shared" si="139"/>
        <v>-40851.86</v>
      </c>
      <c r="Y717" s="137">
        <f t="shared" si="144"/>
        <v>-817.03719999999885</v>
      </c>
      <c r="Z717" s="137">
        <v>19531.099999999999</v>
      </c>
      <c r="AA717" s="137">
        <f t="shared" si="140"/>
        <v>41668.9</v>
      </c>
      <c r="AB717" s="146">
        <f t="shared" si="145"/>
        <v>19148.137254901958</v>
      </c>
      <c r="AC717" s="147">
        <f t="shared" si="141"/>
        <v>382.96274509804061</v>
      </c>
      <c r="AD717" s="137">
        <f t="shared" si="146"/>
        <v>19145.894971693662</v>
      </c>
      <c r="AE717" s="138">
        <v>0.1077</v>
      </c>
      <c r="AF717" s="137">
        <f t="shared" si="136"/>
        <v>2062.0128884514074</v>
      </c>
      <c r="AG717" s="137">
        <v>1720.53672490196</v>
      </c>
      <c r="AH717" s="154"/>
      <c r="AI717" s="154"/>
      <c r="AJ717" s="135" t="s">
        <v>173</v>
      </c>
      <c r="AK717" s="119" t="s">
        <v>173</v>
      </c>
      <c r="AM717" s="131"/>
    </row>
    <row r="718" spans="1:39" s="119" customFormat="1" ht="15" customHeight="1" x14ac:dyDescent="0.3">
      <c r="A718" s="119">
        <v>2017</v>
      </c>
      <c r="B718" s="119" t="s">
        <v>199</v>
      </c>
      <c r="C718" s="119" t="s">
        <v>200</v>
      </c>
      <c r="D718" s="119" t="s">
        <v>201</v>
      </c>
      <c r="E718" s="119" t="s">
        <v>399</v>
      </c>
      <c r="F718" s="119" t="s">
        <v>815</v>
      </c>
      <c r="G718" s="119" t="s">
        <v>816</v>
      </c>
      <c r="H718" s="119" t="s">
        <v>816</v>
      </c>
      <c r="I718" s="163" t="s">
        <v>204</v>
      </c>
      <c r="J718" s="119" t="s">
        <v>575</v>
      </c>
      <c r="K718" s="119" t="s">
        <v>576</v>
      </c>
      <c r="L718" s="119" t="s">
        <v>815</v>
      </c>
      <c r="M718" s="119" t="s">
        <v>46</v>
      </c>
      <c r="N718" s="136">
        <v>0.02</v>
      </c>
      <c r="O718" s="135" t="s">
        <v>495</v>
      </c>
      <c r="P718" s="135"/>
      <c r="Q718" s="137">
        <v>0</v>
      </c>
      <c r="R718" s="137">
        <v>0</v>
      </c>
      <c r="S718" s="137">
        <v>30000</v>
      </c>
      <c r="T718" s="137">
        <f t="shared" si="138"/>
        <v>600</v>
      </c>
      <c r="U718" s="137">
        <f t="shared" si="142"/>
        <v>30600</v>
      </c>
      <c r="V718" s="137">
        <v>30000</v>
      </c>
      <c r="W718" s="137">
        <f t="shared" si="143"/>
        <v>600</v>
      </c>
      <c r="X718" s="137">
        <f t="shared" si="139"/>
        <v>588.23529411764707</v>
      </c>
      <c r="Y718" s="137">
        <f t="shared" si="144"/>
        <v>11.764705882352928</v>
      </c>
      <c r="Z718" s="137">
        <v>0</v>
      </c>
      <c r="AA718" s="137">
        <f t="shared" si="140"/>
        <v>30000</v>
      </c>
      <c r="AB718" s="146">
        <f t="shared" si="145"/>
        <v>0</v>
      </c>
      <c r="AC718" s="147">
        <f t="shared" si="141"/>
        <v>0</v>
      </c>
      <c r="AD718" s="137">
        <f t="shared" si="146"/>
        <v>0</v>
      </c>
      <c r="AE718" s="138">
        <v>0.1077</v>
      </c>
      <c r="AF718" s="137">
        <f t="shared" si="136"/>
        <v>0</v>
      </c>
      <c r="AG718" s="137">
        <v>0</v>
      </c>
      <c r="AH718" s="154"/>
      <c r="AI718" s="154"/>
      <c r="AJ718" s="136">
        <v>0.02</v>
      </c>
      <c r="AK718" s="156">
        <v>0.02</v>
      </c>
      <c r="AM718" s="131"/>
    </row>
    <row r="719" spans="1:39" s="119" customFormat="1" ht="15" customHeight="1" x14ac:dyDescent="0.3">
      <c r="A719" s="119">
        <v>2017</v>
      </c>
      <c r="B719" s="119" t="s">
        <v>199</v>
      </c>
      <c r="C719" s="119" t="s">
        <v>200</v>
      </c>
      <c r="D719" s="119" t="s">
        <v>201</v>
      </c>
      <c r="E719" s="119" t="s">
        <v>399</v>
      </c>
      <c r="F719" s="119" t="s">
        <v>817</v>
      </c>
      <c r="G719" s="119" t="s">
        <v>818</v>
      </c>
      <c r="H719" s="119" t="s">
        <v>818</v>
      </c>
      <c r="I719" s="163" t="s">
        <v>204</v>
      </c>
      <c r="J719" s="119" t="s">
        <v>575</v>
      </c>
      <c r="K719" s="119" t="s">
        <v>576</v>
      </c>
      <c r="L719" s="119" t="s">
        <v>819</v>
      </c>
      <c r="M719" s="119" t="s">
        <v>160</v>
      </c>
      <c r="N719" s="136">
        <v>0.05</v>
      </c>
      <c r="O719" s="135" t="s">
        <v>495</v>
      </c>
      <c r="P719" s="135"/>
      <c r="Q719" s="137">
        <v>0</v>
      </c>
      <c r="R719" s="137">
        <v>0</v>
      </c>
      <c r="S719" s="137">
        <v>200000</v>
      </c>
      <c r="T719" s="137">
        <f t="shared" si="138"/>
        <v>10000</v>
      </c>
      <c r="U719" s="137">
        <f t="shared" si="142"/>
        <v>210000</v>
      </c>
      <c r="V719" s="137">
        <v>305000</v>
      </c>
      <c r="W719" s="137">
        <f t="shared" si="143"/>
        <v>-95000</v>
      </c>
      <c r="X719" s="137">
        <f t="shared" si="139"/>
        <v>-90476.190476190473</v>
      </c>
      <c r="Y719" s="137">
        <f t="shared" si="144"/>
        <v>-4523.8095238095266</v>
      </c>
      <c r="Z719" s="137">
        <v>305000</v>
      </c>
      <c r="AA719" s="137">
        <f t="shared" si="140"/>
        <v>0</v>
      </c>
      <c r="AB719" s="146">
        <f t="shared" si="145"/>
        <v>305000</v>
      </c>
      <c r="AC719" s="147">
        <f t="shared" si="141"/>
        <v>15250</v>
      </c>
      <c r="AD719" s="137">
        <f t="shared" si="146"/>
        <v>298984.59207963548</v>
      </c>
      <c r="AE719" s="138">
        <v>0.1077</v>
      </c>
      <c r="AF719" s="137">
        <f t="shared" si="136"/>
        <v>32200.640566976741</v>
      </c>
      <c r="AG719" s="137">
        <v>18324.690476190499</v>
      </c>
      <c r="AH719" s="154"/>
      <c r="AI719" s="154"/>
      <c r="AJ719" s="136">
        <v>0.05</v>
      </c>
      <c r="AK719" s="119" t="s">
        <v>63</v>
      </c>
      <c r="AM719" s="131"/>
    </row>
    <row r="720" spans="1:39" s="119" customFormat="1" ht="15" customHeight="1" x14ac:dyDescent="0.3">
      <c r="A720" s="119">
        <v>2017</v>
      </c>
      <c r="B720" s="119" t="s">
        <v>199</v>
      </c>
      <c r="C720" s="119" t="s">
        <v>200</v>
      </c>
      <c r="D720" s="119" t="s">
        <v>201</v>
      </c>
      <c r="E720" s="119" t="s">
        <v>399</v>
      </c>
      <c r="F720" s="119" t="s">
        <v>817</v>
      </c>
      <c r="G720" s="119" t="s">
        <v>818</v>
      </c>
      <c r="H720" s="119" t="s">
        <v>818</v>
      </c>
      <c r="I720" s="163" t="s">
        <v>204</v>
      </c>
      <c r="J720" s="119" t="s">
        <v>575</v>
      </c>
      <c r="K720" s="119" t="s">
        <v>576</v>
      </c>
      <c r="L720" s="119" t="s">
        <v>819</v>
      </c>
      <c r="M720" s="119" t="s">
        <v>185</v>
      </c>
      <c r="N720" s="136">
        <v>0.15</v>
      </c>
      <c r="O720" s="135" t="s">
        <v>495</v>
      </c>
      <c r="P720" s="135"/>
      <c r="Q720" s="137">
        <v>0</v>
      </c>
      <c r="R720" s="137">
        <v>0</v>
      </c>
      <c r="S720" s="137">
        <v>275759.5</v>
      </c>
      <c r="T720" s="137">
        <f t="shared" si="138"/>
        <v>41363.924999999996</v>
      </c>
      <c r="U720" s="137">
        <f t="shared" si="142"/>
        <v>317123.42499999999</v>
      </c>
      <c r="V720" s="137">
        <v>0</v>
      </c>
      <c r="W720" s="137">
        <f t="shared" si="143"/>
        <v>317123.42499999999</v>
      </c>
      <c r="X720" s="137">
        <f t="shared" si="139"/>
        <v>275759.5</v>
      </c>
      <c r="Y720" s="137">
        <f t="shared" si="144"/>
        <v>41363.924999999988</v>
      </c>
      <c r="Z720" s="137">
        <v>275759.5</v>
      </c>
      <c r="AA720" s="137">
        <f t="shared" si="140"/>
        <v>-275759.5</v>
      </c>
      <c r="AB720" s="146">
        <f t="shared" si="145"/>
        <v>275759.5</v>
      </c>
      <c r="AC720" s="147">
        <f t="shared" si="141"/>
        <v>41363.924999999996</v>
      </c>
      <c r="AD720" s="137">
        <f t="shared" si="146"/>
        <v>270320.79219535814</v>
      </c>
      <c r="AE720" s="138">
        <v>0.31559999999999999</v>
      </c>
      <c r="AF720" s="137">
        <f t="shared" si="136"/>
        <v>85313.242016855031</v>
      </c>
      <c r="AG720" s="137">
        <v>51061.067765217398</v>
      </c>
      <c r="AH720" s="154"/>
      <c r="AI720" s="154"/>
      <c r="AJ720" s="136">
        <v>0.15</v>
      </c>
      <c r="AK720" s="156">
        <v>0.15</v>
      </c>
      <c r="AM720" s="131"/>
    </row>
    <row r="721" spans="1:39" s="119" customFormat="1" ht="15" customHeight="1" x14ac:dyDescent="0.3">
      <c r="A721" s="119">
        <v>2017</v>
      </c>
      <c r="B721" s="119" t="s">
        <v>199</v>
      </c>
      <c r="C721" s="119" t="s">
        <v>200</v>
      </c>
      <c r="D721" s="119" t="s">
        <v>201</v>
      </c>
      <c r="E721" s="119" t="s">
        <v>399</v>
      </c>
      <c r="F721" s="119" t="s">
        <v>817</v>
      </c>
      <c r="G721" s="119" t="s">
        <v>818</v>
      </c>
      <c r="H721" s="119" t="s">
        <v>818</v>
      </c>
      <c r="I721" s="163" t="s">
        <v>204</v>
      </c>
      <c r="J721" s="119" t="s">
        <v>575</v>
      </c>
      <c r="K721" s="119" t="s">
        <v>576</v>
      </c>
      <c r="L721" s="119" t="s">
        <v>819</v>
      </c>
      <c r="M721" s="119" t="s">
        <v>46</v>
      </c>
      <c r="N721" s="136">
        <v>0.05</v>
      </c>
      <c r="O721" s="135" t="s">
        <v>495</v>
      </c>
      <c r="P721" s="135"/>
      <c r="Q721" s="137">
        <v>0</v>
      </c>
      <c r="R721" s="137">
        <v>0</v>
      </c>
      <c r="S721" s="137">
        <v>2263240.5</v>
      </c>
      <c r="T721" s="137">
        <f t="shared" si="138"/>
        <v>113162.02500000001</v>
      </c>
      <c r="U721" s="137">
        <f t="shared" si="142"/>
        <v>2376402.5249999999</v>
      </c>
      <c r="V721" s="137">
        <v>2539000</v>
      </c>
      <c r="W721" s="137">
        <f t="shared" si="143"/>
        <v>-162597.47500000009</v>
      </c>
      <c r="X721" s="137">
        <f t="shared" si="139"/>
        <v>-154854.73809523816</v>
      </c>
      <c r="Y721" s="137">
        <f t="shared" si="144"/>
        <v>-7742.7369047619286</v>
      </c>
      <c r="Z721" s="137">
        <v>2358814.0099999998</v>
      </c>
      <c r="AA721" s="137">
        <f t="shared" si="140"/>
        <v>180185.99000000022</v>
      </c>
      <c r="AB721" s="146">
        <f t="shared" si="145"/>
        <v>2358814.0099999998</v>
      </c>
      <c r="AC721" s="147">
        <f t="shared" si="141"/>
        <v>117940.70049999999</v>
      </c>
      <c r="AD721" s="137">
        <f t="shared" si="146"/>
        <v>2312291.9494150132</v>
      </c>
      <c r="AE721" s="138">
        <v>0.1077</v>
      </c>
      <c r="AF721" s="137">
        <f t="shared" si="136"/>
        <v>249033.84295199692</v>
      </c>
      <c r="AG721" s="137">
        <v>141719.79221033299</v>
      </c>
      <c r="AH721" s="154"/>
      <c r="AI721" s="154"/>
      <c r="AJ721" s="136">
        <v>0.05</v>
      </c>
      <c r="AK721" s="156">
        <v>0.05</v>
      </c>
      <c r="AM721" s="131"/>
    </row>
    <row r="722" spans="1:39" s="119" customFormat="1" ht="15" customHeight="1" x14ac:dyDescent="0.3">
      <c r="A722" s="119">
        <v>2017</v>
      </c>
      <c r="B722" s="119" t="s">
        <v>199</v>
      </c>
      <c r="C722" s="119" t="s">
        <v>200</v>
      </c>
      <c r="D722" s="119" t="s">
        <v>201</v>
      </c>
      <c r="E722" s="119" t="s">
        <v>399</v>
      </c>
      <c r="F722" s="119" t="s">
        <v>817</v>
      </c>
      <c r="G722" s="119" t="s">
        <v>818</v>
      </c>
      <c r="H722" s="119" t="s">
        <v>818</v>
      </c>
      <c r="I722" s="163" t="s">
        <v>204</v>
      </c>
      <c r="J722" s="119" t="s">
        <v>575</v>
      </c>
      <c r="K722" s="119" t="s">
        <v>576</v>
      </c>
      <c r="L722" s="119" t="s">
        <v>819</v>
      </c>
      <c r="M722" s="119" t="s">
        <v>595</v>
      </c>
      <c r="N722" s="136">
        <v>0.05</v>
      </c>
      <c r="O722" s="135" t="s">
        <v>495</v>
      </c>
      <c r="P722" s="135"/>
      <c r="Q722" s="137">
        <v>0</v>
      </c>
      <c r="R722" s="137">
        <v>0</v>
      </c>
      <c r="S722" s="137">
        <v>161000</v>
      </c>
      <c r="T722" s="137">
        <f t="shared" si="138"/>
        <v>8050</v>
      </c>
      <c r="U722" s="137">
        <f t="shared" si="142"/>
        <v>169050</v>
      </c>
      <c r="V722" s="137">
        <v>56000</v>
      </c>
      <c r="W722" s="137">
        <f t="shared" si="143"/>
        <v>113050</v>
      </c>
      <c r="X722" s="137">
        <f t="shared" si="139"/>
        <v>107666.66666666666</v>
      </c>
      <c r="Y722" s="137">
        <f t="shared" si="144"/>
        <v>5383.333333333343</v>
      </c>
      <c r="Z722" s="137">
        <v>56000</v>
      </c>
      <c r="AA722" s="137">
        <f t="shared" si="140"/>
        <v>0</v>
      </c>
      <c r="AB722" s="146">
        <f t="shared" si="145"/>
        <v>56000</v>
      </c>
      <c r="AC722" s="147">
        <f t="shared" si="141"/>
        <v>2800</v>
      </c>
      <c r="AD722" s="137">
        <f t="shared" si="146"/>
        <v>54895.531660523229</v>
      </c>
      <c r="AE722" s="138">
        <v>0.35339999999999999</v>
      </c>
      <c r="AF722" s="137">
        <f t="shared" si="136"/>
        <v>19400.08088882891</v>
      </c>
      <c r="AG722" s="137">
        <v>17123.733333333301</v>
      </c>
      <c r="AH722" s="154"/>
      <c r="AI722" s="154"/>
      <c r="AJ722" s="136">
        <v>0.05</v>
      </c>
      <c r="AK722" s="156">
        <v>0.05</v>
      </c>
      <c r="AM722" s="131"/>
    </row>
    <row r="723" spans="1:39" s="119" customFormat="1" ht="15" customHeight="1" x14ac:dyDescent="0.3">
      <c r="A723" s="119">
        <v>2017</v>
      </c>
      <c r="B723" s="119" t="s">
        <v>38</v>
      </c>
      <c r="C723" s="119" t="s">
        <v>200</v>
      </c>
      <c r="D723" s="119" t="s">
        <v>201</v>
      </c>
      <c r="E723" s="119" t="s">
        <v>820</v>
      </c>
      <c r="F723" s="119" t="s">
        <v>395</v>
      </c>
      <c r="G723" s="119" t="s">
        <v>821</v>
      </c>
      <c r="H723" s="119" t="s">
        <v>821</v>
      </c>
      <c r="I723" s="163" t="s">
        <v>204</v>
      </c>
      <c r="J723" s="119" t="s">
        <v>575</v>
      </c>
      <c r="K723" s="119" t="s">
        <v>576</v>
      </c>
      <c r="L723" s="119" t="s">
        <v>822</v>
      </c>
      <c r="M723" s="119" t="s">
        <v>46</v>
      </c>
      <c r="N723" s="136">
        <v>0.02</v>
      </c>
      <c r="O723" s="135" t="s">
        <v>495</v>
      </c>
      <c r="P723" s="135"/>
      <c r="Q723" s="137">
        <v>0</v>
      </c>
      <c r="R723" s="137">
        <v>0</v>
      </c>
      <c r="S723" s="137">
        <v>2506404.0699999998</v>
      </c>
      <c r="T723" s="137">
        <f t="shared" si="138"/>
        <v>50128.081399999995</v>
      </c>
      <c r="U723" s="137">
        <f t="shared" si="142"/>
        <v>2556532.1513999999</v>
      </c>
      <c r="V723" s="137">
        <v>5396393.1600000001</v>
      </c>
      <c r="W723" s="137">
        <f t="shared" si="143"/>
        <v>-2839861.0086000003</v>
      </c>
      <c r="X723" s="137">
        <f t="shared" si="139"/>
        <v>-2784177.459411765</v>
      </c>
      <c r="Y723" s="137">
        <f t="shared" si="144"/>
        <v>-55683.549188235309</v>
      </c>
      <c r="Z723" s="137">
        <v>2558397.2999999998</v>
      </c>
      <c r="AA723" s="137">
        <f t="shared" si="140"/>
        <v>2837995.8600000003</v>
      </c>
      <c r="AB723" s="146">
        <f t="shared" si="145"/>
        <v>2558397.2999999998</v>
      </c>
      <c r="AC723" s="147">
        <f t="shared" si="141"/>
        <v>51167.945999999996</v>
      </c>
      <c r="AD723" s="137">
        <f t="shared" si="146"/>
        <v>2507938.9282561988</v>
      </c>
      <c r="AE723" s="138">
        <v>0.1077</v>
      </c>
      <c r="AF723" s="137">
        <f t="shared" si="136"/>
        <v>270105.0225731926</v>
      </c>
      <c r="AG723" s="137">
        <v>225374.73626882301</v>
      </c>
      <c r="AH723" s="154"/>
      <c r="AI723" s="154"/>
      <c r="AJ723" s="136">
        <v>0.02</v>
      </c>
      <c r="AK723" s="156">
        <v>0.02</v>
      </c>
      <c r="AM723" s="131"/>
    </row>
    <row r="724" spans="1:39" s="119" customFormat="1" ht="15" customHeight="1" x14ac:dyDescent="0.3">
      <c r="A724" s="119">
        <v>2017</v>
      </c>
      <c r="B724" s="119" t="s">
        <v>38</v>
      </c>
      <c r="C724" s="119" t="s">
        <v>200</v>
      </c>
      <c r="D724" s="119" t="s">
        <v>201</v>
      </c>
      <c r="E724" s="119" t="s">
        <v>820</v>
      </c>
      <c r="F724" s="119" t="s">
        <v>395</v>
      </c>
      <c r="G724" s="119" t="s">
        <v>821</v>
      </c>
      <c r="H724" s="119" t="s">
        <v>821</v>
      </c>
      <c r="I724" s="163" t="s">
        <v>204</v>
      </c>
      <c r="J724" s="119" t="s">
        <v>575</v>
      </c>
      <c r="K724" s="119" t="s">
        <v>576</v>
      </c>
      <c r="L724" s="119" t="s">
        <v>822</v>
      </c>
      <c r="M724" s="119" t="s">
        <v>185</v>
      </c>
      <c r="N724" s="136">
        <v>0.08</v>
      </c>
      <c r="O724" s="135" t="s">
        <v>495</v>
      </c>
      <c r="P724" s="135"/>
      <c r="Q724" s="137">
        <v>0</v>
      </c>
      <c r="R724" s="137">
        <v>0</v>
      </c>
      <c r="S724" s="137">
        <v>2837995.86</v>
      </c>
      <c r="T724" s="137">
        <f t="shared" si="138"/>
        <v>227039.66879999998</v>
      </c>
      <c r="U724" s="137">
        <f t="shared" si="142"/>
        <v>3065035.5288</v>
      </c>
      <c r="V724" s="137">
        <v>0</v>
      </c>
      <c r="W724" s="137">
        <f t="shared" si="143"/>
        <v>3065035.5288</v>
      </c>
      <c r="X724" s="137">
        <f t="shared" si="139"/>
        <v>2837995.86</v>
      </c>
      <c r="Y724" s="137">
        <f t="shared" si="144"/>
        <v>227039.6688000001</v>
      </c>
      <c r="Z724" s="137">
        <v>2837995.86</v>
      </c>
      <c r="AA724" s="137">
        <f t="shared" si="140"/>
        <v>-2837995.86</v>
      </c>
      <c r="AB724" s="146">
        <f t="shared" si="145"/>
        <v>2837995.86</v>
      </c>
      <c r="AC724" s="147">
        <f t="shared" si="141"/>
        <v>227039.66879999998</v>
      </c>
      <c r="AD724" s="137">
        <f t="shared" si="146"/>
        <v>2782023.0640189974</v>
      </c>
      <c r="AE724" s="138">
        <v>0.31559999999999999</v>
      </c>
      <c r="AF724" s="137">
        <f t="shared" si="136"/>
        <v>878006.47900439554</v>
      </c>
      <c r="AG724" s="137">
        <v>685449.57786044397</v>
      </c>
      <c r="AH724" s="154"/>
      <c r="AI724" s="154"/>
      <c r="AJ724" s="136">
        <v>0.08</v>
      </c>
      <c r="AK724" s="156">
        <v>0.08</v>
      </c>
      <c r="AM724" s="131"/>
    </row>
    <row r="725" spans="1:39" s="119" customFormat="1" ht="15" customHeight="1" x14ac:dyDescent="0.3">
      <c r="A725" s="119">
        <v>2017</v>
      </c>
      <c r="B725" s="119" t="s">
        <v>38</v>
      </c>
      <c r="C725" s="119" t="s">
        <v>200</v>
      </c>
      <c r="D725" s="119" t="s">
        <v>201</v>
      </c>
      <c r="E725" s="119" t="s">
        <v>820</v>
      </c>
      <c r="F725" s="119" t="s">
        <v>823</v>
      </c>
      <c r="G725" s="119" t="s">
        <v>823</v>
      </c>
      <c r="H725" s="119" t="s">
        <v>823</v>
      </c>
      <c r="I725" s="163" t="s">
        <v>204</v>
      </c>
      <c r="J725" s="119" t="s">
        <v>575</v>
      </c>
      <c r="K725" s="119" t="s">
        <v>576</v>
      </c>
      <c r="L725" s="119" t="s">
        <v>824</v>
      </c>
      <c r="M725" s="119" t="s">
        <v>46</v>
      </c>
      <c r="N725" s="136">
        <v>0.02</v>
      </c>
      <c r="O725" s="135" t="s">
        <v>51</v>
      </c>
      <c r="P725" s="135"/>
      <c r="Q725" s="137">
        <v>137213.79999999999</v>
      </c>
      <c r="R725" s="137">
        <v>0</v>
      </c>
      <c r="S725" s="137">
        <v>4458303.54</v>
      </c>
      <c r="T725" s="137">
        <f t="shared" si="138"/>
        <v>89166.070800000001</v>
      </c>
      <c r="U725" s="137">
        <f t="shared" si="142"/>
        <v>4547469.6107999999</v>
      </c>
      <c r="V725" s="137">
        <v>5249691.13</v>
      </c>
      <c r="W725" s="137">
        <f t="shared" si="143"/>
        <v>-702221.51919999998</v>
      </c>
      <c r="X725" s="137">
        <f t="shared" si="139"/>
        <v>-688452.46980392153</v>
      </c>
      <c r="Y725" s="137">
        <f t="shared" si="144"/>
        <v>-13769.049396078452</v>
      </c>
      <c r="Z725" s="137">
        <v>4819479.3600000003</v>
      </c>
      <c r="AA725" s="137">
        <f t="shared" si="140"/>
        <v>567425.56999999937</v>
      </c>
      <c r="AB725" s="146">
        <f>IF(O725="返货",(Z725-Q725)/(1+N725),IF(O725="返现",(Z725-Q725),IF(O725="折扣",(Z725-Q725)*N725,IF(O725="无",(Z725-Q725)))))</f>
        <v>4590456.4313725494</v>
      </c>
      <c r="AC725" s="147">
        <f t="shared" si="141"/>
        <v>229022.92862745095</v>
      </c>
      <c r="AD725" s="137">
        <f t="shared" si="146"/>
        <v>4724426.4606092544</v>
      </c>
      <c r="AE725" s="138">
        <v>0.1077</v>
      </c>
      <c r="AF725" s="137">
        <f t="shared" si="136"/>
        <v>508820.72980761674</v>
      </c>
      <c r="AG725" s="137">
        <v>424558.33177788201</v>
      </c>
      <c r="AH725" s="154"/>
      <c r="AI725" s="154"/>
      <c r="AJ725" s="135" t="s">
        <v>173</v>
      </c>
      <c r="AK725" s="119" t="s">
        <v>173</v>
      </c>
      <c r="AL725" s="119" t="s">
        <v>611</v>
      </c>
      <c r="AM725" s="131"/>
    </row>
    <row r="726" spans="1:39" s="119" customFormat="1" ht="15" customHeight="1" x14ac:dyDescent="0.3">
      <c r="A726" s="119">
        <v>2017</v>
      </c>
      <c r="B726" s="119" t="s">
        <v>38</v>
      </c>
      <c r="C726" s="119" t="s">
        <v>200</v>
      </c>
      <c r="D726" s="119" t="s">
        <v>201</v>
      </c>
      <c r="E726" s="119" t="s">
        <v>820</v>
      </c>
      <c r="F726" s="119" t="s">
        <v>823</v>
      </c>
      <c r="G726" s="119" t="s">
        <v>823</v>
      </c>
      <c r="H726" s="119" t="s">
        <v>823</v>
      </c>
      <c r="I726" s="163" t="s">
        <v>204</v>
      </c>
      <c r="J726" s="119" t="s">
        <v>575</v>
      </c>
      <c r="K726" s="119" t="s">
        <v>576</v>
      </c>
      <c r="L726" s="119" t="s">
        <v>824</v>
      </c>
      <c r="M726" s="119" t="s">
        <v>185</v>
      </c>
      <c r="N726" s="136">
        <v>0.08</v>
      </c>
      <c r="O726" s="135" t="s">
        <v>51</v>
      </c>
      <c r="P726" s="135"/>
      <c r="Q726" s="137">
        <v>147115.02103999999</v>
      </c>
      <c r="R726" s="137">
        <v>0</v>
      </c>
      <c r="S726" s="137">
        <v>567425.56999999995</v>
      </c>
      <c r="T726" s="137">
        <f t="shared" si="138"/>
        <v>45394.045599999998</v>
      </c>
      <c r="U726" s="137">
        <f t="shared" si="142"/>
        <v>612819.6155999999</v>
      </c>
      <c r="V726" s="137">
        <v>0</v>
      </c>
      <c r="W726" s="137">
        <f t="shared" si="143"/>
        <v>612819.6155999999</v>
      </c>
      <c r="X726" s="137">
        <f t="shared" si="139"/>
        <v>567425.56999999983</v>
      </c>
      <c r="Y726" s="137">
        <f t="shared" si="144"/>
        <v>45394.04560000007</v>
      </c>
      <c r="Z726" s="137">
        <v>714540.59</v>
      </c>
      <c r="AA726" s="137">
        <f t="shared" si="140"/>
        <v>-567425.56895999995</v>
      </c>
      <c r="AB726" s="146">
        <f>IF(O726="返货",(Z726-Q726)/(1+N726),IF(O726="返现",(Z726-Q726),IF(O726="折扣",(Z726-Q726)*N726,IF(O726="无",(Z726-Q726)))))</f>
        <v>525394.0453333332</v>
      </c>
      <c r="AC726" s="147">
        <f t="shared" si="141"/>
        <v>189146.54466666677</v>
      </c>
      <c r="AD726" s="137">
        <f t="shared" si="146"/>
        <v>700447.95680489193</v>
      </c>
      <c r="AE726" s="138">
        <v>0.31559999999999999</v>
      </c>
      <c r="AF726" s="137">
        <f t="shared" si="136"/>
        <v>221061.37516762389</v>
      </c>
      <c r="AG726" s="137">
        <v>172580.077611407</v>
      </c>
      <c r="AH726" s="154"/>
      <c r="AI726" s="154"/>
      <c r="AJ726" s="135" t="s">
        <v>53</v>
      </c>
      <c r="AK726" s="119" t="s">
        <v>53</v>
      </c>
      <c r="AM726" s="131"/>
    </row>
    <row r="727" spans="1:39" s="119" customFormat="1" ht="15" customHeight="1" x14ac:dyDescent="0.3">
      <c r="A727" s="119">
        <v>2017</v>
      </c>
      <c r="B727" s="119" t="s">
        <v>199</v>
      </c>
      <c r="C727" s="119" t="s">
        <v>200</v>
      </c>
      <c r="D727" s="119" t="s">
        <v>201</v>
      </c>
      <c r="E727" s="119" t="s">
        <v>820</v>
      </c>
      <c r="F727" s="119" t="s">
        <v>202</v>
      </c>
      <c r="G727" s="119" t="s">
        <v>203</v>
      </c>
      <c r="H727" s="119" t="s">
        <v>203</v>
      </c>
      <c r="I727" s="163" t="s">
        <v>204</v>
      </c>
      <c r="J727" s="119" t="s">
        <v>603</v>
      </c>
      <c r="K727" s="119" t="s">
        <v>618</v>
      </c>
      <c r="L727" s="119" t="s">
        <v>207</v>
      </c>
      <c r="M727" s="119" t="s">
        <v>46</v>
      </c>
      <c r="N727" s="136">
        <v>0.02</v>
      </c>
      <c r="O727" s="135" t="s">
        <v>51</v>
      </c>
      <c r="P727" s="135"/>
      <c r="Q727" s="137">
        <v>0</v>
      </c>
      <c r="R727" s="137">
        <v>0</v>
      </c>
      <c r="S727" s="137">
        <v>50000</v>
      </c>
      <c r="T727" s="137">
        <f t="shared" si="138"/>
        <v>1000</v>
      </c>
      <c r="U727" s="137">
        <f t="shared" si="142"/>
        <v>51000</v>
      </c>
      <c r="V727" s="137">
        <v>450000</v>
      </c>
      <c r="W727" s="137">
        <f t="shared" si="143"/>
        <v>-399000</v>
      </c>
      <c r="X727" s="137">
        <f t="shared" si="139"/>
        <v>-391176.4705882353</v>
      </c>
      <c r="Y727" s="137">
        <f t="shared" si="144"/>
        <v>-7823.529411764699</v>
      </c>
      <c r="Z727" s="137">
        <v>187159.16</v>
      </c>
      <c r="AA727" s="137">
        <f t="shared" si="140"/>
        <v>262840.83999999997</v>
      </c>
      <c r="AB727" s="146">
        <f t="shared" ref="AB727:AB732" si="147">IF(O727="返货",Z727/(1+N727),IF(O727="返现",Z727,IF(O727="折扣",Z727*N727,IF(O727="无",Z727))))</f>
        <v>183489.37254901961</v>
      </c>
      <c r="AC727" s="147">
        <f t="shared" si="141"/>
        <v>3669.7874509803951</v>
      </c>
      <c r="AD727" s="137">
        <v>187159.16</v>
      </c>
      <c r="AE727" s="138">
        <v>7.0000000000000007E-2</v>
      </c>
      <c r="AF727" s="137">
        <f t="shared" si="136"/>
        <v>13101.141200000002</v>
      </c>
      <c r="AG727" s="137">
        <v>9431.3537490196104</v>
      </c>
      <c r="AH727" s="154"/>
      <c r="AI727" s="154"/>
      <c r="AJ727" s="135" t="s">
        <v>813</v>
      </c>
      <c r="AK727" s="119" t="s">
        <v>813</v>
      </c>
      <c r="AM727" s="131"/>
    </row>
    <row r="728" spans="1:39" s="119" customFormat="1" ht="15" customHeight="1" x14ac:dyDescent="0.3">
      <c r="A728" s="119">
        <v>2017</v>
      </c>
      <c r="B728" s="119" t="s">
        <v>199</v>
      </c>
      <c r="C728" s="119" t="s">
        <v>200</v>
      </c>
      <c r="D728" s="119" t="s">
        <v>201</v>
      </c>
      <c r="E728" s="119" t="s">
        <v>820</v>
      </c>
      <c r="F728" s="119" t="s">
        <v>202</v>
      </c>
      <c r="G728" s="119" t="s">
        <v>203</v>
      </c>
      <c r="H728" s="119" t="s">
        <v>203</v>
      </c>
      <c r="I728" s="163" t="s">
        <v>204</v>
      </c>
      <c r="J728" s="119" t="s">
        <v>575</v>
      </c>
      <c r="K728" s="119" t="s">
        <v>576</v>
      </c>
      <c r="L728" s="119" t="s">
        <v>825</v>
      </c>
      <c r="M728" s="119" t="s">
        <v>185</v>
      </c>
      <c r="N728" s="136">
        <v>0.03</v>
      </c>
      <c r="O728" s="135" t="s">
        <v>51</v>
      </c>
      <c r="P728" s="135"/>
      <c r="Q728" s="137">
        <v>0</v>
      </c>
      <c r="R728" s="137">
        <v>0</v>
      </c>
      <c r="S728" s="137">
        <v>58376.92</v>
      </c>
      <c r="T728" s="137">
        <f t="shared" si="138"/>
        <v>1751.3075999999999</v>
      </c>
      <c r="U728" s="137">
        <f t="shared" si="142"/>
        <v>60128.227599999998</v>
      </c>
      <c r="V728" s="137">
        <v>0</v>
      </c>
      <c r="W728" s="137">
        <f t="shared" si="143"/>
        <v>60128.227599999998</v>
      </c>
      <c r="X728" s="137">
        <f t="shared" si="139"/>
        <v>58376.92</v>
      </c>
      <c r="Y728" s="137">
        <f t="shared" si="144"/>
        <v>1751.3076000000001</v>
      </c>
      <c r="Z728" s="137">
        <v>58376.92</v>
      </c>
      <c r="AA728" s="137">
        <f t="shared" si="140"/>
        <v>-58376.92</v>
      </c>
      <c r="AB728" s="146">
        <f t="shared" si="147"/>
        <v>56676.621359223296</v>
      </c>
      <c r="AC728" s="147">
        <f t="shared" si="141"/>
        <v>1700.2986407767021</v>
      </c>
      <c r="AD728" s="137">
        <f t="shared" ref="AD728:AD759" si="148">Z728*0.980277351080772</f>
        <v>57225.572501854134</v>
      </c>
      <c r="AE728" s="138">
        <v>0.31559999999999999</v>
      </c>
      <c r="AF728" s="137">
        <f t="shared" si="136"/>
        <v>18060.390681585166</v>
      </c>
      <c r="AG728" s="137">
        <v>16723.457311223301</v>
      </c>
      <c r="AH728" s="154"/>
      <c r="AI728" s="154"/>
      <c r="AJ728" s="135" t="s">
        <v>826</v>
      </c>
      <c r="AK728" s="119" t="s">
        <v>826</v>
      </c>
      <c r="AM728" s="131"/>
    </row>
    <row r="729" spans="1:39" s="119" customFormat="1" ht="15" customHeight="1" x14ac:dyDescent="0.3">
      <c r="A729" s="119">
        <v>2017</v>
      </c>
      <c r="B729" s="119" t="s">
        <v>199</v>
      </c>
      <c r="C729" s="119" t="s">
        <v>200</v>
      </c>
      <c r="D729" s="119" t="s">
        <v>201</v>
      </c>
      <c r="E729" s="119" t="s">
        <v>820</v>
      </c>
      <c r="F729" s="119" t="s">
        <v>202</v>
      </c>
      <c r="G729" s="119" t="s">
        <v>203</v>
      </c>
      <c r="H729" s="119" t="s">
        <v>203</v>
      </c>
      <c r="I729" s="163" t="s">
        <v>204</v>
      </c>
      <c r="J729" s="119" t="s">
        <v>575</v>
      </c>
      <c r="K729" s="119" t="s">
        <v>576</v>
      </c>
      <c r="L729" s="119" t="s">
        <v>825</v>
      </c>
      <c r="M729" s="119" t="s">
        <v>46</v>
      </c>
      <c r="N729" s="136">
        <v>0.02</v>
      </c>
      <c r="O729" s="135" t="s">
        <v>51</v>
      </c>
      <c r="P729" s="135"/>
      <c r="Q729" s="137">
        <v>0</v>
      </c>
      <c r="R729" s="137">
        <v>0</v>
      </c>
      <c r="S729" s="137">
        <v>26623.08</v>
      </c>
      <c r="T729" s="137">
        <f t="shared" si="138"/>
        <v>532.46160000000009</v>
      </c>
      <c r="U729" s="137">
        <f t="shared" si="142"/>
        <v>27155.5416</v>
      </c>
      <c r="V729" s="137">
        <v>60000</v>
      </c>
      <c r="W729" s="137">
        <f t="shared" si="143"/>
        <v>-32844.458400000003</v>
      </c>
      <c r="X729" s="137">
        <f t="shared" si="139"/>
        <v>-32200.449411764708</v>
      </c>
      <c r="Y729" s="137">
        <f t="shared" si="144"/>
        <v>-644.00898823529496</v>
      </c>
      <c r="Z729" s="137">
        <v>1623.08</v>
      </c>
      <c r="AA729" s="137">
        <f t="shared" si="140"/>
        <v>58376.92</v>
      </c>
      <c r="AB729" s="146">
        <f t="shared" si="147"/>
        <v>1591.2549019607843</v>
      </c>
      <c r="AC729" s="147">
        <f t="shared" si="141"/>
        <v>31.825098039215618</v>
      </c>
      <c r="AD729" s="137">
        <f t="shared" si="148"/>
        <v>1591.0685629921793</v>
      </c>
      <c r="AE729" s="138">
        <v>0.1077</v>
      </c>
      <c r="AF729" s="137">
        <f t="shared" si="136"/>
        <v>171.35808423425772</v>
      </c>
      <c r="AG729" s="137">
        <v>142.980617960784</v>
      </c>
      <c r="AH729" s="154"/>
      <c r="AI729" s="154"/>
      <c r="AJ729" s="135" t="s">
        <v>827</v>
      </c>
      <c r="AK729" s="119" t="s">
        <v>827</v>
      </c>
      <c r="AM729" s="131"/>
    </row>
    <row r="730" spans="1:39" s="119" customFormat="1" ht="15" customHeight="1" x14ac:dyDescent="0.3">
      <c r="A730" s="119">
        <v>2017</v>
      </c>
      <c r="B730" s="119" t="s">
        <v>38</v>
      </c>
      <c r="C730" s="119" t="s">
        <v>200</v>
      </c>
      <c r="D730" s="119" t="s">
        <v>828</v>
      </c>
      <c r="E730" s="119" t="s">
        <v>820</v>
      </c>
      <c r="F730" s="119" t="s">
        <v>829</v>
      </c>
      <c r="G730" s="119" t="s">
        <v>829</v>
      </c>
      <c r="H730" s="119" t="s">
        <v>829</v>
      </c>
      <c r="I730" s="163" t="s">
        <v>204</v>
      </c>
      <c r="J730" s="119" t="s">
        <v>575</v>
      </c>
      <c r="K730" s="119" t="s">
        <v>576</v>
      </c>
      <c r="L730" s="119" t="s">
        <v>829</v>
      </c>
      <c r="M730" s="119" t="s">
        <v>185</v>
      </c>
      <c r="N730" s="136">
        <v>0.02</v>
      </c>
      <c r="O730" s="135" t="s">
        <v>51</v>
      </c>
      <c r="P730" s="135"/>
      <c r="Q730" s="137">
        <v>0</v>
      </c>
      <c r="R730" s="137">
        <v>0</v>
      </c>
      <c r="S730" s="137">
        <v>155.36000000000001</v>
      </c>
      <c r="T730" s="137">
        <f t="shared" si="138"/>
        <v>3.1072000000000002</v>
      </c>
      <c r="U730" s="137">
        <f t="shared" si="142"/>
        <v>158.46720000000002</v>
      </c>
      <c r="V730" s="137">
        <v>0</v>
      </c>
      <c r="W730" s="137">
        <f t="shared" si="143"/>
        <v>158.46720000000002</v>
      </c>
      <c r="X730" s="137">
        <f t="shared" si="139"/>
        <v>155.36000000000001</v>
      </c>
      <c r="Y730" s="137">
        <f t="shared" si="144"/>
        <v>3.107200000000006</v>
      </c>
      <c r="Z730" s="137">
        <v>155.36000000000001</v>
      </c>
      <c r="AA730" s="137">
        <f t="shared" si="140"/>
        <v>-155.36000000000001</v>
      </c>
      <c r="AB730" s="146">
        <f t="shared" si="147"/>
        <v>152.31372549019608</v>
      </c>
      <c r="AC730" s="147">
        <f t="shared" si="141"/>
        <v>3.0462745098039363</v>
      </c>
      <c r="AD730" s="137">
        <f t="shared" si="148"/>
        <v>152.29588926390875</v>
      </c>
      <c r="AE730" s="138">
        <v>0.31559999999999999</v>
      </c>
      <c r="AF730" s="137">
        <f t="shared" si="136"/>
        <v>48.064582651689598</v>
      </c>
      <c r="AG730" s="137">
        <v>45.985341490196099</v>
      </c>
      <c r="AH730" s="154"/>
      <c r="AI730" s="154"/>
      <c r="AJ730" s="135" t="s">
        <v>173</v>
      </c>
      <c r="AK730" s="119" t="s">
        <v>173</v>
      </c>
      <c r="AM730" s="131"/>
    </row>
    <row r="731" spans="1:39" s="119" customFormat="1" ht="15" customHeight="1" x14ac:dyDescent="0.3">
      <c r="A731" s="119">
        <v>2017</v>
      </c>
      <c r="B731" s="119" t="s">
        <v>38</v>
      </c>
      <c r="C731" s="119" t="s">
        <v>200</v>
      </c>
      <c r="D731" s="119" t="s">
        <v>828</v>
      </c>
      <c r="E731" s="119" t="s">
        <v>820</v>
      </c>
      <c r="F731" s="119" t="s">
        <v>829</v>
      </c>
      <c r="G731" s="119" t="s">
        <v>829</v>
      </c>
      <c r="H731" s="119" t="s">
        <v>829</v>
      </c>
      <c r="I731" s="163" t="s">
        <v>204</v>
      </c>
      <c r="J731" s="119" t="s">
        <v>575</v>
      </c>
      <c r="K731" s="119" t="s">
        <v>576</v>
      </c>
      <c r="L731" s="119" t="s">
        <v>829</v>
      </c>
      <c r="M731" s="119" t="s">
        <v>46</v>
      </c>
      <c r="N731" s="136">
        <v>0.02</v>
      </c>
      <c r="O731" s="135" t="s">
        <v>51</v>
      </c>
      <c r="P731" s="135"/>
      <c r="Q731" s="137">
        <v>0</v>
      </c>
      <c r="R731" s="137">
        <v>0</v>
      </c>
      <c r="S731" s="137">
        <v>9844.64</v>
      </c>
      <c r="T731" s="137">
        <f t="shared" si="138"/>
        <v>196.89279999999999</v>
      </c>
      <c r="U731" s="137">
        <f t="shared" si="142"/>
        <v>10041.532799999999</v>
      </c>
      <c r="V731" s="137">
        <v>10000</v>
      </c>
      <c r="W731" s="137">
        <f t="shared" si="143"/>
        <v>41.532799999999042</v>
      </c>
      <c r="X731" s="137">
        <f t="shared" si="139"/>
        <v>40.718431372548082</v>
      </c>
      <c r="Y731" s="137">
        <f t="shared" si="144"/>
        <v>0.8143686274509605</v>
      </c>
      <c r="Z731" s="137">
        <v>9844.64</v>
      </c>
      <c r="AA731" s="137">
        <f t="shared" si="140"/>
        <v>155.36000000000058</v>
      </c>
      <c r="AB731" s="146">
        <f t="shared" si="147"/>
        <v>9651.6078431372534</v>
      </c>
      <c r="AC731" s="147">
        <f t="shared" si="141"/>
        <v>193.03215686274598</v>
      </c>
      <c r="AD731" s="137">
        <f t="shared" si="148"/>
        <v>9650.4776215438105</v>
      </c>
      <c r="AE731" s="138">
        <v>0.1077</v>
      </c>
      <c r="AF731" s="137">
        <f t="shared" si="136"/>
        <v>1039.3564398402684</v>
      </c>
      <c r="AG731" s="137">
        <v>867.23557113725406</v>
      </c>
      <c r="AH731" s="154"/>
      <c r="AI731" s="154"/>
      <c r="AJ731" s="135" t="s">
        <v>173</v>
      </c>
      <c r="AK731" s="119" t="s">
        <v>173</v>
      </c>
      <c r="AM731" s="131"/>
    </row>
    <row r="732" spans="1:39" s="119" customFormat="1" ht="15" customHeight="1" x14ac:dyDescent="0.3">
      <c r="A732" s="119">
        <v>2017</v>
      </c>
      <c r="B732" s="119" t="s">
        <v>38</v>
      </c>
      <c r="C732" s="119" t="s">
        <v>59</v>
      </c>
      <c r="D732" s="119" t="s">
        <v>106</v>
      </c>
      <c r="F732" s="131" t="s">
        <v>197</v>
      </c>
      <c r="G732" s="131" t="s">
        <v>197</v>
      </c>
      <c r="H732" s="131" t="s">
        <v>197</v>
      </c>
      <c r="I732" s="131" t="s">
        <v>204</v>
      </c>
      <c r="J732" s="119" t="s">
        <v>575</v>
      </c>
      <c r="K732" s="119" t="s">
        <v>576</v>
      </c>
      <c r="L732" s="119" t="s">
        <v>197</v>
      </c>
      <c r="M732" s="119" t="s">
        <v>46</v>
      </c>
      <c r="N732" s="136">
        <v>0.02</v>
      </c>
      <c r="O732" s="135" t="s">
        <v>51</v>
      </c>
      <c r="P732" s="135"/>
      <c r="Q732" s="137">
        <v>0</v>
      </c>
      <c r="R732" s="137">
        <v>0</v>
      </c>
      <c r="S732" s="137"/>
      <c r="T732" s="137">
        <f t="shared" si="138"/>
        <v>0</v>
      </c>
      <c r="U732" s="137">
        <f t="shared" si="142"/>
        <v>0</v>
      </c>
      <c r="V732" s="137">
        <v>7820000</v>
      </c>
      <c r="W732" s="137">
        <f t="shared" si="143"/>
        <v>-7820000</v>
      </c>
      <c r="X732" s="137">
        <f t="shared" si="139"/>
        <v>-7666666.666666667</v>
      </c>
      <c r="Y732" s="137">
        <f t="shared" si="144"/>
        <v>-153333.33333333302</v>
      </c>
      <c r="Z732" s="137">
        <v>1361931.7</v>
      </c>
      <c r="AA732" s="137">
        <f t="shared" si="140"/>
        <v>6458068.2999999998</v>
      </c>
      <c r="AB732" s="146">
        <f t="shared" si="147"/>
        <v>1335227.1568627451</v>
      </c>
      <c r="AC732" s="147">
        <f t="shared" si="141"/>
        <v>26704.543137254892</v>
      </c>
      <c r="AD732" s="137">
        <f t="shared" si="148"/>
        <v>1335070.7992289325</v>
      </c>
      <c r="AE732" s="138">
        <v>0.1077</v>
      </c>
      <c r="AF732" s="137">
        <f t="shared" si="136"/>
        <v>143787.12507695603</v>
      </c>
      <c r="AG732" s="137">
        <v>146680.04409000001</v>
      </c>
      <c r="AH732" s="154"/>
      <c r="AI732" s="154"/>
      <c r="AJ732" s="135" t="s">
        <v>173</v>
      </c>
      <c r="AM732" s="131" t="s">
        <v>208</v>
      </c>
    </row>
    <row r="733" spans="1:39" s="119" customFormat="1" ht="15" customHeight="1" x14ac:dyDescent="0.3">
      <c r="A733" s="119">
        <v>2017</v>
      </c>
      <c r="B733" s="119" t="s">
        <v>199</v>
      </c>
      <c r="C733" s="119" t="s">
        <v>54</v>
      </c>
      <c r="D733" s="119" t="s">
        <v>55</v>
      </c>
      <c r="F733" s="131" t="s">
        <v>496</v>
      </c>
      <c r="G733" s="131" t="s">
        <v>497</v>
      </c>
      <c r="H733" s="158" t="s">
        <v>498</v>
      </c>
      <c r="I733" s="131" t="s">
        <v>204</v>
      </c>
      <c r="J733" s="119" t="s">
        <v>575</v>
      </c>
      <c r="K733" s="119" t="s">
        <v>576</v>
      </c>
      <c r="L733" s="119" t="s">
        <v>830</v>
      </c>
      <c r="M733" s="119" t="s">
        <v>46</v>
      </c>
      <c r="N733" s="136">
        <v>0.02</v>
      </c>
      <c r="O733" s="135" t="s">
        <v>51</v>
      </c>
      <c r="P733" s="135"/>
      <c r="Q733" s="137">
        <v>55221.876600000003</v>
      </c>
      <c r="R733" s="137">
        <v>0</v>
      </c>
      <c r="S733" s="137"/>
      <c r="T733" s="137">
        <f t="shared" si="138"/>
        <v>0</v>
      </c>
      <c r="U733" s="137">
        <f t="shared" si="142"/>
        <v>0</v>
      </c>
      <c r="V733" s="137">
        <v>1300000</v>
      </c>
      <c r="W733" s="137">
        <f t="shared" si="143"/>
        <v>-1300000</v>
      </c>
      <c r="X733" s="137">
        <f t="shared" si="139"/>
        <v>-1274509.8039215687</v>
      </c>
      <c r="Y733" s="137">
        <f t="shared" si="144"/>
        <v>-25490.196078431327</v>
      </c>
      <c r="Z733" s="137">
        <v>284706.82</v>
      </c>
      <c r="AA733" s="137">
        <f t="shared" si="140"/>
        <v>1070515.0566</v>
      </c>
      <c r="AB733" s="146">
        <f>IF(O733="返货",(Z733-Q733)/(1+N733),IF(O733="返现",(Z733-Q733),IF(O733="折扣",(Z733-Q733)*N733,IF(O733="无",(Z733-Q733)))))</f>
        <v>224985.23862745098</v>
      </c>
      <c r="AC733" s="147">
        <f t="shared" si="141"/>
        <v>59721.58137254903</v>
      </c>
      <c r="AD733" s="137">
        <f t="shared" si="148"/>
        <v>279091.64734423015</v>
      </c>
      <c r="AE733" s="138">
        <v>0.1077</v>
      </c>
      <c r="AF733" s="137">
        <f t="shared" si="136"/>
        <v>30058.17041897359</v>
      </c>
      <c r="AG733" s="137">
        <v>30662.924513999998</v>
      </c>
      <c r="AH733" s="154"/>
      <c r="AI733" s="154"/>
      <c r="AJ733" s="135" t="s">
        <v>173</v>
      </c>
      <c r="AM733" s="131" t="s">
        <v>208</v>
      </c>
    </row>
    <row r="734" spans="1:39" s="119" customFormat="1" ht="15" customHeight="1" x14ac:dyDescent="0.3">
      <c r="A734" s="119">
        <v>2017</v>
      </c>
      <c r="B734" s="119" t="s">
        <v>38</v>
      </c>
      <c r="C734" s="119" t="s">
        <v>59</v>
      </c>
      <c r="D734" s="119" t="s">
        <v>154</v>
      </c>
      <c r="F734" s="131" t="s">
        <v>722</v>
      </c>
      <c r="G734" s="131" t="s">
        <v>723</v>
      </c>
      <c r="H734" s="131" t="s">
        <v>723</v>
      </c>
      <c r="I734" s="131" t="s">
        <v>204</v>
      </c>
      <c r="J734" s="119" t="s">
        <v>575</v>
      </c>
      <c r="K734" s="119" t="s">
        <v>576</v>
      </c>
      <c r="L734" s="119" t="s">
        <v>831</v>
      </c>
      <c r="M734" s="119" t="s">
        <v>46</v>
      </c>
      <c r="N734" s="136">
        <v>0.02</v>
      </c>
      <c r="O734" s="135" t="s">
        <v>51</v>
      </c>
      <c r="P734" s="135"/>
      <c r="Q734" s="137">
        <v>0</v>
      </c>
      <c r="R734" s="137">
        <v>0</v>
      </c>
      <c r="S734" s="137"/>
      <c r="T734" s="137">
        <f t="shared" si="138"/>
        <v>0</v>
      </c>
      <c r="U734" s="137">
        <f t="shared" si="142"/>
        <v>0</v>
      </c>
      <c r="V734" s="137">
        <v>272000</v>
      </c>
      <c r="W734" s="137">
        <f t="shared" si="143"/>
        <v>-272000</v>
      </c>
      <c r="X734" s="137">
        <f t="shared" si="139"/>
        <v>-266666.66666666669</v>
      </c>
      <c r="Y734" s="137">
        <f t="shared" si="144"/>
        <v>-5333.3333333333139</v>
      </c>
      <c r="Z734" s="137">
        <v>184519.1</v>
      </c>
      <c r="AA734" s="137">
        <f t="shared" si="140"/>
        <v>87480.9</v>
      </c>
      <c r="AB734" s="146">
        <f t="shared" ref="AB734:AB743" si="149">IF(O734="返货",Z734/(1+N734),IF(O734="返现",Z734,IF(O734="折扣",Z734*N734,IF(O734="无",Z734))))</f>
        <v>180901.07843137256</v>
      </c>
      <c r="AC734" s="147">
        <f t="shared" si="141"/>
        <v>3618.021568627446</v>
      </c>
      <c r="AD734" s="137">
        <f t="shared" si="148"/>
        <v>180879.89457180808</v>
      </c>
      <c r="AE734" s="138">
        <v>0.1077</v>
      </c>
      <c r="AF734" s="137">
        <f t="shared" si="136"/>
        <v>19480.76464538373</v>
      </c>
      <c r="AG734" s="137">
        <v>19872.70707</v>
      </c>
      <c r="AH734" s="154"/>
      <c r="AI734" s="154"/>
      <c r="AJ734" s="135" t="s">
        <v>173</v>
      </c>
      <c r="AM734" s="131" t="s">
        <v>208</v>
      </c>
    </row>
    <row r="735" spans="1:39" s="119" customFormat="1" ht="15" customHeight="1" x14ac:dyDescent="0.3">
      <c r="A735" s="119">
        <v>2017</v>
      </c>
      <c r="B735" s="119" t="s">
        <v>38</v>
      </c>
      <c r="C735" s="119" t="s">
        <v>59</v>
      </c>
      <c r="D735" s="119" t="s">
        <v>154</v>
      </c>
      <c r="F735" s="131" t="s">
        <v>722</v>
      </c>
      <c r="G735" s="131" t="s">
        <v>723</v>
      </c>
      <c r="H735" s="131" t="s">
        <v>723</v>
      </c>
      <c r="I735" s="131" t="s">
        <v>204</v>
      </c>
      <c r="J735" s="119" t="s">
        <v>575</v>
      </c>
      <c r="K735" s="119" t="s">
        <v>576</v>
      </c>
      <c r="L735" s="119" t="s">
        <v>832</v>
      </c>
      <c r="M735" s="119" t="s">
        <v>46</v>
      </c>
      <c r="N735" s="136">
        <v>0.02</v>
      </c>
      <c r="O735" s="135" t="s">
        <v>51</v>
      </c>
      <c r="P735" s="135"/>
      <c r="Q735" s="137">
        <v>0</v>
      </c>
      <c r="R735" s="137">
        <v>0</v>
      </c>
      <c r="S735" s="137"/>
      <c r="T735" s="137">
        <f t="shared" si="138"/>
        <v>0</v>
      </c>
      <c r="U735" s="137">
        <f t="shared" si="142"/>
        <v>0</v>
      </c>
      <c r="V735" s="137">
        <v>224400</v>
      </c>
      <c r="W735" s="137">
        <f t="shared" si="143"/>
        <v>-224400</v>
      </c>
      <c r="X735" s="137">
        <f t="shared" si="139"/>
        <v>-220000</v>
      </c>
      <c r="Y735" s="137">
        <f t="shared" si="144"/>
        <v>-4400</v>
      </c>
      <c r="Z735" s="137">
        <v>127580.18</v>
      </c>
      <c r="AA735" s="137">
        <f t="shared" si="140"/>
        <v>96819.82</v>
      </c>
      <c r="AB735" s="146">
        <f t="shared" si="149"/>
        <v>125078.60784313724</v>
      </c>
      <c r="AC735" s="147">
        <f t="shared" si="141"/>
        <v>2501.5721568627487</v>
      </c>
      <c r="AD735" s="137">
        <f t="shared" si="148"/>
        <v>125063.96090080807</v>
      </c>
      <c r="AE735" s="138">
        <v>0.1077</v>
      </c>
      <c r="AF735" s="137">
        <f t="shared" si="136"/>
        <v>13469.38858901703</v>
      </c>
      <c r="AG735" s="137">
        <v>13740.385386</v>
      </c>
      <c r="AH735" s="154"/>
      <c r="AI735" s="154"/>
      <c r="AJ735" s="135" t="s">
        <v>173</v>
      </c>
      <c r="AM735" s="131" t="s">
        <v>208</v>
      </c>
    </row>
    <row r="736" spans="1:39" s="119" customFormat="1" ht="15" customHeight="1" x14ac:dyDescent="0.3">
      <c r="A736" s="119">
        <v>2017</v>
      </c>
      <c r="B736" s="119" t="s">
        <v>38</v>
      </c>
      <c r="C736" s="119" t="s">
        <v>59</v>
      </c>
      <c r="D736" s="119" t="s">
        <v>833</v>
      </c>
      <c r="F736" s="131" t="s">
        <v>736</v>
      </c>
      <c r="G736" s="131" t="s">
        <v>736</v>
      </c>
      <c r="H736" s="131" t="s">
        <v>736</v>
      </c>
      <c r="I736" s="131" t="s">
        <v>204</v>
      </c>
      <c r="J736" s="119" t="s">
        <v>575</v>
      </c>
      <c r="K736" s="119" t="s">
        <v>576</v>
      </c>
      <c r="L736" s="119" t="s">
        <v>737</v>
      </c>
      <c r="M736" s="119" t="s">
        <v>46</v>
      </c>
      <c r="N736" s="136">
        <v>0.02</v>
      </c>
      <c r="O736" s="135" t="s">
        <v>51</v>
      </c>
      <c r="P736" s="135"/>
      <c r="Q736" s="137">
        <v>0</v>
      </c>
      <c r="R736" s="137">
        <v>0</v>
      </c>
      <c r="S736" s="137"/>
      <c r="T736" s="137">
        <f t="shared" si="138"/>
        <v>0</v>
      </c>
      <c r="U736" s="137">
        <f t="shared" si="142"/>
        <v>0</v>
      </c>
      <c r="V736" s="137">
        <v>173400</v>
      </c>
      <c r="W736" s="137">
        <f t="shared" si="143"/>
        <v>-173400</v>
      </c>
      <c r="X736" s="137">
        <f t="shared" si="139"/>
        <v>-170000</v>
      </c>
      <c r="Y736" s="137">
        <f t="shared" si="144"/>
        <v>-3400</v>
      </c>
      <c r="Z736" s="137">
        <v>0</v>
      </c>
      <c r="AA736" s="137">
        <f t="shared" si="140"/>
        <v>173400</v>
      </c>
      <c r="AB736" s="146">
        <f t="shared" si="149"/>
        <v>0</v>
      </c>
      <c r="AC736" s="147">
        <f t="shared" si="141"/>
        <v>0</v>
      </c>
      <c r="AD736" s="137">
        <f t="shared" si="148"/>
        <v>0</v>
      </c>
      <c r="AE736" s="138">
        <v>0.1077</v>
      </c>
      <c r="AF736" s="137">
        <f t="shared" si="136"/>
        <v>0</v>
      </c>
      <c r="AG736" s="137">
        <v>0</v>
      </c>
      <c r="AH736" s="154"/>
      <c r="AI736" s="154"/>
      <c r="AJ736" s="136">
        <v>0.02</v>
      </c>
      <c r="AM736" s="131" t="s">
        <v>208</v>
      </c>
    </row>
    <row r="737" spans="1:40" s="119" customFormat="1" ht="15" customHeight="1" x14ac:dyDescent="0.3">
      <c r="A737" s="119">
        <v>2017</v>
      </c>
      <c r="B737" s="119" t="s">
        <v>38</v>
      </c>
      <c r="C737" s="119" t="s">
        <v>39</v>
      </c>
      <c r="D737" s="119" t="s">
        <v>834</v>
      </c>
      <c r="F737" s="131" t="s">
        <v>329</v>
      </c>
      <c r="G737" s="131" t="s">
        <v>329</v>
      </c>
      <c r="H737" s="131" t="s">
        <v>329</v>
      </c>
      <c r="I737" s="131" t="s">
        <v>204</v>
      </c>
      <c r="J737" s="119" t="s">
        <v>575</v>
      </c>
      <c r="K737" s="119" t="s">
        <v>576</v>
      </c>
      <c r="L737" s="119" t="s">
        <v>330</v>
      </c>
      <c r="M737" s="119" t="s">
        <v>46</v>
      </c>
      <c r="N737" s="136">
        <v>0.02</v>
      </c>
      <c r="O737" s="135" t="s">
        <v>51</v>
      </c>
      <c r="P737" s="135"/>
      <c r="Q737" s="137">
        <v>0</v>
      </c>
      <c r="R737" s="137">
        <v>0</v>
      </c>
      <c r="S737" s="137"/>
      <c r="T737" s="137">
        <f t="shared" si="138"/>
        <v>0</v>
      </c>
      <c r="U737" s="137">
        <f t="shared" si="142"/>
        <v>0</v>
      </c>
      <c r="V737" s="137">
        <v>102000</v>
      </c>
      <c r="W737" s="137">
        <f t="shared" si="143"/>
        <v>-102000</v>
      </c>
      <c r="X737" s="137">
        <f t="shared" si="139"/>
        <v>-100000</v>
      </c>
      <c r="Y737" s="137">
        <f t="shared" si="144"/>
        <v>-2000</v>
      </c>
      <c r="Z737" s="137">
        <v>79142.179999999993</v>
      </c>
      <c r="AA737" s="137">
        <f t="shared" si="140"/>
        <v>22857.820000000007</v>
      </c>
      <c r="AB737" s="146">
        <f t="shared" si="149"/>
        <v>77590.372549019594</v>
      </c>
      <c r="AC737" s="147">
        <f t="shared" si="141"/>
        <v>1551.8074509803992</v>
      </c>
      <c r="AD737" s="137">
        <f t="shared" si="148"/>
        <v>77581.286569157644</v>
      </c>
      <c r="AE737" s="138">
        <v>0.1077</v>
      </c>
      <c r="AF737" s="137">
        <f t="shared" si="136"/>
        <v>8355.504563498278</v>
      </c>
      <c r="AG737" s="137">
        <v>8523.6127859999997</v>
      </c>
      <c r="AH737" s="154"/>
      <c r="AI737" s="154"/>
      <c r="AJ737" s="135" t="s">
        <v>173</v>
      </c>
      <c r="AM737" s="131" t="s">
        <v>208</v>
      </c>
    </row>
    <row r="738" spans="1:40" s="119" customFormat="1" ht="15" customHeight="1" x14ac:dyDescent="0.3">
      <c r="A738" s="119">
        <v>2017</v>
      </c>
      <c r="B738" s="131" t="s">
        <v>199</v>
      </c>
      <c r="C738" s="119" t="s">
        <v>54</v>
      </c>
      <c r="D738" s="119" t="s">
        <v>102</v>
      </c>
      <c r="F738" s="131" t="s">
        <v>389</v>
      </c>
      <c r="G738" s="131" t="s">
        <v>390</v>
      </c>
      <c r="H738" s="158" t="s">
        <v>391</v>
      </c>
      <c r="I738" s="131" t="s">
        <v>204</v>
      </c>
      <c r="J738" s="119" t="s">
        <v>575</v>
      </c>
      <c r="K738" s="119" t="s">
        <v>576</v>
      </c>
      <c r="L738" s="119" t="s">
        <v>564</v>
      </c>
      <c r="M738" s="119" t="s">
        <v>46</v>
      </c>
      <c r="N738" s="136">
        <v>0.03</v>
      </c>
      <c r="O738" s="135" t="s">
        <v>51</v>
      </c>
      <c r="P738" s="135"/>
      <c r="Q738" s="137">
        <v>0</v>
      </c>
      <c r="R738" s="137">
        <v>0</v>
      </c>
      <c r="S738" s="137"/>
      <c r="T738" s="137">
        <f t="shared" si="138"/>
        <v>0</v>
      </c>
      <c r="U738" s="137">
        <f t="shared" si="142"/>
        <v>0</v>
      </c>
      <c r="V738" s="137">
        <v>80000</v>
      </c>
      <c r="W738" s="137">
        <f t="shared" si="143"/>
        <v>-80000</v>
      </c>
      <c r="X738" s="137">
        <f t="shared" si="139"/>
        <v>-77669.902912621357</v>
      </c>
      <c r="Y738" s="137">
        <f t="shared" si="144"/>
        <v>-2330.0970873786428</v>
      </c>
      <c r="Z738" s="137">
        <v>56150.93</v>
      </c>
      <c r="AA738" s="137">
        <f t="shared" si="140"/>
        <v>23849.07</v>
      </c>
      <c r="AB738" s="146">
        <f t="shared" si="149"/>
        <v>54515.466019417472</v>
      </c>
      <c r="AC738" s="147">
        <f t="shared" si="141"/>
        <v>1635.4639805825282</v>
      </c>
      <c r="AD738" s="137">
        <f t="shared" si="148"/>
        <v>55043.484921121853</v>
      </c>
      <c r="AE738" s="138">
        <v>0.1077</v>
      </c>
      <c r="AF738" s="137">
        <f t="shared" si="136"/>
        <v>5928.1833260048243</v>
      </c>
      <c r="AG738" s="137">
        <v>6047.4551609999999</v>
      </c>
      <c r="AH738" s="154"/>
      <c r="AI738" s="154"/>
      <c r="AJ738" s="135" t="s">
        <v>189</v>
      </c>
      <c r="AM738" s="131" t="s">
        <v>208</v>
      </c>
    </row>
    <row r="739" spans="1:40" s="119" customFormat="1" ht="15" customHeight="1" x14ac:dyDescent="0.3">
      <c r="A739" s="119">
        <v>2017</v>
      </c>
      <c r="B739" s="119" t="s">
        <v>38</v>
      </c>
      <c r="C739" s="119" t="s">
        <v>75</v>
      </c>
      <c r="D739" s="119" t="s">
        <v>518</v>
      </c>
      <c r="F739" s="131" t="s">
        <v>659</v>
      </c>
      <c r="G739" s="131" t="s">
        <v>659</v>
      </c>
      <c r="H739" s="131" t="s">
        <v>659</v>
      </c>
      <c r="I739" s="131" t="s">
        <v>204</v>
      </c>
      <c r="J739" s="119" t="s">
        <v>575</v>
      </c>
      <c r="K739" s="119" t="s">
        <v>576</v>
      </c>
      <c r="L739" s="119" t="s">
        <v>447</v>
      </c>
      <c r="M739" s="119" t="s">
        <v>46</v>
      </c>
      <c r="N739" s="136">
        <v>0.02</v>
      </c>
      <c r="O739" s="135" t="s">
        <v>51</v>
      </c>
      <c r="P739" s="135"/>
      <c r="Q739" s="137">
        <v>0</v>
      </c>
      <c r="R739" s="137">
        <v>0</v>
      </c>
      <c r="S739" s="137"/>
      <c r="T739" s="137">
        <f t="shared" si="138"/>
        <v>0</v>
      </c>
      <c r="U739" s="137">
        <f t="shared" si="142"/>
        <v>0</v>
      </c>
      <c r="V739" s="137">
        <v>71257.14</v>
      </c>
      <c r="W739" s="137">
        <f t="shared" si="143"/>
        <v>-71257.14</v>
      </c>
      <c r="X739" s="137">
        <f t="shared" si="139"/>
        <v>-69859.941176470587</v>
      </c>
      <c r="Y739" s="137">
        <f t="shared" si="144"/>
        <v>-1397.198823529412</v>
      </c>
      <c r="Z739" s="137">
        <v>71257.14</v>
      </c>
      <c r="AA739" s="137">
        <f t="shared" si="140"/>
        <v>0</v>
      </c>
      <c r="AB739" s="146">
        <f t="shared" si="149"/>
        <v>69859.941176470587</v>
      </c>
      <c r="AC739" s="147">
        <f t="shared" si="141"/>
        <v>1397.198823529412</v>
      </c>
      <c r="AD739" s="137">
        <f t="shared" si="148"/>
        <v>69851.760444791726</v>
      </c>
      <c r="AE739" s="138">
        <v>0.1077</v>
      </c>
      <c r="AF739" s="137">
        <f t="shared" si="136"/>
        <v>7523.0345999040692</v>
      </c>
      <c r="AG739" s="137">
        <v>7674.3939780000001</v>
      </c>
      <c r="AH739" s="154"/>
      <c r="AI739" s="154"/>
      <c r="AJ739" s="136">
        <v>0.02</v>
      </c>
      <c r="AM739" s="131" t="s">
        <v>208</v>
      </c>
    </row>
    <row r="740" spans="1:40" s="119" customFormat="1" ht="15" customHeight="1" x14ac:dyDescent="0.3">
      <c r="A740" s="119">
        <v>2017</v>
      </c>
      <c r="B740" s="119" t="s">
        <v>199</v>
      </c>
      <c r="C740" s="119" t="s">
        <v>75</v>
      </c>
      <c r="D740" s="119" t="s">
        <v>518</v>
      </c>
      <c r="F740" s="131" t="s">
        <v>656</v>
      </c>
      <c r="G740" s="131" t="s">
        <v>657</v>
      </c>
      <c r="H740" s="158" t="s">
        <v>658</v>
      </c>
      <c r="I740" s="131" t="s">
        <v>204</v>
      </c>
      <c r="J740" s="119" t="s">
        <v>575</v>
      </c>
      <c r="K740" s="119" t="s">
        <v>576</v>
      </c>
      <c r="L740" s="119" t="s">
        <v>1632</v>
      </c>
      <c r="M740" s="119" t="s">
        <v>46</v>
      </c>
      <c r="N740" s="136">
        <v>0</v>
      </c>
      <c r="O740" s="135" t="s">
        <v>51</v>
      </c>
      <c r="P740" s="135"/>
      <c r="Q740" s="137">
        <v>0</v>
      </c>
      <c r="R740" s="137">
        <v>0</v>
      </c>
      <c r="S740" s="137"/>
      <c r="T740" s="137">
        <f t="shared" si="138"/>
        <v>0</v>
      </c>
      <c r="U740" s="137">
        <f t="shared" si="142"/>
        <v>0</v>
      </c>
      <c r="V740" s="137">
        <v>50000</v>
      </c>
      <c r="W740" s="137">
        <f t="shared" si="143"/>
        <v>-50000</v>
      </c>
      <c r="X740" s="137">
        <f t="shared" si="139"/>
        <v>-50000</v>
      </c>
      <c r="Y740" s="137">
        <f t="shared" si="144"/>
        <v>0</v>
      </c>
      <c r="Z740" s="137">
        <v>30973.31</v>
      </c>
      <c r="AA740" s="137">
        <f t="shared" si="140"/>
        <v>19026.689999999999</v>
      </c>
      <c r="AB740" s="146">
        <f t="shared" si="149"/>
        <v>30973.31</v>
      </c>
      <c r="AC740" s="147">
        <f t="shared" si="141"/>
        <v>0</v>
      </c>
      <c r="AD740" s="137">
        <f t="shared" si="148"/>
        <v>30362.434281003585</v>
      </c>
      <c r="AE740" s="138">
        <v>0.1077</v>
      </c>
      <c r="AF740" s="137">
        <f t="shared" si="136"/>
        <v>3270.0341720640863</v>
      </c>
      <c r="AG740" s="137">
        <v>3335.8254870000001</v>
      </c>
      <c r="AH740" s="154"/>
      <c r="AI740" s="154"/>
      <c r="AJ740" s="135" t="s">
        <v>173</v>
      </c>
      <c r="AM740" s="131" t="s">
        <v>208</v>
      </c>
    </row>
    <row r="741" spans="1:40" s="119" customFormat="1" ht="15" customHeight="1" x14ac:dyDescent="0.3">
      <c r="A741" s="119">
        <v>2017</v>
      </c>
      <c r="B741" s="119" t="s">
        <v>38</v>
      </c>
      <c r="C741" s="119" t="s">
        <v>54</v>
      </c>
      <c r="D741" s="119" t="s">
        <v>55</v>
      </c>
      <c r="F741" s="131" t="s">
        <v>795</v>
      </c>
      <c r="G741" s="131" t="s">
        <v>795</v>
      </c>
      <c r="H741" s="131" t="s">
        <v>795</v>
      </c>
      <c r="I741" s="131" t="s">
        <v>204</v>
      </c>
      <c r="J741" s="119" t="s">
        <v>575</v>
      </c>
      <c r="K741" s="119" t="s">
        <v>576</v>
      </c>
      <c r="L741" s="119" t="s">
        <v>835</v>
      </c>
      <c r="M741" s="119" t="s">
        <v>46</v>
      </c>
      <c r="N741" s="136">
        <v>0.02</v>
      </c>
      <c r="O741" s="135" t="s">
        <v>51</v>
      </c>
      <c r="P741" s="135"/>
      <c r="Q741" s="137">
        <v>0</v>
      </c>
      <c r="R741" s="137">
        <v>0</v>
      </c>
      <c r="S741" s="137"/>
      <c r="T741" s="137">
        <f t="shared" si="138"/>
        <v>0</v>
      </c>
      <c r="U741" s="137">
        <f t="shared" si="142"/>
        <v>0</v>
      </c>
      <c r="V741" s="137">
        <v>40000</v>
      </c>
      <c r="W741" s="137">
        <f t="shared" si="143"/>
        <v>-40000</v>
      </c>
      <c r="X741" s="137">
        <f t="shared" si="139"/>
        <v>-39215.686274509804</v>
      </c>
      <c r="Y741" s="137">
        <f t="shared" si="144"/>
        <v>-784.31372549019579</v>
      </c>
      <c r="Z741" s="137">
        <v>20288.099999999999</v>
      </c>
      <c r="AA741" s="137">
        <f t="shared" si="140"/>
        <v>19711.900000000001</v>
      </c>
      <c r="AB741" s="146">
        <f t="shared" si="149"/>
        <v>19890.294117647056</v>
      </c>
      <c r="AC741" s="147">
        <f t="shared" si="141"/>
        <v>397.80588235294272</v>
      </c>
      <c r="AD741" s="137">
        <f t="shared" si="148"/>
        <v>19887.964926461809</v>
      </c>
      <c r="AE741" s="138">
        <v>0.1077</v>
      </c>
      <c r="AF741" s="137">
        <f t="shared" si="136"/>
        <v>2141.933822579937</v>
      </c>
      <c r="AG741" s="137">
        <v>2185.02837</v>
      </c>
      <c r="AH741" s="154"/>
      <c r="AI741" s="154"/>
      <c r="AJ741" s="135" t="s">
        <v>173</v>
      </c>
      <c r="AM741" s="131" t="s">
        <v>208</v>
      </c>
    </row>
    <row r="742" spans="1:40" s="119" customFormat="1" ht="15" customHeight="1" x14ac:dyDescent="0.3">
      <c r="A742" s="119">
        <v>2017</v>
      </c>
      <c r="B742" s="119" t="s">
        <v>38</v>
      </c>
      <c r="C742" s="119" t="s">
        <v>88</v>
      </c>
      <c r="D742" s="119" t="s">
        <v>128</v>
      </c>
      <c r="F742" s="131" t="s">
        <v>630</v>
      </c>
      <c r="G742" s="131" t="s">
        <v>630</v>
      </c>
      <c r="H742" s="131" t="s">
        <v>630</v>
      </c>
      <c r="I742" s="131" t="s">
        <v>204</v>
      </c>
      <c r="J742" s="119" t="s">
        <v>575</v>
      </c>
      <c r="K742" s="119" t="s">
        <v>576</v>
      </c>
      <c r="L742" s="119" t="s">
        <v>836</v>
      </c>
      <c r="M742" s="119" t="s">
        <v>46</v>
      </c>
      <c r="N742" s="136">
        <v>0.05</v>
      </c>
      <c r="O742" s="135" t="s">
        <v>51</v>
      </c>
      <c r="P742" s="135"/>
      <c r="Q742" s="137">
        <v>0</v>
      </c>
      <c r="R742" s="137">
        <v>0</v>
      </c>
      <c r="S742" s="137"/>
      <c r="T742" s="137">
        <f t="shared" si="138"/>
        <v>0</v>
      </c>
      <c r="U742" s="137">
        <f t="shared" si="142"/>
        <v>0</v>
      </c>
      <c r="V742" s="137">
        <v>18193.7</v>
      </c>
      <c r="W742" s="137">
        <f t="shared" si="143"/>
        <v>-18193.7</v>
      </c>
      <c r="X742" s="137">
        <f t="shared" si="139"/>
        <v>-17327.333333333332</v>
      </c>
      <c r="Y742" s="137">
        <f t="shared" si="144"/>
        <v>-866.36666666666861</v>
      </c>
      <c r="Z742" s="137">
        <v>18193.7</v>
      </c>
      <c r="AA742" s="137">
        <f t="shared" si="140"/>
        <v>0</v>
      </c>
      <c r="AB742" s="146">
        <f t="shared" si="149"/>
        <v>17327.333333333332</v>
      </c>
      <c r="AC742" s="147">
        <f t="shared" si="141"/>
        <v>866.36666666666861</v>
      </c>
      <c r="AD742" s="137">
        <f t="shared" si="148"/>
        <v>17834.872042358242</v>
      </c>
      <c r="AE742" s="138">
        <v>0.1077</v>
      </c>
      <c r="AF742" s="137">
        <f t="shared" si="136"/>
        <v>1920.8157189619826</v>
      </c>
      <c r="AG742" s="137">
        <v>1959.4614899999999</v>
      </c>
      <c r="AH742" s="154"/>
      <c r="AI742" s="154"/>
      <c r="AJ742" s="136">
        <v>0.05</v>
      </c>
      <c r="AM742" s="131" t="s">
        <v>208</v>
      </c>
    </row>
    <row r="743" spans="1:40" s="119" customFormat="1" ht="15" customHeight="1" x14ac:dyDescent="0.3">
      <c r="A743" s="119">
        <v>2017</v>
      </c>
      <c r="C743" s="119" t="s">
        <v>59</v>
      </c>
      <c r="D743" s="119" t="s">
        <v>181</v>
      </c>
      <c r="F743" s="131" t="s">
        <v>837</v>
      </c>
      <c r="G743" s="131"/>
      <c r="H743" s="131"/>
      <c r="I743" s="131" t="s">
        <v>204</v>
      </c>
      <c r="J743" s="119" t="s">
        <v>575</v>
      </c>
      <c r="K743" s="119" t="s">
        <v>576</v>
      </c>
      <c r="L743" s="119" t="s">
        <v>837</v>
      </c>
      <c r="M743" s="119" t="s">
        <v>46</v>
      </c>
      <c r="N743" s="161">
        <v>0</v>
      </c>
      <c r="O743" s="135" t="s">
        <v>47</v>
      </c>
      <c r="P743" s="135"/>
      <c r="Q743" s="137">
        <v>0</v>
      </c>
      <c r="R743" s="137">
        <v>0</v>
      </c>
      <c r="S743" s="137"/>
      <c r="T743" s="137">
        <f t="shared" si="138"/>
        <v>0</v>
      </c>
      <c r="U743" s="137">
        <f t="shared" si="142"/>
        <v>0</v>
      </c>
      <c r="V743" s="137">
        <v>10200</v>
      </c>
      <c r="W743" s="137">
        <f t="shared" si="143"/>
        <v>-10200</v>
      </c>
      <c r="X743" s="137">
        <f t="shared" si="139"/>
        <v>-10200</v>
      </c>
      <c r="Y743" s="137">
        <f t="shared" si="144"/>
        <v>0</v>
      </c>
      <c r="Z743" s="137">
        <v>0</v>
      </c>
      <c r="AA743" s="137">
        <f t="shared" si="140"/>
        <v>10200</v>
      </c>
      <c r="AB743" s="146">
        <f t="shared" si="149"/>
        <v>0</v>
      </c>
      <c r="AC743" s="147">
        <f t="shared" si="141"/>
        <v>0</v>
      </c>
      <c r="AD743" s="137">
        <f t="shared" si="148"/>
        <v>0</v>
      </c>
      <c r="AE743" s="138">
        <v>0.1077</v>
      </c>
      <c r="AF743" s="137">
        <f t="shared" si="136"/>
        <v>0</v>
      </c>
      <c r="AG743" s="137">
        <v>0</v>
      </c>
      <c r="AH743" s="154"/>
      <c r="AI743" s="154"/>
      <c r="AJ743" s="135" t="e">
        <v>#N/A</v>
      </c>
      <c r="AM743" s="131" t="s">
        <v>208</v>
      </c>
      <c r="AN743" s="119" t="s">
        <v>838</v>
      </c>
    </row>
    <row r="744" spans="1:40" s="119" customFormat="1" ht="15" customHeight="1" x14ac:dyDescent="0.3">
      <c r="A744" s="119">
        <v>2017</v>
      </c>
      <c r="C744" s="119" t="s">
        <v>75</v>
      </c>
      <c r="D744" s="119" t="s">
        <v>518</v>
      </c>
      <c r="F744" s="131" t="s">
        <v>839</v>
      </c>
      <c r="G744" s="131"/>
      <c r="H744" s="131"/>
      <c r="I744" s="131" t="s">
        <v>204</v>
      </c>
      <c r="J744" s="119" t="s">
        <v>575</v>
      </c>
      <c r="K744" s="119" t="s">
        <v>576</v>
      </c>
      <c r="L744" s="119" t="s">
        <v>839</v>
      </c>
      <c r="M744" s="119" t="s">
        <v>46</v>
      </c>
      <c r="N744" s="161">
        <v>0</v>
      </c>
      <c r="O744" s="135" t="s">
        <v>47</v>
      </c>
      <c r="P744" s="135"/>
      <c r="Q744" s="137">
        <v>8485.83</v>
      </c>
      <c r="R744" s="137">
        <v>0</v>
      </c>
      <c r="S744" s="137"/>
      <c r="T744" s="137">
        <f t="shared" si="138"/>
        <v>0</v>
      </c>
      <c r="U744" s="137">
        <f t="shared" si="142"/>
        <v>0</v>
      </c>
      <c r="V744" s="137">
        <v>3500</v>
      </c>
      <c r="W744" s="137">
        <f t="shared" si="143"/>
        <v>-3500</v>
      </c>
      <c r="X744" s="137">
        <f t="shared" si="139"/>
        <v>-3500</v>
      </c>
      <c r="Y744" s="137">
        <f t="shared" si="144"/>
        <v>0</v>
      </c>
      <c r="Z744" s="137">
        <v>9077.33</v>
      </c>
      <c r="AA744" s="137">
        <f t="shared" si="140"/>
        <v>2908.5</v>
      </c>
      <c r="AB744" s="146">
        <f>IF(O744="返货",(Z744-Q744)/(1+N744),IF(O744="返现",(Z744-Q744),IF(O744="折扣",(Z744-Q744)*N744,IF(O744="无",(Z744-Q744)))))</f>
        <v>591.5</v>
      </c>
      <c r="AC744" s="147">
        <f t="shared" si="141"/>
        <v>8485.83</v>
      </c>
      <c r="AD744" s="137">
        <f t="shared" si="148"/>
        <v>8898.3010072860234</v>
      </c>
      <c r="AE744" s="138">
        <v>0.1077</v>
      </c>
      <c r="AF744" s="137">
        <f t="shared" si="136"/>
        <v>958.34701848470479</v>
      </c>
      <c r="AG744" s="137">
        <v>977.62844099999995</v>
      </c>
      <c r="AH744" s="154"/>
      <c r="AI744" s="154"/>
      <c r="AJ744" s="135" t="e">
        <v>#N/A</v>
      </c>
      <c r="AM744" s="131" t="s">
        <v>208</v>
      </c>
    </row>
    <row r="745" spans="1:40" s="119" customFormat="1" ht="15" customHeight="1" x14ac:dyDescent="0.3">
      <c r="A745" s="119">
        <v>2017</v>
      </c>
      <c r="C745" s="119" t="s">
        <v>88</v>
      </c>
      <c r="D745" s="119" t="s">
        <v>128</v>
      </c>
      <c r="F745" s="131" t="s">
        <v>840</v>
      </c>
      <c r="G745" s="131"/>
      <c r="H745" s="131"/>
      <c r="I745" s="131" t="s">
        <v>204</v>
      </c>
      <c r="J745" s="119" t="s">
        <v>575</v>
      </c>
      <c r="K745" s="119" t="s">
        <v>576</v>
      </c>
      <c r="L745" s="119" t="s">
        <v>840</v>
      </c>
      <c r="M745" s="119" t="s">
        <v>46</v>
      </c>
      <c r="N745" s="135">
        <v>0</v>
      </c>
      <c r="O745" s="135" t="s">
        <v>47</v>
      </c>
      <c r="P745" s="135"/>
      <c r="Q745" s="137">
        <v>1700</v>
      </c>
      <c r="R745" s="137">
        <v>0</v>
      </c>
      <c r="S745" s="137"/>
      <c r="T745" s="137">
        <f t="shared" si="138"/>
        <v>0</v>
      </c>
      <c r="U745" s="137">
        <f t="shared" si="142"/>
        <v>0</v>
      </c>
      <c r="V745" s="137">
        <v>-1700</v>
      </c>
      <c r="W745" s="137">
        <f t="shared" si="143"/>
        <v>1700</v>
      </c>
      <c r="X745" s="137">
        <f t="shared" si="139"/>
        <v>1700</v>
      </c>
      <c r="Y745" s="137">
        <f t="shared" si="144"/>
        <v>0</v>
      </c>
      <c r="Z745" s="137">
        <v>0</v>
      </c>
      <c r="AA745" s="137">
        <f t="shared" si="140"/>
        <v>0</v>
      </c>
      <c r="AB745" s="146">
        <v>0</v>
      </c>
      <c r="AC745" s="147">
        <f t="shared" si="141"/>
        <v>0</v>
      </c>
      <c r="AD745" s="137">
        <f t="shared" si="148"/>
        <v>0</v>
      </c>
      <c r="AE745" s="138">
        <v>0.1077</v>
      </c>
      <c r="AF745" s="137">
        <f t="shared" si="136"/>
        <v>0</v>
      </c>
      <c r="AG745" s="137">
        <v>0</v>
      </c>
      <c r="AH745" s="154"/>
      <c r="AI745" s="154"/>
      <c r="AJ745" s="135" t="e">
        <v>#N/A</v>
      </c>
      <c r="AL745" s="119" t="s">
        <v>611</v>
      </c>
      <c r="AM745" s="131" t="s">
        <v>208</v>
      </c>
    </row>
    <row r="746" spans="1:40" s="119" customFormat="1" ht="15" customHeight="1" x14ac:dyDescent="0.3">
      <c r="A746" s="119">
        <v>2017</v>
      </c>
      <c r="B746" s="119" t="s">
        <v>38</v>
      </c>
      <c r="C746" s="119" t="s">
        <v>200</v>
      </c>
      <c r="D746" s="119" t="s">
        <v>201</v>
      </c>
      <c r="F746" s="131" t="s">
        <v>841</v>
      </c>
      <c r="G746" s="131" t="s">
        <v>841</v>
      </c>
      <c r="H746" s="131" t="s">
        <v>841</v>
      </c>
      <c r="I746" s="131" t="s">
        <v>204</v>
      </c>
      <c r="J746" s="119" t="s">
        <v>575</v>
      </c>
      <c r="K746" s="119" t="s">
        <v>576</v>
      </c>
      <c r="L746" s="119" t="s">
        <v>841</v>
      </c>
      <c r="M746" s="119" t="s">
        <v>46</v>
      </c>
      <c r="N746" s="136">
        <v>0.02</v>
      </c>
      <c r="O746" s="138" t="s">
        <v>51</v>
      </c>
      <c r="P746" s="138"/>
      <c r="Q746" s="137">
        <v>6678.45</v>
      </c>
      <c r="R746" s="137">
        <v>0</v>
      </c>
      <c r="S746" s="137"/>
      <c r="T746" s="137">
        <f t="shared" si="138"/>
        <v>0</v>
      </c>
      <c r="U746" s="137">
        <f t="shared" si="142"/>
        <v>0</v>
      </c>
      <c r="V746" s="137">
        <v>-2075.5</v>
      </c>
      <c r="W746" s="137">
        <f t="shared" si="143"/>
        <v>2075.5</v>
      </c>
      <c r="X746" s="137">
        <f t="shared" si="139"/>
        <v>2034.8039215686274</v>
      </c>
      <c r="Y746" s="137">
        <f t="shared" si="144"/>
        <v>40.696078431372598</v>
      </c>
      <c r="Z746" s="137">
        <v>4602.95</v>
      </c>
      <c r="AA746" s="137">
        <f t="shared" si="140"/>
        <v>0</v>
      </c>
      <c r="AB746" s="146">
        <f>IF(O746="返货",(Z746-Q746)/(1+N746),IF(O746="返现",(Z746-Q746),IF(O746="折扣",(Z746-Q746)*N746,IF(O746="无",(Z746-Q746)))))</f>
        <v>-2034.8039215686274</v>
      </c>
      <c r="AC746" s="147">
        <f t="shared" si="141"/>
        <v>6637.7539215686274</v>
      </c>
      <c r="AD746" s="137">
        <f t="shared" si="148"/>
        <v>4512.1676331572389</v>
      </c>
      <c r="AE746" s="138">
        <v>0.1077</v>
      </c>
      <c r="AF746" s="137">
        <f t="shared" si="136"/>
        <v>485.96045409103465</v>
      </c>
      <c r="AG746" s="137">
        <v>495.73771499999998</v>
      </c>
      <c r="AH746" s="154"/>
      <c r="AI746" s="154"/>
      <c r="AJ746" s="136">
        <v>0.02</v>
      </c>
      <c r="AM746" s="131" t="s">
        <v>208</v>
      </c>
    </row>
    <row r="747" spans="1:40" s="119" customFormat="1" ht="15" customHeight="1" x14ac:dyDescent="0.3">
      <c r="A747" s="119">
        <v>2017</v>
      </c>
      <c r="C747" s="119" t="s">
        <v>75</v>
      </c>
      <c r="D747" s="119" t="s">
        <v>518</v>
      </c>
      <c r="F747" s="131" t="str">
        <f>L747</f>
        <v>北京轻松每餐科技有限公司</v>
      </c>
      <c r="G747" s="131"/>
      <c r="H747" s="131"/>
      <c r="I747" s="131" t="s">
        <v>204</v>
      </c>
      <c r="J747" s="119" t="s">
        <v>575</v>
      </c>
      <c r="K747" s="119" t="s">
        <v>576</v>
      </c>
      <c r="L747" s="119" t="s">
        <v>842</v>
      </c>
      <c r="M747" s="119" t="s">
        <v>46</v>
      </c>
      <c r="N747" s="135">
        <v>0</v>
      </c>
      <c r="O747" s="135" t="s">
        <v>47</v>
      </c>
      <c r="P747" s="135"/>
      <c r="Q747" s="137">
        <v>11682.47</v>
      </c>
      <c r="R747" s="137">
        <v>0</v>
      </c>
      <c r="S747" s="137"/>
      <c r="T747" s="137">
        <f t="shared" si="138"/>
        <v>0</v>
      </c>
      <c r="U747" s="137">
        <f t="shared" si="142"/>
        <v>0</v>
      </c>
      <c r="V747" s="137">
        <v>-11600</v>
      </c>
      <c r="W747" s="137">
        <f t="shared" si="143"/>
        <v>11600</v>
      </c>
      <c r="X747" s="137">
        <f t="shared" si="139"/>
        <v>11600</v>
      </c>
      <c r="Y747" s="137">
        <f t="shared" si="144"/>
        <v>0</v>
      </c>
      <c r="Z747" s="137">
        <v>0</v>
      </c>
      <c r="AA747" s="137">
        <f t="shared" si="140"/>
        <v>82.469999999999345</v>
      </c>
      <c r="AB747" s="146">
        <v>0</v>
      </c>
      <c r="AC747" s="147">
        <f t="shared" si="141"/>
        <v>0</v>
      </c>
      <c r="AD747" s="137">
        <f t="shared" si="148"/>
        <v>0</v>
      </c>
      <c r="AE747" s="138">
        <v>0.1077</v>
      </c>
      <c r="AF747" s="137">
        <f t="shared" si="136"/>
        <v>0</v>
      </c>
      <c r="AG747" s="137">
        <v>0</v>
      </c>
      <c r="AH747" s="154"/>
      <c r="AI747" s="154"/>
      <c r="AJ747" s="135" t="e">
        <v>#N/A</v>
      </c>
      <c r="AM747" s="131" t="s">
        <v>208</v>
      </c>
    </row>
    <row r="748" spans="1:40" s="119" customFormat="1" ht="15" customHeight="1" x14ac:dyDescent="0.3">
      <c r="A748" s="119">
        <v>2017</v>
      </c>
      <c r="C748" s="119" t="s">
        <v>59</v>
      </c>
      <c r="D748" s="119" t="s">
        <v>718</v>
      </c>
      <c r="F748" s="131" t="str">
        <f>L748</f>
        <v>友乐活（北京）网络科技有限公司</v>
      </c>
      <c r="G748" s="131"/>
      <c r="H748" s="131"/>
      <c r="I748" s="131" t="s">
        <v>204</v>
      </c>
      <c r="J748" s="119" t="s">
        <v>575</v>
      </c>
      <c r="K748" s="119" t="s">
        <v>576</v>
      </c>
      <c r="L748" s="119" t="s">
        <v>843</v>
      </c>
      <c r="M748" s="119" t="s">
        <v>46</v>
      </c>
      <c r="N748" s="135">
        <v>0</v>
      </c>
      <c r="O748" s="135" t="s">
        <v>47</v>
      </c>
      <c r="P748" s="135"/>
      <c r="Q748" s="137">
        <v>46868.28</v>
      </c>
      <c r="R748" s="137">
        <v>0</v>
      </c>
      <c r="S748" s="137"/>
      <c r="T748" s="137">
        <f t="shared" si="138"/>
        <v>0</v>
      </c>
      <c r="U748" s="137">
        <f t="shared" si="142"/>
        <v>0</v>
      </c>
      <c r="V748" s="137">
        <v>-30000</v>
      </c>
      <c r="W748" s="137">
        <f t="shared" si="143"/>
        <v>30000</v>
      </c>
      <c r="X748" s="137">
        <f t="shared" si="139"/>
        <v>30000</v>
      </c>
      <c r="Y748" s="137">
        <f t="shared" si="144"/>
        <v>0</v>
      </c>
      <c r="Z748" s="137">
        <v>0</v>
      </c>
      <c r="AA748" s="137">
        <f t="shared" si="140"/>
        <v>16868.28</v>
      </c>
      <c r="AB748" s="146">
        <v>0</v>
      </c>
      <c r="AC748" s="147">
        <f t="shared" si="141"/>
        <v>0</v>
      </c>
      <c r="AD748" s="137">
        <f t="shared" si="148"/>
        <v>0</v>
      </c>
      <c r="AE748" s="138">
        <v>0.1077</v>
      </c>
      <c r="AF748" s="137">
        <f t="shared" si="136"/>
        <v>0</v>
      </c>
      <c r="AG748" s="137">
        <v>0</v>
      </c>
      <c r="AH748" s="154"/>
      <c r="AI748" s="154"/>
      <c r="AJ748" s="135" t="e">
        <v>#N/A</v>
      </c>
      <c r="AM748" s="131" t="s">
        <v>208</v>
      </c>
      <c r="AN748" s="119" t="s">
        <v>838</v>
      </c>
    </row>
    <row r="749" spans="1:40" s="119" customFormat="1" ht="15" customHeight="1" x14ac:dyDescent="0.3">
      <c r="A749" s="119">
        <v>2017</v>
      </c>
      <c r="C749" s="119" t="s">
        <v>59</v>
      </c>
      <c r="D749" s="119" t="s">
        <v>718</v>
      </c>
      <c r="F749" s="131" t="s">
        <v>844</v>
      </c>
      <c r="G749" s="131"/>
      <c r="H749" s="131"/>
      <c r="I749" s="131" t="s">
        <v>204</v>
      </c>
      <c r="J749" s="119" t="s">
        <v>575</v>
      </c>
      <c r="K749" s="119" t="s">
        <v>576</v>
      </c>
      <c r="L749" s="119" t="s">
        <v>844</v>
      </c>
      <c r="M749" s="119" t="s">
        <v>46</v>
      </c>
      <c r="N749" s="161">
        <v>0</v>
      </c>
      <c r="O749" s="135" t="s">
        <v>47</v>
      </c>
      <c r="P749" s="135"/>
      <c r="Q749" s="137">
        <v>0</v>
      </c>
      <c r="R749" s="137">
        <v>0</v>
      </c>
      <c r="S749" s="137"/>
      <c r="T749" s="137">
        <f t="shared" si="138"/>
        <v>0</v>
      </c>
      <c r="U749" s="137">
        <f t="shared" si="142"/>
        <v>0</v>
      </c>
      <c r="V749" s="137">
        <v>-183851.12</v>
      </c>
      <c r="W749" s="137">
        <f t="shared" si="143"/>
        <v>183851.12</v>
      </c>
      <c r="X749" s="137">
        <f t="shared" si="139"/>
        <v>183851.12</v>
      </c>
      <c r="Y749" s="137">
        <f t="shared" si="144"/>
        <v>0</v>
      </c>
      <c r="Z749" s="137">
        <v>0</v>
      </c>
      <c r="AA749" s="137">
        <f t="shared" si="140"/>
        <v>-183851.12</v>
      </c>
      <c r="AB749" s="146">
        <f>IF(O749="返货",Z749/(1+N749),IF(O749="返现",Z749,IF(O749="折扣",Z749*N749,IF(O749="无",Z749))))</f>
        <v>0</v>
      </c>
      <c r="AC749" s="147">
        <f t="shared" si="141"/>
        <v>0</v>
      </c>
      <c r="AD749" s="137">
        <f t="shared" si="148"/>
        <v>0</v>
      </c>
      <c r="AE749" s="138">
        <v>0.1077</v>
      </c>
      <c r="AF749" s="137">
        <f t="shared" si="136"/>
        <v>0</v>
      </c>
      <c r="AG749" s="137">
        <v>0</v>
      </c>
      <c r="AH749" s="154"/>
      <c r="AI749" s="154"/>
      <c r="AJ749" s="135" t="e">
        <v>#N/A</v>
      </c>
      <c r="AM749" s="131" t="s">
        <v>208</v>
      </c>
      <c r="AN749" s="119" t="s">
        <v>838</v>
      </c>
    </row>
    <row r="750" spans="1:40" s="119" customFormat="1" ht="15" customHeight="1" x14ac:dyDescent="0.3">
      <c r="A750" s="119">
        <v>2017</v>
      </c>
      <c r="C750" s="119" t="s">
        <v>75</v>
      </c>
      <c r="D750" s="119" t="s">
        <v>518</v>
      </c>
      <c r="F750" s="131" t="s">
        <v>306</v>
      </c>
      <c r="G750" s="131"/>
      <c r="H750" s="131"/>
      <c r="I750" s="131" t="s">
        <v>204</v>
      </c>
      <c r="J750" s="119" t="s">
        <v>575</v>
      </c>
      <c r="K750" s="119" t="s">
        <v>576</v>
      </c>
      <c r="L750" s="119" t="s">
        <v>306</v>
      </c>
      <c r="M750" s="119" t="s">
        <v>46</v>
      </c>
      <c r="N750" s="136">
        <v>0</v>
      </c>
      <c r="O750" s="135" t="s">
        <v>47</v>
      </c>
      <c r="P750" s="135"/>
      <c r="Q750" s="137">
        <v>0</v>
      </c>
      <c r="R750" s="137">
        <v>0</v>
      </c>
      <c r="S750" s="137"/>
      <c r="T750" s="137">
        <f t="shared" si="138"/>
        <v>0</v>
      </c>
      <c r="U750" s="137">
        <f t="shared" si="142"/>
        <v>0</v>
      </c>
      <c r="V750" s="137">
        <v>-248136.47</v>
      </c>
      <c r="W750" s="137">
        <f t="shared" si="143"/>
        <v>248136.47</v>
      </c>
      <c r="X750" s="137">
        <f t="shared" si="139"/>
        <v>248136.47</v>
      </c>
      <c r="Y750" s="137">
        <f t="shared" si="144"/>
        <v>0</v>
      </c>
      <c r="Z750" s="137">
        <v>0</v>
      </c>
      <c r="AA750" s="137">
        <f t="shared" si="140"/>
        <v>-248136.47</v>
      </c>
      <c r="AB750" s="146">
        <f>IF(O750="返货",Z750/(1+N750),IF(O750="返现",Z750,IF(O750="折扣",Z750*N750,IF(O750="无",Z750))))</f>
        <v>0</v>
      </c>
      <c r="AC750" s="147">
        <f t="shared" si="141"/>
        <v>0</v>
      </c>
      <c r="AD750" s="137">
        <f t="shared" si="148"/>
        <v>0</v>
      </c>
      <c r="AE750" s="138">
        <v>0.1077</v>
      </c>
      <c r="AF750" s="137">
        <f t="shared" si="136"/>
        <v>0</v>
      </c>
      <c r="AG750" s="137">
        <v>0</v>
      </c>
      <c r="AH750" s="154"/>
      <c r="AI750" s="154"/>
      <c r="AJ750" s="136">
        <v>0</v>
      </c>
      <c r="AM750" s="131" t="s">
        <v>208</v>
      </c>
    </row>
    <row r="751" spans="1:40" s="119" customFormat="1" ht="15" customHeight="1" x14ac:dyDescent="0.3">
      <c r="A751" s="119">
        <v>2017</v>
      </c>
      <c r="C751" s="119" t="s">
        <v>75</v>
      </c>
      <c r="D751" s="119" t="s">
        <v>518</v>
      </c>
      <c r="F751" s="131" t="s">
        <v>845</v>
      </c>
      <c r="G751" s="131"/>
      <c r="H751" s="131"/>
      <c r="I751" s="131" t="s">
        <v>204</v>
      </c>
      <c r="J751" s="119" t="s">
        <v>575</v>
      </c>
      <c r="K751" s="119" t="s">
        <v>576</v>
      </c>
      <c r="L751" s="119" t="s">
        <v>845</v>
      </c>
      <c r="M751" s="119" t="s">
        <v>46</v>
      </c>
      <c r="N751" s="135">
        <v>0</v>
      </c>
      <c r="O751" s="135" t="s">
        <v>47</v>
      </c>
      <c r="P751" s="135"/>
      <c r="Q751" s="137">
        <v>75272.91</v>
      </c>
      <c r="R751" s="137">
        <v>0</v>
      </c>
      <c r="S751" s="137"/>
      <c r="T751" s="137">
        <f t="shared" si="138"/>
        <v>0</v>
      </c>
      <c r="U751" s="137">
        <f t="shared" si="142"/>
        <v>0</v>
      </c>
      <c r="V751" s="137">
        <v>-374266.12</v>
      </c>
      <c r="W751" s="137">
        <f t="shared" si="143"/>
        <v>374266.12</v>
      </c>
      <c r="X751" s="137">
        <f t="shared" si="139"/>
        <v>374266.12</v>
      </c>
      <c r="Y751" s="137">
        <f t="shared" si="144"/>
        <v>0</v>
      </c>
      <c r="Z751" s="137">
        <v>0</v>
      </c>
      <c r="AA751" s="137">
        <f t="shared" si="140"/>
        <v>-298993.20999999996</v>
      </c>
      <c r="AB751" s="146">
        <v>0</v>
      </c>
      <c r="AC751" s="147">
        <f t="shared" si="141"/>
        <v>0</v>
      </c>
      <c r="AD751" s="137">
        <f t="shared" si="148"/>
        <v>0</v>
      </c>
      <c r="AE751" s="138">
        <v>0.1077</v>
      </c>
      <c r="AF751" s="137">
        <f t="shared" ref="AF751:AF814" si="150">AD751*AE751</f>
        <v>0</v>
      </c>
      <c r="AG751" s="137">
        <v>0</v>
      </c>
      <c r="AH751" s="154"/>
      <c r="AI751" s="154"/>
      <c r="AJ751" s="135" t="e">
        <v>#N/A</v>
      </c>
      <c r="AL751" s="119" t="s">
        <v>846</v>
      </c>
      <c r="AM751" s="131" t="s">
        <v>208</v>
      </c>
    </row>
    <row r="752" spans="1:40" s="119" customFormat="1" ht="15" customHeight="1" x14ac:dyDescent="0.3">
      <c r="A752" s="119">
        <v>2017</v>
      </c>
      <c r="C752" s="119" t="s">
        <v>75</v>
      </c>
      <c r="D752" s="119" t="s">
        <v>518</v>
      </c>
      <c r="F752" s="119" t="s">
        <v>847</v>
      </c>
      <c r="G752" s="131"/>
      <c r="H752" s="131"/>
      <c r="I752" s="131" t="s">
        <v>204</v>
      </c>
      <c r="J752" s="119" t="s">
        <v>575</v>
      </c>
      <c r="K752" s="119" t="s">
        <v>576</v>
      </c>
      <c r="L752" s="119" t="s">
        <v>847</v>
      </c>
      <c r="M752" s="119" t="s">
        <v>46</v>
      </c>
      <c r="N752" s="161">
        <v>0</v>
      </c>
      <c r="O752" s="135" t="s">
        <v>47</v>
      </c>
      <c r="P752" s="135"/>
      <c r="Q752" s="137">
        <v>0</v>
      </c>
      <c r="R752" s="137">
        <v>0</v>
      </c>
      <c r="S752" s="137"/>
      <c r="T752" s="137">
        <f t="shared" si="138"/>
        <v>0</v>
      </c>
      <c r="U752" s="137">
        <f t="shared" si="142"/>
        <v>0</v>
      </c>
      <c r="V752" s="137">
        <v>5000</v>
      </c>
      <c r="W752" s="137">
        <f t="shared" si="143"/>
        <v>-5000</v>
      </c>
      <c r="X752" s="137">
        <f t="shared" si="139"/>
        <v>-5000</v>
      </c>
      <c r="Y752" s="137">
        <f t="shared" si="144"/>
        <v>0</v>
      </c>
      <c r="Z752" s="137">
        <v>1892.5</v>
      </c>
      <c r="AA752" s="137">
        <f t="shared" si="140"/>
        <v>3107.5</v>
      </c>
      <c r="AB752" s="146">
        <f>IF(O752="返货",Z752/(1+N752),IF(O752="返现",Z752,IF(O752="折扣",Z752*N752,IF(O752="无",Z752))))</f>
        <v>1892.5</v>
      </c>
      <c r="AC752" s="147">
        <f t="shared" si="141"/>
        <v>0</v>
      </c>
      <c r="AD752" s="137">
        <f t="shared" si="148"/>
        <v>1855.1748869203609</v>
      </c>
      <c r="AE752" s="138">
        <v>0.1077</v>
      </c>
      <c r="AF752" s="137">
        <f t="shared" si="150"/>
        <v>199.80233532132289</v>
      </c>
      <c r="AG752" s="137">
        <v>203.82225</v>
      </c>
      <c r="AH752" s="154"/>
      <c r="AI752" s="154"/>
      <c r="AJ752" s="135" t="e">
        <v>#N/A</v>
      </c>
      <c r="AM752" s="131" t="s">
        <v>208</v>
      </c>
    </row>
    <row r="753" spans="1:39" s="119" customFormat="1" ht="15" customHeight="1" x14ac:dyDescent="0.3">
      <c r="A753" s="119">
        <v>2017</v>
      </c>
      <c r="C753" s="119" t="s">
        <v>75</v>
      </c>
      <c r="D753" s="119" t="s">
        <v>518</v>
      </c>
      <c r="F753" s="131" t="s">
        <v>848</v>
      </c>
      <c r="G753" s="131"/>
      <c r="H753" s="131"/>
      <c r="I753" s="131" t="s">
        <v>204</v>
      </c>
      <c r="J753" s="119" t="s">
        <v>575</v>
      </c>
      <c r="K753" s="119" t="s">
        <v>576</v>
      </c>
      <c r="L753" s="119" t="s">
        <v>848</v>
      </c>
      <c r="M753" s="119" t="s">
        <v>46</v>
      </c>
      <c r="N753" s="161">
        <v>0</v>
      </c>
      <c r="O753" s="135" t="s">
        <v>47</v>
      </c>
      <c r="P753" s="135"/>
      <c r="Q753" s="137">
        <v>0</v>
      </c>
      <c r="R753" s="137">
        <v>0</v>
      </c>
      <c r="S753" s="137"/>
      <c r="T753" s="137">
        <f t="shared" si="138"/>
        <v>0</v>
      </c>
      <c r="U753" s="137">
        <f t="shared" si="142"/>
        <v>0</v>
      </c>
      <c r="V753" s="137">
        <v>1124.47</v>
      </c>
      <c r="W753" s="137">
        <f t="shared" si="143"/>
        <v>-1124.47</v>
      </c>
      <c r="X753" s="137">
        <f t="shared" si="139"/>
        <v>-1124.47</v>
      </c>
      <c r="Y753" s="137">
        <f t="shared" si="144"/>
        <v>0</v>
      </c>
      <c r="Z753" s="137">
        <v>0</v>
      </c>
      <c r="AA753" s="137">
        <f t="shared" si="140"/>
        <v>1124.47</v>
      </c>
      <c r="AB753" s="146">
        <f>IF(O753="返货",Z753/(1+N753),IF(O753="返现",Z753,IF(O753="折扣",Z753*N753,IF(O753="无",Z753))))</f>
        <v>0</v>
      </c>
      <c r="AC753" s="147">
        <f t="shared" si="141"/>
        <v>0</v>
      </c>
      <c r="AD753" s="137">
        <f t="shared" si="148"/>
        <v>0</v>
      </c>
      <c r="AE753" s="138">
        <v>0.1077</v>
      </c>
      <c r="AF753" s="137">
        <f t="shared" si="150"/>
        <v>0</v>
      </c>
      <c r="AG753" s="137">
        <v>0</v>
      </c>
      <c r="AH753" s="154"/>
      <c r="AI753" s="154"/>
      <c r="AJ753" s="135" t="e">
        <v>#N/A</v>
      </c>
      <c r="AM753" s="131" t="s">
        <v>208</v>
      </c>
    </row>
    <row r="754" spans="1:39" s="119" customFormat="1" ht="15" customHeight="1" x14ac:dyDescent="0.3">
      <c r="A754" s="119">
        <v>2017</v>
      </c>
      <c r="C754" s="119" t="s">
        <v>75</v>
      </c>
      <c r="D754" s="119" t="s">
        <v>518</v>
      </c>
      <c r="F754" s="131" t="s">
        <v>849</v>
      </c>
      <c r="G754" s="131"/>
      <c r="H754" s="131"/>
      <c r="I754" s="131" t="s">
        <v>204</v>
      </c>
      <c r="J754" s="119" t="s">
        <v>575</v>
      </c>
      <c r="K754" s="119" t="s">
        <v>576</v>
      </c>
      <c r="L754" s="119" t="s">
        <v>849</v>
      </c>
      <c r="M754" s="119" t="s">
        <v>46</v>
      </c>
      <c r="N754" s="135">
        <v>0</v>
      </c>
      <c r="O754" s="135" t="s">
        <v>47</v>
      </c>
      <c r="P754" s="135"/>
      <c r="Q754" s="137">
        <v>0</v>
      </c>
      <c r="R754" s="137">
        <v>0</v>
      </c>
      <c r="S754" s="137"/>
      <c r="T754" s="137">
        <f t="shared" si="138"/>
        <v>0</v>
      </c>
      <c r="U754" s="137">
        <f t="shared" si="142"/>
        <v>0</v>
      </c>
      <c r="V754" s="137">
        <v>-384151.48</v>
      </c>
      <c r="W754" s="137">
        <f t="shared" si="143"/>
        <v>384151.48</v>
      </c>
      <c r="X754" s="137">
        <f t="shared" si="139"/>
        <v>384151.48</v>
      </c>
      <c r="Y754" s="137">
        <f t="shared" si="144"/>
        <v>0</v>
      </c>
      <c r="Z754" s="137">
        <v>33722.82</v>
      </c>
      <c r="AA754" s="137">
        <f t="shared" si="140"/>
        <v>-417874.3</v>
      </c>
      <c r="AB754" s="146">
        <f>IF(O754="返货",Z754/(1+N754),IF(O754="返现",Z754,IF(O754="折扣",Z754*N754,IF(O754="无",Z754))))</f>
        <v>33722.82</v>
      </c>
      <c r="AC754" s="147">
        <f t="shared" si="141"/>
        <v>0</v>
      </c>
      <c r="AD754" s="137">
        <f t="shared" si="148"/>
        <v>33057.716660573678</v>
      </c>
      <c r="AE754" s="138">
        <v>0.1077</v>
      </c>
      <c r="AF754" s="137">
        <f t="shared" si="150"/>
        <v>3560.3160843437854</v>
      </c>
      <c r="AG754" s="137">
        <v>3631.9477139999999</v>
      </c>
      <c r="AH754" s="154"/>
      <c r="AI754" s="154"/>
      <c r="AJ754" s="135">
        <v>0</v>
      </c>
      <c r="AM754" s="131" t="s">
        <v>208</v>
      </c>
    </row>
    <row r="755" spans="1:39" s="119" customFormat="1" ht="15" customHeight="1" x14ac:dyDescent="0.3">
      <c r="A755" s="119">
        <v>2017</v>
      </c>
      <c r="C755" s="119" t="s">
        <v>75</v>
      </c>
      <c r="D755" s="119" t="s">
        <v>518</v>
      </c>
      <c r="F755" s="131" t="s">
        <v>850</v>
      </c>
      <c r="G755" s="131"/>
      <c r="H755" s="131"/>
      <c r="I755" s="131" t="s">
        <v>204</v>
      </c>
      <c r="J755" s="119" t="s">
        <v>575</v>
      </c>
      <c r="K755" s="119" t="s">
        <v>576</v>
      </c>
      <c r="L755" s="119" t="s">
        <v>850</v>
      </c>
      <c r="M755" s="119" t="s">
        <v>46</v>
      </c>
      <c r="N755" s="161">
        <v>0</v>
      </c>
      <c r="O755" s="135" t="s">
        <v>47</v>
      </c>
      <c r="P755" s="135"/>
      <c r="Q755" s="137">
        <v>0</v>
      </c>
      <c r="R755" s="137">
        <v>0</v>
      </c>
      <c r="S755" s="137"/>
      <c r="T755" s="137">
        <f t="shared" si="138"/>
        <v>0</v>
      </c>
      <c r="U755" s="137">
        <f t="shared" si="142"/>
        <v>0</v>
      </c>
      <c r="V755" s="137">
        <v>-36305</v>
      </c>
      <c r="W755" s="137">
        <f t="shared" si="143"/>
        <v>36305</v>
      </c>
      <c r="X755" s="137">
        <f t="shared" si="139"/>
        <v>36305</v>
      </c>
      <c r="Y755" s="137">
        <f t="shared" si="144"/>
        <v>0</v>
      </c>
      <c r="Z755" s="137">
        <v>0</v>
      </c>
      <c r="AA755" s="137">
        <f t="shared" si="140"/>
        <v>-36305</v>
      </c>
      <c r="AB755" s="146">
        <f>IF(O755="返货",Z755/(1+N755),IF(O755="返现",Z755,IF(O755="折扣",Z755*N755,IF(O755="无",Z755))))</f>
        <v>0</v>
      </c>
      <c r="AC755" s="147">
        <f t="shared" si="141"/>
        <v>0</v>
      </c>
      <c r="AD755" s="137">
        <f t="shared" si="148"/>
        <v>0</v>
      </c>
      <c r="AE755" s="138">
        <v>0.1077</v>
      </c>
      <c r="AF755" s="137">
        <f t="shared" si="150"/>
        <v>0</v>
      </c>
      <c r="AG755" s="137">
        <v>0</v>
      </c>
      <c r="AH755" s="154"/>
      <c r="AI755" s="154"/>
      <c r="AJ755" s="135">
        <v>0</v>
      </c>
      <c r="AM755" s="131" t="s">
        <v>208</v>
      </c>
    </row>
    <row r="756" spans="1:39" s="119" customFormat="1" ht="15" customHeight="1" x14ac:dyDescent="0.3">
      <c r="A756" s="119">
        <v>2017</v>
      </c>
      <c r="B756" s="119" t="s">
        <v>199</v>
      </c>
      <c r="C756" s="119" t="s">
        <v>59</v>
      </c>
      <c r="D756" s="119" t="s">
        <v>718</v>
      </c>
      <c r="F756" s="131" t="s">
        <v>851</v>
      </c>
      <c r="G756" s="131"/>
      <c r="H756" s="131"/>
      <c r="I756" s="131" t="s">
        <v>204</v>
      </c>
      <c r="J756" s="119" t="s">
        <v>575</v>
      </c>
      <c r="K756" s="119" t="s">
        <v>576</v>
      </c>
      <c r="L756" s="119" t="s">
        <v>851</v>
      </c>
      <c r="M756" s="119" t="s">
        <v>46</v>
      </c>
      <c r="N756" s="135">
        <v>0</v>
      </c>
      <c r="O756" s="135" t="s">
        <v>47</v>
      </c>
      <c r="P756" s="135" t="s">
        <v>852</v>
      </c>
      <c r="Q756" s="137">
        <v>201536.90689000001</v>
      </c>
      <c r="R756" s="137">
        <v>0</v>
      </c>
      <c r="S756" s="137"/>
      <c r="T756" s="137">
        <f t="shared" si="138"/>
        <v>0</v>
      </c>
      <c r="U756" s="137">
        <f t="shared" si="142"/>
        <v>0</v>
      </c>
      <c r="V756" s="137">
        <v>0</v>
      </c>
      <c r="W756" s="137">
        <f t="shared" si="143"/>
        <v>0</v>
      </c>
      <c r="X756" s="137">
        <f t="shared" si="139"/>
        <v>0</v>
      </c>
      <c r="Y756" s="137">
        <f t="shared" si="144"/>
        <v>0</v>
      </c>
      <c r="Z756" s="137">
        <v>155918.1</v>
      </c>
      <c r="AA756" s="137">
        <f t="shared" si="140"/>
        <v>45618.806890000007</v>
      </c>
      <c r="AB756" s="146">
        <v>0</v>
      </c>
      <c r="AC756" s="147">
        <f t="shared" si="141"/>
        <v>155918.1</v>
      </c>
      <c r="AD756" s="137">
        <f t="shared" si="148"/>
        <v>152842.9820535469</v>
      </c>
      <c r="AE756" s="138">
        <v>0.1077</v>
      </c>
      <c r="AF756" s="137">
        <f t="shared" si="150"/>
        <v>16461.189167167002</v>
      </c>
      <c r="AG756" s="137">
        <v>16792.379369999999</v>
      </c>
      <c r="AH756" s="154"/>
      <c r="AI756" s="154"/>
      <c r="AJ756" s="135" t="e">
        <v>#N/A</v>
      </c>
      <c r="AM756" s="131" t="s">
        <v>208</v>
      </c>
    </row>
    <row r="757" spans="1:39" s="119" customFormat="1" ht="15" customHeight="1" x14ac:dyDescent="0.3">
      <c r="A757" s="119">
        <v>2017</v>
      </c>
      <c r="C757" s="119" t="s">
        <v>59</v>
      </c>
      <c r="D757" s="119" t="s">
        <v>718</v>
      </c>
      <c r="F757" s="131" t="s">
        <v>853</v>
      </c>
      <c r="G757" s="131"/>
      <c r="H757" s="131"/>
      <c r="I757" s="131" t="s">
        <v>204</v>
      </c>
      <c r="J757" s="119" t="s">
        <v>575</v>
      </c>
      <c r="K757" s="119" t="s">
        <v>576</v>
      </c>
      <c r="L757" s="119" t="s">
        <v>853</v>
      </c>
      <c r="M757" s="119" t="s">
        <v>46</v>
      </c>
      <c r="N757" s="135">
        <v>0</v>
      </c>
      <c r="O757" s="135" t="s">
        <v>47</v>
      </c>
      <c r="P757" s="135" t="s">
        <v>854</v>
      </c>
      <c r="Q757" s="137">
        <v>68043.38</v>
      </c>
      <c r="R757" s="137">
        <v>0</v>
      </c>
      <c r="S757" s="137"/>
      <c r="T757" s="137">
        <f t="shared" si="138"/>
        <v>0</v>
      </c>
      <c r="U757" s="137">
        <f t="shared" si="142"/>
        <v>0</v>
      </c>
      <c r="V757" s="137">
        <v>0</v>
      </c>
      <c r="W757" s="137">
        <f t="shared" si="143"/>
        <v>0</v>
      </c>
      <c r="X757" s="137">
        <f t="shared" si="139"/>
        <v>0</v>
      </c>
      <c r="Y757" s="137">
        <f t="shared" si="144"/>
        <v>0</v>
      </c>
      <c r="Z757" s="137">
        <v>68043.38</v>
      </c>
      <c r="AA757" s="137">
        <f t="shared" si="140"/>
        <v>0</v>
      </c>
      <c r="AB757" s="146">
        <f>IF(O757="返货",(Z757-Q757)/(1+N757),IF(O757="返现",(Z757-Q757),IF(O757="折扣",(Z757-Q757)*N757,IF(O757="无",(Z757-Q757)))))</f>
        <v>0</v>
      </c>
      <c r="AC757" s="147">
        <f t="shared" si="141"/>
        <v>68043.38</v>
      </c>
      <c r="AD757" s="137">
        <f t="shared" si="148"/>
        <v>66701.384304982377</v>
      </c>
      <c r="AE757" s="138">
        <v>0.1077</v>
      </c>
      <c r="AF757" s="137">
        <f t="shared" si="150"/>
        <v>7183.7390896466022</v>
      </c>
      <c r="AG757" s="137">
        <v>7328.2720259999996</v>
      </c>
      <c r="AH757" s="154"/>
      <c r="AI757" s="154"/>
      <c r="AJ757" s="135" t="e">
        <v>#N/A</v>
      </c>
      <c r="AM757" s="131" t="s">
        <v>208</v>
      </c>
    </row>
    <row r="758" spans="1:39" s="119" customFormat="1" ht="15" customHeight="1" x14ac:dyDescent="0.3">
      <c r="A758" s="119">
        <v>2017</v>
      </c>
      <c r="C758" s="119" t="s">
        <v>75</v>
      </c>
      <c r="D758" s="119" t="s">
        <v>518</v>
      </c>
      <c r="F758" s="131" t="s">
        <v>855</v>
      </c>
      <c r="G758" s="131"/>
      <c r="H758" s="131"/>
      <c r="I758" s="131" t="s">
        <v>204</v>
      </c>
      <c r="J758" s="119" t="s">
        <v>575</v>
      </c>
      <c r="K758" s="119" t="s">
        <v>576</v>
      </c>
      <c r="L758" s="119" t="s">
        <v>855</v>
      </c>
      <c r="M758" s="119" t="s">
        <v>46</v>
      </c>
      <c r="N758" s="135">
        <v>0</v>
      </c>
      <c r="O758" s="135" t="s">
        <v>47</v>
      </c>
      <c r="P758" s="135" t="s">
        <v>854</v>
      </c>
      <c r="Q758" s="137">
        <v>45277.22</v>
      </c>
      <c r="R758" s="137">
        <v>0</v>
      </c>
      <c r="S758" s="137"/>
      <c r="T758" s="137">
        <f t="shared" si="138"/>
        <v>0</v>
      </c>
      <c r="U758" s="137">
        <f t="shared" si="142"/>
        <v>0</v>
      </c>
      <c r="V758" s="137">
        <v>0</v>
      </c>
      <c r="W758" s="137">
        <f t="shared" si="143"/>
        <v>0</v>
      </c>
      <c r="X758" s="137">
        <f t="shared" si="139"/>
        <v>0</v>
      </c>
      <c r="Y758" s="137">
        <f t="shared" si="144"/>
        <v>0</v>
      </c>
      <c r="Z758" s="137">
        <v>45277.22</v>
      </c>
      <c r="AA758" s="137">
        <f t="shared" si="140"/>
        <v>0</v>
      </c>
      <c r="AB758" s="146">
        <f>IF(O758="返货",(Z758-Q758)/(1+N758),IF(O758="返现",(Z758-Q758),IF(O758="折扣",(Z758-Q758)*N758,IF(O758="无",(Z758-Q758)))))</f>
        <v>0</v>
      </c>
      <c r="AC758" s="147">
        <f t="shared" si="141"/>
        <v>45277.22</v>
      </c>
      <c r="AD758" s="137">
        <f t="shared" si="148"/>
        <v>44384.233285901348</v>
      </c>
      <c r="AE758" s="138">
        <v>0.1077</v>
      </c>
      <c r="AF758" s="137">
        <f t="shared" si="150"/>
        <v>4780.1819248915754</v>
      </c>
      <c r="AG758" s="137">
        <v>4876.3565939999999</v>
      </c>
      <c r="AH758" s="154"/>
      <c r="AI758" s="154"/>
      <c r="AJ758" s="135" t="e">
        <v>#N/A</v>
      </c>
      <c r="AM758" s="131" t="s">
        <v>208</v>
      </c>
    </row>
    <row r="759" spans="1:39" s="119" customFormat="1" ht="15" customHeight="1" x14ac:dyDescent="0.3">
      <c r="A759" s="119">
        <v>2017</v>
      </c>
      <c r="B759" s="119" t="s">
        <v>38</v>
      </c>
      <c r="C759" s="119" t="s">
        <v>59</v>
      </c>
      <c r="D759" s="119" t="s">
        <v>106</v>
      </c>
      <c r="F759" s="131" t="s">
        <v>197</v>
      </c>
      <c r="G759" s="131" t="s">
        <v>197</v>
      </c>
      <c r="H759" s="131" t="s">
        <v>197</v>
      </c>
      <c r="I759" s="131" t="s">
        <v>204</v>
      </c>
      <c r="J759" s="119" t="s">
        <v>575</v>
      </c>
      <c r="K759" s="119" t="s">
        <v>576</v>
      </c>
      <c r="L759" s="119" t="s">
        <v>197</v>
      </c>
      <c r="M759" s="119" t="s">
        <v>185</v>
      </c>
      <c r="N759" s="136">
        <v>0.08</v>
      </c>
      <c r="O759" s="135" t="s">
        <v>51</v>
      </c>
      <c r="P759" s="135"/>
      <c r="Q759" s="137">
        <v>0</v>
      </c>
      <c r="R759" s="137">
        <v>0</v>
      </c>
      <c r="S759" s="137"/>
      <c r="T759" s="137">
        <f t="shared" si="138"/>
        <v>0</v>
      </c>
      <c r="U759" s="137">
        <f t="shared" si="142"/>
        <v>0</v>
      </c>
      <c r="V759" s="137">
        <v>0</v>
      </c>
      <c r="W759" s="137">
        <f t="shared" si="143"/>
        <v>0</v>
      </c>
      <c r="X759" s="137">
        <f t="shared" si="139"/>
        <v>0</v>
      </c>
      <c r="Y759" s="137">
        <f t="shared" si="144"/>
        <v>0</v>
      </c>
      <c r="Z759" s="137">
        <v>5921210</v>
      </c>
      <c r="AA759" s="137">
        <f t="shared" si="140"/>
        <v>-5921210</v>
      </c>
      <c r="AB759" s="146">
        <f>IF(O759="返货",Z759/(1+N759),IF(O759="返现",Z759,IF(O759="折扣",Z759*N759,IF(O759="无",Z759))))</f>
        <v>5482601.8518518517</v>
      </c>
      <c r="AC759" s="147">
        <f t="shared" si="141"/>
        <v>438608.14814814832</v>
      </c>
      <c r="AD759" s="137">
        <f t="shared" si="148"/>
        <v>5804428.0539929774</v>
      </c>
      <c r="AE759" s="138">
        <v>0.31559999999999999</v>
      </c>
      <c r="AF759" s="137">
        <f t="shared" si="150"/>
        <v>1831877.4938401836</v>
      </c>
      <c r="AG759" s="137">
        <v>1868733.8759999999</v>
      </c>
      <c r="AH759" s="154"/>
      <c r="AI759" s="154"/>
      <c r="AJ759" s="135" t="s">
        <v>53</v>
      </c>
      <c r="AM759" s="131" t="s">
        <v>208</v>
      </c>
    </row>
    <row r="760" spans="1:39" s="119" customFormat="1" ht="15" customHeight="1" x14ac:dyDescent="0.3">
      <c r="A760" s="119">
        <v>2017</v>
      </c>
      <c r="B760" s="119" t="s">
        <v>199</v>
      </c>
      <c r="C760" s="119" t="s">
        <v>54</v>
      </c>
      <c r="D760" s="119" t="s">
        <v>55</v>
      </c>
      <c r="F760" s="131" t="s">
        <v>496</v>
      </c>
      <c r="G760" s="131" t="s">
        <v>497</v>
      </c>
      <c r="H760" s="158" t="s">
        <v>498</v>
      </c>
      <c r="I760" s="131" t="s">
        <v>204</v>
      </c>
      <c r="J760" s="119" t="s">
        <v>575</v>
      </c>
      <c r="K760" s="119" t="s">
        <v>576</v>
      </c>
      <c r="L760" s="119" t="s">
        <v>830</v>
      </c>
      <c r="M760" s="119" t="s">
        <v>185</v>
      </c>
      <c r="N760" s="136">
        <v>0.08</v>
      </c>
      <c r="O760" s="135" t="s">
        <v>51</v>
      </c>
      <c r="P760" s="135"/>
      <c r="Q760" s="137">
        <v>22479.383600000001</v>
      </c>
      <c r="R760" s="137">
        <v>0</v>
      </c>
      <c r="S760" s="137"/>
      <c r="T760" s="137">
        <f t="shared" si="138"/>
        <v>0</v>
      </c>
      <c r="U760" s="137">
        <f t="shared" si="142"/>
        <v>0</v>
      </c>
      <c r="V760" s="137">
        <v>0</v>
      </c>
      <c r="W760" s="137">
        <f t="shared" si="143"/>
        <v>0</v>
      </c>
      <c r="X760" s="137">
        <f t="shared" si="139"/>
        <v>0</v>
      </c>
      <c r="Y760" s="137">
        <f t="shared" si="144"/>
        <v>0</v>
      </c>
      <c r="Z760" s="137">
        <v>504952.72</v>
      </c>
      <c r="AA760" s="137">
        <f t="shared" si="140"/>
        <v>-482473.33639999997</v>
      </c>
      <c r="AB760" s="146">
        <f>IF(O760="返货",(Z760-Q760)/(1+N760),IF(O760="返现",(Z760-Q760),IF(O760="折扣",(Z760-Q760)*N760,IF(O760="无",(Z760-Q760)))))</f>
        <v>446734.57074074069</v>
      </c>
      <c r="AC760" s="147">
        <f t="shared" si="141"/>
        <v>58218.149259259284</v>
      </c>
      <c r="AD760" s="137">
        <f t="shared" ref="AD760:AD790" si="151">Z760*0.980277351080772</f>
        <v>494993.71478263073</v>
      </c>
      <c r="AE760" s="138">
        <v>0.31559999999999999</v>
      </c>
      <c r="AF760" s="137">
        <f t="shared" si="150"/>
        <v>156220.01638539825</v>
      </c>
      <c r="AG760" s="137">
        <v>159363.07843200001</v>
      </c>
      <c r="AH760" s="154"/>
      <c r="AI760" s="154"/>
      <c r="AJ760" s="135" t="s">
        <v>53</v>
      </c>
      <c r="AM760" s="131" t="s">
        <v>208</v>
      </c>
    </row>
    <row r="761" spans="1:39" s="119" customFormat="1" ht="15" customHeight="1" x14ac:dyDescent="0.3">
      <c r="A761" s="119">
        <v>2017</v>
      </c>
      <c r="B761" s="119" t="s">
        <v>38</v>
      </c>
      <c r="C761" s="119" t="s">
        <v>39</v>
      </c>
      <c r="D761" s="119" t="s">
        <v>834</v>
      </c>
      <c r="F761" s="131" t="s">
        <v>127</v>
      </c>
      <c r="G761" s="131" t="s">
        <v>127</v>
      </c>
      <c r="H761" s="131" t="s">
        <v>127</v>
      </c>
      <c r="I761" s="131" t="s">
        <v>204</v>
      </c>
      <c r="J761" s="119" t="s">
        <v>575</v>
      </c>
      <c r="K761" s="119" t="s">
        <v>576</v>
      </c>
      <c r="L761" s="119" t="s">
        <v>127</v>
      </c>
      <c r="M761" s="119" t="s">
        <v>185</v>
      </c>
      <c r="N761" s="135">
        <v>0.08</v>
      </c>
      <c r="O761" s="135" t="s">
        <v>51</v>
      </c>
      <c r="P761" s="135"/>
      <c r="Q761" s="137">
        <v>0</v>
      </c>
      <c r="R761" s="137">
        <v>0</v>
      </c>
      <c r="S761" s="137"/>
      <c r="T761" s="137">
        <f t="shared" si="138"/>
        <v>0</v>
      </c>
      <c r="U761" s="137">
        <f t="shared" si="142"/>
        <v>0</v>
      </c>
      <c r="V761" s="137">
        <v>0</v>
      </c>
      <c r="W761" s="137">
        <f t="shared" si="143"/>
        <v>0</v>
      </c>
      <c r="X761" s="137">
        <f t="shared" si="139"/>
        <v>0</v>
      </c>
      <c r="Y761" s="137">
        <f t="shared" si="144"/>
        <v>0</v>
      </c>
      <c r="Z761" s="137">
        <v>467919.58</v>
      </c>
      <c r="AA761" s="137">
        <f t="shared" si="140"/>
        <v>-467919.58</v>
      </c>
      <c r="AB761" s="146">
        <f>IF(O761="返货",Z761/(1+N761),IF(O761="返现",Z761,IF(O761="折扣",Z761*N761,IF(O761="无",Z761))))</f>
        <v>433258.87037037034</v>
      </c>
      <c r="AC761" s="147">
        <f t="shared" si="141"/>
        <v>34660.70962962968</v>
      </c>
      <c r="AD761" s="137">
        <f t="shared" si="151"/>
        <v>458690.9664012274</v>
      </c>
      <c r="AE761" s="138">
        <v>0.31559999999999999</v>
      </c>
      <c r="AF761" s="137">
        <f t="shared" si="150"/>
        <v>144762.86899622736</v>
      </c>
      <c r="AG761" s="137">
        <v>147675.419448</v>
      </c>
      <c r="AH761" s="154"/>
      <c r="AI761" s="154"/>
      <c r="AJ761" s="135" t="s">
        <v>53</v>
      </c>
      <c r="AM761" s="131" t="s">
        <v>208</v>
      </c>
    </row>
    <row r="762" spans="1:39" s="119" customFormat="1" ht="15" customHeight="1" x14ac:dyDescent="0.3">
      <c r="A762" s="119">
        <v>2017</v>
      </c>
      <c r="C762" s="119" t="s">
        <v>75</v>
      </c>
      <c r="D762" s="119" t="s">
        <v>518</v>
      </c>
      <c r="F762" s="131" t="s">
        <v>855</v>
      </c>
      <c r="G762" s="131"/>
      <c r="H762" s="131"/>
      <c r="I762" s="131" t="s">
        <v>204</v>
      </c>
      <c r="J762" s="119" t="s">
        <v>575</v>
      </c>
      <c r="K762" s="119" t="s">
        <v>576</v>
      </c>
      <c r="L762" s="119" t="s">
        <v>855</v>
      </c>
      <c r="M762" s="119" t="s">
        <v>185</v>
      </c>
      <c r="N762" s="135">
        <v>0</v>
      </c>
      <c r="O762" s="135" t="s">
        <v>47</v>
      </c>
      <c r="P762" s="135" t="s">
        <v>854</v>
      </c>
      <c r="Q762" s="137">
        <v>130762.88</v>
      </c>
      <c r="R762" s="137">
        <v>0</v>
      </c>
      <c r="S762" s="137"/>
      <c r="T762" s="137">
        <f t="shared" si="138"/>
        <v>0</v>
      </c>
      <c r="U762" s="137">
        <f t="shared" si="142"/>
        <v>0</v>
      </c>
      <c r="V762" s="137">
        <v>0</v>
      </c>
      <c r="W762" s="137">
        <f t="shared" si="143"/>
        <v>0</v>
      </c>
      <c r="X762" s="137">
        <f t="shared" si="139"/>
        <v>0</v>
      </c>
      <c r="Y762" s="137">
        <f t="shared" si="144"/>
        <v>0</v>
      </c>
      <c r="Z762" s="137">
        <v>130762.88</v>
      </c>
      <c r="AA762" s="137">
        <f t="shared" si="140"/>
        <v>0</v>
      </c>
      <c r="AB762" s="146">
        <f>IF(O762="返货",(Z762-Q762)/(1+N762),IF(O762="返现",(Z762-Q762),IF(O762="折扣",(Z762-Q762)*N762,IF(O762="无",(Z762-Q762)))))</f>
        <v>0</v>
      </c>
      <c r="AC762" s="147">
        <f t="shared" si="141"/>
        <v>130762.88</v>
      </c>
      <c r="AD762" s="137">
        <f t="shared" si="151"/>
        <v>128183.88962609286</v>
      </c>
      <c r="AE762" s="138">
        <v>0.31559999999999999</v>
      </c>
      <c r="AF762" s="137">
        <f t="shared" si="150"/>
        <v>40454.835565994908</v>
      </c>
      <c r="AG762" s="137">
        <v>41268.764927999997</v>
      </c>
      <c r="AH762" s="154"/>
      <c r="AI762" s="154"/>
      <c r="AJ762" s="135" t="e">
        <v>#N/A</v>
      </c>
      <c r="AM762" s="131" t="s">
        <v>208</v>
      </c>
    </row>
    <row r="763" spans="1:39" s="119" customFormat="1" ht="15" customHeight="1" x14ac:dyDescent="0.3">
      <c r="A763" s="119">
        <v>2017</v>
      </c>
      <c r="B763" s="119" t="s">
        <v>38</v>
      </c>
      <c r="C763" s="119" t="s">
        <v>59</v>
      </c>
      <c r="D763" s="119" t="s">
        <v>154</v>
      </c>
      <c r="F763" s="131" t="s">
        <v>722</v>
      </c>
      <c r="G763" s="131" t="s">
        <v>723</v>
      </c>
      <c r="H763" s="131" t="s">
        <v>723</v>
      </c>
      <c r="I763" s="131" t="s">
        <v>204</v>
      </c>
      <c r="J763" s="119" t="s">
        <v>575</v>
      </c>
      <c r="K763" s="119" t="s">
        <v>576</v>
      </c>
      <c r="L763" s="119" t="s">
        <v>832</v>
      </c>
      <c r="M763" s="119" t="s">
        <v>185</v>
      </c>
      <c r="N763" s="136">
        <v>0.08</v>
      </c>
      <c r="O763" s="135" t="s">
        <v>51</v>
      </c>
      <c r="P763" s="135"/>
      <c r="Q763" s="137">
        <v>0</v>
      </c>
      <c r="R763" s="137">
        <v>0</v>
      </c>
      <c r="S763" s="137"/>
      <c r="T763" s="137">
        <f t="shared" si="138"/>
        <v>0</v>
      </c>
      <c r="U763" s="137">
        <f t="shared" si="142"/>
        <v>0</v>
      </c>
      <c r="V763" s="137">
        <v>0</v>
      </c>
      <c r="W763" s="137">
        <f t="shared" si="143"/>
        <v>0</v>
      </c>
      <c r="X763" s="137">
        <f t="shared" si="139"/>
        <v>0</v>
      </c>
      <c r="Y763" s="137">
        <f t="shared" si="144"/>
        <v>0</v>
      </c>
      <c r="Z763" s="137">
        <v>94895.49</v>
      </c>
      <c r="AA763" s="137">
        <f t="shared" si="140"/>
        <v>-94895.49</v>
      </c>
      <c r="AB763" s="146">
        <f>IF(O763="返货",Z763/(1+N763),IF(O763="返现",Z763,IF(O763="折扣",Z763*N763,IF(O763="无",Z763))))</f>
        <v>87866.194444444438</v>
      </c>
      <c r="AC763" s="147">
        <f t="shared" si="141"/>
        <v>7029.2955555555673</v>
      </c>
      <c r="AD763" s="137">
        <f t="shared" si="151"/>
        <v>93023.899566711887</v>
      </c>
      <c r="AE763" s="138">
        <v>0.31559999999999999</v>
      </c>
      <c r="AF763" s="137">
        <f t="shared" si="150"/>
        <v>29358.342703254271</v>
      </c>
      <c r="AG763" s="137">
        <v>29949.016643999999</v>
      </c>
      <c r="AH763" s="154"/>
      <c r="AI763" s="154"/>
      <c r="AJ763" s="135" t="s">
        <v>53</v>
      </c>
      <c r="AM763" s="131" t="s">
        <v>208</v>
      </c>
    </row>
    <row r="764" spans="1:39" s="119" customFormat="1" ht="15" customHeight="1" x14ac:dyDescent="0.3">
      <c r="A764" s="119">
        <v>2017</v>
      </c>
      <c r="B764" s="119" t="s">
        <v>38</v>
      </c>
      <c r="C764" s="119" t="s">
        <v>59</v>
      </c>
      <c r="D764" s="119" t="s">
        <v>154</v>
      </c>
      <c r="F764" s="131" t="s">
        <v>722</v>
      </c>
      <c r="G764" s="131" t="s">
        <v>723</v>
      </c>
      <c r="H764" s="131" t="s">
        <v>723</v>
      </c>
      <c r="I764" s="131" t="s">
        <v>204</v>
      </c>
      <c r="J764" s="119" t="s">
        <v>575</v>
      </c>
      <c r="K764" s="119" t="s">
        <v>576</v>
      </c>
      <c r="L764" s="119" t="s">
        <v>831</v>
      </c>
      <c r="M764" s="119" t="s">
        <v>185</v>
      </c>
      <c r="N764" s="136">
        <v>0.08</v>
      </c>
      <c r="O764" s="135" t="s">
        <v>51</v>
      </c>
      <c r="P764" s="135"/>
      <c r="Q764" s="137">
        <v>0</v>
      </c>
      <c r="R764" s="137">
        <v>0</v>
      </c>
      <c r="S764" s="137"/>
      <c r="T764" s="137">
        <f t="shared" si="138"/>
        <v>0</v>
      </c>
      <c r="U764" s="137">
        <f t="shared" si="142"/>
        <v>0</v>
      </c>
      <c r="V764" s="137">
        <v>0</v>
      </c>
      <c r="W764" s="137">
        <f t="shared" si="143"/>
        <v>0</v>
      </c>
      <c r="X764" s="137">
        <f t="shared" si="139"/>
        <v>0</v>
      </c>
      <c r="Y764" s="137">
        <f t="shared" si="144"/>
        <v>0</v>
      </c>
      <c r="Z764" s="137">
        <v>71433.94</v>
      </c>
      <c r="AA764" s="137">
        <f t="shared" si="140"/>
        <v>-71433.94</v>
      </c>
      <c r="AB764" s="146">
        <f>IF(O764="返货",Z764/(1+N764),IF(O764="返现",Z764,IF(O764="折扣",Z764*N764,IF(O764="无",Z764))))</f>
        <v>66142.537037037036</v>
      </c>
      <c r="AC764" s="147">
        <f t="shared" si="141"/>
        <v>5291.4029629629658</v>
      </c>
      <c r="AD764" s="137">
        <f t="shared" si="151"/>
        <v>70025.073480462801</v>
      </c>
      <c r="AE764" s="138">
        <v>0.31559999999999999</v>
      </c>
      <c r="AF764" s="137">
        <f t="shared" si="150"/>
        <v>22099.913190434061</v>
      </c>
      <c r="AG764" s="137">
        <v>22544.551464</v>
      </c>
      <c r="AH764" s="154"/>
      <c r="AI764" s="154"/>
      <c r="AJ764" s="135" t="s">
        <v>53</v>
      </c>
      <c r="AM764" s="131" t="s">
        <v>208</v>
      </c>
    </row>
    <row r="765" spans="1:39" s="119" customFormat="1" ht="15" customHeight="1" x14ac:dyDescent="0.3">
      <c r="A765" s="119">
        <v>2017</v>
      </c>
      <c r="B765" s="119" t="s">
        <v>199</v>
      </c>
      <c r="C765" s="119" t="s">
        <v>39</v>
      </c>
      <c r="D765" s="119" t="s">
        <v>834</v>
      </c>
      <c r="F765" s="131" t="s">
        <v>457</v>
      </c>
      <c r="G765" s="131" t="s">
        <v>710</v>
      </c>
      <c r="H765" s="131" t="s">
        <v>710</v>
      </c>
      <c r="I765" s="131" t="s">
        <v>204</v>
      </c>
      <c r="J765" s="119" t="s">
        <v>575</v>
      </c>
      <c r="K765" s="119" t="s">
        <v>576</v>
      </c>
      <c r="L765" s="119" t="s">
        <v>457</v>
      </c>
      <c r="M765" s="119" t="s">
        <v>185</v>
      </c>
      <c r="N765" s="135">
        <v>0</v>
      </c>
      <c r="O765" s="135" t="s">
        <v>47</v>
      </c>
      <c r="P765" s="135"/>
      <c r="Q765" s="137">
        <v>9811.6</v>
      </c>
      <c r="R765" s="137">
        <v>0</v>
      </c>
      <c r="S765" s="137"/>
      <c r="T765" s="137">
        <f t="shared" si="138"/>
        <v>0</v>
      </c>
      <c r="U765" s="137">
        <f t="shared" si="142"/>
        <v>0</v>
      </c>
      <c r="V765" s="137">
        <v>0</v>
      </c>
      <c r="W765" s="137">
        <f t="shared" si="143"/>
        <v>0</v>
      </c>
      <c r="X765" s="137">
        <f t="shared" si="139"/>
        <v>0</v>
      </c>
      <c r="Y765" s="137">
        <f t="shared" si="144"/>
        <v>0</v>
      </c>
      <c r="Z765" s="137">
        <v>53368.800000000003</v>
      </c>
      <c r="AA765" s="137">
        <f t="shared" si="140"/>
        <v>-43557.200000000004</v>
      </c>
      <c r="AB765" s="146">
        <f>IF(O765="返货",(Z765-Q765)/(1+N765),IF(O765="返现",(Z765-Q765),IF(O765="折扣",(Z765-Q765)*N765,IF(O765="无",(Z765-Q765)))))</f>
        <v>43557.200000000004</v>
      </c>
      <c r="AC765" s="147">
        <f t="shared" si="141"/>
        <v>9811.5999999999985</v>
      </c>
      <c r="AD765" s="137">
        <f t="shared" si="151"/>
        <v>52316.225894359508</v>
      </c>
      <c r="AE765" s="138">
        <v>0.31559999999999999</v>
      </c>
      <c r="AF765" s="137">
        <f t="shared" si="150"/>
        <v>16511.000892259861</v>
      </c>
      <c r="AG765" s="137">
        <v>16843.19328</v>
      </c>
      <c r="AH765" s="154"/>
      <c r="AI765" s="154"/>
      <c r="AJ765" s="135" t="e">
        <v>#N/A</v>
      </c>
      <c r="AL765" s="119" t="s">
        <v>611</v>
      </c>
      <c r="AM765" s="131" t="s">
        <v>208</v>
      </c>
    </row>
    <row r="766" spans="1:39" s="119" customFormat="1" ht="15" customHeight="1" x14ac:dyDescent="0.3">
      <c r="A766" s="119">
        <v>2017</v>
      </c>
      <c r="B766" s="119" t="s">
        <v>199</v>
      </c>
      <c r="C766" s="119" t="s">
        <v>59</v>
      </c>
      <c r="D766" s="119" t="s">
        <v>718</v>
      </c>
      <c r="F766" s="131" t="s">
        <v>851</v>
      </c>
      <c r="G766" s="131"/>
      <c r="H766" s="131"/>
      <c r="I766" s="131" t="s">
        <v>204</v>
      </c>
      <c r="J766" s="119" t="s">
        <v>575</v>
      </c>
      <c r="K766" s="119" t="s">
        <v>576</v>
      </c>
      <c r="L766" s="119" t="s">
        <v>851</v>
      </c>
      <c r="M766" s="119" t="s">
        <v>185</v>
      </c>
      <c r="N766" s="135">
        <v>0</v>
      </c>
      <c r="O766" s="135" t="s">
        <v>47</v>
      </c>
      <c r="P766" s="135" t="s">
        <v>852</v>
      </c>
      <c r="Q766" s="137">
        <v>0</v>
      </c>
      <c r="R766" s="137">
        <v>0</v>
      </c>
      <c r="S766" s="137"/>
      <c r="T766" s="137">
        <f t="shared" si="138"/>
        <v>0</v>
      </c>
      <c r="U766" s="137">
        <f t="shared" si="142"/>
        <v>0</v>
      </c>
      <c r="V766" s="137">
        <v>0</v>
      </c>
      <c r="W766" s="137">
        <f t="shared" si="143"/>
        <v>0</v>
      </c>
      <c r="X766" s="137">
        <f t="shared" si="139"/>
        <v>0</v>
      </c>
      <c r="Y766" s="137">
        <f t="shared" si="144"/>
        <v>0</v>
      </c>
      <c r="Z766" s="137">
        <v>45618.81</v>
      </c>
      <c r="AA766" s="137">
        <f t="shared" si="140"/>
        <v>-45618.81</v>
      </c>
      <c r="AB766" s="146">
        <v>0</v>
      </c>
      <c r="AC766" s="147">
        <f t="shared" si="141"/>
        <v>45618.81</v>
      </c>
      <c r="AD766" s="137">
        <f t="shared" si="151"/>
        <v>44719.08622625703</v>
      </c>
      <c r="AE766" s="138">
        <v>0.31559999999999999</v>
      </c>
      <c r="AF766" s="137">
        <f t="shared" si="150"/>
        <v>14113.343613006718</v>
      </c>
      <c r="AG766" s="137">
        <v>14397.296436000001</v>
      </c>
      <c r="AH766" s="154"/>
      <c r="AI766" s="154"/>
      <c r="AJ766" s="135" t="e">
        <v>#N/A</v>
      </c>
      <c r="AM766" s="131" t="s">
        <v>208</v>
      </c>
    </row>
    <row r="767" spans="1:39" s="119" customFormat="1" ht="15" customHeight="1" x14ac:dyDescent="0.3">
      <c r="A767" s="119">
        <v>2017</v>
      </c>
      <c r="B767" s="119" t="s">
        <v>38</v>
      </c>
      <c r="C767" s="119" t="s">
        <v>39</v>
      </c>
      <c r="D767" s="119" t="s">
        <v>834</v>
      </c>
      <c r="F767" s="131" t="s">
        <v>329</v>
      </c>
      <c r="G767" s="131" t="s">
        <v>329</v>
      </c>
      <c r="H767" s="131" t="s">
        <v>329</v>
      </c>
      <c r="I767" s="131" t="s">
        <v>204</v>
      </c>
      <c r="J767" s="119" t="s">
        <v>575</v>
      </c>
      <c r="K767" s="119" t="s">
        <v>576</v>
      </c>
      <c r="L767" s="119" t="s">
        <v>330</v>
      </c>
      <c r="M767" s="119" t="s">
        <v>185</v>
      </c>
      <c r="N767" s="136">
        <v>0.02</v>
      </c>
      <c r="O767" s="135" t="s">
        <v>51</v>
      </c>
      <c r="P767" s="135"/>
      <c r="Q767" s="137">
        <v>0</v>
      </c>
      <c r="R767" s="137">
        <v>0</v>
      </c>
      <c r="S767" s="137"/>
      <c r="T767" s="137">
        <f t="shared" si="138"/>
        <v>0</v>
      </c>
      <c r="U767" s="137">
        <f t="shared" si="142"/>
        <v>0</v>
      </c>
      <c r="V767" s="137">
        <v>0</v>
      </c>
      <c r="W767" s="137">
        <f t="shared" si="143"/>
        <v>0</v>
      </c>
      <c r="X767" s="137">
        <f t="shared" si="139"/>
        <v>0</v>
      </c>
      <c r="Y767" s="137">
        <f t="shared" si="144"/>
        <v>0</v>
      </c>
      <c r="Z767" s="137">
        <v>22857.82</v>
      </c>
      <c r="AA767" s="137">
        <f t="shared" si="140"/>
        <v>-22857.82</v>
      </c>
      <c r="AB767" s="146">
        <f>IF(O767="返货",Z767/(1+N767),IF(O767="返现",Z767,IF(O767="折扣",Z767*N767,IF(O767="无",Z767))))</f>
        <v>22409.627450980392</v>
      </c>
      <c r="AC767" s="147">
        <f t="shared" si="141"/>
        <v>448.19254901960812</v>
      </c>
      <c r="AD767" s="137">
        <f t="shared" si="151"/>
        <v>22407.003241081089</v>
      </c>
      <c r="AE767" s="138">
        <v>0.31559999999999999</v>
      </c>
      <c r="AF767" s="137">
        <f t="shared" si="150"/>
        <v>7071.6502228851914</v>
      </c>
      <c r="AG767" s="137">
        <v>7213.9279919999999</v>
      </c>
      <c r="AH767" s="154"/>
      <c r="AI767" s="154"/>
      <c r="AJ767" s="135" t="s">
        <v>173</v>
      </c>
      <c r="AM767" s="131" t="s">
        <v>208</v>
      </c>
    </row>
    <row r="768" spans="1:39" s="119" customFormat="1" ht="15" customHeight="1" x14ac:dyDescent="0.3">
      <c r="A768" s="119">
        <v>2017</v>
      </c>
      <c r="B768" s="131" t="s">
        <v>199</v>
      </c>
      <c r="C768" s="119" t="s">
        <v>54</v>
      </c>
      <c r="D768" s="119" t="s">
        <v>102</v>
      </c>
      <c r="F768" s="131" t="s">
        <v>389</v>
      </c>
      <c r="G768" s="131" t="s">
        <v>390</v>
      </c>
      <c r="H768" s="158" t="s">
        <v>391</v>
      </c>
      <c r="I768" s="131" t="s">
        <v>204</v>
      </c>
      <c r="J768" s="119" t="s">
        <v>575</v>
      </c>
      <c r="K768" s="119" t="s">
        <v>576</v>
      </c>
      <c r="L768" s="119" t="s">
        <v>564</v>
      </c>
      <c r="M768" s="119" t="s">
        <v>185</v>
      </c>
      <c r="N768" s="136">
        <v>0.09</v>
      </c>
      <c r="O768" s="135" t="s">
        <v>51</v>
      </c>
      <c r="P768" s="135"/>
      <c r="Q768" s="137">
        <v>0</v>
      </c>
      <c r="R768" s="137">
        <v>0</v>
      </c>
      <c r="S768" s="137"/>
      <c r="T768" s="137">
        <f t="shared" si="138"/>
        <v>0</v>
      </c>
      <c r="U768" s="137">
        <f t="shared" si="142"/>
        <v>0</v>
      </c>
      <c r="V768" s="137">
        <v>0</v>
      </c>
      <c r="W768" s="137">
        <f t="shared" si="143"/>
        <v>0</v>
      </c>
      <c r="X768" s="137">
        <f t="shared" si="139"/>
        <v>0</v>
      </c>
      <c r="Y768" s="137">
        <f t="shared" si="144"/>
        <v>0</v>
      </c>
      <c r="Z768" s="137">
        <v>16013.13</v>
      </c>
      <c r="AA768" s="137">
        <f t="shared" si="140"/>
        <v>-16013.13</v>
      </c>
      <c r="AB768" s="146">
        <f>IF(O768="返货",Z768/(1+N768),IF(O768="返现",Z768,IF(O768="折扣",Z768*N768,IF(O768="无",Z768))))</f>
        <v>14690.944954128439</v>
      </c>
      <c r="AC768" s="147">
        <f t="shared" si="141"/>
        <v>1322.1850458715599</v>
      </c>
      <c r="AD768" s="137">
        <f t="shared" si="151"/>
        <v>15697.308658912041</v>
      </c>
      <c r="AE768" s="138">
        <v>0.31559999999999999</v>
      </c>
      <c r="AF768" s="137">
        <f t="shared" si="150"/>
        <v>4954.07061275264</v>
      </c>
      <c r="AG768" s="137">
        <v>5053.7438279999997</v>
      </c>
      <c r="AH768" s="154"/>
      <c r="AI768" s="154"/>
      <c r="AJ768" s="135" t="s">
        <v>238</v>
      </c>
      <c r="AM768" s="131" t="s">
        <v>208</v>
      </c>
    </row>
    <row r="769" spans="1:39" s="119" customFormat="1" ht="15" customHeight="1" x14ac:dyDescent="0.3">
      <c r="A769" s="119">
        <v>2017</v>
      </c>
      <c r="B769" s="119" t="s">
        <v>38</v>
      </c>
      <c r="C769" s="119" t="s">
        <v>75</v>
      </c>
      <c r="D769" s="119" t="s">
        <v>518</v>
      </c>
      <c r="F769" s="131" t="s">
        <v>648</v>
      </c>
      <c r="G769" s="131" t="s">
        <v>648</v>
      </c>
      <c r="H769" s="131" t="s">
        <v>648</v>
      </c>
      <c r="I769" s="131" t="s">
        <v>204</v>
      </c>
      <c r="J769" s="119" t="s">
        <v>575</v>
      </c>
      <c r="K769" s="119" t="s">
        <v>576</v>
      </c>
      <c r="L769" s="119" t="s">
        <v>648</v>
      </c>
      <c r="M769" s="119" t="s">
        <v>185</v>
      </c>
      <c r="N769" s="135">
        <v>0</v>
      </c>
      <c r="O769" s="135" t="s">
        <v>47</v>
      </c>
      <c r="P769" s="135"/>
      <c r="Q769" s="137">
        <v>13550.42</v>
      </c>
      <c r="R769" s="137">
        <v>0</v>
      </c>
      <c r="S769" s="137"/>
      <c r="T769" s="137">
        <f t="shared" si="138"/>
        <v>0</v>
      </c>
      <c r="U769" s="137">
        <f t="shared" si="142"/>
        <v>0</v>
      </c>
      <c r="V769" s="137">
        <v>0</v>
      </c>
      <c r="W769" s="137">
        <f t="shared" si="143"/>
        <v>0</v>
      </c>
      <c r="X769" s="137">
        <f t="shared" si="139"/>
        <v>0</v>
      </c>
      <c r="Y769" s="137">
        <f t="shared" si="144"/>
        <v>0</v>
      </c>
      <c r="Z769" s="137">
        <v>15150.42</v>
      </c>
      <c r="AA769" s="137">
        <f t="shared" si="140"/>
        <v>-1600</v>
      </c>
      <c r="AB769" s="146">
        <f>IF(O769="返货",(Z769-Q769)/(1+N769),IF(O769="返现",(Z769-Q769),IF(O769="折扣",(Z769-Q769)*N769,IF(O769="无",(Z769-Q769)))))</f>
        <v>1600</v>
      </c>
      <c r="AC769" s="147">
        <f t="shared" si="141"/>
        <v>13550.42</v>
      </c>
      <c r="AD769" s="137">
        <f t="shared" si="151"/>
        <v>14851.613585361149</v>
      </c>
      <c r="AE769" s="138">
        <v>0.31559999999999999</v>
      </c>
      <c r="AF769" s="137">
        <f t="shared" si="150"/>
        <v>4687.1692475399786</v>
      </c>
      <c r="AG769" s="137">
        <v>4781.4725520000002</v>
      </c>
      <c r="AH769" s="154"/>
      <c r="AI769" s="154"/>
      <c r="AJ769" s="135" t="e">
        <v>#N/A</v>
      </c>
      <c r="AM769" s="131" t="s">
        <v>208</v>
      </c>
    </row>
    <row r="770" spans="1:39" s="119" customFormat="1" ht="15" customHeight="1" x14ac:dyDescent="0.3">
      <c r="A770" s="119">
        <v>2017</v>
      </c>
      <c r="C770" s="119" t="s">
        <v>75</v>
      </c>
      <c r="D770" s="119" t="s">
        <v>518</v>
      </c>
      <c r="F770" s="131" t="s">
        <v>839</v>
      </c>
      <c r="G770" s="131"/>
      <c r="H770" s="131"/>
      <c r="I770" s="131" t="s">
        <v>204</v>
      </c>
      <c r="J770" s="119" t="s">
        <v>575</v>
      </c>
      <c r="K770" s="119" t="s">
        <v>576</v>
      </c>
      <c r="L770" s="119" t="s">
        <v>839</v>
      </c>
      <c r="M770" s="119" t="s">
        <v>185</v>
      </c>
      <c r="N770" s="135">
        <v>0</v>
      </c>
      <c r="O770" s="135" t="s">
        <v>47</v>
      </c>
      <c r="P770" s="135" t="s">
        <v>852</v>
      </c>
      <c r="Q770" s="137">
        <v>9520.24</v>
      </c>
      <c r="R770" s="137">
        <v>0</v>
      </c>
      <c r="S770" s="137"/>
      <c r="T770" s="137">
        <f t="shared" ref="T770:T833" si="152">S770*N770</f>
        <v>0</v>
      </c>
      <c r="U770" s="137">
        <f t="shared" si="142"/>
        <v>0</v>
      </c>
      <c r="V770" s="137">
        <v>0</v>
      </c>
      <c r="W770" s="137">
        <f t="shared" si="143"/>
        <v>0</v>
      </c>
      <c r="X770" s="137">
        <f t="shared" ref="X770:X833" si="153">W770/(1+N770)</f>
        <v>0</v>
      </c>
      <c r="Y770" s="137">
        <f t="shared" si="144"/>
        <v>0</v>
      </c>
      <c r="Z770" s="137">
        <v>12428.74</v>
      </c>
      <c r="AA770" s="137">
        <f t="shared" ref="AA770:AA833" si="154">Q770+V770-Z770</f>
        <v>-2908.5</v>
      </c>
      <c r="AB770" s="146">
        <v>0</v>
      </c>
      <c r="AC770" s="147">
        <f t="shared" ref="AC770:AC833" si="155">IF(O770="返现",Z770*N770,Z770-AB770)</f>
        <v>12428.74</v>
      </c>
      <c r="AD770" s="137">
        <f t="shared" si="151"/>
        <v>12183.612324471633</v>
      </c>
      <c r="AE770" s="138">
        <v>0.31559999999999999</v>
      </c>
      <c r="AF770" s="137">
        <f t="shared" si="150"/>
        <v>3845.1480496032473</v>
      </c>
      <c r="AG770" s="137">
        <v>3922.5103439999998</v>
      </c>
      <c r="AH770" s="154"/>
      <c r="AI770" s="154"/>
      <c r="AJ770" s="135" t="e">
        <v>#N/A</v>
      </c>
      <c r="AM770" s="131" t="s">
        <v>208</v>
      </c>
    </row>
    <row r="771" spans="1:39" s="119" customFormat="1" ht="15" customHeight="1" x14ac:dyDescent="0.3">
      <c r="A771" s="119">
        <v>2017</v>
      </c>
      <c r="B771" s="119" t="s">
        <v>38</v>
      </c>
      <c r="C771" s="119" t="s">
        <v>88</v>
      </c>
      <c r="F771" s="131" t="s">
        <v>856</v>
      </c>
      <c r="G771" s="131" t="s">
        <v>856</v>
      </c>
      <c r="H771" s="131" t="s">
        <v>856</v>
      </c>
      <c r="I771" s="131" t="s">
        <v>204</v>
      </c>
      <c r="J771" s="119" t="s">
        <v>575</v>
      </c>
      <c r="K771" s="119" t="s">
        <v>576</v>
      </c>
      <c r="L771" s="119" t="s">
        <v>856</v>
      </c>
      <c r="M771" s="119" t="s">
        <v>185</v>
      </c>
      <c r="N771" s="135">
        <v>0.14000000000000001</v>
      </c>
      <c r="O771" s="135" t="s">
        <v>51</v>
      </c>
      <c r="P771" s="135"/>
      <c r="Q771" s="137">
        <v>0</v>
      </c>
      <c r="R771" s="137">
        <v>0</v>
      </c>
      <c r="S771" s="137"/>
      <c r="T771" s="137">
        <f t="shared" si="152"/>
        <v>0</v>
      </c>
      <c r="U771" s="137">
        <f t="shared" ref="U771:U834" si="156">R771+S771+T771</f>
        <v>0</v>
      </c>
      <c r="V771" s="137">
        <v>0</v>
      </c>
      <c r="W771" s="137">
        <f t="shared" ref="W771:W834" si="157">U771-V771</f>
        <v>0</v>
      </c>
      <c r="X771" s="137">
        <f t="shared" si="153"/>
        <v>0</v>
      </c>
      <c r="Y771" s="137">
        <f t="shared" ref="Y771:Y834" si="158">W771-X771</f>
        <v>0</v>
      </c>
      <c r="Z771" s="137">
        <v>11459.78</v>
      </c>
      <c r="AA771" s="137">
        <f t="shared" si="154"/>
        <v>-11459.78</v>
      </c>
      <c r="AB771" s="146">
        <f>IF(O771="返货",Z771/(1+N771),IF(O771="返现",Z771,IF(O771="折扣",Z771*N771,IF(O771="无",Z771))))</f>
        <v>10052.438596491227</v>
      </c>
      <c r="AC771" s="147">
        <f t="shared" si="155"/>
        <v>1407.3414035087735</v>
      </c>
      <c r="AD771" s="137">
        <f t="shared" si="151"/>
        <v>11233.762782368409</v>
      </c>
      <c r="AE771" s="138">
        <v>0.31559999999999999</v>
      </c>
      <c r="AF771" s="137">
        <f t="shared" si="150"/>
        <v>3545.3755341154697</v>
      </c>
      <c r="AG771" s="137">
        <v>3616.7065680000001</v>
      </c>
      <c r="AH771" s="154"/>
      <c r="AI771" s="154"/>
      <c r="AJ771" s="135">
        <v>0.14000000000000001</v>
      </c>
      <c r="AM771" s="131" t="s">
        <v>208</v>
      </c>
    </row>
    <row r="772" spans="1:39" s="119" customFormat="1" ht="15" customHeight="1" x14ac:dyDescent="0.3">
      <c r="A772" s="119">
        <v>2017</v>
      </c>
      <c r="B772" s="119" t="s">
        <v>38</v>
      </c>
      <c r="C772" s="119" t="s">
        <v>75</v>
      </c>
      <c r="D772" s="119" t="s">
        <v>857</v>
      </c>
      <c r="F772" s="119" t="s">
        <v>273</v>
      </c>
      <c r="G772" s="119" t="s">
        <v>273</v>
      </c>
      <c r="H772" s="119" t="s">
        <v>273</v>
      </c>
      <c r="I772" s="163" t="s">
        <v>204</v>
      </c>
      <c r="J772" s="119" t="s">
        <v>575</v>
      </c>
      <c r="K772" s="119" t="s">
        <v>576</v>
      </c>
      <c r="L772" s="119" t="s">
        <v>858</v>
      </c>
      <c r="M772" s="119" t="s">
        <v>185</v>
      </c>
      <c r="N772" s="136">
        <v>0.05</v>
      </c>
      <c r="O772" s="135" t="s">
        <v>51</v>
      </c>
      <c r="P772" s="135"/>
      <c r="Q772" s="137">
        <v>0</v>
      </c>
      <c r="R772" s="137">
        <v>0</v>
      </c>
      <c r="S772" s="137"/>
      <c r="T772" s="137">
        <f t="shared" si="152"/>
        <v>0</v>
      </c>
      <c r="U772" s="137">
        <f t="shared" si="156"/>
        <v>0</v>
      </c>
      <c r="V772" s="137">
        <v>0</v>
      </c>
      <c r="W772" s="137">
        <f t="shared" si="157"/>
        <v>0</v>
      </c>
      <c r="X772" s="137">
        <f t="shared" si="153"/>
        <v>0</v>
      </c>
      <c r="Y772" s="137">
        <f t="shared" si="158"/>
        <v>0</v>
      </c>
      <c r="Z772" s="137">
        <v>7772.08</v>
      </c>
      <c r="AA772" s="137">
        <f t="shared" si="154"/>
        <v>-7772.08</v>
      </c>
      <c r="AB772" s="146">
        <f>IF(O772="返货",Z772/(1+N772),IF(O772="返现",Z772,IF(O772="折扣",Z772*N772,IF(O772="无",Z772))))</f>
        <v>7401.9809523809517</v>
      </c>
      <c r="AC772" s="147">
        <f t="shared" si="155"/>
        <v>370.09904761904818</v>
      </c>
      <c r="AD772" s="137">
        <f t="shared" si="151"/>
        <v>7618.7939947878458</v>
      </c>
      <c r="AE772" s="138">
        <v>0.31559999999999999</v>
      </c>
      <c r="AF772" s="137">
        <f t="shared" si="150"/>
        <v>2404.4913847550442</v>
      </c>
      <c r="AG772" s="137">
        <v>2452.8684480000002</v>
      </c>
      <c r="AH772" s="154"/>
      <c r="AI772" s="154"/>
      <c r="AJ772" s="136">
        <v>0.05</v>
      </c>
      <c r="AM772" s="131" t="s">
        <v>208</v>
      </c>
    </row>
    <row r="773" spans="1:39" s="119" customFormat="1" ht="15" customHeight="1" x14ac:dyDescent="0.3">
      <c r="A773" s="119">
        <v>2017</v>
      </c>
      <c r="B773" s="119" t="s">
        <v>199</v>
      </c>
      <c r="C773" s="119" t="s">
        <v>54</v>
      </c>
      <c r="D773" s="119" t="s">
        <v>102</v>
      </c>
      <c r="F773" s="131" t="s">
        <v>805</v>
      </c>
      <c r="G773" s="131" t="s">
        <v>806</v>
      </c>
      <c r="H773" s="158" t="s">
        <v>807</v>
      </c>
      <c r="I773" s="131" t="s">
        <v>204</v>
      </c>
      <c r="J773" s="119" t="s">
        <v>575</v>
      </c>
      <c r="K773" s="119" t="s">
        <v>576</v>
      </c>
      <c r="L773" s="119" t="s">
        <v>805</v>
      </c>
      <c r="M773" s="119" t="s">
        <v>185</v>
      </c>
      <c r="N773" s="136">
        <v>0.09</v>
      </c>
      <c r="O773" s="135" t="s">
        <v>51</v>
      </c>
      <c r="P773" s="135"/>
      <c r="Q773" s="137">
        <v>0</v>
      </c>
      <c r="R773" s="137">
        <v>0</v>
      </c>
      <c r="S773" s="137"/>
      <c r="T773" s="137">
        <f t="shared" si="152"/>
        <v>0</v>
      </c>
      <c r="U773" s="137">
        <f t="shared" si="156"/>
        <v>0</v>
      </c>
      <c r="V773" s="137">
        <v>0</v>
      </c>
      <c r="W773" s="137">
        <f t="shared" si="157"/>
        <v>0</v>
      </c>
      <c r="X773" s="137">
        <f t="shared" si="153"/>
        <v>0</v>
      </c>
      <c r="Y773" s="137">
        <f t="shared" si="158"/>
        <v>0</v>
      </c>
      <c r="Z773" s="137">
        <v>6907.3</v>
      </c>
      <c r="AA773" s="137">
        <f t="shared" si="154"/>
        <v>-6907.3</v>
      </c>
      <c r="AB773" s="146">
        <f>IF(O773="返货",Z773/(1+N773),IF(O773="返现",Z773,IF(O773="折扣",Z773*N773,IF(O773="无",Z773))))</f>
        <v>6336.9724770642197</v>
      </c>
      <c r="AC773" s="147">
        <f t="shared" si="155"/>
        <v>570.32752293578051</v>
      </c>
      <c r="AD773" s="137">
        <f t="shared" si="151"/>
        <v>6771.0697471202166</v>
      </c>
      <c r="AE773" s="138">
        <v>0.31559999999999999</v>
      </c>
      <c r="AF773" s="137">
        <f t="shared" si="150"/>
        <v>2136.9496121911402</v>
      </c>
      <c r="AG773" s="137">
        <v>2179.9438799999998</v>
      </c>
      <c r="AH773" s="154"/>
      <c r="AI773" s="154"/>
      <c r="AJ773" s="136">
        <v>0.09</v>
      </c>
      <c r="AM773" s="131" t="s">
        <v>208</v>
      </c>
    </row>
    <row r="774" spans="1:39" s="119" customFormat="1" ht="15" customHeight="1" x14ac:dyDescent="0.3">
      <c r="A774" s="119">
        <v>2017</v>
      </c>
      <c r="B774" s="119" t="s">
        <v>38</v>
      </c>
      <c r="C774" s="119" t="s">
        <v>54</v>
      </c>
      <c r="D774" s="119" t="s">
        <v>55</v>
      </c>
      <c r="F774" s="131" t="s">
        <v>786</v>
      </c>
      <c r="G774" s="131" t="s">
        <v>788</v>
      </c>
      <c r="H774" s="131" t="s">
        <v>788</v>
      </c>
      <c r="I774" s="131" t="s">
        <v>204</v>
      </c>
      <c r="J774" s="119" t="s">
        <v>575</v>
      </c>
      <c r="K774" s="119" t="s">
        <v>576</v>
      </c>
      <c r="L774" s="119" t="s">
        <v>789</v>
      </c>
      <c r="M774" s="119" t="s">
        <v>185</v>
      </c>
      <c r="N774" s="136">
        <v>0.08</v>
      </c>
      <c r="O774" s="135" t="s">
        <v>51</v>
      </c>
      <c r="P774" s="135"/>
      <c r="Q774" s="137">
        <v>0</v>
      </c>
      <c r="R774" s="137">
        <v>0</v>
      </c>
      <c r="S774" s="137"/>
      <c r="T774" s="137">
        <f t="shared" si="152"/>
        <v>0</v>
      </c>
      <c r="U774" s="137">
        <f t="shared" si="156"/>
        <v>0</v>
      </c>
      <c r="V774" s="137">
        <v>0</v>
      </c>
      <c r="W774" s="137">
        <f t="shared" si="157"/>
        <v>0</v>
      </c>
      <c r="X774" s="137">
        <f t="shared" si="153"/>
        <v>0</v>
      </c>
      <c r="Y774" s="137">
        <f t="shared" si="158"/>
        <v>0</v>
      </c>
      <c r="Z774" s="137">
        <v>5800</v>
      </c>
      <c r="AA774" s="137">
        <f t="shared" si="154"/>
        <v>-5800</v>
      </c>
      <c r="AB774" s="146">
        <f>IF(O774="返货",Z774/(1+N774),IF(O774="返现",Z774,IF(O774="折扣",Z774*N774,IF(O774="无",Z774))))</f>
        <v>5370.3703703703704</v>
      </c>
      <c r="AC774" s="147">
        <f t="shared" si="155"/>
        <v>429.62962962962956</v>
      </c>
      <c r="AD774" s="137">
        <f t="shared" si="151"/>
        <v>5685.6086362684773</v>
      </c>
      <c r="AE774" s="138">
        <v>0.31559999999999999</v>
      </c>
      <c r="AF774" s="137">
        <f t="shared" si="150"/>
        <v>1794.3780856063313</v>
      </c>
      <c r="AG774" s="137">
        <v>1830.48</v>
      </c>
      <c r="AH774" s="154"/>
      <c r="AI774" s="154"/>
      <c r="AJ774" s="135" t="s">
        <v>53</v>
      </c>
      <c r="AM774" s="131" t="s">
        <v>208</v>
      </c>
    </row>
    <row r="775" spans="1:39" s="119" customFormat="1" ht="15" customHeight="1" x14ac:dyDescent="0.3">
      <c r="A775" s="119">
        <v>2017</v>
      </c>
      <c r="C775" s="119" t="s">
        <v>75</v>
      </c>
      <c r="D775" s="119" t="s">
        <v>518</v>
      </c>
      <c r="F775" s="131" t="str">
        <f>L775</f>
        <v>上海逗趣网络科技有限公司</v>
      </c>
      <c r="G775" s="131"/>
      <c r="H775" s="131"/>
      <c r="I775" s="131" t="s">
        <v>204</v>
      </c>
      <c r="J775" s="119" t="s">
        <v>575</v>
      </c>
      <c r="K775" s="119" t="s">
        <v>576</v>
      </c>
      <c r="L775" s="119" t="s">
        <v>859</v>
      </c>
      <c r="M775" s="119" t="s">
        <v>185</v>
      </c>
      <c r="N775" s="135">
        <v>0</v>
      </c>
      <c r="O775" s="135" t="s">
        <v>47</v>
      </c>
      <c r="P775" s="135" t="s">
        <v>852</v>
      </c>
      <c r="Q775" s="137">
        <v>3026.4</v>
      </c>
      <c r="R775" s="137">
        <v>0</v>
      </c>
      <c r="S775" s="137"/>
      <c r="T775" s="137">
        <f t="shared" si="152"/>
        <v>0</v>
      </c>
      <c r="U775" s="137">
        <f t="shared" si="156"/>
        <v>0</v>
      </c>
      <c r="V775" s="137">
        <v>0</v>
      </c>
      <c r="W775" s="137">
        <f t="shared" si="157"/>
        <v>0</v>
      </c>
      <c r="X775" s="137">
        <f t="shared" si="153"/>
        <v>0</v>
      </c>
      <c r="Y775" s="137">
        <f t="shared" si="158"/>
        <v>0</v>
      </c>
      <c r="Z775" s="137">
        <v>2749.95</v>
      </c>
      <c r="AA775" s="137">
        <f t="shared" si="154"/>
        <v>276.45000000000027</v>
      </c>
      <c r="AB775" s="146">
        <v>0</v>
      </c>
      <c r="AC775" s="147">
        <f t="shared" si="155"/>
        <v>2749.95</v>
      </c>
      <c r="AD775" s="137">
        <f t="shared" si="151"/>
        <v>2695.7137016045685</v>
      </c>
      <c r="AE775" s="138">
        <v>0.31559999999999999</v>
      </c>
      <c r="AF775" s="137">
        <f t="shared" si="150"/>
        <v>850.76724422640177</v>
      </c>
      <c r="AG775" s="137">
        <v>867.88422000000003</v>
      </c>
      <c r="AH775" s="154"/>
      <c r="AI775" s="154"/>
      <c r="AJ775" s="135" t="e">
        <v>#N/A</v>
      </c>
      <c r="AM775" s="131" t="s">
        <v>208</v>
      </c>
    </row>
    <row r="776" spans="1:39" s="119" customFormat="1" ht="15" customHeight="1" x14ac:dyDescent="0.3">
      <c r="A776" s="119">
        <v>2017</v>
      </c>
      <c r="B776" s="119" t="s">
        <v>38</v>
      </c>
      <c r="C776" s="119" t="s">
        <v>75</v>
      </c>
      <c r="F776" s="131" t="s">
        <v>681</v>
      </c>
      <c r="G776" s="131" t="s">
        <v>681</v>
      </c>
      <c r="H776" s="131" t="s">
        <v>681</v>
      </c>
      <c r="I776" s="131" t="s">
        <v>204</v>
      </c>
      <c r="J776" s="119" t="s">
        <v>575</v>
      </c>
      <c r="K776" s="119" t="s">
        <v>576</v>
      </c>
      <c r="L776" s="119" t="s">
        <v>681</v>
      </c>
      <c r="M776" s="119" t="s">
        <v>185</v>
      </c>
      <c r="N776" s="136">
        <v>0.15</v>
      </c>
      <c r="O776" s="135" t="s">
        <v>51</v>
      </c>
      <c r="P776" s="135"/>
      <c r="Q776" s="137">
        <v>0</v>
      </c>
      <c r="R776" s="137">
        <v>0</v>
      </c>
      <c r="S776" s="137"/>
      <c r="T776" s="137">
        <f t="shared" si="152"/>
        <v>0</v>
      </c>
      <c r="U776" s="137">
        <f t="shared" si="156"/>
        <v>0</v>
      </c>
      <c r="V776" s="137">
        <v>0</v>
      </c>
      <c r="W776" s="137">
        <f t="shared" si="157"/>
        <v>0</v>
      </c>
      <c r="X776" s="137">
        <f t="shared" si="153"/>
        <v>0</v>
      </c>
      <c r="Y776" s="137">
        <f t="shared" si="158"/>
        <v>0</v>
      </c>
      <c r="Z776" s="137">
        <v>1521.27</v>
      </c>
      <c r="AA776" s="137">
        <f t="shared" si="154"/>
        <v>-1521.27</v>
      </c>
      <c r="AB776" s="146">
        <f>IF(O776="返货",Z776/(1+N776),IF(O776="返现",Z776,IF(O776="折扣",Z776*N776,IF(O776="无",Z776))))</f>
        <v>1322.8434782608697</v>
      </c>
      <c r="AC776" s="147">
        <f t="shared" si="155"/>
        <v>198.42652173913029</v>
      </c>
      <c r="AD776" s="137">
        <f t="shared" si="151"/>
        <v>1491.266525878646</v>
      </c>
      <c r="AE776" s="138">
        <v>0.31559999999999999</v>
      </c>
      <c r="AF776" s="137">
        <f t="shared" si="150"/>
        <v>470.64371556730066</v>
      </c>
      <c r="AG776" s="137">
        <v>480.11281200000002</v>
      </c>
      <c r="AH776" s="154"/>
      <c r="AI776" s="154"/>
      <c r="AJ776" s="136">
        <v>0.15</v>
      </c>
      <c r="AM776" s="131" t="s">
        <v>208</v>
      </c>
    </row>
    <row r="777" spans="1:39" s="119" customFormat="1" ht="15" customHeight="1" x14ac:dyDescent="0.3">
      <c r="A777" s="119">
        <v>2017</v>
      </c>
      <c r="B777" s="119" t="s">
        <v>38</v>
      </c>
      <c r="C777" s="119" t="s">
        <v>75</v>
      </c>
      <c r="D777" s="119" t="s">
        <v>256</v>
      </c>
      <c r="F777" s="131" t="s">
        <v>355</v>
      </c>
      <c r="G777" s="131" t="s">
        <v>355</v>
      </c>
      <c r="H777" s="131" t="s">
        <v>355</v>
      </c>
      <c r="I777" s="131" t="s">
        <v>204</v>
      </c>
      <c r="J777" s="119" t="s">
        <v>575</v>
      </c>
      <c r="K777" s="119" t="s">
        <v>576</v>
      </c>
      <c r="L777" s="119" t="s">
        <v>355</v>
      </c>
      <c r="M777" s="119" t="s">
        <v>595</v>
      </c>
      <c r="N777" s="136">
        <v>0.08</v>
      </c>
      <c r="O777" s="135" t="s">
        <v>51</v>
      </c>
      <c r="P777" s="135"/>
      <c r="Q777" s="137">
        <v>0</v>
      </c>
      <c r="R777" s="137">
        <v>0</v>
      </c>
      <c r="S777" s="137"/>
      <c r="T777" s="137">
        <f t="shared" si="152"/>
        <v>0</v>
      </c>
      <c r="U777" s="137">
        <f t="shared" si="156"/>
        <v>0</v>
      </c>
      <c r="V777" s="137">
        <v>738290</v>
      </c>
      <c r="W777" s="137">
        <f t="shared" si="157"/>
        <v>-738290</v>
      </c>
      <c r="X777" s="137">
        <f t="shared" si="153"/>
        <v>-683601.8518518518</v>
      </c>
      <c r="Y777" s="137">
        <f t="shared" si="158"/>
        <v>-54688.148148148204</v>
      </c>
      <c r="Z777" s="137">
        <v>738290</v>
      </c>
      <c r="AA777" s="137">
        <f t="shared" si="154"/>
        <v>0</v>
      </c>
      <c r="AB777" s="146">
        <f>IF(O777="返货",Z777/(1+N777),IF(O777="返现",Z777,IF(O777="折扣",Z777*N777,IF(O777="无",Z777))))</f>
        <v>683601.8518518518</v>
      </c>
      <c r="AC777" s="147">
        <f t="shared" si="155"/>
        <v>54688.148148148204</v>
      </c>
      <c r="AD777" s="137">
        <f t="shared" si="151"/>
        <v>723728.96552942309</v>
      </c>
      <c r="AE777" s="138">
        <v>0.35339999999999999</v>
      </c>
      <c r="AF777" s="137">
        <f t="shared" si="150"/>
        <v>255765.81641809811</v>
      </c>
      <c r="AG777" s="137">
        <v>260911.68599999999</v>
      </c>
      <c r="AH777" s="154"/>
      <c r="AI777" s="154"/>
      <c r="AJ777" s="135" t="s">
        <v>53</v>
      </c>
      <c r="AM777" s="131" t="s">
        <v>208</v>
      </c>
    </row>
    <row r="778" spans="1:39" s="119" customFormat="1" ht="15" customHeight="1" x14ac:dyDescent="0.3">
      <c r="A778" s="119">
        <v>2017</v>
      </c>
      <c r="B778" s="119" t="s">
        <v>38</v>
      </c>
      <c r="C778" s="119" t="s">
        <v>59</v>
      </c>
      <c r="D778" s="119" t="s">
        <v>718</v>
      </c>
      <c r="F778" s="131" t="s">
        <v>763</v>
      </c>
      <c r="G778" s="131" t="s">
        <v>763</v>
      </c>
      <c r="H778" s="131" t="s">
        <v>763</v>
      </c>
      <c r="I778" s="131" t="s">
        <v>204</v>
      </c>
      <c r="J778" s="119" t="s">
        <v>575</v>
      </c>
      <c r="K778" s="119" t="s">
        <v>576</v>
      </c>
      <c r="L778" s="119" t="s">
        <v>763</v>
      </c>
      <c r="M778" s="119" t="s">
        <v>595</v>
      </c>
      <c r="N778" s="136">
        <v>0.08</v>
      </c>
      <c r="O778" s="135" t="s">
        <v>51</v>
      </c>
      <c r="P778" s="135"/>
      <c r="Q778" s="137">
        <v>0</v>
      </c>
      <c r="R778" s="137">
        <v>0</v>
      </c>
      <c r="S778" s="137"/>
      <c r="T778" s="137">
        <f t="shared" si="152"/>
        <v>0</v>
      </c>
      <c r="U778" s="137">
        <f t="shared" si="156"/>
        <v>0</v>
      </c>
      <c r="V778" s="137">
        <v>210000</v>
      </c>
      <c r="W778" s="137">
        <f t="shared" si="157"/>
        <v>-210000</v>
      </c>
      <c r="X778" s="137">
        <f t="shared" si="153"/>
        <v>-194444.44444444444</v>
      </c>
      <c r="Y778" s="137">
        <f t="shared" si="158"/>
        <v>-15555.555555555562</v>
      </c>
      <c r="Z778" s="137">
        <v>210000</v>
      </c>
      <c r="AA778" s="137">
        <f t="shared" si="154"/>
        <v>0</v>
      </c>
      <c r="AB778" s="146">
        <f>IF(O778="返货",Z778/(1+N778),IF(O778="返现",Z778,IF(O778="折扣",Z778*N778,IF(O778="无",Z778))))</f>
        <v>194444.44444444444</v>
      </c>
      <c r="AC778" s="147">
        <f t="shared" si="155"/>
        <v>15555.555555555562</v>
      </c>
      <c r="AD778" s="137">
        <f t="shared" si="151"/>
        <v>205858.2437269621</v>
      </c>
      <c r="AE778" s="138">
        <v>0.35339999999999999</v>
      </c>
      <c r="AF778" s="137">
        <f t="shared" si="150"/>
        <v>72750.303333108401</v>
      </c>
      <c r="AG778" s="137">
        <v>74214</v>
      </c>
      <c r="AH778" s="154"/>
      <c r="AI778" s="154"/>
      <c r="AJ778" s="135" t="s">
        <v>53</v>
      </c>
      <c r="AM778" s="131" t="s">
        <v>208</v>
      </c>
    </row>
    <row r="779" spans="1:39" s="119" customFormat="1" ht="15" customHeight="1" x14ac:dyDescent="0.3">
      <c r="A779" s="119">
        <v>2017</v>
      </c>
      <c r="B779" s="119" t="s">
        <v>38</v>
      </c>
      <c r="C779" s="119" t="s">
        <v>59</v>
      </c>
      <c r="D779" s="119" t="s">
        <v>106</v>
      </c>
      <c r="F779" s="131" t="s">
        <v>860</v>
      </c>
      <c r="G779" s="119" t="s">
        <v>352</v>
      </c>
      <c r="H779" s="119" t="s">
        <v>352</v>
      </c>
      <c r="I779" s="163" t="s">
        <v>204</v>
      </c>
      <c r="J779" s="119" t="s">
        <v>575</v>
      </c>
      <c r="K779" s="119" t="s">
        <v>576</v>
      </c>
      <c r="L779" s="119" t="s">
        <v>352</v>
      </c>
      <c r="M779" s="119" t="s">
        <v>711</v>
      </c>
      <c r="N779" s="135">
        <v>0.08</v>
      </c>
      <c r="O779" s="135" t="s">
        <v>51</v>
      </c>
      <c r="P779" s="135"/>
      <c r="Q779" s="137">
        <v>0</v>
      </c>
      <c r="R779" s="137">
        <v>0</v>
      </c>
      <c r="S779" s="137"/>
      <c r="T779" s="137">
        <f t="shared" si="152"/>
        <v>0</v>
      </c>
      <c r="U779" s="137">
        <f t="shared" si="156"/>
        <v>0</v>
      </c>
      <c r="V779" s="137">
        <v>235000</v>
      </c>
      <c r="W779" s="137">
        <f t="shared" si="157"/>
        <v>-235000</v>
      </c>
      <c r="X779" s="137">
        <f t="shared" si="153"/>
        <v>-217592.59259259258</v>
      </c>
      <c r="Y779" s="137">
        <f t="shared" si="158"/>
        <v>-17407.407407407416</v>
      </c>
      <c r="Z779" s="137">
        <v>235000</v>
      </c>
      <c r="AA779" s="137">
        <f t="shared" si="154"/>
        <v>0</v>
      </c>
      <c r="AB779" s="146">
        <f>IF(O779="返货",Z779/(1+N779),IF(O779="返现",Z779,IF(O779="折扣",Z779*N779,IF(O779="无",Z779))))</f>
        <v>217592.59259259258</v>
      </c>
      <c r="AC779" s="147">
        <f t="shared" si="155"/>
        <v>17407.407407407416</v>
      </c>
      <c r="AD779" s="137">
        <f t="shared" si="151"/>
        <v>230365.17750398142</v>
      </c>
      <c r="AE779" s="138">
        <v>0.31559999999999999</v>
      </c>
      <c r="AF779" s="137">
        <f t="shared" si="150"/>
        <v>72703.250020256542</v>
      </c>
      <c r="AG779" s="137">
        <v>74166</v>
      </c>
      <c r="AH779" s="154"/>
      <c r="AI779" s="154"/>
      <c r="AJ779" s="135">
        <v>0.08</v>
      </c>
      <c r="AM779" s="131" t="s">
        <v>208</v>
      </c>
    </row>
    <row r="780" spans="1:39" s="119" customFormat="1" ht="15" customHeight="1" x14ac:dyDescent="0.3">
      <c r="A780" s="119">
        <v>2017</v>
      </c>
      <c r="C780" s="119" t="s">
        <v>75</v>
      </c>
      <c r="D780" s="119" t="s">
        <v>518</v>
      </c>
      <c r="F780" s="131" t="str">
        <f>L780</f>
        <v>商机在线（北京）网络技术有限公司</v>
      </c>
      <c r="G780" s="131"/>
      <c r="H780" s="131"/>
      <c r="I780" s="131" t="s">
        <v>204</v>
      </c>
      <c r="J780" s="119" t="s">
        <v>575</v>
      </c>
      <c r="K780" s="119" t="s">
        <v>576</v>
      </c>
      <c r="L780" s="119" t="s">
        <v>861</v>
      </c>
      <c r="M780" s="119" t="s">
        <v>46</v>
      </c>
      <c r="N780" s="135">
        <v>0</v>
      </c>
      <c r="O780" s="135" t="s">
        <v>47</v>
      </c>
      <c r="P780" s="135" t="s">
        <v>852</v>
      </c>
      <c r="Q780" s="137">
        <v>441.77</v>
      </c>
      <c r="R780" s="137">
        <v>0</v>
      </c>
      <c r="S780" s="137"/>
      <c r="T780" s="137">
        <f t="shared" si="152"/>
        <v>0</v>
      </c>
      <c r="U780" s="137">
        <f t="shared" si="156"/>
        <v>0</v>
      </c>
      <c r="V780" s="137">
        <v>0</v>
      </c>
      <c r="W780" s="137">
        <f t="shared" si="157"/>
        <v>0</v>
      </c>
      <c r="X780" s="137">
        <f t="shared" si="153"/>
        <v>0</v>
      </c>
      <c r="Y780" s="137">
        <f t="shared" si="158"/>
        <v>0</v>
      </c>
      <c r="Z780" s="137">
        <v>0</v>
      </c>
      <c r="AA780" s="137">
        <f t="shared" si="154"/>
        <v>441.77</v>
      </c>
      <c r="AB780" s="146">
        <v>0</v>
      </c>
      <c r="AC780" s="147">
        <f t="shared" si="155"/>
        <v>0</v>
      </c>
      <c r="AD780" s="137">
        <f t="shared" si="151"/>
        <v>0</v>
      </c>
      <c r="AE780" s="138">
        <v>0.1077</v>
      </c>
      <c r="AF780" s="137">
        <f t="shared" si="150"/>
        <v>0</v>
      </c>
      <c r="AG780" s="137">
        <v>0</v>
      </c>
      <c r="AH780" s="154"/>
      <c r="AI780" s="154"/>
      <c r="AJ780" s="135" t="e">
        <v>#N/A</v>
      </c>
      <c r="AM780" s="131" t="s">
        <v>208</v>
      </c>
    </row>
    <row r="781" spans="1:39" s="119" customFormat="1" ht="15" customHeight="1" x14ac:dyDescent="0.3">
      <c r="A781" s="119">
        <v>2017</v>
      </c>
      <c r="C781" s="119" t="s">
        <v>59</v>
      </c>
      <c r="D781" s="119" t="s">
        <v>718</v>
      </c>
      <c r="F781" s="131" t="str">
        <f>L781</f>
        <v>湖南极视互联科技有限公司</v>
      </c>
      <c r="G781" s="131"/>
      <c r="H781" s="131"/>
      <c r="I781" s="131" t="s">
        <v>204</v>
      </c>
      <c r="J781" s="119" t="s">
        <v>575</v>
      </c>
      <c r="K781" s="119" t="s">
        <v>576</v>
      </c>
      <c r="L781" s="119" t="s">
        <v>862</v>
      </c>
      <c r="M781" s="119" t="s">
        <v>46</v>
      </c>
      <c r="N781" s="135">
        <v>0</v>
      </c>
      <c r="O781" s="135" t="s">
        <v>47</v>
      </c>
      <c r="P781" s="135" t="s">
        <v>852</v>
      </c>
      <c r="Q781" s="137">
        <v>124</v>
      </c>
      <c r="R781" s="137">
        <v>0</v>
      </c>
      <c r="S781" s="137"/>
      <c r="T781" s="137">
        <f t="shared" si="152"/>
        <v>0</v>
      </c>
      <c r="U781" s="137">
        <f t="shared" si="156"/>
        <v>0</v>
      </c>
      <c r="V781" s="137">
        <v>0</v>
      </c>
      <c r="W781" s="137">
        <f t="shared" si="157"/>
        <v>0</v>
      </c>
      <c r="X781" s="137">
        <f t="shared" si="153"/>
        <v>0</v>
      </c>
      <c r="Y781" s="137">
        <f t="shared" si="158"/>
        <v>0</v>
      </c>
      <c r="Z781" s="137">
        <v>0</v>
      </c>
      <c r="AA781" s="137">
        <f t="shared" si="154"/>
        <v>124</v>
      </c>
      <c r="AB781" s="146">
        <v>0</v>
      </c>
      <c r="AC781" s="147">
        <f t="shared" si="155"/>
        <v>0</v>
      </c>
      <c r="AD781" s="137">
        <f t="shared" si="151"/>
        <v>0</v>
      </c>
      <c r="AE781" s="138">
        <v>0.1077</v>
      </c>
      <c r="AF781" s="137">
        <f t="shared" si="150"/>
        <v>0</v>
      </c>
      <c r="AG781" s="137">
        <v>0</v>
      </c>
      <c r="AH781" s="154"/>
      <c r="AI781" s="154"/>
      <c r="AJ781" s="135" t="e">
        <v>#N/A</v>
      </c>
      <c r="AM781" s="131" t="s">
        <v>208</v>
      </c>
    </row>
    <row r="782" spans="1:39" s="119" customFormat="1" ht="15" customHeight="1" x14ac:dyDescent="0.3">
      <c r="A782" s="119">
        <v>2017</v>
      </c>
      <c r="C782" s="119" t="s">
        <v>75</v>
      </c>
      <c r="F782" s="131" t="str">
        <f>L782</f>
        <v>上海腾牛电子商务有限公司</v>
      </c>
      <c r="G782" s="131"/>
      <c r="H782" s="131"/>
      <c r="I782" s="131" t="s">
        <v>204</v>
      </c>
      <c r="J782" s="119" t="s">
        <v>575</v>
      </c>
      <c r="K782" s="119" t="s">
        <v>576</v>
      </c>
      <c r="L782" s="119" t="s">
        <v>863</v>
      </c>
      <c r="M782" s="119" t="s">
        <v>46</v>
      </c>
      <c r="N782" s="135">
        <v>0</v>
      </c>
      <c r="O782" s="135" t="s">
        <v>47</v>
      </c>
      <c r="P782" s="135" t="s">
        <v>852</v>
      </c>
      <c r="Q782" s="137">
        <v>4.6100000000000003</v>
      </c>
      <c r="R782" s="137">
        <v>0</v>
      </c>
      <c r="S782" s="137"/>
      <c r="T782" s="137">
        <f t="shared" si="152"/>
        <v>0</v>
      </c>
      <c r="U782" s="137">
        <f t="shared" si="156"/>
        <v>0</v>
      </c>
      <c r="V782" s="137">
        <v>0</v>
      </c>
      <c r="W782" s="137">
        <f t="shared" si="157"/>
        <v>0</v>
      </c>
      <c r="X782" s="137">
        <f t="shared" si="153"/>
        <v>0</v>
      </c>
      <c r="Y782" s="137">
        <f t="shared" si="158"/>
        <v>0</v>
      </c>
      <c r="Z782" s="137">
        <v>0</v>
      </c>
      <c r="AA782" s="137">
        <f t="shared" si="154"/>
        <v>4.6100000000000003</v>
      </c>
      <c r="AB782" s="146">
        <v>0</v>
      </c>
      <c r="AC782" s="147">
        <f t="shared" si="155"/>
        <v>0</v>
      </c>
      <c r="AD782" s="137">
        <f t="shared" si="151"/>
        <v>0</v>
      </c>
      <c r="AE782" s="138">
        <v>0.1077</v>
      </c>
      <c r="AF782" s="137">
        <f t="shared" si="150"/>
        <v>0</v>
      </c>
      <c r="AG782" s="137">
        <v>0</v>
      </c>
      <c r="AH782" s="154"/>
      <c r="AI782" s="154"/>
      <c r="AJ782" s="135" t="e">
        <v>#N/A</v>
      </c>
      <c r="AM782" s="131" t="s">
        <v>208</v>
      </c>
    </row>
    <row r="783" spans="1:39" s="119" customFormat="1" ht="15" customHeight="1" x14ac:dyDescent="0.3">
      <c r="A783" s="119">
        <v>2017</v>
      </c>
      <c r="C783" s="119" t="s">
        <v>75</v>
      </c>
      <c r="D783" s="119" t="s">
        <v>518</v>
      </c>
      <c r="F783" s="131" t="s">
        <v>845</v>
      </c>
      <c r="G783" s="131"/>
      <c r="H783" s="131"/>
      <c r="I783" s="131" t="s">
        <v>204</v>
      </c>
      <c r="J783" s="119" t="s">
        <v>575</v>
      </c>
      <c r="K783" s="119" t="s">
        <v>576</v>
      </c>
      <c r="L783" s="119" t="s">
        <v>845</v>
      </c>
      <c r="M783" s="119" t="s">
        <v>185</v>
      </c>
      <c r="N783" s="135">
        <v>0</v>
      </c>
      <c r="O783" s="135" t="s">
        <v>47</v>
      </c>
      <c r="P783" s="135" t="s">
        <v>854</v>
      </c>
      <c r="Q783" s="137">
        <v>298993.20799999998</v>
      </c>
      <c r="R783" s="137">
        <v>0</v>
      </c>
      <c r="S783" s="137"/>
      <c r="T783" s="137">
        <f t="shared" si="152"/>
        <v>0</v>
      </c>
      <c r="U783" s="137">
        <f t="shared" si="156"/>
        <v>0</v>
      </c>
      <c r="V783" s="137">
        <v>0</v>
      </c>
      <c r="W783" s="137">
        <f t="shared" si="157"/>
        <v>0</v>
      </c>
      <c r="X783" s="137">
        <f t="shared" si="153"/>
        <v>0</v>
      </c>
      <c r="Y783" s="137">
        <f t="shared" si="158"/>
        <v>0</v>
      </c>
      <c r="Z783" s="137">
        <v>0</v>
      </c>
      <c r="AA783" s="137">
        <f t="shared" si="154"/>
        <v>298993.20799999998</v>
      </c>
      <c r="AB783" s="146">
        <v>0</v>
      </c>
      <c r="AC783" s="147">
        <f t="shared" si="155"/>
        <v>0</v>
      </c>
      <c r="AD783" s="137">
        <f t="shared" si="151"/>
        <v>0</v>
      </c>
      <c r="AE783" s="138">
        <v>0.31559999999999999</v>
      </c>
      <c r="AF783" s="137">
        <f t="shared" si="150"/>
        <v>0</v>
      </c>
      <c r="AG783" s="137">
        <v>0</v>
      </c>
      <c r="AH783" s="154"/>
      <c r="AI783" s="154"/>
      <c r="AJ783" s="135" t="e">
        <v>#N/A</v>
      </c>
      <c r="AL783" s="119" t="s">
        <v>846</v>
      </c>
      <c r="AM783" s="131" t="s">
        <v>208</v>
      </c>
    </row>
    <row r="784" spans="1:39" s="119" customFormat="1" ht="15" customHeight="1" x14ac:dyDescent="0.3">
      <c r="A784" s="119">
        <v>2017</v>
      </c>
      <c r="C784" s="119" t="s">
        <v>59</v>
      </c>
      <c r="D784" s="119" t="s">
        <v>718</v>
      </c>
      <c r="F784" s="131" t="s">
        <v>844</v>
      </c>
      <c r="G784" s="131"/>
      <c r="H784" s="131"/>
      <c r="I784" s="131" t="s">
        <v>204</v>
      </c>
      <c r="J784" s="119" t="s">
        <v>575</v>
      </c>
      <c r="K784" s="119" t="s">
        <v>576</v>
      </c>
      <c r="L784" s="119" t="s">
        <v>844</v>
      </c>
      <c r="M784" s="119" t="s">
        <v>185</v>
      </c>
      <c r="N784" s="135">
        <v>0</v>
      </c>
      <c r="O784" s="135" t="s">
        <v>47</v>
      </c>
      <c r="P784" s="135" t="s">
        <v>854</v>
      </c>
      <c r="Q784" s="137">
        <v>183851.12</v>
      </c>
      <c r="R784" s="137">
        <v>0</v>
      </c>
      <c r="S784" s="137"/>
      <c r="T784" s="137">
        <f t="shared" si="152"/>
        <v>0</v>
      </c>
      <c r="U784" s="137">
        <f t="shared" si="156"/>
        <v>0</v>
      </c>
      <c r="V784" s="137">
        <v>0</v>
      </c>
      <c r="W784" s="137">
        <f t="shared" si="157"/>
        <v>0</v>
      </c>
      <c r="X784" s="137">
        <f t="shared" si="153"/>
        <v>0</v>
      </c>
      <c r="Y784" s="137">
        <f t="shared" si="158"/>
        <v>0</v>
      </c>
      <c r="Z784" s="137">
        <v>0</v>
      </c>
      <c r="AA784" s="137">
        <f t="shared" si="154"/>
        <v>183851.12</v>
      </c>
      <c r="AB784" s="146">
        <v>0</v>
      </c>
      <c r="AC784" s="147">
        <f t="shared" si="155"/>
        <v>0</v>
      </c>
      <c r="AD784" s="137">
        <f t="shared" si="151"/>
        <v>0</v>
      </c>
      <c r="AE784" s="138">
        <v>0.31559999999999999</v>
      </c>
      <c r="AF784" s="137">
        <f t="shared" si="150"/>
        <v>0</v>
      </c>
      <c r="AG784" s="137">
        <v>0</v>
      </c>
      <c r="AH784" s="154"/>
      <c r="AI784" s="154"/>
      <c r="AJ784" s="135" t="e">
        <v>#N/A</v>
      </c>
      <c r="AM784" s="131" t="s">
        <v>208</v>
      </c>
    </row>
    <row r="785" spans="1:39" s="119" customFormat="1" ht="15" customHeight="1" x14ac:dyDescent="0.3">
      <c r="A785" s="119">
        <v>2017</v>
      </c>
      <c r="B785" s="119" t="s">
        <v>38</v>
      </c>
      <c r="C785" s="119" t="s">
        <v>75</v>
      </c>
      <c r="D785" s="119" t="s">
        <v>256</v>
      </c>
      <c r="F785" s="131" t="s">
        <v>690</v>
      </c>
      <c r="G785" s="131" t="s">
        <v>690</v>
      </c>
      <c r="H785" s="131" t="s">
        <v>690</v>
      </c>
      <c r="I785" s="131" t="s">
        <v>204</v>
      </c>
      <c r="J785" s="119" t="s">
        <v>575</v>
      </c>
      <c r="K785" s="119" t="s">
        <v>576</v>
      </c>
      <c r="L785" s="119" t="s">
        <v>690</v>
      </c>
      <c r="M785" s="119" t="s">
        <v>185</v>
      </c>
      <c r="N785" s="135">
        <v>0</v>
      </c>
      <c r="O785" s="135" t="s">
        <v>47</v>
      </c>
      <c r="P785" s="135"/>
      <c r="Q785" s="137">
        <v>9882.9699999999993</v>
      </c>
      <c r="R785" s="137">
        <v>0</v>
      </c>
      <c r="S785" s="137"/>
      <c r="T785" s="137">
        <f t="shared" si="152"/>
        <v>0</v>
      </c>
      <c r="U785" s="137">
        <f t="shared" si="156"/>
        <v>0</v>
      </c>
      <c r="V785" s="137">
        <v>0</v>
      </c>
      <c r="W785" s="137">
        <f t="shared" si="157"/>
        <v>0</v>
      </c>
      <c r="X785" s="137">
        <f t="shared" si="153"/>
        <v>0</v>
      </c>
      <c r="Y785" s="137">
        <f t="shared" si="158"/>
        <v>0</v>
      </c>
      <c r="Z785" s="137">
        <v>0</v>
      </c>
      <c r="AA785" s="137">
        <f t="shared" si="154"/>
        <v>9882.9699999999993</v>
      </c>
      <c r="AB785" s="146">
        <f>IF(O785="返货",(Z785-Q785)/(1+N785),IF(O785="返现",(Z785-Q785),IF(O785="折扣",(Z785-Q785)*N785,IF(O785="无",(Z785-Q785)))))</f>
        <v>-9882.9699999999993</v>
      </c>
      <c r="AC785" s="147">
        <f t="shared" si="155"/>
        <v>9882.9699999999993</v>
      </c>
      <c r="AD785" s="137">
        <f t="shared" si="151"/>
        <v>0</v>
      </c>
      <c r="AE785" s="138">
        <v>0.31559999999999999</v>
      </c>
      <c r="AF785" s="137">
        <f t="shared" si="150"/>
        <v>0</v>
      </c>
      <c r="AG785" s="137">
        <v>0</v>
      </c>
      <c r="AH785" s="154"/>
      <c r="AI785" s="154"/>
      <c r="AJ785" s="135" t="e">
        <v>#N/A</v>
      </c>
      <c r="AM785" s="131" t="s">
        <v>208</v>
      </c>
    </row>
    <row r="786" spans="1:39" s="119" customFormat="1" ht="15" customHeight="1" x14ac:dyDescent="0.3">
      <c r="A786" s="119">
        <v>2017</v>
      </c>
      <c r="C786" s="119" t="s">
        <v>75</v>
      </c>
      <c r="D786" s="119" t="s">
        <v>518</v>
      </c>
      <c r="F786" s="131" t="s">
        <v>848</v>
      </c>
      <c r="G786" s="131"/>
      <c r="H786" s="131"/>
      <c r="I786" s="131" t="s">
        <v>204</v>
      </c>
      <c r="J786" s="119" t="s">
        <v>575</v>
      </c>
      <c r="K786" s="119" t="s">
        <v>576</v>
      </c>
      <c r="L786" s="119" t="s">
        <v>848</v>
      </c>
      <c r="M786" s="119" t="s">
        <v>185</v>
      </c>
      <c r="N786" s="135">
        <v>0</v>
      </c>
      <c r="O786" s="135" t="s">
        <v>47</v>
      </c>
      <c r="P786" s="135" t="s">
        <v>852</v>
      </c>
      <c r="Q786" s="137">
        <v>9199.4</v>
      </c>
      <c r="R786" s="137">
        <v>0</v>
      </c>
      <c r="S786" s="137"/>
      <c r="T786" s="137">
        <f t="shared" si="152"/>
        <v>0</v>
      </c>
      <c r="U786" s="137">
        <f t="shared" si="156"/>
        <v>0</v>
      </c>
      <c r="V786" s="137">
        <v>0</v>
      </c>
      <c r="W786" s="137">
        <f t="shared" si="157"/>
        <v>0</v>
      </c>
      <c r="X786" s="137">
        <f t="shared" si="153"/>
        <v>0</v>
      </c>
      <c r="Y786" s="137">
        <f t="shared" si="158"/>
        <v>0</v>
      </c>
      <c r="Z786" s="137">
        <v>0</v>
      </c>
      <c r="AA786" s="137">
        <f t="shared" si="154"/>
        <v>9199.4</v>
      </c>
      <c r="AB786" s="146">
        <v>0</v>
      </c>
      <c r="AC786" s="147">
        <f t="shared" si="155"/>
        <v>0</v>
      </c>
      <c r="AD786" s="137">
        <f t="shared" si="151"/>
        <v>0</v>
      </c>
      <c r="AE786" s="138">
        <v>0.31559999999999999</v>
      </c>
      <c r="AF786" s="137">
        <f t="shared" si="150"/>
        <v>0</v>
      </c>
      <c r="AG786" s="137">
        <v>0</v>
      </c>
      <c r="AH786" s="154"/>
      <c r="AI786" s="154"/>
      <c r="AJ786" s="135" t="e">
        <v>#N/A</v>
      </c>
      <c r="AL786" s="119" t="s">
        <v>589</v>
      </c>
      <c r="AM786" s="131" t="s">
        <v>208</v>
      </c>
    </row>
    <row r="787" spans="1:39" s="119" customFormat="1" ht="15" customHeight="1" x14ac:dyDescent="0.3">
      <c r="A787" s="119">
        <v>2017</v>
      </c>
      <c r="C787" s="119" t="s">
        <v>75</v>
      </c>
      <c r="D787" s="119" t="s">
        <v>518</v>
      </c>
      <c r="F787" s="131" t="str">
        <f>L787</f>
        <v>商机在线（北京）网络技术有限公司</v>
      </c>
      <c r="G787" s="131"/>
      <c r="H787" s="131"/>
      <c r="I787" s="131" t="s">
        <v>204</v>
      </c>
      <c r="J787" s="119" t="s">
        <v>575</v>
      </c>
      <c r="K787" s="119" t="s">
        <v>576</v>
      </c>
      <c r="L787" s="119" t="s">
        <v>861</v>
      </c>
      <c r="M787" s="119" t="s">
        <v>185</v>
      </c>
      <c r="N787" s="135">
        <v>0</v>
      </c>
      <c r="O787" s="135" t="s">
        <v>47</v>
      </c>
      <c r="P787" s="135" t="s">
        <v>852</v>
      </c>
      <c r="Q787" s="137">
        <v>7573.24</v>
      </c>
      <c r="R787" s="137">
        <v>0</v>
      </c>
      <c r="S787" s="137"/>
      <c r="T787" s="137">
        <f t="shared" si="152"/>
        <v>0</v>
      </c>
      <c r="U787" s="137">
        <f t="shared" si="156"/>
        <v>0</v>
      </c>
      <c r="V787" s="137">
        <v>0</v>
      </c>
      <c r="W787" s="137">
        <f t="shared" si="157"/>
        <v>0</v>
      </c>
      <c r="X787" s="137">
        <f t="shared" si="153"/>
        <v>0</v>
      </c>
      <c r="Y787" s="137">
        <f t="shared" si="158"/>
        <v>0</v>
      </c>
      <c r="Z787" s="137">
        <v>0</v>
      </c>
      <c r="AA787" s="137">
        <f t="shared" si="154"/>
        <v>7573.24</v>
      </c>
      <c r="AB787" s="146">
        <v>0</v>
      </c>
      <c r="AC787" s="147">
        <f t="shared" si="155"/>
        <v>0</v>
      </c>
      <c r="AD787" s="137">
        <f t="shared" si="151"/>
        <v>0</v>
      </c>
      <c r="AE787" s="138">
        <v>0.31559999999999999</v>
      </c>
      <c r="AF787" s="137">
        <f t="shared" si="150"/>
        <v>0</v>
      </c>
      <c r="AG787" s="137">
        <v>0</v>
      </c>
      <c r="AH787" s="154"/>
      <c r="AI787" s="154"/>
      <c r="AJ787" s="135" t="e">
        <v>#N/A</v>
      </c>
      <c r="AM787" s="131" t="s">
        <v>208</v>
      </c>
    </row>
    <row r="788" spans="1:39" s="119" customFormat="1" ht="15" customHeight="1" x14ac:dyDescent="0.3">
      <c r="A788" s="119">
        <v>2017</v>
      </c>
      <c r="C788" s="119" t="s">
        <v>59</v>
      </c>
      <c r="F788" s="131" t="s">
        <v>864</v>
      </c>
      <c r="G788" s="131"/>
      <c r="H788" s="131"/>
      <c r="I788" s="131" t="s">
        <v>204</v>
      </c>
      <c r="J788" s="119" t="s">
        <v>575</v>
      </c>
      <c r="K788" s="119" t="s">
        <v>576</v>
      </c>
      <c r="L788" s="119" t="s">
        <v>864</v>
      </c>
      <c r="M788" s="119" t="s">
        <v>185</v>
      </c>
      <c r="N788" s="135">
        <v>0</v>
      </c>
      <c r="O788" s="135" t="s">
        <v>47</v>
      </c>
      <c r="P788" s="135" t="s">
        <v>852</v>
      </c>
      <c r="Q788" s="137">
        <v>4448.95</v>
      </c>
      <c r="R788" s="137">
        <v>0</v>
      </c>
      <c r="S788" s="137"/>
      <c r="T788" s="137">
        <f t="shared" si="152"/>
        <v>0</v>
      </c>
      <c r="U788" s="137">
        <f t="shared" si="156"/>
        <v>0</v>
      </c>
      <c r="V788" s="137">
        <v>0</v>
      </c>
      <c r="W788" s="137">
        <f t="shared" si="157"/>
        <v>0</v>
      </c>
      <c r="X788" s="137">
        <f t="shared" si="153"/>
        <v>0</v>
      </c>
      <c r="Y788" s="137">
        <f t="shared" si="158"/>
        <v>0</v>
      </c>
      <c r="Z788" s="137">
        <v>0</v>
      </c>
      <c r="AA788" s="137">
        <f t="shared" si="154"/>
        <v>4448.95</v>
      </c>
      <c r="AB788" s="146">
        <v>0</v>
      </c>
      <c r="AC788" s="147">
        <f t="shared" si="155"/>
        <v>0</v>
      </c>
      <c r="AD788" s="137">
        <f t="shared" si="151"/>
        <v>0</v>
      </c>
      <c r="AE788" s="138">
        <v>0.31559999999999999</v>
      </c>
      <c r="AF788" s="137">
        <f t="shared" si="150"/>
        <v>0</v>
      </c>
      <c r="AG788" s="137">
        <v>0</v>
      </c>
      <c r="AH788" s="154"/>
      <c r="AI788" s="154"/>
      <c r="AJ788" s="135" t="e">
        <v>#N/A</v>
      </c>
      <c r="AM788" s="131" t="s">
        <v>208</v>
      </c>
    </row>
    <row r="789" spans="1:39" s="119" customFormat="1" ht="15" customHeight="1" x14ac:dyDescent="0.3">
      <c r="A789" s="119">
        <v>2017</v>
      </c>
      <c r="B789" s="119" t="s">
        <v>38</v>
      </c>
      <c r="C789" s="119" t="s">
        <v>75</v>
      </c>
      <c r="D789" s="119" t="s">
        <v>256</v>
      </c>
      <c r="F789" s="131" t="s">
        <v>689</v>
      </c>
      <c r="G789" s="131" t="s">
        <v>689</v>
      </c>
      <c r="H789" s="131" t="s">
        <v>689</v>
      </c>
      <c r="I789" s="131" t="s">
        <v>204</v>
      </c>
      <c r="J789" s="119" t="s">
        <v>575</v>
      </c>
      <c r="K789" s="119" t="s">
        <v>576</v>
      </c>
      <c r="L789" s="119" t="s">
        <v>689</v>
      </c>
      <c r="M789" s="119" t="s">
        <v>185</v>
      </c>
      <c r="N789" s="135">
        <v>0</v>
      </c>
      <c r="O789" s="135" t="s">
        <v>47</v>
      </c>
      <c r="P789" s="135"/>
      <c r="Q789" s="137">
        <v>1598.41</v>
      </c>
      <c r="R789" s="137">
        <v>0</v>
      </c>
      <c r="S789" s="137"/>
      <c r="T789" s="137">
        <f t="shared" si="152"/>
        <v>0</v>
      </c>
      <c r="U789" s="137">
        <f t="shared" si="156"/>
        <v>0</v>
      </c>
      <c r="V789" s="137">
        <v>0</v>
      </c>
      <c r="W789" s="137">
        <f t="shared" si="157"/>
        <v>0</v>
      </c>
      <c r="X789" s="137">
        <f t="shared" si="153"/>
        <v>0</v>
      </c>
      <c r="Y789" s="137">
        <f t="shared" si="158"/>
        <v>0</v>
      </c>
      <c r="Z789" s="137">
        <v>0</v>
      </c>
      <c r="AA789" s="137">
        <f t="shared" si="154"/>
        <v>1598.41</v>
      </c>
      <c r="AB789" s="146">
        <f>IF(O789="返货",(Z789-Q789)/(1+N789),IF(O789="返现",(Z789-Q789),IF(O789="折扣",(Z789-Q789)*N789,IF(O789="无",(Z789-Q789)))))</f>
        <v>-1598.41</v>
      </c>
      <c r="AC789" s="147">
        <f t="shared" si="155"/>
        <v>1598.41</v>
      </c>
      <c r="AD789" s="137">
        <f t="shared" si="151"/>
        <v>0</v>
      </c>
      <c r="AE789" s="138">
        <v>0.31559999999999999</v>
      </c>
      <c r="AF789" s="137">
        <f t="shared" si="150"/>
        <v>0</v>
      </c>
      <c r="AG789" s="137">
        <v>0</v>
      </c>
      <c r="AH789" s="154"/>
      <c r="AI789" s="154"/>
      <c r="AJ789" s="135" t="e">
        <v>#N/A</v>
      </c>
      <c r="AM789" s="131" t="s">
        <v>208</v>
      </c>
    </row>
    <row r="790" spans="1:39" s="119" customFormat="1" ht="15" customHeight="1" x14ac:dyDescent="0.3">
      <c r="A790" s="119">
        <v>2017</v>
      </c>
      <c r="C790" s="119" t="s">
        <v>75</v>
      </c>
      <c r="D790" s="119" t="s">
        <v>518</v>
      </c>
      <c r="F790" s="131" t="str">
        <f>L790</f>
        <v>北京中新互动文化传媒有限公司</v>
      </c>
      <c r="G790" s="131"/>
      <c r="H790" s="131"/>
      <c r="I790" s="131" t="s">
        <v>204</v>
      </c>
      <c r="J790" s="119" t="s">
        <v>575</v>
      </c>
      <c r="K790" s="119" t="s">
        <v>576</v>
      </c>
      <c r="L790" s="119" t="s">
        <v>847</v>
      </c>
      <c r="M790" s="119" t="s">
        <v>185</v>
      </c>
      <c r="N790" s="135">
        <v>0</v>
      </c>
      <c r="O790" s="135" t="s">
        <v>47</v>
      </c>
      <c r="P790" s="135" t="s">
        <v>852</v>
      </c>
      <c r="Q790" s="137">
        <v>500</v>
      </c>
      <c r="R790" s="137">
        <v>0</v>
      </c>
      <c r="S790" s="137"/>
      <c r="T790" s="137">
        <f t="shared" si="152"/>
        <v>0</v>
      </c>
      <c r="U790" s="137">
        <f t="shared" si="156"/>
        <v>0</v>
      </c>
      <c r="V790" s="137">
        <v>0</v>
      </c>
      <c r="W790" s="137">
        <f t="shared" si="157"/>
        <v>0</v>
      </c>
      <c r="X790" s="137">
        <f t="shared" si="153"/>
        <v>0</v>
      </c>
      <c r="Y790" s="137">
        <f t="shared" si="158"/>
        <v>0</v>
      </c>
      <c r="Z790" s="137">
        <v>0</v>
      </c>
      <c r="AA790" s="137">
        <f t="shared" si="154"/>
        <v>500</v>
      </c>
      <c r="AB790" s="146">
        <v>0</v>
      </c>
      <c r="AC790" s="147">
        <f t="shared" si="155"/>
        <v>0</v>
      </c>
      <c r="AD790" s="137">
        <f t="shared" si="151"/>
        <v>0</v>
      </c>
      <c r="AE790" s="138">
        <v>0.31559999999999999</v>
      </c>
      <c r="AF790" s="137">
        <f t="shared" si="150"/>
        <v>0</v>
      </c>
      <c r="AG790" s="137">
        <v>0</v>
      </c>
      <c r="AH790" s="154"/>
      <c r="AI790" s="154"/>
      <c r="AJ790" s="135" t="e">
        <v>#N/A</v>
      </c>
      <c r="AL790" s="119" t="s">
        <v>589</v>
      </c>
      <c r="AM790" s="131" t="s">
        <v>208</v>
      </c>
    </row>
    <row r="791" spans="1:39" s="119" customFormat="1" ht="15" customHeight="1" x14ac:dyDescent="0.3">
      <c r="A791" s="119">
        <v>2017</v>
      </c>
      <c r="B791" s="119" t="s">
        <v>199</v>
      </c>
      <c r="C791" s="119" t="s">
        <v>88</v>
      </c>
      <c r="D791" s="119" t="s">
        <v>128</v>
      </c>
      <c r="F791" s="131" t="s">
        <v>616</v>
      </c>
      <c r="G791" s="131" t="s">
        <v>617</v>
      </c>
      <c r="H791" s="131" t="s">
        <v>617</v>
      </c>
      <c r="I791" s="131" t="s">
        <v>204</v>
      </c>
      <c r="J791" s="119" t="s">
        <v>205</v>
      </c>
      <c r="K791" s="119" t="s">
        <v>206</v>
      </c>
      <c r="L791" s="119" t="s">
        <v>616</v>
      </c>
      <c r="M791" s="119" t="s">
        <v>46</v>
      </c>
      <c r="N791" s="136">
        <v>0.02</v>
      </c>
      <c r="O791" s="135" t="s">
        <v>51</v>
      </c>
      <c r="P791" s="135"/>
      <c r="Q791" s="137">
        <v>0</v>
      </c>
      <c r="R791" s="137">
        <v>0</v>
      </c>
      <c r="S791" s="137"/>
      <c r="T791" s="137">
        <f t="shared" si="152"/>
        <v>0</v>
      </c>
      <c r="U791" s="137">
        <f t="shared" si="156"/>
        <v>0</v>
      </c>
      <c r="V791" s="137">
        <v>0</v>
      </c>
      <c r="W791" s="137">
        <f t="shared" si="157"/>
        <v>0</v>
      </c>
      <c r="X791" s="137">
        <f t="shared" si="153"/>
        <v>0</v>
      </c>
      <c r="Y791" s="137">
        <f t="shared" si="158"/>
        <v>0</v>
      </c>
      <c r="Z791" s="137">
        <v>0</v>
      </c>
      <c r="AA791" s="137">
        <f t="shared" si="154"/>
        <v>0</v>
      </c>
      <c r="AB791" s="146">
        <f>IF(O791="返货",Z791/(1+N791),IF(O791="返现",Z791,IF(O791="折扣",Z791*N791,IF(O791="无",Z791))))</f>
        <v>0</v>
      </c>
      <c r="AC791" s="147">
        <f t="shared" si="155"/>
        <v>0</v>
      </c>
      <c r="AD791" s="137">
        <v>0</v>
      </c>
      <c r="AE791" s="138">
        <v>7.0000000000000007E-2</v>
      </c>
      <c r="AF791" s="137">
        <f t="shared" si="150"/>
        <v>0</v>
      </c>
      <c r="AG791" s="137">
        <v>0</v>
      </c>
      <c r="AH791" s="154"/>
      <c r="AI791" s="154"/>
      <c r="AJ791" s="136">
        <v>0.02</v>
      </c>
      <c r="AM791" s="131" t="s">
        <v>208</v>
      </c>
    </row>
    <row r="792" spans="1:39" s="119" customFormat="1" ht="15" customHeight="1" x14ac:dyDescent="0.3">
      <c r="A792" s="119">
        <v>2017</v>
      </c>
      <c r="B792" s="119" t="s">
        <v>38</v>
      </c>
      <c r="C792" s="119" t="s">
        <v>59</v>
      </c>
      <c r="D792" s="119" t="s">
        <v>718</v>
      </c>
      <c r="F792" s="131" t="s">
        <v>338</v>
      </c>
      <c r="G792" s="131" t="s">
        <v>339</v>
      </c>
      <c r="H792" s="131" t="s">
        <v>339</v>
      </c>
      <c r="I792" s="131" t="s">
        <v>204</v>
      </c>
      <c r="J792" s="119" t="s">
        <v>205</v>
      </c>
      <c r="K792" s="119" t="s">
        <v>206</v>
      </c>
      <c r="L792" s="119" t="s">
        <v>338</v>
      </c>
      <c r="M792" s="119" t="s">
        <v>46</v>
      </c>
      <c r="N792" s="135">
        <v>0</v>
      </c>
      <c r="O792" s="135" t="s">
        <v>47</v>
      </c>
      <c r="P792" s="135"/>
      <c r="Q792" s="137">
        <v>0</v>
      </c>
      <c r="R792" s="137">
        <v>0</v>
      </c>
      <c r="S792" s="137"/>
      <c r="T792" s="137">
        <f t="shared" si="152"/>
        <v>0</v>
      </c>
      <c r="U792" s="137">
        <f t="shared" si="156"/>
        <v>0</v>
      </c>
      <c r="V792" s="137">
        <v>30000</v>
      </c>
      <c r="W792" s="137">
        <f t="shared" si="157"/>
        <v>-30000</v>
      </c>
      <c r="X792" s="137">
        <f t="shared" si="153"/>
        <v>-30000</v>
      </c>
      <c r="Y792" s="137">
        <f t="shared" si="158"/>
        <v>0</v>
      </c>
      <c r="Z792" s="137">
        <v>5165.5</v>
      </c>
      <c r="AA792" s="137">
        <f t="shared" si="154"/>
        <v>24834.5</v>
      </c>
      <c r="AB792" s="146">
        <f>IF(O792="返货",Z792/(1+N792),IF(O792="返现",Z792,IF(O792="折扣",Z792*N792,IF(O792="无",Z792))))</f>
        <v>5165.5</v>
      </c>
      <c r="AC792" s="147">
        <f t="shared" si="155"/>
        <v>0</v>
      </c>
      <c r="AD792" s="137">
        <v>5165.5</v>
      </c>
      <c r="AE792" s="138">
        <v>7.0000000000000007E-2</v>
      </c>
      <c r="AF792" s="137">
        <f t="shared" si="150"/>
        <v>361.58500000000004</v>
      </c>
      <c r="AG792" s="137">
        <v>361.58499999999998</v>
      </c>
      <c r="AH792" s="154"/>
      <c r="AI792" s="154"/>
      <c r="AJ792" s="135" t="s">
        <v>47</v>
      </c>
      <c r="AM792" s="131" t="s">
        <v>208</v>
      </c>
    </row>
    <row r="793" spans="1:39" s="120" customFormat="1" ht="15" customHeight="1" x14ac:dyDescent="0.3">
      <c r="A793" s="119">
        <v>2017</v>
      </c>
      <c r="B793" s="119" t="s">
        <v>38</v>
      </c>
      <c r="C793" s="119" t="s">
        <v>75</v>
      </c>
      <c r="D793" s="119" t="s">
        <v>76</v>
      </c>
      <c r="E793" s="119" t="s">
        <v>77</v>
      </c>
      <c r="F793" s="119" t="s">
        <v>303</v>
      </c>
      <c r="G793" s="119" t="s">
        <v>303</v>
      </c>
      <c r="H793" s="119" t="s">
        <v>303</v>
      </c>
      <c r="I793" s="119" t="s">
        <v>170</v>
      </c>
      <c r="J793" s="119" t="s">
        <v>865</v>
      </c>
      <c r="K793" s="119" t="s">
        <v>866</v>
      </c>
      <c r="L793" s="119" t="s">
        <v>303</v>
      </c>
      <c r="M793" s="119" t="s">
        <v>46</v>
      </c>
      <c r="N793" s="136">
        <v>0.02</v>
      </c>
      <c r="O793" s="135" t="s">
        <v>51</v>
      </c>
      <c r="P793" s="135"/>
      <c r="Q793" s="137">
        <v>0</v>
      </c>
      <c r="R793" s="137">
        <v>0</v>
      </c>
      <c r="S793" s="137">
        <v>800000</v>
      </c>
      <c r="T793" s="137">
        <f t="shared" si="152"/>
        <v>16000</v>
      </c>
      <c r="U793" s="137">
        <f t="shared" si="156"/>
        <v>816000</v>
      </c>
      <c r="V793" s="137">
        <v>620106.07799999998</v>
      </c>
      <c r="W793" s="137">
        <f t="shared" si="157"/>
        <v>195893.92200000002</v>
      </c>
      <c r="X793" s="137">
        <f t="shared" si="153"/>
        <v>192052.86470588236</v>
      </c>
      <c r="Y793" s="137">
        <f t="shared" si="158"/>
        <v>3841.0572941176652</v>
      </c>
      <c r="Z793" s="137">
        <v>0</v>
      </c>
      <c r="AA793" s="137">
        <f t="shared" si="154"/>
        <v>620106.07799999998</v>
      </c>
      <c r="AB793" s="146">
        <f>IF(O793="返货",Z793/(1+N793),IF(O793="返现",Z793,IF(O793="折扣",Z793*N793,IF(O793="无",Z793))))</f>
        <v>0</v>
      </c>
      <c r="AC793" s="147">
        <f t="shared" si="155"/>
        <v>0</v>
      </c>
      <c r="AD793" s="137">
        <f>Z793*0.972201473425119-Q793</f>
        <v>0</v>
      </c>
      <c r="AE793" s="138">
        <v>0.1</v>
      </c>
      <c r="AF793" s="137">
        <f t="shared" si="150"/>
        <v>0</v>
      </c>
      <c r="AG793" s="137">
        <v>0</v>
      </c>
      <c r="AH793" s="154"/>
      <c r="AI793" s="154"/>
      <c r="AJ793" s="136">
        <v>0.02</v>
      </c>
      <c r="AK793" s="156">
        <v>0.02</v>
      </c>
      <c r="AL793" s="119"/>
      <c r="AM793" s="119"/>
    </row>
    <row r="794" spans="1:39" s="120" customFormat="1" ht="15" customHeight="1" x14ac:dyDescent="0.3">
      <c r="A794" s="119">
        <v>2017</v>
      </c>
      <c r="B794" s="119" t="s">
        <v>252</v>
      </c>
      <c r="C794" s="119" t="s">
        <v>75</v>
      </c>
      <c r="D794" s="119" t="s">
        <v>76</v>
      </c>
      <c r="E794" s="119" t="s">
        <v>77</v>
      </c>
      <c r="F794" s="119" t="s">
        <v>303</v>
      </c>
      <c r="G794" s="119" t="s">
        <v>867</v>
      </c>
      <c r="H794" s="119" t="s">
        <v>868</v>
      </c>
      <c r="I794" s="119" t="s">
        <v>170</v>
      </c>
      <c r="J794" s="119" t="s">
        <v>865</v>
      </c>
      <c r="K794" s="119" t="s">
        <v>866</v>
      </c>
      <c r="L794" s="119" t="s">
        <v>303</v>
      </c>
      <c r="M794" s="119" t="s">
        <v>46</v>
      </c>
      <c r="N794" s="136">
        <v>0.02</v>
      </c>
      <c r="O794" s="135" t="s">
        <v>51</v>
      </c>
      <c r="P794" s="135" t="s">
        <v>15</v>
      </c>
      <c r="Q794" s="137">
        <v>0</v>
      </c>
      <c r="R794" s="137">
        <v>0</v>
      </c>
      <c r="S794" s="137">
        <v>200000</v>
      </c>
      <c r="T794" s="137">
        <f t="shared" si="152"/>
        <v>4000</v>
      </c>
      <c r="U794" s="137">
        <f t="shared" si="156"/>
        <v>204000</v>
      </c>
      <c r="V794" s="137">
        <v>200000</v>
      </c>
      <c r="W794" s="137">
        <f t="shared" si="157"/>
        <v>4000</v>
      </c>
      <c r="X794" s="137">
        <f t="shared" si="153"/>
        <v>3921.5686274509803</v>
      </c>
      <c r="Y794" s="137">
        <f t="shared" si="158"/>
        <v>78.43137254901967</v>
      </c>
      <c r="Z794" s="137">
        <v>719897.4</v>
      </c>
      <c r="AA794" s="137">
        <f t="shared" si="154"/>
        <v>-519897.4</v>
      </c>
      <c r="AB794" s="146">
        <f>IF(O794="返货",(Z794-7715.4)/(1+N794),IF(O794="返现",Z794,IF(O794="折扣",Z794*N794,IF(O794="无",Z794))))</f>
        <v>698217.6470588235</v>
      </c>
      <c r="AC794" s="147">
        <f t="shared" si="155"/>
        <v>21679.752941176528</v>
      </c>
      <c r="AD794" s="137">
        <f>Z794*0.972201473425119-Q794</f>
        <v>699885.31299491227</v>
      </c>
      <c r="AE794" s="138">
        <v>0.1</v>
      </c>
      <c r="AF794" s="137">
        <f t="shared" si="150"/>
        <v>69988.531299491224</v>
      </c>
      <c r="AG794" s="137">
        <v>111649.897647059</v>
      </c>
      <c r="AH794" s="154"/>
      <c r="AI794" s="154"/>
      <c r="AJ794" s="135" t="s">
        <v>173</v>
      </c>
      <c r="AK794" s="119" t="s">
        <v>173</v>
      </c>
      <c r="AL794" s="119"/>
      <c r="AM794" s="119" t="s">
        <v>174</v>
      </c>
    </row>
    <row r="795" spans="1:39" s="119" customFormat="1" ht="15" customHeight="1" x14ac:dyDescent="0.3">
      <c r="A795" s="119">
        <v>2017</v>
      </c>
      <c r="B795" s="119" t="s">
        <v>38</v>
      </c>
      <c r="C795" s="119" t="s">
        <v>54</v>
      </c>
      <c r="D795" s="119" t="s">
        <v>396</v>
      </c>
      <c r="E795" s="119" t="s">
        <v>64</v>
      </c>
      <c r="F795" s="119" t="s">
        <v>397</v>
      </c>
      <c r="G795" s="119" t="s">
        <v>397</v>
      </c>
      <c r="H795" s="119" t="s">
        <v>397</v>
      </c>
      <c r="I795" s="119" t="s">
        <v>170</v>
      </c>
      <c r="J795" s="119" t="s">
        <v>171</v>
      </c>
      <c r="K795" s="119" t="s">
        <v>172</v>
      </c>
      <c r="L795" s="119" t="s">
        <v>398</v>
      </c>
      <c r="M795" s="119" t="s">
        <v>46</v>
      </c>
      <c r="N795" s="136">
        <v>0.03</v>
      </c>
      <c r="O795" s="135" t="s">
        <v>51</v>
      </c>
      <c r="P795" s="135"/>
      <c r="Q795" s="137">
        <v>12038696.800000001</v>
      </c>
      <c r="R795" s="137">
        <v>0</v>
      </c>
      <c r="S795" s="137">
        <v>28420000</v>
      </c>
      <c r="T795" s="137">
        <f t="shared" si="152"/>
        <v>852600</v>
      </c>
      <c r="U795" s="137">
        <f t="shared" si="156"/>
        <v>29272600</v>
      </c>
      <c r="V795" s="137">
        <v>29247100</v>
      </c>
      <c r="W795" s="137">
        <f t="shared" si="157"/>
        <v>25500</v>
      </c>
      <c r="X795" s="137">
        <f t="shared" si="153"/>
        <v>24757.281553398057</v>
      </c>
      <c r="Y795" s="137">
        <f t="shared" si="158"/>
        <v>742.71844660194256</v>
      </c>
      <c r="Z795" s="137">
        <v>40989974.399999999</v>
      </c>
      <c r="AA795" s="137">
        <f t="shared" si="154"/>
        <v>295822.39999999851</v>
      </c>
      <c r="AB795" s="146">
        <f>IF(O795="返货",(Z795-Q795)/(1+N795),IF(O795="返现",(Z795-Q795),IF(O795="折扣",(Z795-Q795)*N795,IF(O795="无",(Z795-Q795)))))</f>
        <v>28108036.504854366</v>
      </c>
      <c r="AC795" s="147">
        <f t="shared" si="155"/>
        <v>12881937.895145632</v>
      </c>
      <c r="AD795" s="137">
        <f>(Z795-Q795)*0.89807640489087</f>
        <v>26000459.304005574</v>
      </c>
      <c r="AE795" s="138">
        <v>0.11269173273981201</v>
      </c>
      <c r="AF795" s="137">
        <f t="shared" si="150"/>
        <v>2930036.8109993548</v>
      </c>
      <c r="AG795" s="137">
        <v>1750772.6756693299</v>
      </c>
      <c r="AH795" s="154"/>
      <c r="AI795" s="154"/>
      <c r="AJ795" s="135" t="s">
        <v>189</v>
      </c>
      <c r="AK795" s="119" t="s">
        <v>189</v>
      </c>
      <c r="AL795" s="119" t="s">
        <v>869</v>
      </c>
      <c r="AM795" s="119" t="s">
        <v>174</v>
      </c>
    </row>
    <row r="796" spans="1:39" s="119" customFormat="1" ht="15" customHeight="1" x14ac:dyDescent="0.3">
      <c r="A796" s="119">
        <v>2017</v>
      </c>
      <c r="B796" s="119" t="s">
        <v>38</v>
      </c>
      <c r="C796" s="119" t="s">
        <v>75</v>
      </c>
      <c r="D796" s="119" t="s">
        <v>76</v>
      </c>
      <c r="F796" s="131" t="s">
        <v>303</v>
      </c>
      <c r="G796" s="119" t="s">
        <v>303</v>
      </c>
      <c r="H796" s="119" t="s">
        <v>303</v>
      </c>
      <c r="I796" s="163" t="s">
        <v>204</v>
      </c>
      <c r="J796" s="119" t="s">
        <v>603</v>
      </c>
      <c r="K796" s="119" t="s">
        <v>618</v>
      </c>
      <c r="L796" s="119" t="s">
        <v>303</v>
      </c>
      <c r="M796" s="119" t="s">
        <v>46</v>
      </c>
      <c r="N796" s="136">
        <v>0.02</v>
      </c>
      <c r="O796" s="135" t="s">
        <v>51</v>
      </c>
      <c r="P796" s="135"/>
      <c r="Q796" s="137">
        <v>0</v>
      </c>
      <c r="R796" s="137">
        <v>0</v>
      </c>
      <c r="S796" s="137"/>
      <c r="T796" s="137">
        <f t="shared" si="152"/>
        <v>0</v>
      </c>
      <c r="U796" s="137">
        <f t="shared" si="156"/>
        <v>0</v>
      </c>
      <c r="V796" s="137">
        <v>50000</v>
      </c>
      <c r="W796" s="137">
        <f t="shared" si="157"/>
        <v>-50000</v>
      </c>
      <c r="X796" s="137">
        <f t="shared" si="153"/>
        <v>-49019.607843137252</v>
      </c>
      <c r="Y796" s="137">
        <f t="shared" si="158"/>
        <v>-980.39215686274838</v>
      </c>
      <c r="Z796" s="137">
        <v>56633.06</v>
      </c>
      <c r="AA796" s="137">
        <f t="shared" si="154"/>
        <v>-6633.0599999999977</v>
      </c>
      <c r="AB796" s="146">
        <f>IF(O796="返货",Z796/(1+N796),IF(O796="返现",Z796,IF(O796="折扣",Z796*N796,IF(O796="无",Z796))))</f>
        <v>55522.607843137252</v>
      </c>
      <c r="AC796" s="147">
        <f t="shared" si="155"/>
        <v>1110.4521568627461</v>
      </c>
      <c r="AD796" s="137">
        <v>56633.06</v>
      </c>
      <c r="AE796" s="138">
        <v>7.0000000000000007E-2</v>
      </c>
      <c r="AF796" s="137">
        <f t="shared" si="150"/>
        <v>3964.3142000000003</v>
      </c>
      <c r="AG796" s="137">
        <v>3964.3141999999998</v>
      </c>
      <c r="AH796" s="154"/>
      <c r="AI796" s="154"/>
      <c r="AJ796" s="136">
        <v>0.02</v>
      </c>
      <c r="AM796" s="131" t="s">
        <v>208</v>
      </c>
    </row>
    <row r="797" spans="1:39" s="119" customFormat="1" ht="15" customHeight="1" x14ac:dyDescent="0.3">
      <c r="A797" s="119">
        <v>2017</v>
      </c>
      <c r="B797" s="119" t="s">
        <v>38</v>
      </c>
      <c r="C797" s="119" t="s">
        <v>59</v>
      </c>
      <c r="D797" s="119" t="s">
        <v>718</v>
      </c>
      <c r="F797" s="131" t="s">
        <v>338</v>
      </c>
      <c r="G797" s="131" t="s">
        <v>339</v>
      </c>
      <c r="H797" s="131" t="s">
        <v>339</v>
      </c>
      <c r="I797" s="131" t="s">
        <v>204</v>
      </c>
      <c r="J797" s="119" t="s">
        <v>603</v>
      </c>
      <c r="K797" s="119" t="s">
        <v>618</v>
      </c>
      <c r="L797" s="119" t="s">
        <v>338</v>
      </c>
      <c r="M797" s="119" t="s">
        <v>185</v>
      </c>
      <c r="N797" s="135">
        <v>0</v>
      </c>
      <c r="O797" s="135" t="s">
        <v>47</v>
      </c>
      <c r="P797" s="135"/>
      <c r="Q797" s="137">
        <v>0</v>
      </c>
      <c r="R797" s="137">
        <v>0</v>
      </c>
      <c r="S797" s="137"/>
      <c r="T797" s="137">
        <f t="shared" si="152"/>
        <v>0</v>
      </c>
      <c r="U797" s="137">
        <f t="shared" si="156"/>
        <v>0</v>
      </c>
      <c r="V797" s="137">
        <v>0</v>
      </c>
      <c r="W797" s="137">
        <f t="shared" si="157"/>
        <v>0</v>
      </c>
      <c r="X797" s="137">
        <f t="shared" si="153"/>
        <v>0</v>
      </c>
      <c r="Y797" s="137">
        <f t="shared" si="158"/>
        <v>0</v>
      </c>
      <c r="Z797" s="137">
        <v>8501.65</v>
      </c>
      <c r="AA797" s="137">
        <f t="shared" si="154"/>
        <v>-8501.65</v>
      </c>
      <c r="AB797" s="146">
        <f>IF(O797="返货",Z797/(1+N797),IF(O797="返现",Z797,IF(O797="折扣",Z797*N797,IF(O797="无",Z797))))</f>
        <v>8501.65</v>
      </c>
      <c r="AC797" s="147">
        <f t="shared" si="155"/>
        <v>0</v>
      </c>
      <c r="AD797" s="137">
        <v>8501.65</v>
      </c>
      <c r="AE797" s="138">
        <v>0.2</v>
      </c>
      <c r="AF797" s="137">
        <f t="shared" si="150"/>
        <v>1700.33</v>
      </c>
      <c r="AG797" s="137">
        <v>1700.33</v>
      </c>
      <c r="AH797" s="154"/>
      <c r="AI797" s="154"/>
      <c r="AJ797" s="136">
        <v>0</v>
      </c>
      <c r="AM797" s="131" t="s">
        <v>208</v>
      </c>
    </row>
    <row r="798" spans="1:39" s="119" customFormat="1" ht="15" customHeight="1" x14ac:dyDescent="0.3">
      <c r="A798" s="119">
        <v>2017</v>
      </c>
      <c r="B798" s="119" t="s">
        <v>199</v>
      </c>
      <c r="C798" s="119" t="s">
        <v>200</v>
      </c>
      <c r="D798" s="119" t="s">
        <v>201</v>
      </c>
      <c r="F798" s="131" t="s">
        <v>202</v>
      </c>
      <c r="G798" s="131" t="s">
        <v>203</v>
      </c>
      <c r="H798" s="131" t="s">
        <v>203</v>
      </c>
      <c r="I798" s="131" t="s">
        <v>204</v>
      </c>
      <c r="J798" s="119" t="s">
        <v>603</v>
      </c>
      <c r="K798" s="119" t="s">
        <v>618</v>
      </c>
      <c r="L798" s="119" t="s">
        <v>207</v>
      </c>
      <c r="M798" s="119" t="s">
        <v>185</v>
      </c>
      <c r="N798" s="136">
        <v>0.03</v>
      </c>
      <c r="O798" s="138" t="s">
        <v>51</v>
      </c>
      <c r="P798" s="138"/>
      <c r="Q798" s="137">
        <v>0</v>
      </c>
      <c r="R798" s="137">
        <v>0</v>
      </c>
      <c r="S798" s="137"/>
      <c r="T798" s="137">
        <f t="shared" si="152"/>
        <v>0</v>
      </c>
      <c r="U798" s="137">
        <f t="shared" si="156"/>
        <v>0</v>
      </c>
      <c r="V798" s="137">
        <v>0</v>
      </c>
      <c r="W798" s="137">
        <f t="shared" si="157"/>
        <v>0</v>
      </c>
      <c r="X798" s="137">
        <f t="shared" si="153"/>
        <v>0</v>
      </c>
      <c r="Y798" s="137">
        <f t="shared" si="158"/>
        <v>0</v>
      </c>
      <c r="Z798" s="137">
        <v>369969.75</v>
      </c>
      <c r="AA798" s="137">
        <f t="shared" si="154"/>
        <v>-369969.75</v>
      </c>
      <c r="AB798" s="146">
        <f>IF(O798="返货",Z798/(1+N798),IF(O798="返现",Z798,IF(O798="折扣",Z798*N798,IF(O798="无",Z798))))</f>
        <v>359193.93203883496</v>
      </c>
      <c r="AC798" s="147">
        <f t="shared" si="155"/>
        <v>10775.817961165041</v>
      </c>
      <c r="AD798" s="137">
        <v>369969.75</v>
      </c>
      <c r="AE798" s="138">
        <v>0.2</v>
      </c>
      <c r="AF798" s="137">
        <f t="shared" si="150"/>
        <v>73993.95</v>
      </c>
      <c r="AG798" s="137">
        <v>73993.95</v>
      </c>
      <c r="AH798" s="154"/>
      <c r="AI798" s="154"/>
      <c r="AJ798" s="136">
        <v>0.03</v>
      </c>
      <c r="AM798" s="131" t="s">
        <v>208</v>
      </c>
    </row>
    <row r="799" spans="1:39" s="119" customFormat="1" ht="15" customHeight="1" x14ac:dyDescent="0.3">
      <c r="A799" s="119">
        <v>2017</v>
      </c>
      <c r="B799" s="119" t="s">
        <v>199</v>
      </c>
      <c r="C799" s="119" t="s">
        <v>59</v>
      </c>
      <c r="D799" s="119" t="s">
        <v>870</v>
      </c>
      <c r="F799" s="131" t="s">
        <v>728</v>
      </c>
      <c r="G799" s="131" t="s">
        <v>729</v>
      </c>
      <c r="H799" s="131" t="s">
        <v>729</v>
      </c>
      <c r="I799" s="131" t="s">
        <v>204</v>
      </c>
      <c r="J799" s="119" t="s">
        <v>624</v>
      </c>
      <c r="K799" s="119" t="s">
        <v>625</v>
      </c>
      <c r="L799" s="119" t="s">
        <v>730</v>
      </c>
      <c r="M799" s="119" t="s">
        <v>46</v>
      </c>
      <c r="N799" s="135">
        <v>0</v>
      </c>
      <c r="O799" s="135" t="s">
        <v>47</v>
      </c>
      <c r="P799" s="135"/>
      <c r="Q799" s="137">
        <v>0</v>
      </c>
      <c r="R799" s="137">
        <v>0</v>
      </c>
      <c r="S799" s="137"/>
      <c r="T799" s="137">
        <f t="shared" si="152"/>
        <v>0</v>
      </c>
      <c r="U799" s="137">
        <f t="shared" si="156"/>
        <v>0</v>
      </c>
      <c r="V799" s="137">
        <v>20000</v>
      </c>
      <c r="W799" s="137">
        <f t="shared" si="157"/>
        <v>-20000</v>
      </c>
      <c r="X799" s="137">
        <f t="shared" si="153"/>
        <v>-20000</v>
      </c>
      <c r="Y799" s="137">
        <f t="shared" si="158"/>
        <v>0</v>
      </c>
      <c r="Z799" s="137">
        <v>38</v>
      </c>
      <c r="AA799" s="137">
        <f t="shared" si="154"/>
        <v>19962</v>
      </c>
      <c r="AB799" s="146">
        <f>IF(O799="返货",Z799/(1+N799),IF(O799="返现",Z799,IF(O799="折扣",Z799*N799,IF(O799="无",Z799))))</f>
        <v>38</v>
      </c>
      <c r="AC799" s="147">
        <f t="shared" si="155"/>
        <v>0</v>
      </c>
      <c r="AD799" s="137">
        <f>Z799*0.905731236248844</f>
        <v>34.417786977456075</v>
      </c>
      <c r="AE799" s="138">
        <v>7.0000000000000007E-2</v>
      </c>
      <c r="AF799" s="137">
        <f t="shared" si="150"/>
        <v>2.4092450884219256</v>
      </c>
      <c r="AG799" s="137">
        <v>2.66</v>
      </c>
      <c r="AH799" s="154"/>
      <c r="AI799" s="154"/>
      <c r="AJ799" s="136">
        <v>0</v>
      </c>
      <c r="AM799" s="131" t="s">
        <v>208</v>
      </c>
    </row>
    <row r="800" spans="1:39" s="119" customFormat="1" ht="15" customHeight="1" x14ac:dyDescent="0.3">
      <c r="A800" s="119">
        <v>2017</v>
      </c>
      <c r="F800" s="131" t="s">
        <v>871</v>
      </c>
      <c r="G800" s="131"/>
      <c r="H800" s="131"/>
      <c r="I800" s="131" t="s">
        <v>204</v>
      </c>
      <c r="J800" s="119" t="s">
        <v>624</v>
      </c>
      <c r="K800" s="119" t="s">
        <v>625</v>
      </c>
      <c r="L800" s="119" t="s">
        <v>871</v>
      </c>
      <c r="M800" s="119" t="s">
        <v>46</v>
      </c>
      <c r="N800" s="135">
        <v>0</v>
      </c>
      <c r="O800" s="135" t="s">
        <v>47</v>
      </c>
      <c r="P800" s="135" t="s">
        <v>854</v>
      </c>
      <c r="Q800" s="137">
        <v>19063.599999999999</v>
      </c>
      <c r="R800" s="137">
        <v>0</v>
      </c>
      <c r="S800" s="137"/>
      <c r="T800" s="137">
        <f t="shared" si="152"/>
        <v>0</v>
      </c>
      <c r="U800" s="137">
        <f t="shared" si="156"/>
        <v>0</v>
      </c>
      <c r="V800" s="137">
        <v>0</v>
      </c>
      <c r="W800" s="137">
        <f t="shared" si="157"/>
        <v>0</v>
      </c>
      <c r="X800" s="137">
        <f t="shared" si="153"/>
        <v>0</v>
      </c>
      <c r="Y800" s="137">
        <f t="shared" si="158"/>
        <v>0</v>
      </c>
      <c r="Z800" s="137">
        <v>19063.599999999999</v>
      </c>
      <c r="AA800" s="137">
        <f t="shared" si="154"/>
        <v>0</v>
      </c>
      <c r="AB800" s="146">
        <f>IF(O800="返货",(Z800-Q800)/(1+N800),IF(O800="返现",(Z800-Q800),IF(O800="折扣",(Z800-Q800)*N800,IF(O800="无",(Z800-Q800)))))</f>
        <v>0</v>
      </c>
      <c r="AC800" s="147">
        <f t="shared" si="155"/>
        <v>19063.599999999999</v>
      </c>
      <c r="AD800" s="137">
        <v>0</v>
      </c>
      <c r="AE800" s="138">
        <v>7.0000000000000007E-2</v>
      </c>
      <c r="AF800" s="137">
        <f t="shared" si="150"/>
        <v>0</v>
      </c>
      <c r="AG800" s="137">
        <v>1334.452</v>
      </c>
      <c r="AH800" s="154"/>
      <c r="AI800" s="154"/>
      <c r="AJ800" s="135" t="e">
        <v>#N/A</v>
      </c>
      <c r="AM800" s="131" t="s">
        <v>208</v>
      </c>
    </row>
    <row r="801" spans="1:39" s="119" customFormat="1" ht="15" customHeight="1" x14ac:dyDescent="0.3">
      <c r="A801" s="119">
        <v>2017</v>
      </c>
      <c r="B801" s="119" t="s">
        <v>38</v>
      </c>
      <c r="C801" s="119" t="s">
        <v>59</v>
      </c>
      <c r="D801" s="119" t="s">
        <v>718</v>
      </c>
      <c r="F801" s="131" t="s">
        <v>363</v>
      </c>
      <c r="G801" s="131" t="s">
        <v>363</v>
      </c>
      <c r="H801" s="131" t="s">
        <v>363</v>
      </c>
      <c r="I801" s="119" t="s">
        <v>170</v>
      </c>
      <c r="J801" s="119" t="s">
        <v>171</v>
      </c>
      <c r="K801" s="119" t="s">
        <v>172</v>
      </c>
      <c r="L801" s="119" t="s">
        <v>363</v>
      </c>
      <c r="M801" s="119" t="s">
        <v>185</v>
      </c>
      <c r="N801" s="138">
        <v>0.04</v>
      </c>
      <c r="O801" s="135" t="e">
        <v>#N/A</v>
      </c>
      <c r="P801" s="135"/>
      <c r="Q801" s="137">
        <v>0</v>
      </c>
      <c r="R801" s="137">
        <v>0</v>
      </c>
      <c r="S801" s="137"/>
      <c r="T801" s="137">
        <f t="shared" si="152"/>
        <v>0</v>
      </c>
      <c r="U801" s="137">
        <f t="shared" si="156"/>
        <v>0</v>
      </c>
      <c r="V801" s="137">
        <v>-95810.27</v>
      </c>
      <c r="W801" s="137">
        <f t="shared" si="157"/>
        <v>95810.27</v>
      </c>
      <c r="X801" s="137">
        <f t="shared" si="153"/>
        <v>92125.25961538461</v>
      </c>
      <c r="Y801" s="137">
        <f t="shared" si="158"/>
        <v>3685.0103846153943</v>
      </c>
      <c r="Z801" s="137">
        <v>0</v>
      </c>
      <c r="AA801" s="137">
        <f t="shared" si="154"/>
        <v>-95810.27</v>
      </c>
      <c r="AB801" s="146"/>
      <c r="AC801" s="147" t="e">
        <f t="shared" si="155"/>
        <v>#N/A</v>
      </c>
      <c r="AD801" s="137">
        <f>(Z801-Q801)*0.91072157793815</f>
        <v>0</v>
      </c>
      <c r="AE801" s="138">
        <v>0.11269173273981201</v>
      </c>
      <c r="AF801" s="137">
        <f t="shared" si="150"/>
        <v>0</v>
      </c>
      <c r="AG801" s="137">
        <v>0</v>
      </c>
      <c r="AH801" s="154"/>
      <c r="AI801" s="154"/>
      <c r="AJ801" s="135" t="e">
        <v>#N/A</v>
      </c>
      <c r="AK801" s="119" t="s">
        <v>186</v>
      </c>
      <c r="AM801" s="131" t="s">
        <v>208</v>
      </c>
    </row>
    <row r="802" spans="1:39" s="119" customFormat="1" ht="15" customHeight="1" x14ac:dyDescent="0.3">
      <c r="A802" s="119">
        <v>2017</v>
      </c>
      <c r="B802" s="119" t="s">
        <v>38</v>
      </c>
      <c r="C802" s="119" t="s">
        <v>75</v>
      </c>
      <c r="D802" s="119" t="s">
        <v>518</v>
      </c>
      <c r="F802" s="131" t="s">
        <v>669</v>
      </c>
      <c r="G802" s="131" t="s">
        <v>669</v>
      </c>
      <c r="H802" s="131" t="s">
        <v>669</v>
      </c>
      <c r="I802" s="131" t="s">
        <v>204</v>
      </c>
      <c r="J802" s="119" t="s">
        <v>603</v>
      </c>
      <c r="K802" s="119" t="s">
        <v>639</v>
      </c>
      <c r="L802" s="119" t="s">
        <v>669</v>
      </c>
      <c r="M802" s="119" t="s">
        <v>46</v>
      </c>
      <c r="N802" s="136">
        <v>0.03</v>
      </c>
      <c r="O802" s="135" t="s">
        <v>51</v>
      </c>
      <c r="P802" s="135"/>
      <c r="Q802" s="137">
        <v>0</v>
      </c>
      <c r="R802" s="137">
        <v>0</v>
      </c>
      <c r="S802" s="137"/>
      <c r="T802" s="137">
        <f t="shared" si="152"/>
        <v>0</v>
      </c>
      <c r="U802" s="137">
        <f t="shared" si="156"/>
        <v>0</v>
      </c>
      <c r="V802" s="137">
        <v>0</v>
      </c>
      <c r="W802" s="137">
        <f t="shared" si="157"/>
        <v>0</v>
      </c>
      <c r="X802" s="137">
        <f t="shared" si="153"/>
        <v>0</v>
      </c>
      <c r="Y802" s="137">
        <f t="shared" si="158"/>
        <v>0</v>
      </c>
      <c r="Z802" s="137">
        <v>43722.080000000002</v>
      </c>
      <c r="AA802" s="137">
        <f t="shared" si="154"/>
        <v>-43722.080000000002</v>
      </c>
      <c r="AB802" s="146">
        <f t="shared" ref="AB802:AB806" si="159">IF(O802="返货",Z802/(1+N802),IF(O802="返现",Z802,IF(O802="折扣",Z802*N802,IF(O802="无",Z802))))</f>
        <v>42448.621359223303</v>
      </c>
      <c r="AC802" s="147">
        <f t="shared" si="155"/>
        <v>1273.4586407766983</v>
      </c>
      <c r="AD802" s="137">
        <v>43722.080000000002</v>
      </c>
      <c r="AE802" s="138">
        <v>7.0000000000000007E-2</v>
      </c>
      <c r="AF802" s="137">
        <f t="shared" si="150"/>
        <v>3060.5456000000004</v>
      </c>
      <c r="AG802" s="137">
        <v>3060.5455999999999</v>
      </c>
      <c r="AH802" s="154"/>
      <c r="AI802" s="154"/>
      <c r="AJ802" s="136">
        <v>0.03</v>
      </c>
      <c r="AM802" s="131" t="s">
        <v>208</v>
      </c>
    </row>
    <row r="803" spans="1:39" s="119" customFormat="1" ht="15" customHeight="1" x14ac:dyDescent="0.3">
      <c r="A803" s="119">
        <v>2017</v>
      </c>
      <c r="B803" s="119" t="s">
        <v>38</v>
      </c>
      <c r="C803" s="119" t="s">
        <v>39</v>
      </c>
      <c r="D803" s="119" t="s">
        <v>834</v>
      </c>
      <c r="F803" s="131" t="s">
        <v>87</v>
      </c>
      <c r="G803" s="131" t="s">
        <v>87</v>
      </c>
      <c r="H803" s="131" t="s">
        <v>87</v>
      </c>
      <c r="I803" s="131" t="s">
        <v>204</v>
      </c>
      <c r="J803" s="119" t="s">
        <v>603</v>
      </c>
      <c r="K803" s="119" t="s">
        <v>639</v>
      </c>
      <c r="L803" s="119" t="s">
        <v>87</v>
      </c>
      <c r="M803" s="119" t="s">
        <v>185</v>
      </c>
      <c r="N803" s="136">
        <v>0.02</v>
      </c>
      <c r="O803" s="135" t="s">
        <v>51</v>
      </c>
      <c r="P803" s="135"/>
      <c r="Q803" s="137">
        <v>0</v>
      </c>
      <c r="R803" s="137">
        <v>0</v>
      </c>
      <c r="S803" s="137"/>
      <c r="T803" s="137">
        <f t="shared" si="152"/>
        <v>0</v>
      </c>
      <c r="U803" s="137">
        <f t="shared" si="156"/>
        <v>0</v>
      </c>
      <c r="V803" s="137">
        <v>0</v>
      </c>
      <c r="W803" s="137">
        <f t="shared" si="157"/>
        <v>0</v>
      </c>
      <c r="X803" s="137">
        <f t="shared" si="153"/>
        <v>0</v>
      </c>
      <c r="Y803" s="137">
        <f t="shared" si="158"/>
        <v>0</v>
      </c>
      <c r="Z803" s="137">
        <v>7962.82</v>
      </c>
      <c r="AA803" s="137">
        <f t="shared" si="154"/>
        <v>-7962.82</v>
      </c>
      <c r="AB803" s="146">
        <f t="shared" si="159"/>
        <v>7806.6862745098033</v>
      </c>
      <c r="AC803" s="147">
        <f t="shared" si="155"/>
        <v>156.13372549019641</v>
      </c>
      <c r="AD803" s="137">
        <v>7962.82</v>
      </c>
      <c r="AE803" s="138">
        <v>0.2</v>
      </c>
      <c r="AF803" s="137">
        <f t="shared" si="150"/>
        <v>1592.5640000000001</v>
      </c>
      <c r="AG803" s="137">
        <v>1592.5640000000001</v>
      </c>
      <c r="AH803" s="154"/>
      <c r="AI803" s="154"/>
      <c r="AJ803" s="136">
        <v>0.02</v>
      </c>
      <c r="AM803" s="131" t="s">
        <v>208</v>
      </c>
    </row>
    <row r="804" spans="1:39" s="119" customFormat="1" ht="15" customHeight="1" x14ac:dyDescent="0.3">
      <c r="A804" s="119">
        <v>2017</v>
      </c>
      <c r="B804" s="119" t="s">
        <v>199</v>
      </c>
      <c r="C804" s="119" t="s">
        <v>75</v>
      </c>
      <c r="D804" s="119" t="s">
        <v>518</v>
      </c>
      <c r="F804" s="131" t="s">
        <v>626</v>
      </c>
      <c r="G804" s="131" t="s">
        <v>627</v>
      </c>
      <c r="H804" s="131" t="s">
        <v>628</v>
      </c>
      <c r="I804" s="131" t="s">
        <v>204</v>
      </c>
      <c r="J804" s="119" t="s">
        <v>603</v>
      </c>
      <c r="K804" s="119" t="s">
        <v>639</v>
      </c>
      <c r="L804" s="119" t="s">
        <v>626</v>
      </c>
      <c r="M804" s="119" t="s">
        <v>185</v>
      </c>
      <c r="N804" s="136">
        <v>0.05</v>
      </c>
      <c r="O804" s="135" t="s">
        <v>51</v>
      </c>
      <c r="P804" s="135"/>
      <c r="Q804" s="137">
        <v>0</v>
      </c>
      <c r="R804" s="137">
        <v>0</v>
      </c>
      <c r="S804" s="137"/>
      <c r="T804" s="137">
        <f t="shared" si="152"/>
        <v>0</v>
      </c>
      <c r="U804" s="137">
        <f t="shared" si="156"/>
        <v>0</v>
      </c>
      <c r="V804" s="137">
        <v>0</v>
      </c>
      <c r="W804" s="137">
        <f t="shared" si="157"/>
        <v>0</v>
      </c>
      <c r="X804" s="137">
        <f t="shared" si="153"/>
        <v>0</v>
      </c>
      <c r="Y804" s="137">
        <f t="shared" si="158"/>
        <v>0</v>
      </c>
      <c r="Z804" s="137">
        <v>180387.31</v>
      </c>
      <c r="AA804" s="137">
        <f t="shared" si="154"/>
        <v>-180387.31</v>
      </c>
      <c r="AB804" s="146">
        <f t="shared" si="159"/>
        <v>171797.43809523809</v>
      </c>
      <c r="AC804" s="147">
        <f t="shared" si="155"/>
        <v>8589.8719047619088</v>
      </c>
      <c r="AD804" s="137">
        <v>180387.31</v>
      </c>
      <c r="AE804" s="138">
        <v>0.2</v>
      </c>
      <c r="AF804" s="137">
        <f t="shared" si="150"/>
        <v>36077.462</v>
      </c>
      <c r="AG804" s="137">
        <v>36077.462</v>
      </c>
      <c r="AH804" s="154"/>
      <c r="AI804" s="154"/>
      <c r="AJ804" s="136">
        <v>0.05</v>
      </c>
      <c r="AM804" s="131" t="s">
        <v>208</v>
      </c>
    </row>
    <row r="805" spans="1:39" s="119" customFormat="1" ht="15" customHeight="1" x14ac:dyDescent="0.3">
      <c r="A805" s="119">
        <v>2017</v>
      </c>
      <c r="B805" s="119" t="s">
        <v>252</v>
      </c>
      <c r="C805" s="119" t="s">
        <v>88</v>
      </c>
      <c r="D805" s="119" t="s">
        <v>128</v>
      </c>
      <c r="E805" s="119" t="s">
        <v>194</v>
      </c>
      <c r="F805" s="158" t="s">
        <v>601</v>
      </c>
      <c r="G805" s="131" t="s">
        <v>602</v>
      </c>
      <c r="H805" s="131" t="s">
        <v>602</v>
      </c>
      <c r="I805" s="131"/>
      <c r="J805" s="119" t="s">
        <v>679</v>
      </c>
      <c r="K805" s="119" t="s">
        <v>679</v>
      </c>
      <c r="L805" s="119" t="s">
        <v>601</v>
      </c>
      <c r="M805" s="119" t="s">
        <v>46</v>
      </c>
      <c r="N805" s="135">
        <v>0</v>
      </c>
      <c r="O805" s="135" t="s">
        <v>47</v>
      </c>
      <c r="P805" s="135"/>
      <c r="Q805" s="137">
        <v>0</v>
      </c>
      <c r="R805" s="137"/>
      <c r="S805" s="137"/>
      <c r="T805" s="137">
        <f t="shared" si="152"/>
        <v>0</v>
      </c>
      <c r="U805" s="137">
        <f t="shared" si="156"/>
        <v>0</v>
      </c>
      <c r="V805" s="137">
        <v>300000</v>
      </c>
      <c r="W805" s="137">
        <f t="shared" si="157"/>
        <v>-300000</v>
      </c>
      <c r="X805" s="137">
        <f t="shared" si="153"/>
        <v>-300000</v>
      </c>
      <c r="Y805" s="137">
        <f t="shared" si="158"/>
        <v>0</v>
      </c>
      <c r="Z805" s="137">
        <v>0</v>
      </c>
      <c r="AA805" s="137">
        <f t="shared" si="154"/>
        <v>300000</v>
      </c>
      <c r="AB805" s="146">
        <f t="shared" si="159"/>
        <v>0</v>
      </c>
      <c r="AC805" s="147">
        <f t="shared" si="155"/>
        <v>0</v>
      </c>
      <c r="AD805" s="137">
        <v>0</v>
      </c>
      <c r="AE805" s="138">
        <v>0</v>
      </c>
      <c r="AF805" s="137">
        <f t="shared" si="150"/>
        <v>0</v>
      </c>
      <c r="AG805" s="137"/>
      <c r="AH805" s="154"/>
      <c r="AI805" s="154"/>
      <c r="AJ805" s="155">
        <v>0</v>
      </c>
      <c r="AM805" s="119" t="s">
        <v>872</v>
      </c>
    </row>
    <row r="806" spans="1:39" s="119" customFormat="1" ht="15" customHeight="1" x14ac:dyDescent="0.3">
      <c r="A806" s="119">
        <v>2017</v>
      </c>
      <c r="B806" s="119" t="s">
        <v>252</v>
      </c>
      <c r="C806" s="119" t="s">
        <v>88</v>
      </c>
      <c r="D806" s="119" t="s">
        <v>128</v>
      </c>
      <c r="E806" s="119" t="s">
        <v>194</v>
      </c>
      <c r="F806" s="131" t="s">
        <v>601</v>
      </c>
      <c r="G806" s="131" t="s">
        <v>602</v>
      </c>
      <c r="H806" s="131" t="s">
        <v>602</v>
      </c>
      <c r="I806" s="131" t="s">
        <v>204</v>
      </c>
      <c r="J806" s="119" t="s">
        <v>603</v>
      </c>
      <c r="K806" s="119" t="s">
        <v>604</v>
      </c>
      <c r="L806" s="119" t="s">
        <v>601</v>
      </c>
      <c r="M806" s="119" t="s">
        <v>185</v>
      </c>
      <c r="N806" s="135">
        <v>0</v>
      </c>
      <c r="O806" s="135" t="s">
        <v>47</v>
      </c>
      <c r="P806" s="135"/>
      <c r="Q806" s="137">
        <v>0</v>
      </c>
      <c r="R806" s="137"/>
      <c r="S806" s="137"/>
      <c r="T806" s="137">
        <f t="shared" si="152"/>
        <v>0</v>
      </c>
      <c r="U806" s="137">
        <f t="shared" si="156"/>
        <v>0</v>
      </c>
      <c r="V806" s="137">
        <v>0</v>
      </c>
      <c r="W806" s="137">
        <f t="shared" si="157"/>
        <v>0</v>
      </c>
      <c r="X806" s="137">
        <f t="shared" si="153"/>
        <v>0</v>
      </c>
      <c r="Y806" s="137">
        <f t="shared" si="158"/>
        <v>0</v>
      </c>
      <c r="Z806" s="137">
        <v>44135.6</v>
      </c>
      <c r="AA806" s="137">
        <f t="shared" si="154"/>
        <v>-44135.6</v>
      </c>
      <c r="AB806" s="146">
        <f t="shared" si="159"/>
        <v>44135.6</v>
      </c>
      <c r="AC806" s="147">
        <f t="shared" si="155"/>
        <v>0</v>
      </c>
      <c r="AD806" s="137">
        <v>44135.6</v>
      </c>
      <c r="AE806" s="138">
        <v>0</v>
      </c>
      <c r="AF806" s="137">
        <f t="shared" si="150"/>
        <v>0</v>
      </c>
      <c r="AG806" s="137"/>
      <c r="AH806" s="154"/>
      <c r="AI806" s="154"/>
      <c r="AJ806" s="135">
        <v>0</v>
      </c>
      <c r="AM806" s="119" t="s">
        <v>872</v>
      </c>
    </row>
    <row r="807" spans="1:39" s="119" customFormat="1" ht="15" customHeight="1" x14ac:dyDescent="0.3">
      <c r="A807" s="119">
        <v>2017</v>
      </c>
      <c r="C807" s="119" t="s">
        <v>59</v>
      </c>
      <c r="F807" s="131" t="str">
        <f>L807</f>
        <v>中信二十一世纪（中国）科技有限公司</v>
      </c>
      <c r="G807" s="131"/>
      <c r="H807" s="131"/>
      <c r="I807" s="131" t="s">
        <v>204</v>
      </c>
      <c r="J807" s="119" t="s">
        <v>575</v>
      </c>
      <c r="K807" s="119" t="s">
        <v>576</v>
      </c>
      <c r="L807" s="119" t="s">
        <v>873</v>
      </c>
      <c r="M807" s="119" t="s">
        <v>46</v>
      </c>
      <c r="N807" s="135">
        <v>0</v>
      </c>
      <c r="O807" s="135" t="s">
        <v>47</v>
      </c>
      <c r="P807" s="135" t="s">
        <v>852</v>
      </c>
      <c r="Q807" s="137">
        <v>29690</v>
      </c>
      <c r="R807" s="137"/>
      <c r="S807" s="137"/>
      <c r="T807" s="137">
        <f t="shared" si="152"/>
        <v>0</v>
      </c>
      <c r="U807" s="137">
        <f t="shared" si="156"/>
        <v>0</v>
      </c>
      <c r="V807" s="137">
        <v>0</v>
      </c>
      <c r="W807" s="137">
        <f t="shared" si="157"/>
        <v>0</v>
      </c>
      <c r="X807" s="137">
        <f t="shared" si="153"/>
        <v>0</v>
      </c>
      <c r="Y807" s="137">
        <f t="shared" si="158"/>
        <v>0</v>
      </c>
      <c r="Z807" s="137">
        <v>0</v>
      </c>
      <c r="AA807" s="137">
        <f t="shared" si="154"/>
        <v>29690</v>
      </c>
      <c r="AB807" s="146">
        <v>0</v>
      </c>
      <c r="AC807" s="147">
        <f t="shared" si="155"/>
        <v>0</v>
      </c>
      <c r="AD807" s="137">
        <v>0</v>
      </c>
      <c r="AE807" s="138"/>
      <c r="AF807" s="137">
        <f t="shared" si="150"/>
        <v>0</v>
      </c>
      <c r="AG807" s="137"/>
      <c r="AH807" s="154"/>
      <c r="AI807" s="154"/>
      <c r="AJ807" s="135" t="e">
        <v>#N/A</v>
      </c>
      <c r="AM807" s="131" t="s">
        <v>208</v>
      </c>
    </row>
    <row r="808" spans="1:39" s="119" customFormat="1" ht="15" customHeight="1" x14ac:dyDescent="0.3">
      <c r="A808" s="119">
        <v>2017</v>
      </c>
      <c r="C808" s="119" t="s">
        <v>39</v>
      </c>
      <c r="F808" s="131" t="str">
        <f>L808</f>
        <v>广东世婴信息科技有限公司</v>
      </c>
      <c r="G808" s="131"/>
      <c r="H808" s="131"/>
      <c r="I808" s="131" t="s">
        <v>204</v>
      </c>
      <c r="J808" s="119" t="s">
        <v>575</v>
      </c>
      <c r="K808" s="119" t="s">
        <v>576</v>
      </c>
      <c r="L808" s="119" t="s">
        <v>874</v>
      </c>
      <c r="M808" s="119" t="s">
        <v>46</v>
      </c>
      <c r="N808" s="135">
        <v>0</v>
      </c>
      <c r="O808" s="135" t="s">
        <v>47</v>
      </c>
      <c r="P808" s="135" t="s">
        <v>854</v>
      </c>
      <c r="Q808" s="137">
        <v>13775.2</v>
      </c>
      <c r="R808" s="137"/>
      <c r="S808" s="137"/>
      <c r="T808" s="137">
        <f t="shared" si="152"/>
        <v>0</v>
      </c>
      <c r="U808" s="137">
        <f t="shared" si="156"/>
        <v>0</v>
      </c>
      <c r="V808" s="137">
        <v>0</v>
      </c>
      <c r="W808" s="137">
        <f t="shared" si="157"/>
        <v>0</v>
      </c>
      <c r="X808" s="137">
        <f t="shared" si="153"/>
        <v>0</v>
      </c>
      <c r="Y808" s="137">
        <f t="shared" si="158"/>
        <v>0</v>
      </c>
      <c r="Z808" s="137">
        <v>0</v>
      </c>
      <c r="AA808" s="137">
        <f t="shared" si="154"/>
        <v>13775.2</v>
      </c>
      <c r="AB808" s="146">
        <v>0</v>
      </c>
      <c r="AC808" s="147">
        <f t="shared" si="155"/>
        <v>0</v>
      </c>
      <c r="AD808" s="137">
        <v>0</v>
      </c>
      <c r="AE808" s="138"/>
      <c r="AF808" s="137">
        <f t="shared" si="150"/>
        <v>0</v>
      </c>
      <c r="AG808" s="137"/>
      <c r="AH808" s="154"/>
      <c r="AI808" s="154"/>
      <c r="AJ808" s="135" t="e">
        <v>#N/A</v>
      </c>
      <c r="AM808" s="131" t="s">
        <v>208</v>
      </c>
    </row>
    <row r="809" spans="1:39" s="119" customFormat="1" ht="15" customHeight="1" x14ac:dyDescent="0.3">
      <c r="A809" s="119">
        <v>2017</v>
      </c>
      <c r="C809" s="119" t="s">
        <v>59</v>
      </c>
      <c r="F809" s="131" t="str">
        <f>L809</f>
        <v>上海逗趣网络科技有限公司</v>
      </c>
      <c r="G809" s="131"/>
      <c r="H809" s="131"/>
      <c r="I809" s="131" t="s">
        <v>204</v>
      </c>
      <c r="J809" s="119" t="s">
        <v>575</v>
      </c>
      <c r="K809" s="119" t="s">
        <v>576</v>
      </c>
      <c r="L809" s="119" t="s">
        <v>859</v>
      </c>
      <c r="M809" s="119" t="s">
        <v>46</v>
      </c>
      <c r="N809" s="135">
        <v>0</v>
      </c>
      <c r="O809" s="135" t="s">
        <v>47</v>
      </c>
      <c r="P809" s="135" t="s">
        <v>852</v>
      </c>
      <c r="Q809" s="137">
        <v>0.35</v>
      </c>
      <c r="R809" s="137"/>
      <c r="S809" s="137"/>
      <c r="T809" s="137">
        <f t="shared" si="152"/>
        <v>0</v>
      </c>
      <c r="U809" s="137">
        <f t="shared" si="156"/>
        <v>0</v>
      </c>
      <c r="V809" s="137">
        <v>0</v>
      </c>
      <c r="W809" s="137">
        <f t="shared" si="157"/>
        <v>0</v>
      </c>
      <c r="X809" s="137">
        <f t="shared" si="153"/>
        <v>0</v>
      </c>
      <c r="Y809" s="137">
        <f t="shared" si="158"/>
        <v>0</v>
      </c>
      <c r="Z809" s="137">
        <v>0</v>
      </c>
      <c r="AA809" s="137">
        <f t="shared" si="154"/>
        <v>0.35</v>
      </c>
      <c r="AB809" s="146">
        <v>0</v>
      </c>
      <c r="AC809" s="147">
        <f t="shared" si="155"/>
        <v>0</v>
      </c>
      <c r="AD809" s="137">
        <v>0</v>
      </c>
      <c r="AE809" s="138"/>
      <c r="AF809" s="137">
        <f t="shared" si="150"/>
        <v>0</v>
      </c>
      <c r="AG809" s="137"/>
      <c r="AH809" s="154"/>
      <c r="AI809" s="154"/>
      <c r="AJ809" s="135" t="e">
        <v>#N/A</v>
      </c>
      <c r="AM809" s="131" t="s">
        <v>208</v>
      </c>
    </row>
    <row r="810" spans="1:39" s="119" customFormat="1" ht="15" customHeight="1" x14ac:dyDescent="0.3">
      <c r="A810" s="119">
        <v>2017</v>
      </c>
      <c r="B810" s="119" t="s">
        <v>38</v>
      </c>
      <c r="C810" s="119" t="s">
        <v>137</v>
      </c>
      <c r="D810" s="119" t="s">
        <v>138</v>
      </c>
      <c r="E810" s="119" t="s">
        <v>139</v>
      </c>
      <c r="F810" s="119" t="s">
        <v>573</v>
      </c>
      <c r="G810" s="119" t="s">
        <v>574</v>
      </c>
      <c r="H810" s="119" t="s">
        <v>574</v>
      </c>
      <c r="I810" s="119" t="s">
        <v>170</v>
      </c>
      <c r="J810" s="119" t="s">
        <v>171</v>
      </c>
      <c r="K810" s="119" t="s">
        <v>172</v>
      </c>
      <c r="L810" s="119" t="s">
        <v>573</v>
      </c>
      <c r="M810" s="119" t="s">
        <v>46</v>
      </c>
      <c r="N810" s="136">
        <v>0.04</v>
      </c>
      <c r="O810" s="135" t="s">
        <v>51</v>
      </c>
      <c r="P810" s="135"/>
      <c r="Q810" s="137">
        <v>191596.6</v>
      </c>
      <c r="R810" s="137">
        <v>0</v>
      </c>
      <c r="S810" s="137">
        <v>2452155</v>
      </c>
      <c r="T810" s="137">
        <f t="shared" si="152"/>
        <v>98086.2</v>
      </c>
      <c r="U810" s="137">
        <f t="shared" si="156"/>
        <v>2550241.2000000002</v>
      </c>
      <c r="V810" s="137">
        <v>2463300.09</v>
      </c>
      <c r="W810" s="137">
        <f t="shared" si="157"/>
        <v>86941.110000000335</v>
      </c>
      <c r="X810" s="137">
        <f t="shared" si="153"/>
        <v>83597.221153846476</v>
      </c>
      <c r="Y810" s="137">
        <f t="shared" si="158"/>
        <v>3343.888846153859</v>
      </c>
      <c r="Z810" s="137">
        <v>2872398.6</v>
      </c>
      <c r="AA810" s="137">
        <f t="shared" si="154"/>
        <v>-217501.91000000015</v>
      </c>
      <c r="AB810" s="146">
        <f>IF(O810="返货",(Z810-Q810)/(1+N810),IF(O810="返现",(Z810-Q810),IF(O810="折扣",(Z810-Q810)*N810,IF(O810="无",(Z810-Q810)))))</f>
        <v>2577694.2307692305</v>
      </c>
      <c r="AC810" s="147">
        <f t="shared" si="155"/>
        <v>294704.36923076957</v>
      </c>
      <c r="AD810" s="137">
        <f t="shared" ref="AD810:AD815" si="160">(Z810-Q810)*0.89807640489087</f>
        <v>2407565.0223842543</v>
      </c>
      <c r="AE810" s="138">
        <v>0.11269173273981201</v>
      </c>
      <c r="AF810" s="137">
        <f t="shared" si="150"/>
        <v>271312.67405624589</v>
      </c>
      <c r="AG810" s="137">
        <v>146515.810448039</v>
      </c>
      <c r="AH810" s="154"/>
      <c r="AI810" s="154"/>
      <c r="AJ810" s="135" t="s">
        <v>186</v>
      </c>
      <c r="AK810" s="119" t="s">
        <v>186</v>
      </c>
      <c r="AM810" s="131"/>
    </row>
    <row r="811" spans="1:39" s="119" customFormat="1" ht="15" customHeight="1" x14ac:dyDescent="0.3">
      <c r="A811" s="119">
        <v>2017</v>
      </c>
      <c r="B811" s="119" t="s">
        <v>38</v>
      </c>
      <c r="C811" s="119" t="s">
        <v>137</v>
      </c>
      <c r="D811" s="119" t="s">
        <v>138</v>
      </c>
      <c r="E811" s="119" t="s">
        <v>139</v>
      </c>
      <c r="F811" s="119" t="s">
        <v>849</v>
      </c>
      <c r="G811" s="119" t="s">
        <v>875</v>
      </c>
      <c r="H811" s="119" t="s">
        <v>875</v>
      </c>
      <c r="I811" s="119" t="s">
        <v>170</v>
      </c>
      <c r="J811" s="119" t="s">
        <v>171</v>
      </c>
      <c r="K811" s="119" t="s">
        <v>172</v>
      </c>
      <c r="L811" s="119" t="s">
        <v>849</v>
      </c>
      <c r="M811" s="119" t="s">
        <v>46</v>
      </c>
      <c r="N811" s="136">
        <v>0.04</v>
      </c>
      <c r="O811" s="135" t="s">
        <v>51</v>
      </c>
      <c r="P811" s="135"/>
      <c r="Q811" s="137">
        <v>0</v>
      </c>
      <c r="R811" s="137">
        <v>0</v>
      </c>
      <c r="S811" s="137">
        <v>761191.49</v>
      </c>
      <c r="T811" s="137">
        <f t="shared" si="152"/>
        <v>30447.659599999999</v>
      </c>
      <c r="U811" s="137">
        <f t="shared" si="156"/>
        <v>791639.1496</v>
      </c>
      <c r="V811" s="137">
        <v>800000</v>
      </c>
      <c r="W811" s="137">
        <f t="shared" si="157"/>
        <v>-8360.8503999999957</v>
      </c>
      <c r="X811" s="137">
        <f t="shared" si="153"/>
        <v>-8039.2792307692262</v>
      </c>
      <c r="Y811" s="137">
        <f t="shared" si="158"/>
        <v>-321.57116923076956</v>
      </c>
      <c r="Z811" s="137">
        <v>0</v>
      </c>
      <c r="AA811" s="137">
        <f t="shared" si="154"/>
        <v>800000</v>
      </c>
      <c r="AB811" s="146">
        <f t="shared" ref="AB811:AB825" si="161">IF(O811="返货",Z811/(1+N811),IF(O811="返现",Z811,IF(O811="折扣",Z811*N811,IF(O811="无",Z811))))</f>
        <v>0</v>
      </c>
      <c r="AC811" s="147">
        <f t="shared" si="155"/>
        <v>0</v>
      </c>
      <c r="AD811" s="137">
        <f t="shared" si="160"/>
        <v>0</v>
      </c>
      <c r="AE811" s="138">
        <v>0.11269173273981201</v>
      </c>
      <c r="AF811" s="137">
        <f t="shared" si="150"/>
        <v>0</v>
      </c>
      <c r="AG811" s="137">
        <v>0</v>
      </c>
      <c r="AH811" s="154"/>
      <c r="AI811" s="154"/>
      <c r="AJ811" s="135" t="s">
        <v>186</v>
      </c>
      <c r="AK811" s="119" t="s">
        <v>186</v>
      </c>
      <c r="AM811" s="131"/>
    </row>
    <row r="812" spans="1:39" s="119" customFormat="1" ht="15" customHeight="1" x14ac:dyDescent="0.3">
      <c r="A812" s="119">
        <v>2017</v>
      </c>
      <c r="B812" s="119" t="s">
        <v>38</v>
      </c>
      <c r="C812" s="119" t="s">
        <v>137</v>
      </c>
      <c r="D812" s="119" t="s">
        <v>270</v>
      </c>
      <c r="E812" s="119" t="s">
        <v>270</v>
      </c>
      <c r="F812" s="119" t="s">
        <v>659</v>
      </c>
      <c r="G812" s="119" t="s">
        <v>876</v>
      </c>
      <c r="H812" s="119" t="s">
        <v>876</v>
      </c>
      <c r="I812" s="119" t="s">
        <v>170</v>
      </c>
      <c r="J812" s="119" t="s">
        <v>171</v>
      </c>
      <c r="K812" s="119" t="s">
        <v>172</v>
      </c>
      <c r="L812" s="119" t="s">
        <v>659</v>
      </c>
      <c r="M812" s="119" t="s">
        <v>46</v>
      </c>
      <c r="N812" s="136">
        <v>0.08</v>
      </c>
      <c r="O812" s="135" t="s">
        <v>51</v>
      </c>
      <c r="P812" s="135"/>
      <c r="Q812" s="137">
        <v>0</v>
      </c>
      <c r="R812" s="137">
        <v>0</v>
      </c>
      <c r="S812" s="137">
        <v>115835.4</v>
      </c>
      <c r="T812" s="137">
        <f t="shared" si="152"/>
        <v>9266.8320000000003</v>
      </c>
      <c r="U812" s="137">
        <f t="shared" si="156"/>
        <v>125102.23199999999</v>
      </c>
      <c r="V812" s="137">
        <v>1930514.93</v>
      </c>
      <c r="W812" s="137">
        <f t="shared" si="157"/>
        <v>-1805412.6979999999</v>
      </c>
      <c r="X812" s="137">
        <f t="shared" si="153"/>
        <v>-1671678.4240740738</v>
      </c>
      <c r="Y812" s="137">
        <f t="shared" si="158"/>
        <v>-133734.27392592607</v>
      </c>
      <c r="Z812" s="137">
        <v>2799743</v>
      </c>
      <c r="AA812" s="137">
        <f t="shared" si="154"/>
        <v>-869228.07000000007</v>
      </c>
      <c r="AB812" s="146">
        <f t="shared" si="161"/>
        <v>2592354.6296296297</v>
      </c>
      <c r="AC812" s="147">
        <f t="shared" si="155"/>
        <v>207388.37037037034</v>
      </c>
      <c r="AD812" s="137">
        <f t="shared" si="160"/>
        <v>2514383.1280583791</v>
      </c>
      <c r="AE812" s="138">
        <v>0.11269173273981201</v>
      </c>
      <c r="AF812" s="137">
        <f t="shared" si="150"/>
        <v>283350.19147264736</v>
      </c>
      <c r="AG812" s="137">
        <v>43103.833595327997</v>
      </c>
      <c r="AH812" s="154"/>
      <c r="AI812" s="154"/>
      <c r="AJ812" s="135" t="s">
        <v>53</v>
      </c>
      <c r="AK812" s="119" t="s">
        <v>53</v>
      </c>
      <c r="AM812" s="131"/>
    </row>
    <row r="813" spans="1:39" s="119" customFormat="1" ht="15" customHeight="1" x14ac:dyDescent="0.3">
      <c r="A813" s="119">
        <v>2017</v>
      </c>
      <c r="B813" s="119" t="s">
        <v>38</v>
      </c>
      <c r="C813" s="119" t="s">
        <v>137</v>
      </c>
      <c r="D813" s="119" t="s">
        <v>270</v>
      </c>
      <c r="E813" s="119" t="s">
        <v>270</v>
      </c>
      <c r="F813" s="119" t="s">
        <v>877</v>
      </c>
      <c r="G813" s="119" t="s">
        <v>878</v>
      </c>
      <c r="H813" s="119" t="s">
        <v>878</v>
      </c>
      <c r="I813" s="119" t="s">
        <v>170</v>
      </c>
      <c r="J813" s="119" t="s">
        <v>171</v>
      </c>
      <c r="K813" s="119" t="s">
        <v>172</v>
      </c>
      <c r="L813" s="119" t="s">
        <v>877</v>
      </c>
      <c r="M813" s="119" t="s">
        <v>46</v>
      </c>
      <c r="N813" s="136">
        <v>0.04</v>
      </c>
      <c r="O813" s="135" t="s">
        <v>51</v>
      </c>
      <c r="P813" s="135"/>
      <c r="Q813" s="137">
        <v>0</v>
      </c>
      <c r="R813" s="137">
        <v>0</v>
      </c>
      <c r="S813" s="137">
        <v>764070.92</v>
      </c>
      <c r="T813" s="137">
        <f t="shared" si="152"/>
        <v>30562.836800000001</v>
      </c>
      <c r="U813" s="137">
        <f t="shared" si="156"/>
        <v>794633.75680000009</v>
      </c>
      <c r="V813" s="137">
        <v>808780.68</v>
      </c>
      <c r="W813" s="137">
        <f t="shared" si="157"/>
        <v>-14146.923199999961</v>
      </c>
      <c r="X813" s="137">
        <f t="shared" si="153"/>
        <v>-13602.810769230731</v>
      </c>
      <c r="Y813" s="137">
        <f t="shared" si="158"/>
        <v>-544.11243076922983</v>
      </c>
      <c r="Z813" s="137">
        <v>1446488.5</v>
      </c>
      <c r="AA813" s="137">
        <f t="shared" si="154"/>
        <v>-637707.81999999995</v>
      </c>
      <c r="AB813" s="146">
        <f t="shared" si="161"/>
        <v>1390854.3269230768</v>
      </c>
      <c r="AC813" s="147">
        <f t="shared" si="155"/>
        <v>55634.173076923238</v>
      </c>
      <c r="AD813" s="137">
        <f t="shared" si="160"/>
        <v>1299057.1917959873</v>
      </c>
      <c r="AE813" s="138">
        <v>0.11269173273981201</v>
      </c>
      <c r="AF813" s="137">
        <f t="shared" si="150"/>
        <v>146393.00587160411</v>
      </c>
      <c r="AG813" s="137">
        <v>73782.738538191799</v>
      </c>
      <c r="AH813" s="154"/>
      <c r="AI813" s="154"/>
      <c r="AJ813" s="135" t="s">
        <v>186</v>
      </c>
      <c r="AK813" s="119" t="s">
        <v>186</v>
      </c>
      <c r="AM813" s="131"/>
    </row>
    <row r="814" spans="1:39" s="119" customFormat="1" ht="15" customHeight="1" x14ac:dyDescent="0.3">
      <c r="A814" s="119">
        <v>2017</v>
      </c>
      <c r="B814" s="119" t="s">
        <v>38</v>
      </c>
      <c r="C814" s="119" t="s">
        <v>137</v>
      </c>
      <c r="D814" s="119" t="s">
        <v>270</v>
      </c>
      <c r="E814" s="119" t="s">
        <v>270</v>
      </c>
      <c r="F814" s="119" t="s">
        <v>585</v>
      </c>
      <c r="G814" s="119" t="s">
        <v>879</v>
      </c>
      <c r="H814" s="119" t="s">
        <v>879</v>
      </c>
      <c r="I814" s="119" t="s">
        <v>170</v>
      </c>
      <c r="J814" s="119" t="s">
        <v>171</v>
      </c>
      <c r="K814" s="119" t="s">
        <v>172</v>
      </c>
      <c r="L814" s="119" t="s">
        <v>585</v>
      </c>
      <c r="M814" s="119" t="s">
        <v>46</v>
      </c>
      <c r="N814" s="135">
        <v>0.06</v>
      </c>
      <c r="O814" s="135" t="s">
        <v>51</v>
      </c>
      <c r="P814" s="135"/>
      <c r="Q814" s="137">
        <v>0</v>
      </c>
      <c r="R814" s="137">
        <v>0</v>
      </c>
      <c r="S814" s="137">
        <v>811324.05</v>
      </c>
      <c r="T814" s="137">
        <f t="shared" si="152"/>
        <v>48679.442999999999</v>
      </c>
      <c r="U814" s="137">
        <f t="shared" si="156"/>
        <v>860003.49300000002</v>
      </c>
      <c r="V814" s="137">
        <v>887400</v>
      </c>
      <c r="W814" s="137">
        <f t="shared" si="157"/>
        <v>-27396.506999999983</v>
      </c>
      <c r="X814" s="137">
        <f t="shared" si="153"/>
        <v>-25845.7613207547</v>
      </c>
      <c r="Y814" s="137">
        <f t="shared" si="158"/>
        <v>-1550.7456792452831</v>
      </c>
      <c r="Z814" s="137">
        <v>854180.6</v>
      </c>
      <c r="AA814" s="137">
        <f t="shared" si="154"/>
        <v>33219.400000000023</v>
      </c>
      <c r="AB814" s="146">
        <f t="shared" si="161"/>
        <v>805830.75471698109</v>
      </c>
      <c r="AC814" s="147">
        <f t="shared" si="155"/>
        <v>48349.845283018891</v>
      </c>
      <c r="AD814" s="137">
        <f t="shared" si="160"/>
        <v>767119.4423755263</v>
      </c>
      <c r="AE814" s="138">
        <v>0.11269173273981201</v>
      </c>
      <c r="AF814" s="137">
        <f t="shared" si="150"/>
        <v>86448.019179696421</v>
      </c>
      <c r="AG814" s="137">
        <v>28073.448240259</v>
      </c>
      <c r="AH814" s="154"/>
      <c r="AI814" s="154"/>
      <c r="AJ814" s="135" t="s">
        <v>193</v>
      </c>
      <c r="AK814" s="119" t="s">
        <v>193</v>
      </c>
      <c r="AM814" s="131"/>
    </row>
    <row r="815" spans="1:39" s="119" customFormat="1" ht="15" customHeight="1" x14ac:dyDescent="0.3">
      <c r="A815" s="119">
        <v>2017</v>
      </c>
      <c r="B815" s="119" t="s">
        <v>38</v>
      </c>
      <c r="C815" s="119" t="s">
        <v>137</v>
      </c>
      <c r="D815" s="119" t="s">
        <v>270</v>
      </c>
      <c r="E815" s="119" t="s">
        <v>270</v>
      </c>
      <c r="F815" s="119" t="s">
        <v>659</v>
      </c>
      <c r="G815" s="119" t="s">
        <v>880</v>
      </c>
      <c r="H815" s="119" t="s">
        <v>880</v>
      </c>
      <c r="I815" s="119" t="s">
        <v>170</v>
      </c>
      <c r="J815" s="119" t="s">
        <v>171</v>
      </c>
      <c r="K815" s="119" t="s">
        <v>172</v>
      </c>
      <c r="L815" s="119" t="s">
        <v>659</v>
      </c>
      <c r="M815" s="119" t="s">
        <v>46</v>
      </c>
      <c r="N815" s="136">
        <v>0.04</v>
      </c>
      <c r="O815" s="135" t="s">
        <v>51</v>
      </c>
      <c r="P815" s="135"/>
      <c r="Q815" s="137">
        <v>0</v>
      </c>
      <c r="R815" s="137">
        <v>0</v>
      </c>
      <c r="S815" s="137">
        <v>201818.83</v>
      </c>
      <c r="T815" s="137">
        <f t="shared" si="152"/>
        <v>8072.7532000000001</v>
      </c>
      <c r="U815" s="137">
        <f t="shared" si="156"/>
        <v>209891.58319999999</v>
      </c>
      <c r="V815" s="137">
        <v>1297438.03</v>
      </c>
      <c r="W815" s="137">
        <f t="shared" si="157"/>
        <v>-1087546.4468</v>
      </c>
      <c r="X815" s="137">
        <f t="shared" si="153"/>
        <v>-1045717.7373076923</v>
      </c>
      <c r="Y815" s="137">
        <f t="shared" si="158"/>
        <v>-41828.709492307738</v>
      </c>
      <c r="Z815" s="137">
        <v>0</v>
      </c>
      <c r="AA815" s="137">
        <f t="shared" si="154"/>
        <v>1297438.03</v>
      </c>
      <c r="AB815" s="146">
        <f t="shared" si="161"/>
        <v>0</v>
      </c>
      <c r="AC815" s="147">
        <f t="shared" si="155"/>
        <v>0</v>
      </c>
      <c r="AD815" s="137">
        <f t="shared" si="160"/>
        <v>0</v>
      </c>
      <c r="AE815" s="138">
        <v>0.11269173273981201</v>
      </c>
      <c r="AF815" s="137">
        <f t="shared" ref="AF815:AF878" si="162">AD815*AE815</f>
        <v>0</v>
      </c>
      <c r="AG815" s="137">
        <v>0</v>
      </c>
      <c r="AH815" s="154"/>
      <c r="AI815" s="154"/>
      <c r="AJ815" s="135" t="s">
        <v>186</v>
      </c>
      <c r="AK815" s="119" t="s">
        <v>186</v>
      </c>
      <c r="AM815" s="131"/>
    </row>
    <row r="816" spans="1:39" s="119" customFormat="1" ht="15" customHeight="1" x14ac:dyDescent="0.3">
      <c r="A816" s="119">
        <v>2017</v>
      </c>
      <c r="B816" s="119" t="s">
        <v>38</v>
      </c>
      <c r="C816" s="119" t="s">
        <v>137</v>
      </c>
      <c r="D816" s="119" t="s">
        <v>270</v>
      </c>
      <c r="E816" s="119" t="s">
        <v>270</v>
      </c>
      <c r="F816" s="119" t="s">
        <v>659</v>
      </c>
      <c r="G816" s="119" t="s">
        <v>881</v>
      </c>
      <c r="H816" s="119" t="s">
        <v>881</v>
      </c>
      <c r="I816" s="119" t="s">
        <v>170</v>
      </c>
      <c r="J816" s="119" t="s">
        <v>171</v>
      </c>
      <c r="K816" s="119" t="s">
        <v>172</v>
      </c>
      <c r="L816" s="119" t="s">
        <v>659</v>
      </c>
      <c r="M816" s="119" t="s">
        <v>185</v>
      </c>
      <c r="N816" s="136">
        <v>0.12</v>
      </c>
      <c r="O816" s="135" t="s">
        <v>51</v>
      </c>
      <c r="P816" s="135"/>
      <c r="Q816" s="137">
        <v>0</v>
      </c>
      <c r="R816" s="137">
        <v>0</v>
      </c>
      <c r="S816" s="137">
        <v>40000</v>
      </c>
      <c r="T816" s="137">
        <f t="shared" si="152"/>
        <v>4800</v>
      </c>
      <c r="U816" s="137">
        <f t="shared" si="156"/>
        <v>44800</v>
      </c>
      <c r="V816" s="137">
        <v>40000</v>
      </c>
      <c r="W816" s="137">
        <f t="shared" si="157"/>
        <v>4800</v>
      </c>
      <c r="X816" s="137">
        <f t="shared" si="153"/>
        <v>4285.7142857142853</v>
      </c>
      <c r="Y816" s="137">
        <f t="shared" si="158"/>
        <v>514.28571428571468</v>
      </c>
      <c r="Z816" s="137">
        <v>24805.21</v>
      </c>
      <c r="AA816" s="137">
        <f t="shared" si="154"/>
        <v>15194.79</v>
      </c>
      <c r="AB816" s="146">
        <f t="shared" si="161"/>
        <v>22147.508928571424</v>
      </c>
      <c r="AC816" s="147">
        <f t="shared" si="155"/>
        <v>2657.7010714285752</v>
      </c>
      <c r="AD816" s="137">
        <f>(Z816-Q816)*0.91072157793815</f>
        <v>22590.639992287179</v>
      </c>
      <c r="AE816" s="138">
        <v>0.11269173273981201</v>
      </c>
      <c r="AF816" s="137">
        <f t="shared" si="162"/>
        <v>2545.7783644321357</v>
      </c>
      <c r="AG816" s="137">
        <v>-438.386040466098</v>
      </c>
      <c r="AH816" s="154"/>
      <c r="AI816" s="154"/>
      <c r="AJ816" s="135" t="s">
        <v>117</v>
      </c>
      <c r="AK816" s="119" t="s">
        <v>117</v>
      </c>
      <c r="AM816" s="131"/>
    </row>
    <row r="817" spans="1:39" s="119" customFormat="1" ht="15" customHeight="1" x14ac:dyDescent="0.3">
      <c r="A817" s="119">
        <v>2017</v>
      </c>
      <c r="B817" s="119" t="s">
        <v>38</v>
      </c>
      <c r="C817" s="119" t="s">
        <v>137</v>
      </c>
      <c r="D817" s="119" t="s">
        <v>270</v>
      </c>
      <c r="E817" s="119" t="s">
        <v>270</v>
      </c>
      <c r="F817" s="119" t="s">
        <v>659</v>
      </c>
      <c r="G817" s="119" t="s">
        <v>881</v>
      </c>
      <c r="H817" s="119" t="s">
        <v>881</v>
      </c>
      <c r="I817" s="119" t="s">
        <v>170</v>
      </c>
      <c r="J817" s="119" t="s">
        <v>171</v>
      </c>
      <c r="K817" s="119" t="s">
        <v>172</v>
      </c>
      <c r="L817" s="119" t="s">
        <v>659</v>
      </c>
      <c r="M817" s="119" t="s">
        <v>46</v>
      </c>
      <c r="N817" s="136">
        <v>0.08</v>
      </c>
      <c r="O817" s="135" t="s">
        <v>51</v>
      </c>
      <c r="P817" s="135"/>
      <c r="Q817" s="137">
        <v>0</v>
      </c>
      <c r="R817" s="137">
        <v>0</v>
      </c>
      <c r="S817" s="137">
        <v>2452021</v>
      </c>
      <c r="T817" s="137">
        <f t="shared" si="152"/>
        <v>196161.68</v>
      </c>
      <c r="U817" s="137">
        <f t="shared" si="156"/>
        <v>2648182.6800000002</v>
      </c>
      <c r="V817" s="137">
        <v>160000</v>
      </c>
      <c r="W817" s="137">
        <f t="shared" si="157"/>
        <v>2488182.6800000002</v>
      </c>
      <c r="X817" s="137">
        <f t="shared" si="153"/>
        <v>2303872.8518518517</v>
      </c>
      <c r="Y817" s="137">
        <f t="shared" si="158"/>
        <v>184309.82814814849</v>
      </c>
      <c r="Z817" s="137">
        <v>0</v>
      </c>
      <c r="AA817" s="137">
        <f t="shared" si="154"/>
        <v>160000</v>
      </c>
      <c r="AB817" s="146">
        <f t="shared" si="161"/>
        <v>0</v>
      </c>
      <c r="AC817" s="147">
        <f t="shared" si="155"/>
        <v>0</v>
      </c>
      <c r="AD817" s="137">
        <f>(Z817-Q817)*0.89807640489087</f>
        <v>0</v>
      </c>
      <c r="AE817" s="138">
        <v>0.11269173273981201</v>
      </c>
      <c r="AF817" s="137">
        <f t="shared" si="162"/>
        <v>0</v>
      </c>
      <c r="AG817" s="137">
        <v>0</v>
      </c>
      <c r="AH817" s="154"/>
      <c r="AI817" s="154"/>
      <c r="AJ817" s="135" t="s">
        <v>53</v>
      </c>
      <c r="AK817" s="119" t="s">
        <v>53</v>
      </c>
      <c r="AM817" s="131"/>
    </row>
    <row r="818" spans="1:39" s="119" customFormat="1" ht="15" customHeight="1" x14ac:dyDescent="0.3">
      <c r="A818" s="119">
        <v>2017</v>
      </c>
      <c r="B818" s="119" t="s">
        <v>38</v>
      </c>
      <c r="C818" s="119" t="s">
        <v>88</v>
      </c>
      <c r="D818" s="119" t="s">
        <v>128</v>
      </c>
      <c r="E818" s="119" t="s">
        <v>98</v>
      </c>
      <c r="F818" s="119" t="s">
        <v>882</v>
      </c>
      <c r="G818" s="119" t="s">
        <v>882</v>
      </c>
      <c r="H818" s="119" t="s">
        <v>882</v>
      </c>
      <c r="I818" s="119" t="s">
        <v>170</v>
      </c>
      <c r="J818" s="119" t="s">
        <v>603</v>
      </c>
      <c r="K818" s="119" t="s">
        <v>883</v>
      </c>
      <c r="L818" s="119" t="s">
        <v>882</v>
      </c>
      <c r="M818" s="119" t="s">
        <v>46</v>
      </c>
      <c r="N818" s="136">
        <v>0</v>
      </c>
      <c r="O818" s="135" t="s">
        <v>47</v>
      </c>
      <c r="P818" s="135"/>
      <c r="Q818" s="137">
        <v>0</v>
      </c>
      <c r="R818" s="137">
        <v>0</v>
      </c>
      <c r="S818" s="137">
        <v>90000</v>
      </c>
      <c r="T818" s="137">
        <f t="shared" si="152"/>
        <v>0</v>
      </c>
      <c r="U818" s="137">
        <f t="shared" si="156"/>
        <v>90000</v>
      </c>
      <c r="V818" s="137">
        <v>90000</v>
      </c>
      <c r="W818" s="137">
        <f t="shared" si="157"/>
        <v>0</v>
      </c>
      <c r="X818" s="137">
        <f t="shared" si="153"/>
        <v>0</v>
      </c>
      <c r="Y818" s="137">
        <f t="shared" si="158"/>
        <v>0</v>
      </c>
      <c r="Z818" s="137">
        <v>90638.3</v>
      </c>
      <c r="AA818" s="137">
        <f t="shared" si="154"/>
        <v>-638.30000000000291</v>
      </c>
      <c r="AB818" s="146">
        <f t="shared" si="161"/>
        <v>90638.3</v>
      </c>
      <c r="AC818" s="147">
        <f t="shared" si="155"/>
        <v>0</v>
      </c>
      <c r="AD818" s="137">
        <v>90638.3</v>
      </c>
      <c r="AE818" s="138">
        <v>0.1</v>
      </c>
      <c r="AF818" s="137">
        <f t="shared" si="162"/>
        <v>9063.83</v>
      </c>
      <c r="AG818" s="137">
        <v>0</v>
      </c>
      <c r="AH818" s="154"/>
      <c r="AI818" s="154"/>
      <c r="AJ818" s="135" t="s">
        <v>47</v>
      </c>
      <c r="AK818" s="119" t="s">
        <v>47</v>
      </c>
      <c r="AM818" s="119" t="s">
        <v>174</v>
      </c>
    </row>
    <row r="819" spans="1:39" s="119" customFormat="1" ht="15" customHeight="1" x14ac:dyDescent="0.3">
      <c r="A819" s="119">
        <v>2017</v>
      </c>
      <c r="B819" s="119" t="s">
        <v>38</v>
      </c>
      <c r="C819" s="119" t="s">
        <v>88</v>
      </c>
      <c r="D819" s="119" t="s">
        <v>128</v>
      </c>
      <c r="E819" s="119" t="s">
        <v>98</v>
      </c>
      <c r="F819" s="119" t="s">
        <v>882</v>
      </c>
      <c r="G819" s="119" t="s">
        <v>882</v>
      </c>
      <c r="H819" s="119" t="s">
        <v>882</v>
      </c>
      <c r="I819" s="119" t="s">
        <v>170</v>
      </c>
      <c r="J819" s="119" t="s">
        <v>865</v>
      </c>
      <c r="K819" s="119" t="s">
        <v>866</v>
      </c>
      <c r="L819" s="119" t="s">
        <v>882</v>
      </c>
      <c r="M819" s="119" t="s">
        <v>46</v>
      </c>
      <c r="N819" s="136">
        <v>0</v>
      </c>
      <c r="O819" s="135" t="s">
        <v>47</v>
      </c>
      <c r="P819" s="135"/>
      <c r="Q819" s="137">
        <v>0</v>
      </c>
      <c r="R819" s="137">
        <v>0</v>
      </c>
      <c r="S819" s="137">
        <v>40000</v>
      </c>
      <c r="T819" s="137">
        <f t="shared" si="152"/>
        <v>0</v>
      </c>
      <c r="U819" s="137">
        <f t="shared" si="156"/>
        <v>40000</v>
      </c>
      <c r="V819" s="137">
        <v>40000</v>
      </c>
      <c r="W819" s="137">
        <f t="shared" si="157"/>
        <v>0</v>
      </c>
      <c r="X819" s="137">
        <f t="shared" si="153"/>
        <v>0</v>
      </c>
      <c r="Y819" s="137">
        <f t="shared" si="158"/>
        <v>0</v>
      </c>
      <c r="Z819" s="137">
        <v>18887.7</v>
      </c>
      <c r="AA819" s="137">
        <f t="shared" si="154"/>
        <v>21112.3</v>
      </c>
      <c r="AB819" s="146">
        <f t="shared" si="161"/>
        <v>18887.7</v>
      </c>
      <c r="AC819" s="147">
        <f t="shared" si="155"/>
        <v>0</v>
      </c>
      <c r="AD819" s="137">
        <f>Z819*0.972201473425119-Q819</f>
        <v>18362.64976961162</v>
      </c>
      <c r="AE819" s="138">
        <v>0.1</v>
      </c>
      <c r="AF819" s="137">
        <f t="shared" si="162"/>
        <v>1836.2649769611621</v>
      </c>
      <c r="AG819" s="137">
        <v>10952.6</v>
      </c>
      <c r="AH819" s="154"/>
      <c r="AI819" s="154"/>
      <c r="AJ819" s="135" t="s">
        <v>47</v>
      </c>
      <c r="AK819" s="119" t="s">
        <v>47</v>
      </c>
      <c r="AM819" s="119" t="s">
        <v>174</v>
      </c>
    </row>
    <row r="820" spans="1:39" s="119" customFormat="1" ht="15" customHeight="1" x14ac:dyDescent="0.3">
      <c r="A820" s="119">
        <v>2017</v>
      </c>
      <c r="B820" s="119" t="s">
        <v>38</v>
      </c>
      <c r="C820" s="119" t="s">
        <v>88</v>
      </c>
      <c r="D820" s="119" t="s">
        <v>128</v>
      </c>
      <c r="E820" s="119" t="s">
        <v>98</v>
      </c>
      <c r="F820" s="119" t="s">
        <v>274</v>
      </c>
      <c r="G820" s="119" t="s">
        <v>275</v>
      </c>
      <c r="H820" s="119" t="s">
        <v>275</v>
      </c>
      <c r="I820" s="119" t="s">
        <v>170</v>
      </c>
      <c r="J820" s="119" t="s">
        <v>171</v>
      </c>
      <c r="K820" s="119" t="s">
        <v>172</v>
      </c>
      <c r="L820" s="119" t="s">
        <v>274</v>
      </c>
      <c r="M820" s="119" t="s">
        <v>46</v>
      </c>
      <c r="N820" s="136">
        <v>0.04</v>
      </c>
      <c r="O820" s="135" t="s">
        <v>51</v>
      </c>
      <c r="P820" s="135"/>
      <c r="Q820" s="137">
        <v>0</v>
      </c>
      <c r="R820" s="137">
        <v>0</v>
      </c>
      <c r="S820" s="137">
        <v>270000</v>
      </c>
      <c r="T820" s="137">
        <f t="shared" si="152"/>
        <v>10800</v>
      </c>
      <c r="U820" s="137">
        <f t="shared" si="156"/>
        <v>280800</v>
      </c>
      <c r="V820" s="137">
        <v>278401.25</v>
      </c>
      <c r="W820" s="137">
        <f t="shared" si="157"/>
        <v>2398.75</v>
      </c>
      <c r="X820" s="137">
        <f t="shared" si="153"/>
        <v>2306.4903846153848</v>
      </c>
      <c r="Y820" s="137">
        <f t="shared" si="158"/>
        <v>92.259615384615245</v>
      </c>
      <c r="Z820" s="137">
        <v>261301</v>
      </c>
      <c r="AA820" s="137">
        <f t="shared" si="154"/>
        <v>17100.25</v>
      </c>
      <c r="AB820" s="146">
        <f t="shared" si="161"/>
        <v>251250.96153846153</v>
      </c>
      <c r="AC820" s="147">
        <f t="shared" si="155"/>
        <v>10050.038461538468</v>
      </c>
      <c r="AD820" s="137">
        <f>(Z820-Q820)*0.89807640489087</f>
        <v>234668.26267438923</v>
      </c>
      <c r="AE820" s="138">
        <v>0.11269173273981201</v>
      </c>
      <c r="AF820" s="137">
        <f t="shared" si="162"/>
        <v>26445.173139818271</v>
      </c>
      <c r="AG820" s="137">
        <v>13328.4871347184</v>
      </c>
      <c r="AH820" s="154"/>
      <c r="AI820" s="154"/>
      <c r="AJ820" s="135" t="s">
        <v>884</v>
      </c>
      <c r="AK820" s="119" t="s">
        <v>884</v>
      </c>
      <c r="AM820" s="119" t="s">
        <v>174</v>
      </c>
    </row>
    <row r="821" spans="1:39" s="119" customFormat="1" ht="15" customHeight="1" x14ac:dyDescent="0.3">
      <c r="A821" s="119">
        <v>2017</v>
      </c>
      <c r="B821" s="119" t="s">
        <v>38</v>
      </c>
      <c r="C821" s="119" t="s">
        <v>88</v>
      </c>
      <c r="D821" s="119" t="s">
        <v>128</v>
      </c>
      <c r="E821" s="119" t="s">
        <v>98</v>
      </c>
      <c r="F821" s="119" t="s">
        <v>129</v>
      </c>
      <c r="G821" s="119" t="s">
        <v>129</v>
      </c>
      <c r="H821" s="119" t="s">
        <v>129</v>
      </c>
      <c r="I821" s="119" t="s">
        <v>170</v>
      </c>
      <c r="J821" s="119" t="s">
        <v>603</v>
      </c>
      <c r="K821" s="119" t="s">
        <v>883</v>
      </c>
      <c r="L821" s="119" t="s">
        <v>129</v>
      </c>
      <c r="M821" s="119" t="s">
        <v>46</v>
      </c>
      <c r="N821" s="136">
        <v>0.02</v>
      </c>
      <c r="O821" s="135" t="s">
        <v>51</v>
      </c>
      <c r="P821" s="135"/>
      <c r="Q821" s="137">
        <v>0</v>
      </c>
      <c r="R821" s="137">
        <v>0</v>
      </c>
      <c r="S821" s="137">
        <v>330000</v>
      </c>
      <c r="T821" s="137">
        <f t="shared" si="152"/>
        <v>6600</v>
      </c>
      <c r="U821" s="137">
        <f t="shared" si="156"/>
        <v>336600</v>
      </c>
      <c r="V821" s="137">
        <v>336600</v>
      </c>
      <c r="W821" s="137">
        <f t="shared" si="157"/>
        <v>0</v>
      </c>
      <c r="X821" s="137">
        <f t="shared" si="153"/>
        <v>0</v>
      </c>
      <c r="Y821" s="137">
        <f t="shared" si="158"/>
        <v>0</v>
      </c>
      <c r="Z821" s="137">
        <v>280487.8</v>
      </c>
      <c r="AA821" s="137">
        <f t="shared" si="154"/>
        <v>56112.200000000012</v>
      </c>
      <c r="AB821" s="146">
        <f t="shared" si="161"/>
        <v>274988.03921568627</v>
      </c>
      <c r="AC821" s="147">
        <f t="shared" si="155"/>
        <v>5499.760784313723</v>
      </c>
      <c r="AD821" s="137">
        <v>280487.8</v>
      </c>
      <c r="AE821" s="138">
        <v>0.1</v>
      </c>
      <c r="AF821" s="137">
        <f t="shared" si="162"/>
        <v>28048.78</v>
      </c>
      <c r="AG821" s="137">
        <v>0</v>
      </c>
      <c r="AH821" s="154"/>
      <c r="AI821" s="154"/>
      <c r="AJ821" s="135" t="s">
        <v>173</v>
      </c>
      <c r="AK821" s="119" t="s">
        <v>173</v>
      </c>
      <c r="AM821" s="119" t="s">
        <v>174</v>
      </c>
    </row>
    <row r="822" spans="1:39" s="119" customFormat="1" ht="15" customHeight="1" x14ac:dyDescent="0.3">
      <c r="A822" s="119">
        <v>2017</v>
      </c>
      <c r="B822" s="119" t="s">
        <v>38</v>
      </c>
      <c r="C822" s="119" t="s">
        <v>88</v>
      </c>
      <c r="D822" s="119" t="s">
        <v>128</v>
      </c>
      <c r="E822" s="119" t="s">
        <v>98</v>
      </c>
      <c r="F822" s="119" t="s">
        <v>129</v>
      </c>
      <c r="G822" s="119" t="s">
        <v>129</v>
      </c>
      <c r="H822" s="119" t="s">
        <v>129</v>
      </c>
      <c r="I822" s="119" t="s">
        <v>170</v>
      </c>
      <c r="J822" s="119" t="s">
        <v>865</v>
      </c>
      <c r="K822" s="119" t="s">
        <v>866</v>
      </c>
      <c r="L822" s="119" t="s">
        <v>129</v>
      </c>
      <c r="M822" s="119" t="s">
        <v>46</v>
      </c>
      <c r="N822" s="136">
        <v>0.02</v>
      </c>
      <c r="O822" s="135" t="s">
        <v>51</v>
      </c>
      <c r="P822" s="135"/>
      <c r="Q822" s="137">
        <v>0</v>
      </c>
      <c r="R822" s="137">
        <v>0</v>
      </c>
      <c r="S822" s="137">
        <v>220000</v>
      </c>
      <c r="T822" s="137">
        <f t="shared" si="152"/>
        <v>4400</v>
      </c>
      <c r="U822" s="137">
        <f t="shared" si="156"/>
        <v>224400</v>
      </c>
      <c r="V822" s="137">
        <v>224400</v>
      </c>
      <c r="W822" s="137">
        <f t="shared" si="157"/>
        <v>0</v>
      </c>
      <c r="X822" s="137">
        <f t="shared" si="153"/>
        <v>0</v>
      </c>
      <c r="Y822" s="137">
        <f t="shared" si="158"/>
        <v>0</v>
      </c>
      <c r="Z822" s="137">
        <v>157273.20000000001</v>
      </c>
      <c r="AA822" s="137">
        <f t="shared" si="154"/>
        <v>67126.799999999988</v>
      </c>
      <c r="AB822" s="146">
        <f t="shared" si="161"/>
        <v>154189.4117647059</v>
      </c>
      <c r="AC822" s="147">
        <f t="shared" si="155"/>
        <v>3083.7882352941087</v>
      </c>
      <c r="AD822" s="137">
        <f>Z822*0.972201473425119-Q822</f>
        <v>152901.23677028343</v>
      </c>
      <c r="AE822" s="138">
        <v>0.1</v>
      </c>
      <c r="AF822" s="137">
        <f t="shared" si="162"/>
        <v>15290.123677028343</v>
      </c>
      <c r="AG822" s="137">
        <v>35192.550980392203</v>
      </c>
      <c r="AH822" s="154"/>
      <c r="AI822" s="154"/>
      <c r="AJ822" s="136">
        <v>0.02</v>
      </c>
      <c r="AK822" s="156">
        <v>0.02</v>
      </c>
      <c r="AM822" s="119" t="s">
        <v>174</v>
      </c>
    </row>
    <row r="823" spans="1:39" s="119" customFormat="1" ht="15" customHeight="1" x14ac:dyDescent="0.3">
      <c r="A823" s="119">
        <v>2017</v>
      </c>
      <c r="B823" s="119" t="s">
        <v>38</v>
      </c>
      <c r="C823" s="119" t="s">
        <v>88</v>
      </c>
      <c r="D823" s="119" t="s">
        <v>128</v>
      </c>
      <c r="E823" s="119" t="s">
        <v>98</v>
      </c>
      <c r="F823" s="119" t="s">
        <v>855</v>
      </c>
      <c r="G823" s="119" t="s">
        <v>855</v>
      </c>
      <c r="H823" s="119" t="s">
        <v>855</v>
      </c>
      <c r="I823" s="119" t="s">
        <v>170</v>
      </c>
      <c r="J823" s="119" t="s">
        <v>171</v>
      </c>
      <c r="K823" s="119" t="s">
        <v>172</v>
      </c>
      <c r="L823" s="119" t="s">
        <v>855</v>
      </c>
      <c r="M823" s="119" t="s">
        <v>46</v>
      </c>
      <c r="N823" s="136">
        <v>0.04</v>
      </c>
      <c r="O823" s="135" t="s">
        <v>51</v>
      </c>
      <c r="P823" s="135"/>
      <c r="Q823" s="137">
        <v>0</v>
      </c>
      <c r="R823" s="137">
        <v>0</v>
      </c>
      <c r="S823" s="137">
        <v>547058.81999999995</v>
      </c>
      <c r="T823" s="137">
        <f t="shared" si="152"/>
        <v>21882.352799999997</v>
      </c>
      <c r="U823" s="137">
        <f t="shared" si="156"/>
        <v>568941.17279999994</v>
      </c>
      <c r="V823" s="137">
        <v>558000</v>
      </c>
      <c r="W823" s="137">
        <f t="shared" si="157"/>
        <v>10941.172799999942</v>
      </c>
      <c r="X823" s="137">
        <f t="shared" si="153"/>
        <v>10520.358461538406</v>
      </c>
      <c r="Y823" s="137">
        <f t="shared" si="158"/>
        <v>420.81433846153595</v>
      </c>
      <c r="Z823" s="137">
        <v>558000</v>
      </c>
      <c r="AA823" s="137">
        <f t="shared" si="154"/>
        <v>0</v>
      </c>
      <c r="AB823" s="146">
        <f t="shared" si="161"/>
        <v>536538.4615384615</v>
      </c>
      <c r="AC823" s="147">
        <f t="shared" si="155"/>
        <v>21461.538461538497</v>
      </c>
      <c r="AD823" s="137">
        <f>(Z823-Q823)*0.89807640489087</f>
        <v>501126.63392910548</v>
      </c>
      <c r="AE823" s="138">
        <v>0.11269173273981201</v>
      </c>
      <c r="AF823" s="137">
        <f t="shared" si="162"/>
        <v>56472.828699540361</v>
      </c>
      <c r="AG823" s="137">
        <v>28462.5616479571</v>
      </c>
      <c r="AH823" s="154"/>
      <c r="AI823" s="154"/>
      <c r="AJ823" s="136">
        <v>0.04</v>
      </c>
      <c r="AK823" s="156">
        <v>0.04</v>
      </c>
      <c r="AM823" s="131"/>
    </row>
    <row r="824" spans="1:39" s="119" customFormat="1" ht="15" customHeight="1" x14ac:dyDescent="0.3">
      <c r="A824" s="119">
        <v>2017</v>
      </c>
      <c r="B824" s="119" t="s">
        <v>38</v>
      </c>
      <c r="C824" s="119" t="s">
        <v>54</v>
      </c>
      <c r="D824" s="119" t="s">
        <v>102</v>
      </c>
      <c r="E824" s="119" t="s">
        <v>187</v>
      </c>
      <c r="F824" s="119" t="s">
        <v>387</v>
      </c>
      <c r="G824" s="119" t="s">
        <v>387</v>
      </c>
      <c r="H824" s="119" t="s">
        <v>387</v>
      </c>
      <c r="I824" s="131" t="s">
        <v>243</v>
      </c>
      <c r="J824" s="119" t="s">
        <v>244</v>
      </c>
      <c r="K824" s="119" t="s">
        <v>245</v>
      </c>
      <c r="L824" s="119" t="s">
        <v>388</v>
      </c>
      <c r="M824" s="119" t="s">
        <v>46</v>
      </c>
      <c r="N824" s="135">
        <v>0</v>
      </c>
      <c r="O824" s="135" t="s">
        <v>47</v>
      </c>
      <c r="P824" s="135"/>
      <c r="Q824" s="137">
        <v>0</v>
      </c>
      <c r="R824" s="137">
        <v>0</v>
      </c>
      <c r="S824" s="137">
        <v>640000</v>
      </c>
      <c r="T824" s="137">
        <f t="shared" si="152"/>
        <v>0</v>
      </c>
      <c r="U824" s="137">
        <f t="shared" si="156"/>
        <v>640000</v>
      </c>
      <c r="V824" s="137">
        <v>512000</v>
      </c>
      <c r="W824" s="137">
        <f t="shared" si="157"/>
        <v>128000</v>
      </c>
      <c r="X824" s="137">
        <f t="shared" si="153"/>
        <v>128000</v>
      </c>
      <c r="Y824" s="137">
        <f t="shared" si="158"/>
        <v>0</v>
      </c>
      <c r="Z824" s="137">
        <v>584390.80000000005</v>
      </c>
      <c r="AA824" s="137">
        <f t="shared" si="154"/>
        <v>-72390.800000000047</v>
      </c>
      <c r="AB824" s="146">
        <f t="shared" si="161"/>
        <v>584390.80000000005</v>
      </c>
      <c r="AC824" s="147">
        <f t="shared" si="155"/>
        <v>0</v>
      </c>
      <c r="AD824" s="137">
        <v>489875.84484820499</v>
      </c>
      <c r="AE824" s="138">
        <v>0.17647058823529399</v>
      </c>
      <c r="AF824" s="137">
        <f t="shared" si="162"/>
        <v>86448.678502624345</v>
      </c>
      <c r="AG824" s="137">
        <f>AB824-Z824+AF824</f>
        <v>86448.678502624345</v>
      </c>
      <c r="AH824" s="154"/>
      <c r="AI824" s="154"/>
      <c r="AJ824" s="135" t="s">
        <v>47</v>
      </c>
      <c r="AK824" s="119" t="s">
        <v>47</v>
      </c>
      <c r="AM824" s="131"/>
    </row>
    <row r="825" spans="1:39" s="119" customFormat="1" ht="15" customHeight="1" x14ac:dyDescent="0.3">
      <c r="A825" s="119">
        <v>2017</v>
      </c>
      <c r="B825" s="119" t="s">
        <v>38</v>
      </c>
      <c r="C825" s="119" t="s">
        <v>88</v>
      </c>
      <c r="D825" s="119" t="s">
        <v>128</v>
      </c>
      <c r="E825" s="119" t="s">
        <v>124</v>
      </c>
      <c r="F825" s="119" t="s">
        <v>169</v>
      </c>
      <c r="G825" s="119" t="s">
        <v>169</v>
      </c>
      <c r="H825" s="119" t="s">
        <v>169</v>
      </c>
      <c r="I825" s="119" t="s">
        <v>170</v>
      </c>
      <c r="J825" s="119" t="s">
        <v>171</v>
      </c>
      <c r="K825" s="119" t="s">
        <v>172</v>
      </c>
      <c r="L825" s="119" t="s">
        <v>169</v>
      </c>
      <c r="M825" s="119" t="s">
        <v>160</v>
      </c>
      <c r="N825" s="136">
        <v>0.02</v>
      </c>
      <c r="O825" s="135" t="s">
        <v>51</v>
      </c>
      <c r="P825" s="135"/>
      <c r="Q825" s="137">
        <v>0</v>
      </c>
      <c r="R825" s="137">
        <v>0</v>
      </c>
      <c r="S825" s="137">
        <v>242735.29</v>
      </c>
      <c r="T825" s="137">
        <f t="shared" si="152"/>
        <v>4854.7058000000006</v>
      </c>
      <c r="U825" s="137">
        <f t="shared" si="156"/>
        <v>247589.9958</v>
      </c>
      <c r="V825" s="137">
        <v>246390</v>
      </c>
      <c r="W825" s="137">
        <f t="shared" si="157"/>
        <v>1199.9958000000042</v>
      </c>
      <c r="X825" s="137">
        <f t="shared" si="153"/>
        <v>1176.4664705882394</v>
      </c>
      <c r="Y825" s="137">
        <f t="shared" si="158"/>
        <v>23.52932941176482</v>
      </c>
      <c r="Z825" s="137">
        <v>246390</v>
      </c>
      <c r="AA825" s="137">
        <f t="shared" si="154"/>
        <v>0</v>
      </c>
      <c r="AB825" s="146">
        <f t="shared" si="161"/>
        <v>241558.82352941175</v>
      </c>
      <c r="AC825" s="147">
        <f t="shared" si="155"/>
        <v>4831.1764705882524</v>
      </c>
      <c r="AD825" s="137">
        <f>(Z825-Q825)*0.826045217867759</f>
        <v>203529.28123043713</v>
      </c>
      <c r="AE825" s="138">
        <v>0.11269173273981201</v>
      </c>
      <c r="AF825" s="137">
        <f t="shared" si="162"/>
        <v>22936.067365146457</v>
      </c>
      <c r="AG825" s="137">
        <v>17213.266228298198</v>
      </c>
      <c r="AH825" s="154"/>
      <c r="AI825" s="154"/>
      <c r="AJ825" s="135" t="s">
        <v>173</v>
      </c>
      <c r="AK825" s="119" t="s">
        <v>173</v>
      </c>
      <c r="AM825" s="131"/>
    </row>
    <row r="826" spans="1:39" s="119" customFormat="1" ht="15" customHeight="1" x14ac:dyDescent="0.3">
      <c r="A826" s="119">
        <v>2017</v>
      </c>
      <c r="B826" s="119" t="s">
        <v>38</v>
      </c>
      <c r="C826" s="119" t="s">
        <v>88</v>
      </c>
      <c r="D826" s="119" t="s">
        <v>128</v>
      </c>
      <c r="E826" s="119" t="s">
        <v>277</v>
      </c>
      <c r="F826" s="119" t="s">
        <v>596</v>
      </c>
      <c r="G826" s="119" t="s">
        <v>596</v>
      </c>
      <c r="H826" s="119" t="s">
        <v>596</v>
      </c>
      <c r="I826" s="119" t="s">
        <v>170</v>
      </c>
      <c r="J826" s="119" t="s">
        <v>171</v>
      </c>
      <c r="K826" s="119" t="s">
        <v>172</v>
      </c>
      <c r="L826" s="119" t="s">
        <v>278</v>
      </c>
      <c r="M826" s="119" t="s">
        <v>46</v>
      </c>
      <c r="N826" s="136">
        <v>0.04</v>
      </c>
      <c r="O826" s="135" t="s">
        <v>51</v>
      </c>
      <c r="P826" s="135"/>
      <c r="Q826" s="137">
        <v>60936.6</v>
      </c>
      <c r="R826" s="137">
        <v>0</v>
      </c>
      <c r="S826" s="137">
        <v>237596.92</v>
      </c>
      <c r="T826" s="137">
        <f t="shared" si="152"/>
        <v>9503.8768</v>
      </c>
      <c r="U826" s="137">
        <f t="shared" si="156"/>
        <v>247100.79680000001</v>
      </c>
      <c r="V826" s="137">
        <v>247100</v>
      </c>
      <c r="W826" s="137">
        <f t="shared" si="157"/>
        <v>0.79680000001098961</v>
      </c>
      <c r="X826" s="137">
        <f t="shared" si="153"/>
        <v>0.76615384616441307</v>
      </c>
      <c r="Y826" s="137">
        <f t="shared" si="158"/>
        <v>3.064615384657654E-2</v>
      </c>
      <c r="Z826" s="137">
        <v>286122.3</v>
      </c>
      <c r="AA826" s="137">
        <f t="shared" si="154"/>
        <v>21914.299999999988</v>
      </c>
      <c r="AB826" s="146">
        <f>IF(O826="返货",(Z826-Q826)/(1+N826),IF(O826="返现",(Z826-Q826),IF(O826="折扣",(Z826-Q826)*N826,IF(O826="无",(Z826-Q826)))))</f>
        <v>216524.7115384615</v>
      </c>
      <c r="AC826" s="147">
        <f t="shared" si="155"/>
        <v>69597.588461538486</v>
      </c>
      <c r="AD826" s="137">
        <f>(Z826-Q826)*0.89807640489087</f>
        <v>202233.96388883397</v>
      </c>
      <c r="AE826" s="138">
        <v>0.11269173273981201</v>
      </c>
      <c r="AF826" s="137">
        <f t="shared" si="162"/>
        <v>22790.09580947327</v>
      </c>
      <c r="AG826" s="137">
        <v>14594.576348754999</v>
      </c>
      <c r="AH826" s="154"/>
      <c r="AI826" s="154"/>
      <c r="AJ826" s="136">
        <v>0.04</v>
      </c>
      <c r="AK826" s="156">
        <v>0.04</v>
      </c>
      <c r="AM826" s="131"/>
    </row>
    <row r="827" spans="1:39" s="119" customFormat="1" ht="15" customHeight="1" x14ac:dyDescent="0.3">
      <c r="A827" s="119">
        <v>2017</v>
      </c>
      <c r="B827" s="119" t="s">
        <v>38</v>
      </c>
      <c r="C827" s="119" t="s">
        <v>88</v>
      </c>
      <c r="D827" s="119" t="s">
        <v>128</v>
      </c>
      <c r="E827" s="119" t="s">
        <v>277</v>
      </c>
      <c r="F827" s="119" t="s">
        <v>885</v>
      </c>
      <c r="G827" s="119" t="s">
        <v>885</v>
      </c>
      <c r="H827" s="119" t="s">
        <v>885</v>
      </c>
      <c r="I827" s="119" t="s">
        <v>170</v>
      </c>
      <c r="J827" s="119" t="s">
        <v>865</v>
      </c>
      <c r="K827" s="119" t="s">
        <v>866</v>
      </c>
      <c r="L827" s="119" t="s">
        <v>885</v>
      </c>
      <c r="M827" s="119" t="s">
        <v>46</v>
      </c>
      <c r="N827" s="136">
        <v>0.02</v>
      </c>
      <c r="O827" s="135" t="s">
        <v>51</v>
      </c>
      <c r="P827" s="135"/>
      <c r="Q827" s="137">
        <v>53145.9681539999</v>
      </c>
      <c r="R827" s="137">
        <v>0</v>
      </c>
      <c r="S827" s="137">
        <v>665000</v>
      </c>
      <c r="T827" s="137">
        <f t="shared" si="152"/>
        <v>13300</v>
      </c>
      <c r="U827" s="137">
        <f t="shared" si="156"/>
        <v>678300</v>
      </c>
      <c r="V827" s="137">
        <v>678300</v>
      </c>
      <c r="W827" s="137">
        <f t="shared" si="157"/>
        <v>0</v>
      </c>
      <c r="X827" s="137">
        <f t="shared" si="153"/>
        <v>0</v>
      </c>
      <c r="Y827" s="137">
        <f t="shared" si="158"/>
        <v>0</v>
      </c>
      <c r="Z827" s="137">
        <v>574562.19999999995</v>
      </c>
      <c r="AA827" s="137">
        <f t="shared" si="154"/>
        <v>156883.76815399993</v>
      </c>
      <c r="AB827" s="146">
        <f>(Z827-Q827)/1.02+50981.97/1.02</f>
        <v>561174.7076921569</v>
      </c>
      <c r="AC827" s="147">
        <f t="shared" si="155"/>
        <v>13387.492307843058</v>
      </c>
      <c r="AD827" s="137">
        <f>Z827*0.972201473425119-Q827</f>
        <v>505444.24926037795</v>
      </c>
      <c r="AE827" s="138">
        <v>0.1</v>
      </c>
      <c r="AF827" s="137">
        <f t="shared" si="162"/>
        <v>50544.424926037798</v>
      </c>
      <c r="AG827" s="137">
        <v>54569.552941176502</v>
      </c>
      <c r="AH827" s="154"/>
      <c r="AI827" s="154"/>
      <c r="AJ827" s="136">
        <v>0.02</v>
      </c>
      <c r="AK827" s="156">
        <v>0.02</v>
      </c>
      <c r="AM827" s="119" t="s">
        <v>174</v>
      </c>
    </row>
    <row r="828" spans="1:39" s="119" customFormat="1" ht="15" customHeight="1" x14ac:dyDescent="0.3">
      <c r="A828" s="119">
        <v>2017</v>
      </c>
      <c r="B828" s="119" t="s">
        <v>38</v>
      </c>
      <c r="C828" s="119" t="s">
        <v>88</v>
      </c>
      <c r="D828" s="119" t="s">
        <v>128</v>
      </c>
      <c r="E828" s="119" t="s">
        <v>277</v>
      </c>
      <c r="F828" s="119" t="s">
        <v>885</v>
      </c>
      <c r="G828" s="119" t="s">
        <v>885</v>
      </c>
      <c r="H828" s="119" t="s">
        <v>885</v>
      </c>
      <c r="I828" s="119" t="s">
        <v>170</v>
      </c>
      <c r="J828" s="119" t="s">
        <v>865</v>
      </c>
      <c r="K828" s="119" t="s">
        <v>866</v>
      </c>
      <c r="L828" s="119" t="s">
        <v>885</v>
      </c>
      <c r="M828" s="119" t="s">
        <v>185</v>
      </c>
      <c r="N828" s="136">
        <v>0.04</v>
      </c>
      <c r="O828" s="135" t="s">
        <v>51</v>
      </c>
      <c r="P828" s="135"/>
      <c r="Q828" s="137">
        <v>0</v>
      </c>
      <c r="R828" s="137">
        <v>0</v>
      </c>
      <c r="S828" s="137">
        <v>145000</v>
      </c>
      <c r="T828" s="137">
        <f t="shared" si="152"/>
        <v>5800</v>
      </c>
      <c r="U828" s="137">
        <f t="shared" si="156"/>
        <v>150800</v>
      </c>
      <c r="V828" s="137">
        <v>150800</v>
      </c>
      <c r="W828" s="137">
        <f t="shared" si="157"/>
        <v>0</v>
      </c>
      <c r="X828" s="137">
        <f t="shared" si="153"/>
        <v>0</v>
      </c>
      <c r="Y828" s="137">
        <f t="shared" si="158"/>
        <v>0</v>
      </c>
      <c r="Z828" s="137">
        <v>126574.79</v>
      </c>
      <c r="AA828" s="137">
        <f t="shared" si="154"/>
        <v>24225.210000000006</v>
      </c>
      <c r="AB828" s="146">
        <f>Z828/1.04+489.21/1.04</f>
        <v>122176.92307692306</v>
      </c>
      <c r="AC828" s="147">
        <f t="shared" si="155"/>
        <v>4397.8669230769301</v>
      </c>
      <c r="AD828" s="137">
        <f>Z828</f>
        <v>126574.79</v>
      </c>
      <c r="AE828" s="138">
        <v>0.1</v>
      </c>
      <c r="AF828" s="137">
        <f t="shared" si="162"/>
        <v>12657.478999999999</v>
      </c>
      <c r="AG828" s="137">
        <v>9249.89416246154</v>
      </c>
      <c r="AH828" s="154"/>
      <c r="AI828" s="154"/>
      <c r="AJ828" s="136">
        <v>0.04</v>
      </c>
      <c r="AK828" s="156">
        <v>0.04</v>
      </c>
      <c r="AM828" s="119" t="s">
        <v>174</v>
      </c>
    </row>
    <row r="829" spans="1:39" s="119" customFormat="1" ht="15" customHeight="1" x14ac:dyDescent="0.3">
      <c r="A829" s="119">
        <v>2017</v>
      </c>
      <c r="B829" s="119" t="s">
        <v>38</v>
      </c>
      <c r="C829" s="119" t="s">
        <v>88</v>
      </c>
      <c r="D829" s="119" t="s">
        <v>128</v>
      </c>
      <c r="E829" s="119" t="s">
        <v>277</v>
      </c>
      <c r="F829" s="119" t="s">
        <v>599</v>
      </c>
      <c r="G829" s="119" t="s">
        <v>599</v>
      </c>
      <c r="H829" s="119" t="s">
        <v>599</v>
      </c>
      <c r="I829" s="119" t="s">
        <v>170</v>
      </c>
      <c r="J829" s="119" t="s">
        <v>171</v>
      </c>
      <c r="K829" s="119" t="s">
        <v>172</v>
      </c>
      <c r="L829" s="119" t="s">
        <v>599</v>
      </c>
      <c r="M829" s="119" t="s">
        <v>46</v>
      </c>
      <c r="N829" s="136">
        <v>0.02</v>
      </c>
      <c r="O829" s="135" t="s">
        <v>51</v>
      </c>
      <c r="P829" s="135"/>
      <c r="Q829" s="137">
        <v>0</v>
      </c>
      <c r="R829" s="137">
        <v>0</v>
      </c>
      <c r="S829" s="137">
        <v>10000</v>
      </c>
      <c r="T829" s="137">
        <f t="shared" si="152"/>
        <v>200</v>
      </c>
      <c r="U829" s="137">
        <f t="shared" si="156"/>
        <v>10200</v>
      </c>
      <c r="V829" s="137">
        <v>10200</v>
      </c>
      <c r="W829" s="137">
        <f t="shared" si="157"/>
        <v>0</v>
      </c>
      <c r="X829" s="137">
        <f t="shared" si="153"/>
        <v>0</v>
      </c>
      <c r="Y829" s="137">
        <f t="shared" si="158"/>
        <v>0</v>
      </c>
      <c r="Z829" s="137">
        <v>10199.5</v>
      </c>
      <c r="AA829" s="137">
        <f t="shared" si="154"/>
        <v>0.5</v>
      </c>
      <c r="AB829" s="146">
        <f>IF(O829="返货",Z829/(1+N829),IF(O829="返现",Z829,IF(O829="折扣",Z829*N829,IF(O829="无",Z829))))</f>
        <v>9999.5098039215682</v>
      </c>
      <c r="AC829" s="147">
        <f t="shared" si="155"/>
        <v>199.99019607843184</v>
      </c>
      <c r="AD829" s="137">
        <f>(Z829-Q829)*0.89807640489087</f>
        <v>9159.9302916844281</v>
      </c>
      <c r="AE829" s="138">
        <v>0.11269173273981201</v>
      </c>
      <c r="AF829" s="137">
        <f t="shared" si="162"/>
        <v>1032.2484163458098</v>
      </c>
      <c r="AG829" s="137">
        <v>712.55614633518996</v>
      </c>
      <c r="AH829" s="154"/>
      <c r="AI829" s="154"/>
      <c r="AJ829" s="136">
        <v>0.02</v>
      </c>
      <c r="AK829" s="156">
        <v>0.02</v>
      </c>
    </row>
    <row r="830" spans="1:39" s="119" customFormat="1" ht="15" customHeight="1" x14ac:dyDescent="0.3">
      <c r="A830" s="119">
        <v>2017</v>
      </c>
      <c r="B830" s="119" t="s">
        <v>38</v>
      </c>
      <c r="C830" s="119" t="s">
        <v>88</v>
      </c>
      <c r="D830" s="119" t="s">
        <v>128</v>
      </c>
      <c r="E830" s="119" t="s">
        <v>277</v>
      </c>
      <c r="F830" s="119" t="s">
        <v>886</v>
      </c>
      <c r="G830" s="119" t="s">
        <v>886</v>
      </c>
      <c r="H830" s="119" t="s">
        <v>886</v>
      </c>
      <c r="I830" s="119" t="s">
        <v>170</v>
      </c>
      <c r="J830" s="119" t="s">
        <v>865</v>
      </c>
      <c r="K830" s="119" t="s">
        <v>866</v>
      </c>
      <c r="L830" s="119" t="s">
        <v>886</v>
      </c>
      <c r="M830" s="119" t="s">
        <v>46</v>
      </c>
      <c r="N830" s="136">
        <v>0.02</v>
      </c>
      <c r="O830" s="135" t="s">
        <v>51</v>
      </c>
      <c r="P830" s="135"/>
      <c r="Q830" s="137">
        <v>0</v>
      </c>
      <c r="R830" s="137">
        <v>0</v>
      </c>
      <c r="S830" s="137">
        <v>140000</v>
      </c>
      <c r="T830" s="137">
        <f t="shared" si="152"/>
        <v>2800</v>
      </c>
      <c r="U830" s="137">
        <f t="shared" si="156"/>
        <v>142800</v>
      </c>
      <c r="V830" s="137">
        <v>142800</v>
      </c>
      <c r="W830" s="137">
        <f t="shared" si="157"/>
        <v>0</v>
      </c>
      <c r="X830" s="137">
        <f t="shared" si="153"/>
        <v>0</v>
      </c>
      <c r="Y830" s="137">
        <f t="shared" si="158"/>
        <v>0</v>
      </c>
      <c r="Z830" s="137">
        <v>130247.1</v>
      </c>
      <c r="AA830" s="137">
        <f t="shared" si="154"/>
        <v>12552.899999999994</v>
      </c>
      <c r="AB830" s="146">
        <f>IF(O830="返货",Z830/(1+N830),IF(O830="返现",Z830,IF(O830="折扣",Z830*N830,IF(O830="无",Z830))))</f>
        <v>127693.23529411765</v>
      </c>
      <c r="AC830" s="147">
        <f t="shared" si="155"/>
        <v>2553.8647058823553</v>
      </c>
      <c r="AD830" s="137">
        <f>Z830*0.972201473425119-Q830</f>
        <v>126626.42252934881</v>
      </c>
      <c r="AE830" s="138">
        <v>0.1</v>
      </c>
      <c r="AF830" s="137">
        <f t="shared" si="162"/>
        <v>12662.642252934882</v>
      </c>
      <c r="AG830" s="137">
        <v>11301.5856862745</v>
      </c>
      <c r="AH830" s="154"/>
      <c r="AI830" s="154"/>
      <c r="AJ830" s="136">
        <v>0.02</v>
      </c>
      <c r="AK830" s="156">
        <v>0.02</v>
      </c>
      <c r="AM830" s="119" t="s">
        <v>174</v>
      </c>
    </row>
    <row r="831" spans="1:39" s="119" customFormat="1" ht="15" customHeight="1" x14ac:dyDescent="0.3">
      <c r="A831" s="119">
        <v>2017</v>
      </c>
      <c r="B831" s="119" t="s">
        <v>38</v>
      </c>
      <c r="C831" s="119" t="s">
        <v>54</v>
      </c>
      <c r="D831" s="119" t="s">
        <v>102</v>
      </c>
      <c r="E831" s="119" t="s">
        <v>187</v>
      </c>
      <c r="F831" s="119" t="s">
        <v>527</v>
      </c>
      <c r="G831" s="119" t="s">
        <v>527</v>
      </c>
      <c r="H831" s="119" t="s">
        <v>527</v>
      </c>
      <c r="I831" s="131" t="s">
        <v>243</v>
      </c>
      <c r="J831" s="119" t="s">
        <v>244</v>
      </c>
      <c r="K831" s="119" t="s">
        <v>245</v>
      </c>
      <c r="L831" s="119" t="s">
        <v>1647</v>
      </c>
      <c r="M831" s="119" t="s">
        <v>46</v>
      </c>
      <c r="N831" s="136">
        <v>0.98</v>
      </c>
      <c r="O831" s="135" t="s">
        <v>259</v>
      </c>
      <c r="P831" s="135"/>
      <c r="Q831" s="137">
        <v>0</v>
      </c>
      <c r="R831" s="137">
        <v>0</v>
      </c>
      <c r="S831" s="137">
        <v>509651.27</v>
      </c>
      <c r="T831" s="137">
        <f t="shared" si="152"/>
        <v>499458.24460000003</v>
      </c>
      <c r="U831" s="137">
        <f t="shared" si="156"/>
        <v>1009109.5146000001</v>
      </c>
      <c r="V831" s="137">
        <v>292001</v>
      </c>
      <c r="W831" s="137">
        <f t="shared" si="157"/>
        <v>717108.51460000011</v>
      </c>
      <c r="X831" s="137">
        <f t="shared" si="153"/>
        <v>362176.01747474755</v>
      </c>
      <c r="Y831" s="137">
        <f t="shared" si="158"/>
        <v>354932.49712525256</v>
      </c>
      <c r="Z831" s="137">
        <v>35000</v>
      </c>
      <c r="AA831" s="137">
        <f t="shared" si="154"/>
        <v>257001</v>
      </c>
      <c r="AB831" s="146">
        <v>31665.850000000006</v>
      </c>
      <c r="AC831" s="147">
        <f t="shared" si="155"/>
        <v>3334.1499999999942</v>
      </c>
      <c r="AD831" s="137">
        <v>290997.37129124597</v>
      </c>
      <c r="AE831" s="138">
        <v>0.17647058823529399</v>
      </c>
      <c r="AF831" s="137">
        <f t="shared" si="162"/>
        <v>51352.477286690431</v>
      </c>
      <c r="AG831" s="137">
        <f>AB831-Z831+AF831</f>
        <v>48018.327286690437</v>
      </c>
      <c r="AH831" s="154"/>
      <c r="AI831" s="154"/>
      <c r="AJ831" s="135" t="s">
        <v>559</v>
      </c>
      <c r="AK831" s="119" t="s">
        <v>559</v>
      </c>
      <c r="AM831" s="131"/>
    </row>
    <row r="832" spans="1:39" s="119" customFormat="1" ht="15" customHeight="1" x14ac:dyDescent="0.3">
      <c r="A832" s="119">
        <v>2017</v>
      </c>
      <c r="B832" s="119" t="s">
        <v>38</v>
      </c>
      <c r="C832" s="119" t="s">
        <v>75</v>
      </c>
      <c r="D832" s="119" t="s">
        <v>76</v>
      </c>
      <c r="E832" s="119" t="s">
        <v>175</v>
      </c>
      <c r="F832" s="119" t="s">
        <v>176</v>
      </c>
      <c r="G832" s="119" t="s">
        <v>176</v>
      </c>
      <c r="H832" s="119" t="s">
        <v>176</v>
      </c>
      <c r="I832" s="119" t="s">
        <v>165</v>
      </c>
      <c r="J832" s="119" t="s">
        <v>44</v>
      </c>
      <c r="K832" s="119" t="s">
        <v>166</v>
      </c>
      <c r="L832" s="119" t="s">
        <v>177</v>
      </c>
      <c r="M832" s="137" t="s">
        <v>185</v>
      </c>
      <c r="N832" s="135">
        <v>0</v>
      </c>
      <c r="O832" s="135" t="s">
        <v>47</v>
      </c>
      <c r="P832" s="135"/>
      <c r="Q832" s="137">
        <f>Z832-V832</f>
        <v>109115.89045454501</v>
      </c>
      <c r="R832" s="137">
        <v>0</v>
      </c>
      <c r="S832" s="137">
        <v>100000</v>
      </c>
      <c r="T832" s="137">
        <f t="shared" si="152"/>
        <v>0</v>
      </c>
      <c r="U832" s="137">
        <f t="shared" si="156"/>
        <v>100000</v>
      </c>
      <c r="V832" s="137">
        <v>100000</v>
      </c>
      <c r="W832" s="137">
        <f t="shared" si="157"/>
        <v>0</v>
      </c>
      <c r="X832" s="137">
        <f t="shared" si="153"/>
        <v>0</v>
      </c>
      <c r="Y832" s="137">
        <f t="shared" si="158"/>
        <v>0</v>
      </c>
      <c r="Z832" s="137">
        <v>209115.89045454501</v>
      </c>
      <c r="AA832" s="137">
        <f t="shared" si="154"/>
        <v>0</v>
      </c>
      <c r="AB832" s="146">
        <f>IF(O832="返货",(Z832-Q832)/(1+N832),IF(O832="返现",(Z832-Q832),IF(O832="折扣",(Z832-Q832)*N832,IF(O832="无",(Z832-Q832)))))</f>
        <v>100000</v>
      </c>
      <c r="AC832" s="147">
        <f t="shared" si="155"/>
        <v>109115.89045454501</v>
      </c>
      <c r="AD832" s="137">
        <f>209115.890454545-Q832</f>
        <v>100000</v>
      </c>
      <c r="AE832" s="135">
        <v>0</v>
      </c>
      <c r="AF832" s="137">
        <f t="shared" si="162"/>
        <v>0</v>
      </c>
      <c r="AG832" s="137">
        <v>9957.8995454545693</v>
      </c>
      <c r="AH832" s="137"/>
      <c r="AI832" s="137"/>
      <c r="AJ832" s="155">
        <v>0</v>
      </c>
      <c r="AK832" s="164">
        <v>0</v>
      </c>
    </row>
    <row r="833" spans="1:39" s="119" customFormat="1" ht="15" customHeight="1" x14ac:dyDescent="0.3">
      <c r="A833" s="119">
        <v>2017</v>
      </c>
      <c r="B833" s="119" t="s">
        <v>38</v>
      </c>
      <c r="C833" s="119" t="s">
        <v>88</v>
      </c>
      <c r="D833" s="119" t="s">
        <v>128</v>
      </c>
      <c r="E833" s="119" t="s">
        <v>194</v>
      </c>
      <c r="F833" s="119" t="s">
        <v>169</v>
      </c>
      <c r="G833" s="119" t="s">
        <v>169</v>
      </c>
      <c r="H833" s="119" t="s">
        <v>169</v>
      </c>
      <c r="I833" s="119" t="s">
        <v>170</v>
      </c>
      <c r="J833" s="119" t="s">
        <v>171</v>
      </c>
      <c r="K833" s="119" t="s">
        <v>172</v>
      </c>
      <c r="L833" s="119" t="s">
        <v>169</v>
      </c>
      <c r="M833" s="119" t="s">
        <v>185</v>
      </c>
      <c r="N833" s="136">
        <v>0.04</v>
      </c>
      <c r="O833" s="135" t="s">
        <v>51</v>
      </c>
      <c r="P833" s="135"/>
      <c r="Q833" s="137">
        <v>0</v>
      </c>
      <c r="R833" s="137">
        <v>0</v>
      </c>
      <c r="S833" s="137">
        <v>20000</v>
      </c>
      <c r="T833" s="137">
        <f t="shared" si="152"/>
        <v>800</v>
      </c>
      <c r="U833" s="137">
        <f t="shared" si="156"/>
        <v>20800</v>
      </c>
      <c r="V833" s="137">
        <v>20800</v>
      </c>
      <c r="W833" s="137">
        <f t="shared" si="157"/>
        <v>0</v>
      </c>
      <c r="X833" s="137">
        <f t="shared" si="153"/>
        <v>0</v>
      </c>
      <c r="Y833" s="137">
        <f t="shared" si="158"/>
        <v>0</v>
      </c>
      <c r="Z833" s="137">
        <v>17944.03</v>
      </c>
      <c r="AA833" s="137">
        <f t="shared" si="154"/>
        <v>2855.9700000000012</v>
      </c>
      <c r="AB833" s="146">
        <f t="shared" ref="AB833:AB845" si="163">IF(O833="返货",Z833/(1+N833),IF(O833="返现",Z833,IF(O833="折扣",Z833*N833,IF(O833="无",Z833))))</f>
        <v>17253.875</v>
      </c>
      <c r="AC833" s="147">
        <f t="shared" si="155"/>
        <v>690.15499999999884</v>
      </c>
      <c r="AD833" s="137">
        <f>(Z833-Q833)*0.91072157793815</f>
        <v>16342.015316169502</v>
      </c>
      <c r="AE833" s="138">
        <v>0.11269173273981201</v>
      </c>
      <c r="AF833" s="137">
        <f t="shared" si="162"/>
        <v>1841.6100224396878</v>
      </c>
      <c r="AG833" s="137">
        <v>915.29222237955901</v>
      </c>
      <c r="AH833" s="154"/>
      <c r="AI833" s="154"/>
      <c r="AJ833" s="135" t="s">
        <v>186</v>
      </c>
      <c r="AK833" s="119" t="s">
        <v>186</v>
      </c>
    </row>
    <row r="834" spans="1:39" s="119" customFormat="1" ht="15" customHeight="1" x14ac:dyDescent="0.3">
      <c r="A834" s="119">
        <v>2017</v>
      </c>
      <c r="B834" s="119" t="s">
        <v>38</v>
      </c>
      <c r="C834" s="119" t="s">
        <v>59</v>
      </c>
      <c r="D834" s="119" t="s">
        <v>181</v>
      </c>
      <c r="E834" s="119" t="s">
        <v>67</v>
      </c>
      <c r="F834" s="119" t="s">
        <v>350</v>
      </c>
      <c r="G834" s="119" t="s">
        <v>350</v>
      </c>
      <c r="H834" s="119" t="s">
        <v>350</v>
      </c>
      <c r="I834" s="119" t="s">
        <v>170</v>
      </c>
      <c r="J834" s="119" t="s">
        <v>171</v>
      </c>
      <c r="K834" s="119" t="s">
        <v>172</v>
      </c>
      <c r="L834" s="119" t="s">
        <v>738</v>
      </c>
      <c r="M834" s="119" t="s">
        <v>46</v>
      </c>
      <c r="N834" s="136">
        <v>0.02</v>
      </c>
      <c r="O834" s="135" t="s">
        <v>51</v>
      </c>
      <c r="P834" s="135"/>
      <c r="Q834" s="142">
        <v>88483</v>
      </c>
      <c r="R834" s="137">
        <v>0</v>
      </c>
      <c r="S834" s="137">
        <v>2700000</v>
      </c>
      <c r="T834" s="137">
        <f t="shared" ref="T834:T897" si="164">S834*N834</f>
        <v>54000</v>
      </c>
      <c r="U834" s="137">
        <f t="shared" si="156"/>
        <v>2754000</v>
      </c>
      <c r="V834" s="137">
        <v>2740301.54</v>
      </c>
      <c r="W834" s="137">
        <f t="shared" si="157"/>
        <v>13698.459999999963</v>
      </c>
      <c r="X834" s="137">
        <f t="shared" ref="X834:X897" si="165">W834/(1+N834)</f>
        <v>13429.862745098002</v>
      </c>
      <c r="Y834" s="137">
        <f t="shared" si="158"/>
        <v>268.5972549019607</v>
      </c>
      <c r="Z834" s="137">
        <v>2786853.5</v>
      </c>
      <c r="AA834" s="137">
        <f t="shared" ref="AA834:AA897" si="166">Q834+V834-Z834</f>
        <v>41931.040000000037</v>
      </c>
      <c r="AB834" s="146">
        <f>IF(O834="返货",(Z834-Q834)/(1+N834),IF(O834="返现",(Z834-Q834),IF(O834="折扣",(Z834-Q834)*N834,IF(O834="无",(Z834-Q834)))))</f>
        <v>2645461.2745098039</v>
      </c>
      <c r="AC834" s="147">
        <f t="shared" ref="AC834:AC897" si="167">IF(O834="返现",Z834*N834,Z834-AB834)</f>
        <v>141392.22549019614</v>
      </c>
      <c r="AD834" s="137">
        <f>(Z834-Q834)*0.89807640489087</f>
        <v>2423342.8777035796</v>
      </c>
      <c r="AE834" s="138">
        <v>0.11269173273981201</v>
      </c>
      <c r="AF834" s="137">
        <f t="shared" si="162"/>
        <v>273090.70791109873</v>
      </c>
      <c r="AG834" s="137">
        <v>194694.797819573</v>
      </c>
      <c r="AH834" s="154"/>
      <c r="AI834" s="154"/>
      <c r="AJ834" s="135" t="s">
        <v>173</v>
      </c>
      <c r="AK834" s="119" t="s">
        <v>173</v>
      </c>
    </row>
    <row r="835" spans="1:39" s="119" customFormat="1" ht="15" customHeight="1" x14ac:dyDescent="0.3">
      <c r="A835" s="119">
        <v>2017</v>
      </c>
      <c r="B835" s="119" t="s">
        <v>38</v>
      </c>
      <c r="C835" s="119" t="s">
        <v>59</v>
      </c>
      <c r="D835" s="119" t="s">
        <v>106</v>
      </c>
      <c r="E835" s="119" t="s">
        <v>239</v>
      </c>
      <c r="F835" s="119" t="s">
        <v>240</v>
      </c>
      <c r="G835" s="119" t="s">
        <v>240</v>
      </c>
      <c r="H835" s="119" t="s">
        <v>240</v>
      </c>
      <c r="I835" s="119" t="s">
        <v>227</v>
      </c>
      <c r="J835" s="119" t="s">
        <v>228</v>
      </c>
      <c r="K835" s="119" t="s">
        <v>229</v>
      </c>
      <c r="L835" s="119" t="s">
        <v>240</v>
      </c>
      <c r="M835" s="137" t="s">
        <v>185</v>
      </c>
      <c r="N835" s="136">
        <v>0.08</v>
      </c>
      <c r="O835" s="135" t="s">
        <v>51</v>
      </c>
      <c r="P835" s="135"/>
      <c r="Q835" s="137">
        <v>0</v>
      </c>
      <c r="R835" s="137">
        <v>0</v>
      </c>
      <c r="S835" s="137">
        <v>13822.16</v>
      </c>
      <c r="T835" s="137">
        <f t="shared" si="164"/>
        <v>1105.7728</v>
      </c>
      <c r="U835" s="137">
        <f t="shared" ref="U835:U898" si="168">R835+S835+T835</f>
        <v>14927.9328</v>
      </c>
      <c r="V835" s="137">
        <v>13822.16</v>
      </c>
      <c r="W835" s="137">
        <f t="shared" ref="W835:W898" si="169">U835-V835</f>
        <v>1105.7728000000006</v>
      </c>
      <c r="X835" s="137">
        <f t="shared" si="165"/>
        <v>1023.8637037037042</v>
      </c>
      <c r="Y835" s="137">
        <f t="shared" ref="Y835:Y898" si="170">W835-X835</f>
        <v>81.909096296296411</v>
      </c>
      <c r="Z835" s="137">
        <v>45027.01</v>
      </c>
      <c r="AA835" s="137">
        <f t="shared" si="166"/>
        <v>-31204.850000000002</v>
      </c>
      <c r="AB835" s="146">
        <f t="shared" si="163"/>
        <v>41691.675925925927</v>
      </c>
      <c r="AC835" s="147">
        <f t="shared" si="167"/>
        <v>3335.334074074075</v>
      </c>
      <c r="AD835" s="137">
        <v>45027.01</v>
      </c>
      <c r="AE835" s="135">
        <v>0.09</v>
      </c>
      <c r="AF835" s="137">
        <f t="shared" si="162"/>
        <v>4052.4308999999998</v>
      </c>
      <c r="AG835" s="137"/>
      <c r="AH835" s="137"/>
      <c r="AI835" s="137"/>
      <c r="AJ835" s="135" t="s">
        <v>53</v>
      </c>
    </row>
    <row r="836" spans="1:39" s="119" customFormat="1" ht="15" customHeight="1" x14ac:dyDescent="0.3">
      <c r="A836" s="119">
        <v>2017</v>
      </c>
      <c r="B836" s="119" t="s">
        <v>38</v>
      </c>
      <c r="C836" s="119" t="s">
        <v>88</v>
      </c>
      <c r="D836" s="119" t="s">
        <v>128</v>
      </c>
      <c r="E836" s="119" t="s">
        <v>194</v>
      </c>
      <c r="F836" s="119" t="s">
        <v>887</v>
      </c>
      <c r="G836" s="119" t="s">
        <v>887</v>
      </c>
      <c r="H836" s="119" t="s">
        <v>887</v>
      </c>
      <c r="I836" s="119" t="s">
        <v>170</v>
      </c>
      <c r="J836" s="119" t="s">
        <v>171</v>
      </c>
      <c r="K836" s="119" t="s">
        <v>172</v>
      </c>
      <c r="L836" s="119" t="s">
        <v>887</v>
      </c>
      <c r="M836" s="119" t="s">
        <v>46</v>
      </c>
      <c r="N836" s="136">
        <v>0.02</v>
      </c>
      <c r="O836" s="135" t="s">
        <v>51</v>
      </c>
      <c r="P836" s="135"/>
      <c r="Q836" s="137">
        <v>0</v>
      </c>
      <c r="R836" s="137">
        <v>0</v>
      </c>
      <c r="S836" s="137">
        <v>300000</v>
      </c>
      <c r="T836" s="137">
        <f t="shared" si="164"/>
        <v>6000</v>
      </c>
      <c r="U836" s="137">
        <f t="shared" si="168"/>
        <v>306000</v>
      </c>
      <c r="V836" s="137">
        <v>285600</v>
      </c>
      <c r="W836" s="137">
        <f t="shared" si="169"/>
        <v>20400</v>
      </c>
      <c r="X836" s="137">
        <f t="shared" si="165"/>
        <v>20000</v>
      </c>
      <c r="Y836" s="137">
        <f t="shared" si="170"/>
        <v>400</v>
      </c>
      <c r="Z836" s="137">
        <v>285599.3</v>
      </c>
      <c r="AA836" s="137">
        <f t="shared" si="166"/>
        <v>0.70000000001164153</v>
      </c>
      <c r="AB836" s="146">
        <f t="shared" si="163"/>
        <v>279999.31372549018</v>
      </c>
      <c r="AC836" s="147">
        <f t="shared" si="167"/>
        <v>5599.9862745098071</v>
      </c>
      <c r="AD836" s="137">
        <f t="shared" ref="AD836:AD837" si="171">(Z836-Q836)*0.89807640489087</f>
        <v>256489.99258334906</v>
      </c>
      <c r="AE836" s="138">
        <v>0.11269173273981201</v>
      </c>
      <c r="AF836" s="137">
        <f t="shared" si="162"/>
        <v>28904.301694639136</v>
      </c>
      <c r="AG836" s="137">
        <v>19952.5012602606</v>
      </c>
      <c r="AH836" s="154"/>
      <c r="AI836" s="154"/>
      <c r="AJ836" s="136">
        <v>0.02</v>
      </c>
      <c r="AK836" s="156">
        <v>0.02</v>
      </c>
    </row>
    <row r="837" spans="1:39" s="119" customFormat="1" ht="15" customHeight="1" x14ac:dyDescent="0.3">
      <c r="A837" s="119">
        <v>2017</v>
      </c>
      <c r="B837" s="119" t="s">
        <v>38</v>
      </c>
      <c r="C837" s="119" t="s">
        <v>88</v>
      </c>
      <c r="D837" s="119" t="s">
        <v>95</v>
      </c>
      <c r="E837" s="119" t="s">
        <v>194</v>
      </c>
      <c r="F837" s="119" t="s">
        <v>209</v>
      </c>
      <c r="G837" s="119" t="s">
        <v>209</v>
      </c>
      <c r="H837" s="119" t="s">
        <v>209</v>
      </c>
      <c r="I837" s="119" t="s">
        <v>170</v>
      </c>
      <c r="J837" s="119" t="s">
        <v>171</v>
      </c>
      <c r="K837" s="119" t="s">
        <v>172</v>
      </c>
      <c r="L837" s="119" t="s">
        <v>209</v>
      </c>
      <c r="M837" s="119" t="s">
        <v>46</v>
      </c>
      <c r="N837" s="136">
        <v>0.02</v>
      </c>
      <c r="O837" s="135" t="s">
        <v>51</v>
      </c>
      <c r="P837" s="135"/>
      <c r="Q837" s="137">
        <v>0</v>
      </c>
      <c r="R837" s="137">
        <v>0</v>
      </c>
      <c r="S837" s="137">
        <v>1220000</v>
      </c>
      <c r="T837" s="137">
        <f t="shared" si="164"/>
        <v>24400</v>
      </c>
      <c r="U837" s="137">
        <f t="shared" si="168"/>
        <v>1244400</v>
      </c>
      <c r="V837" s="137">
        <v>1018400</v>
      </c>
      <c r="W837" s="137">
        <f t="shared" si="169"/>
        <v>226000</v>
      </c>
      <c r="X837" s="137">
        <f t="shared" si="165"/>
        <v>221568.62745098039</v>
      </c>
      <c r="Y837" s="137">
        <f t="shared" si="170"/>
        <v>4431.3725490196084</v>
      </c>
      <c r="Z837" s="137">
        <v>932029.2</v>
      </c>
      <c r="AA837" s="137">
        <f t="shared" si="166"/>
        <v>86370.800000000047</v>
      </c>
      <c r="AB837" s="146">
        <f t="shared" si="163"/>
        <v>913754.1176470588</v>
      </c>
      <c r="AC837" s="147">
        <f t="shared" si="167"/>
        <v>18275.082352941157</v>
      </c>
      <c r="AD837" s="137">
        <f t="shared" si="171"/>
        <v>837033.43318931363</v>
      </c>
      <c r="AE837" s="138">
        <v>0.11269173273981201</v>
      </c>
      <c r="AF837" s="137">
        <f t="shared" si="162"/>
        <v>94326.74794725742</v>
      </c>
      <c r="AG837" s="137">
        <v>65113.303105433602</v>
      </c>
      <c r="AH837" s="154"/>
      <c r="AI837" s="154"/>
      <c r="AJ837" s="135" t="s">
        <v>173</v>
      </c>
      <c r="AK837" s="119" t="s">
        <v>173</v>
      </c>
    </row>
    <row r="838" spans="1:39" s="119" customFormat="1" ht="15" customHeight="1" x14ac:dyDescent="0.3">
      <c r="A838" s="119">
        <v>2017</v>
      </c>
      <c r="B838" s="119" t="s">
        <v>38</v>
      </c>
      <c r="C838" s="119" t="s">
        <v>88</v>
      </c>
      <c r="D838" s="119" t="s">
        <v>95</v>
      </c>
      <c r="E838" s="119" t="s">
        <v>194</v>
      </c>
      <c r="F838" s="119" t="s">
        <v>143</v>
      </c>
      <c r="G838" s="119" t="s">
        <v>143</v>
      </c>
      <c r="H838" s="119" t="s">
        <v>143</v>
      </c>
      <c r="I838" s="119" t="s">
        <v>170</v>
      </c>
      <c r="J838" s="119" t="s">
        <v>603</v>
      </c>
      <c r="K838" s="119" t="s">
        <v>883</v>
      </c>
      <c r="L838" s="119" t="s">
        <v>143</v>
      </c>
      <c r="M838" s="119" t="s">
        <v>46</v>
      </c>
      <c r="N838" s="136">
        <v>0.02</v>
      </c>
      <c r="O838" s="135" t="s">
        <v>51</v>
      </c>
      <c r="P838" s="135"/>
      <c r="Q838" s="137">
        <v>0</v>
      </c>
      <c r="R838" s="137">
        <v>0</v>
      </c>
      <c r="S838" s="137">
        <v>80000</v>
      </c>
      <c r="T838" s="137">
        <f t="shared" si="164"/>
        <v>1600</v>
      </c>
      <c r="U838" s="137">
        <f t="shared" si="168"/>
        <v>81600</v>
      </c>
      <c r="V838" s="137">
        <v>81600</v>
      </c>
      <c r="W838" s="137">
        <f t="shared" si="169"/>
        <v>0</v>
      </c>
      <c r="X838" s="137">
        <f t="shared" si="165"/>
        <v>0</v>
      </c>
      <c r="Y838" s="137">
        <f t="shared" si="170"/>
        <v>0</v>
      </c>
      <c r="Z838" s="137">
        <v>90213.6</v>
      </c>
      <c r="AA838" s="137">
        <f t="shared" si="166"/>
        <v>-8613.6000000000058</v>
      </c>
      <c r="AB838" s="146">
        <f t="shared" si="163"/>
        <v>88444.705882352951</v>
      </c>
      <c r="AC838" s="147">
        <f t="shared" si="167"/>
        <v>1768.8941176470544</v>
      </c>
      <c r="AD838" s="137">
        <v>90213.6</v>
      </c>
      <c r="AE838" s="138">
        <v>0.1</v>
      </c>
      <c r="AF838" s="137">
        <f t="shared" si="162"/>
        <v>9021.36</v>
      </c>
      <c r="AG838" s="137">
        <v>0</v>
      </c>
      <c r="AH838" s="154"/>
      <c r="AI838" s="154"/>
      <c r="AJ838" s="135" t="s">
        <v>888</v>
      </c>
      <c r="AK838" s="119" t="s">
        <v>888</v>
      </c>
      <c r="AM838" s="119" t="s">
        <v>174</v>
      </c>
    </row>
    <row r="839" spans="1:39" s="119" customFormat="1" ht="15" customHeight="1" x14ac:dyDescent="0.3">
      <c r="A839" s="119">
        <v>2017</v>
      </c>
      <c r="B839" s="119" t="s">
        <v>38</v>
      </c>
      <c r="C839" s="119" t="s">
        <v>88</v>
      </c>
      <c r="D839" s="119" t="s">
        <v>95</v>
      </c>
      <c r="E839" s="119" t="s">
        <v>194</v>
      </c>
      <c r="F839" s="119" t="s">
        <v>143</v>
      </c>
      <c r="G839" s="119" t="s">
        <v>143</v>
      </c>
      <c r="H839" s="119" t="s">
        <v>143</v>
      </c>
      <c r="I839" s="119" t="s">
        <v>170</v>
      </c>
      <c r="J839" s="119" t="s">
        <v>865</v>
      </c>
      <c r="K839" s="119" t="s">
        <v>866</v>
      </c>
      <c r="L839" s="119" t="s">
        <v>143</v>
      </c>
      <c r="M839" s="119" t="s">
        <v>46</v>
      </c>
      <c r="N839" s="136">
        <v>0.02</v>
      </c>
      <c r="O839" s="135" t="s">
        <v>51</v>
      </c>
      <c r="P839" s="135"/>
      <c r="Q839" s="137">
        <v>0</v>
      </c>
      <c r="R839" s="137">
        <v>0</v>
      </c>
      <c r="S839" s="137">
        <v>30000</v>
      </c>
      <c r="T839" s="137">
        <f t="shared" si="164"/>
        <v>600</v>
      </c>
      <c r="U839" s="137">
        <f t="shared" si="168"/>
        <v>30600</v>
      </c>
      <c r="V839" s="137">
        <v>30600</v>
      </c>
      <c r="W839" s="137">
        <f t="shared" si="169"/>
        <v>0</v>
      </c>
      <c r="X839" s="137">
        <f t="shared" si="165"/>
        <v>0</v>
      </c>
      <c r="Y839" s="137">
        <f t="shared" si="170"/>
        <v>0</v>
      </c>
      <c r="Z839" s="137">
        <v>0</v>
      </c>
      <c r="AA839" s="137">
        <f t="shared" si="166"/>
        <v>30600</v>
      </c>
      <c r="AB839" s="146">
        <f t="shared" si="163"/>
        <v>0</v>
      </c>
      <c r="AC839" s="147">
        <f t="shared" si="167"/>
        <v>0</v>
      </c>
      <c r="AD839" s="137">
        <f>Z839*0.972201473425119-Q839</f>
        <v>0</v>
      </c>
      <c r="AE839" s="138">
        <v>0.1</v>
      </c>
      <c r="AF839" s="137">
        <f t="shared" si="162"/>
        <v>0</v>
      </c>
      <c r="AG839" s="137">
        <v>7252.4658823529498</v>
      </c>
      <c r="AH839" s="154"/>
      <c r="AI839" s="154"/>
      <c r="AJ839" s="136">
        <v>0.02</v>
      </c>
      <c r="AK839" s="156">
        <v>0.02</v>
      </c>
      <c r="AM839" s="119" t="s">
        <v>174</v>
      </c>
    </row>
    <row r="840" spans="1:39" s="119" customFormat="1" ht="15" customHeight="1" x14ac:dyDescent="0.3">
      <c r="A840" s="119">
        <v>2017</v>
      </c>
      <c r="B840" s="119" t="s">
        <v>38</v>
      </c>
      <c r="C840" s="119" t="s">
        <v>54</v>
      </c>
      <c r="D840" s="119" t="s">
        <v>102</v>
      </c>
      <c r="E840" s="119" t="s">
        <v>103</v>
      </c>
      <c r="F840" s="119" t="s">
        <v>531</v>
      </c>
      <c r="G840" s="119" t="s">
        <v>532</v>
      </c>
      <c r="H840" s="119" t="s">
        <v>532</v>
      </c>
      <c r="I840" s="131" t="s">
        <v>243</v>
      </c>
      <c r="J840" s="119" t="s">
        <v>244</v>
      </c>
      <c r="K840" s="119" t="s">
        <v>245</v>
      </c>
      <c r="L840" s="119" t="s">
        <v>531</v>
      </c>
      <c r="M840" s="119" t="s">
        <v>46</v>
      </c>
      <c r="N840" s="135">
        <v>0</v>
      </c>
      <c r="O840" s="135" t="s">
        <v>47</v>
      </c>
      <c r="P840" s="135"/>
      <c r="Q840" s="137">
        <v>0</v>
      </c>
      <c r="R840" s="137">
        <v>0</v>
      </c>
      <c r="S840" s="137">
        <v>1170000</v>
      </c>
      <c r="T840" s="137">
        <f t="shared" si="164"/>
        <v>0</v>
      </c>
      <c r="U840" s="137">
        <f t="shared" si="168"/>
        <v>1170000</v>
      </c>
      <c r="V840" s="137">
        <v>999637.5</v>
      </c>
      <c r="W840" s="137">
        <f t="shared" si="169"/>
        <v>170362.5</v>
      </c>
      <c r="X840" s="137">
        <f t="shared" si="165"/>
        <v>170362.5</v>
      </c>
      <c r="Y840" s="137">
        <f t="shared" si="170"/>
        <v>0</v>
      </c>
      <c r="Z840" s="137">
        <v>1043968.5</v>
      </c>
      <c r="AA840" s="137">
        <f t="shared" si="166"/>
        <v>-44331</v>
      </c>
      <c r="AB840" s="146">
        <f t="shared" si="163"/>
        <v>1043968.5</v>
      </c>
      <c r="AC840" s="147">
        <f t="shared" si="167"/>
        <v>0</v>
      </c>
      <c r="AD840" s="137">
        <v>875124.91800420696</v>
      </c>
      <c r="AE840" s="138">
        <v>0.17647058823529399</v>
      </c>
      <c r="AF840" s="137">
        <f t="shared" si="162"/>
        <v>154433.80905956583</v>
      </c>
      <c r="AG840" s="137">
        <f>AB840-Z840+AF840</f>
        <v>154433.80905956583</v>
      </c>
      <c r="AH840" s="154"/>
      <c r="AI840" s="154"/>
      <c r="AJ840" s="135" t="s">
        <v>47</v>
      </c>
      <c r="AK840" s="119" t="s">
        <v>47</v>
      </c>
      <c r="AM840" s="131"/>
    </row>
    <row r="841" spans="1:39" s="119" customFormat="1" ht="15" customHeight="1" x14ac:dyDescent="0.3">
      <c r="A841" s="119">
        <v>2017</v>
      </c>
      <c r="B841" s="119" t="s">
        <v>38</v>
      </c>
      <c r="C841" s="119" t="s">
        <v>110</v>
      </c>
      <c r="D841" s="119" t="s">
        <v>111</v>
      </c>
      <c r="E841" s="119" t="s">
        <v>112</v>
      </c>
      <c r="F841" s="119" t="s">
        <v>630</v>
      </c>
      <c r="G841" s="119" t="s">
        <v>630</v>
      </c>
      <c r="H841" s="119" t="s">
        <v>630</v>
      </c>
      <c r="I841" s="119" t="s">
        <v>170</v>
      </c>
      <c r="J841" s="119" t="s">
        <v>171</v>
      </c>
      <c r="K841" s="119" t="s">
        <v>172</v>
      </c>
      <c r="L841" s="119" t="s">
        <v>630</v>
      </c>
      <c r="M841" s="119" t="s">
        <v>46</v>
      </c>
      <c r="N841" s="136">
        <v>0.04</v>
      </c>
      <c r="O841" s="135" t="s">
        <v>51</v>
      </c>
      <c r="P841" s="135"/>
      <c r="Q841" s="137">
        <v>0</v>
      </c>
      <c r="R841" s="137">
        <v>0</v>
      </c>
      <c r="S841" s="137">
        <v>1338431.8</v>
      </c>
      <c r="T841" s="137">
        <f t="shared" si="164"/>
        <v>53537.272000000004</v>
      </c>
      <c r="U841" s="137">
        <f t="shared" si="168"/>
        <v>1391969.0720000002</v>
      </c>
      <c r="V841" s="137">
        <v>1391967</v>
      </c>
      <c r="W841" s="137">
        <f t="shared" si="169"/>
        <v>2.0720000001601875</v>
      </c>
      <c r="X841" s="137">
        <f t="shared" si="165"/>
        <v>1.9923076924617187</v>
      </c>
      <c r="Y841" s="137">
        <f t="shared" si="170"/>
        <v>7.9692307698468801E-2</v>
      </c>
      <c r="Z841" s="137">
        <v>1357853.3</v>
      </c>
      <c r="AA841" s="137">
        <f t="shared" si="166"/>
        <v>34113.699999999953</v>
      </c>
      <c r="AB841" s="146">
        <f t="shared" si="163"/>
        <v>1305628.173076923</v>
      </c>
      <c r="AC841" s="147">
        <f t="shared" si="167"/>
        <v>52225.126923077041</v>
      </c>
      <c r="AD841" s="137">
        <f t="shared" ref="AD841:AD843" si="172">(Z841-Q841)*0.89807640489087</f>
        <v>1219456.010033204</v>
      </c>
      <c r="AE841" s="138">
        <v>0.11269173273981201</v>
      </c>
      <c r="AF841" s="137">
        <f t="shared" si="162"/>
        <v>137422.61077061933</v>
      </c>
      <c r="AG841" s="137">
        <v>0</v>
      </c>
      <c r="AH841" s="154"/>
      <c r="AI841" s="154"/>
      <c r="AJ841" s="136">
        <v>0.04</v>
      </c>
      <c r="AK841" s="156">
        <v>0.04</v>
      </c>
    </row>
    <row r="842" spans="1:39" s="119" customFormat="1" ht="15" customHeight="1" x14ac:dyDescent="0.3">
      <c r="A842" s="119">
        <v>2017</v>
      </c>
      <c r="B842" s="119" t="s">
        <v>252</v>
      </c>
      <c r="C842" s="119" t="s">
        <v>110</v>
      </c>
      <c r="D842" s="119" t="s">
        <v>111</v>
      </c>
      <c r="E842" s="119" t="s">
        <v>112</v>
      </c>
      <c r="F842" s="119" t="s">
        <v>889</v>
      </c>
      <c r="G842" s="119" t="s">
        <v>890</v>
      </c>
      <c r="H842" s="119" t="s">
        <v>890</v>
      </c>
      <c r="I842" s="119" t="s">
        <v>170</v>
      </c>
      <c r="J842" s="119" t="s">
        <v>171</v>
      </c>
      <c r="K842" s="119" t="s">
        <v>172</v>
      </c>
      <c r="L842" s="119" t="s">
        <v>891</v>
      </c>
      <c r="M842" s="119" t="s">
        <v>46</v>
      </c>
      <c r="N842" s="136">
        <v>0.02</v>
      </c>
      <c r="O842" s="135" t="s">
        <v>51</v>
      </c>
      <c r="P842" s="135"/>
      <c r="Q842" s="137">
        <v>0</v>
      </c>
      <c r="R842" s="137">
        <v>0</v>
      </c>
      <c r="S842" s="137">
        <v>238985.78</v>
      </c>
      <c r="T842" s="137">
        <f t="shared" si="164"/>
        <v>4779.7156000000004</v>
      </c>
      <c r="U842" s="137">
        <f t="shared" si="168"/>
        <v>243765.49559999999</v>
      </c>
      <c r="V842" s="137">
        <v>243765.5</v>
      </c>
      <c r="W842" s="137">
        <f t="shared" si="169"/>
        <v>-4.4000000052619725E-3</v>
      </c>
      <c r="X842" s="137">
        <f t="shared" si="165"/>
        <v>-4.3137254953548752E-3</v>
      </c>
      <c r="Y842" s="137">
        <f t="shared" si="170"/>
        <v>-8.6274509907097348E-5</v>
      </c>
      <c r="Z842" s="137">
        <v>197166.3</v>
      </c>
      <c r="AA842" s="137">
        <f t="shared" si="166"/>
        <v>46599.200000000012</v>
      </c>
      <c r="AB842" s="146">
        <f t="shared" si="163"/>
        <v>193300.29411764705</v>
      </c>
      <c r="AC842" s="147">
        <f t="shared" si="167"/>
        <v>3866.0058823529398</v>
      </c>
      <c r="AD842" s="137">
        <f t="shared" si="172"/>
        <v>177070.40186963475</v>
      </c>
      <c r="AE842" s="138">
        <v>0.11269173273981201</v>
      </c>
      <c r="AF842" s="137">
        <f t="shared" si="162"/>
        <v>19954.370403623987</v>
      </c>
      <c r="AG842" s="137">
        <v>13774.406482197001</v>
      </c>
      <c r="AH842" s="154"/>
      <c r="AI842" s="154"/>
      <c r="AJ842" s="135" t="s">
        <v>173</v>
      </c>
      <c r="AK842" s="119" t="s">
        <v>173</v>
      </c>
    </row>
    <row r="843" spans="1:39" s="119" customFormat="1" ht="15" customHeight="1" x14ac:dyDescent="0.3">
      <c r="A843" s="119">
        <v>2017</v>
      </c>
      <c r="B843" s="119" t="s">
        <v>38</v>
      </c>
      <c r="C843" s="119" t="s">
        <v>110</v>
      </c>
      <c r="D843" s="119" t="s">
        <v>111</v>
      </c>
      <c r="E843" s="119" t="s">
        <v>112</v>
      </c>
      <c r="F843" s="119" t="s">
        <v>892</v>
      </c>
      <c r="G843" s="119" t="s">
        <v>892</v>
      </c>
      <c r="H843" s="119" t="s">
        <v>892</v>
      </c>
      <c r="I843" s="119" t="s">
        <v>170</v>
      </c>
      <c r="J843" s="119" t="s">
        <v>171</v>
      </c>
      <c r="K843" s="119" t="s">
        <v>172</v>
      </c>
      <c r="L843" s="119" t="s">
        <v>892</v>
      </c>
      <c r="M843" s="119" t="s">
        <v>46</v>
      </c>
      <c r="N843" s="135">
        <v>0.06</v>
      </c>
      <c r="O843" s="135" t="s">
        <v>51</v>
      </c>
      <c r="P843" s="135"/>
      <c r="Q843" s="137">
        <v>0</v>
      </c>
      <c r="R843" s="137">
        <v>0</v>
      </c>
      <c r="S843" s="137">
        <v>50000</v>
      </c>
      <c r="T843" s="137">
        <f t="shared" si="164"/>
        <v>3000</v>
      </c>
      <c r="U843" s="137">
        <f t="shared" si="168"/>
        <v>53000</v>
      </c>
      <c r="V843" s="137">
        <v>389249.9</v>
      </c>
      <c r="W843" s="137">
        <f t="shared" si="169"/>
        <v>-336249.9</v>
      </c>
      <c r="X843" s="137">
        <f t="shared" si="165"/>
        <v>-317216.88679245283</v>
      </c>
      <c r="Y843" s="137">
        <f t="shared" si="170"/>
        <v>-19033.013207547192</v>
      </c>
      <c r="Z843" s="137">
        <v>389249.1</v>
      </c>
      <c r="AA843" s="137">
        <f t="shared" si="166"/>
        <v>0.80000000004656613</v>
      </c>
      <c r="AB843" s="146">
        <f t="shared" si="163"/>
        <v>367216.13207547163</v>
      </c>
      <c r="AC843" s="147">
        <f t="shared" si="167"/>
        <v>22032.967924528348</v>
      </c>
      <c r="AD843" s="137">
        <f t="shared" si="172"/>
        <v>349575.43233500671</v>
      </c>
      <c r="AE843" s="138">
        <v>0.11269173273981201</v>
      </c>
      <c r="AF843" s="137">
        <f t="shared" si="162"/>
        <v>39394.261193100814</v>
      </c>
      <c r="AG843" s="137">
        <v>12793.0375162084</v>
      </c>
      <c r="AH843" s="154"/>
      <c r="AI843" s="154"/>
      <c r="AJ843" s="135" t="s">
        <v>193</v>
      </c>
      <c r="AK843" s="119" t="s">
        <v>193</v>
      </c>
    </row>
    <row r="844" spans="1:39" s="119" customFormat="1" ht="15" customHeight="1" x14ac:dyDescent="0.3">
      <c r="A844" s="119">
        <v>2017</v>
      </c>
      <c r="B844" s="119" t="s">
        <v>38</v>
      </c>
      <c r="C844" s="119" t="s">
        <v>110</v>
      </c>
      <c r="D844" s="119" t="s">
        <v>111</v>
      </c>
      <c r="E844" s="119" t="s">
        <v>112</v>
      </c>
      <c r="F844" s="119" t="s">
        <v>147</v>
      </c>
      <c r="G844" s="119" t="s">
        <v>147</v>
      </c>
      <c r="H844" s="119" t="s">
        <v>147</v>
      </c>
      <c r="I844" s="119" t="s">
        <v>170</v>
      </c>
      <c r="J844" s="119" t="s">
        <v>171</v>
      </c>
      <c r="K844" s="119" t="s">
        <v>172</v>
      </c>
      <c r="L844" s="119" t="s">
        <v>147</v>
      </c>
      <c r="M844" s="119" t="s">
        <v>185</v>
      </c>
      <c r="N844" s="135">
        <v>0.06</v>
      </c>
      <c r="O844" s="135" t="s">
        <v>51</v>
      </c>
      <c r="P844" s="135"/>
      <c r="Q844" s="137">
        <v>0</v>
      </c>
      <c r="R844" s="137">
        <v>0</v>
      </c>
      <c r="S844" s="137">
        <v>30000</v>
      </c>
      <c r="T844" s="137">
        <f t="shared" si="164"/>
        <v>1800</v>
      </c>
      <c r="U844" s="137">
        <f t="shared" si="168"/>
        <v>31800</v>
      </c>
      <c r="V844" s="137">
        <v>15607.9</v>
      </c>
      <c r="W844" s="137">
        <f t="shared" si="169"/>
        <v>16192.1</v>
      </c>
      <c r="X844" s="137">
        <f t="shared" si="165"/>
        <v>15275.566037735849</v>
      </c>
      <c r="Y844" s="137">
        <f t="shared" si="170"/>
        <v>916.53396226415134</v>
      </c>
      <c r="Z844" s="137">
        <v>15607.9</v>
      </c>
      <c r="AA844" s="137">
        <f t="shared" si="166"/>
        <v>0</v>
      </c>
      <c r="AB844" s="146">
        <f t="shared" si="163"/>
        <v>14724.433962264149</v>
      </c>
      <c r="AC844" s="147">
        <f t="shared" si="167"/>
        <v>883.46603773585048</v>
      </c>
      <c r="AD844" s="137">
        <f>(Z844-Q844)*0.91072157793815</f>
        <v>14214.451316300851</v>
      </c>
      <c r="AE844" s="138">
        <v>0.11269173273981201</v>
      </c>
      <c r="AF844" s="137">
        <f t="shared" si="162"/>
        <v>1601.8511487796445</v>
      </c>
      <c r="AG844" s="137">
        <v>512.96830294335598</v>
      </c>
      <c r="AH844" s="154"/>
      <c r="AI844" s="154"/>
      <c r="AJ844" s="135" t="s">
        <v>193</v>
      </c>
      <c r="AK844" s="119" t="s">
        <v>193</v>
      </c>
    </row>
    <row r="845" spans="1:39" s="119" customFormat="1" ht="15" customHeight="1" x14ac:dyDescent="0.3">
      <c r="A845" s="119">
        <v>2017</v>
      </c>
      <c r="B845" s="119" t="s">
        <v>38</v>
      </c>
      <c r="C845" s="119" t="s">
        <v>110</v>
      </c>
      <c r="D845" s="119" t="s">
        <v>111</v>
      </c>
      <c r="E845" s="119" t="s">
        <v>112</v>
      </c>
      <c r="F845" s="119" t="s">
        <v>147</v>
      </c>
      <c r="G845" s="119" t="s">
        <v>147</v>
      </c>
      <c r="H845" s="119" t="s">
        <v>147</v>
      </c>
      <c r="I845" s="119" t="s">
        <v>170</v>
      </c>
      <c r="J845" s="119" t="s">
        <v>171</v>
      </c>
      <c r="K845" s="119" t="s">
        <v>172</v>
      </c>
      <c r="L845" s="119" t="s">
        <v>147</v>
      </c>
      <c r="M845" s="119" t="s">
        <v>46</v>
      </c>
      <c r="N845" s="135">
        <v>0.06</v>
      </c>
      <c r="O845" s="135" t="s">
        <v>51</v>
      </c>
      <c r="P845" s="135"/>
      <c r="Q845" s="137">
        <v>0</v>
      </c>
      <c r="R845" s="137">
        <v>0</v>
      </c>
      <c r="S845" s="137">
        <v>1645000</v>
      </c>
      <c r="T845" s="137">
        <f t="shared" si="164"/>
        <v>98700</v>
      </c>
      <c r="U845" s="137">
        <f t="shared" si="168"/>
        <v>1743700</v>
      </c>
      <c r="V845" s="137">
        <v>1401842.2</v>
      </c>
      <c r="W845" s="137">
        <f t="shared" si="169"/>
        <v>341857.80000000005</v>
      </c>
      <c r="X845" s="137">
        <f t="shared" si="165"/>
        <v>322507.35849056608</v>
      </c>
      <c r="Y845" s="137">
        <f t="shared" si="170"/>
        <v>19350.441509433964</v>
      </c>
      <c r="Z845" s="137">
        <f>1768992.4-Z846</f>
        <v>1401841.7</v>
      </c>
      <c r="AA845" s="137">
        <f t="shared" si="166"/>
        <v>0.5</v>
      </c>
      <c r="AB845" s="146">
        <f t="shared" si="163"/>
        <v>1322492.1698113207</v>
      </c>
      <c r="AC845" s="147">
        <f t="shared" si="167"/>
        <v>79349.530188679229</v>
      </c>
      <c r="AD845" s="137">
        <f t="shared" ref="AD845:AD846" si="173">(Z845-Q845)*0.89807640489087</f>
        <v>1258960.9541621055</v>
      </c>
      <c r="AE845" s="138">
        <v>0.11269173273981201</v>
      </c>
      <c r="AF845" s="137">
        <f t="shared" si="162"/>
        <v>141874.4913762947</v>
      </c>
      <c r="AG845" s="137">
        <v>58139.804909565297</v>
      </c>
      <c r="AH845" s="154"/>
      <c r="AI845" s="154"/>
      <c r="AJ845" s="135" t="s">
        <v>193</v>
      </c>
      <c r="AK845" s="119" t="s">
        <v>193</v>
      </c>
      <c r="AM845" s="119" t="s">
        <v>174</v>
      </c>
    </row>
    <row r="846" spans="1:39" s="119" customFormat="1" ht="15" customHeight="1" x14ac:dyDescent="0.3">
      <c r="A846" s="119">
        <v>2017</v>
      </c>
      <c r="B846" s="119" t="s">
        <v>38</v>
      </c>
      <c r="C846" s="119" t="s">
        <v>110</v>
      </c>
      <c r="D846" s="119" t="s">
        <v>111</v>
      </c>
      <c r="E846" s="119" t="s">
        <v>112</v>
      </c>
      <c r="F846" s="119" t="s">
        <v>147</v>
      </c>
      <c r="G846" s="119" t="s">
        <v>893</v>
      </c>
      <c r="H846" s="119" t="s">
        <v>893</v>
      </c>
      <c r="I846" s="119" t="s">
        <v>170</v>
      </c>
      <c r="J846" s="119" t="s">
        <v>171</v>
      </c>
      <c r="K846" s="119" t="s">
        <v>172</v>
      </c>
      <c r="L846" s="119" t="s">
        <v>147</v>
      </c>
      <c r="M846" s="119" t="s">
        <v>46</v>
      </c>
      <c r="N846" s="136">
        <v>0.02</v>
      </c>
      <c r="O846" s="135" t="s">
        <v>51</v>
      </c>
      <c r="P846" s="135"/>
      <c r="Q846" s="137">
        <v>10150.700000000001</v>
      </c>
      <c r="R846" s="137">
        <v>0</v>
      </c>
      <c r="S846" s="137">
        <v>350000</v>
      </c>
      <c r="T846" s="137">
        <f t="shared" si="164"/>
        <v>7000</v>
      </c>
      <c r="U846" s="137">
        <f t="shared" si="168"/>
        <v>357000</v>
      </c>
      <c r="V846" s="137">
        <v>357000</v>
      </c>
      <c r="W846" s="137">
        <f t="shared" si="169"/>
        <v>0</v>
      </c>
      <c r="X846" s="137">
        <f t="shared" si="165"/>
        <v>0</v>
      </c>
      <c r="Y846" s="137">
        <f t="shared" si="170"/>
        <v>0</v>
      </c>
      <c r="Z846" s="137">
        <f>V846+Q846</f>
        <v>367150.7</v>
      </c>
      <c r="AA846" s="137">
        <f t="shared" si="166"/>
        <v>0</v>
      </c>
      <c r="AB846" s="146">
        <f>IF(O846="返货",(Z846-Q846)/(1+N846),IF(O846="返现",(Z846-Q846),IF(O846="折扣",(Z846-Q846)*N846,IF(O846="无",(Z846-Q846)))))</f>
        <v>350000</v>
      </c>
      <c r="AC846" s="147">
        <f t="shared" si="167"/>
        <v>17150.700000000012</v>
      </c>
      <c r="AD846" s="137">
        <f t="shared" si="173"/>
        <v>320613.27654604061</v>
      </c>
      <c r="AE846" s="138">
        <v>0.11269173273981201</v>
      </c>
      <c r="AF846" s="137">
        <f t="shared" si="162"/>
        <v>36130.465673361847</v>
      </c>
      <c r="AG846" s="137">
        <v>0</v>
      </c>
      <c r="AH846" s="154"/>
      <c r="AI846" s="154"/>
      <c r="AJ846" s="135" t="s">
        <v>173</v>
      </c>
      <c r="AK846" s="119" t="s">
        <v>173</v>
      </c>
    </row>
    <row r="847" spans="1:39" s="119" customFormat="1" ht="15" customHeight="1" x14ac:dyDescent="0.3">
      <c r="A847" s="119">
        <v>2017</v>
      </c>
      <c r="B847" s="119" t="s">
        <v>38</v>
      </c>
      <c r="C847" s="119" t="s">
        <v>110</v>
      </c>
      <c r="D847" s="119" t="s">
        <v>111</v>
      </c>
      <c r="E847" s="119" t="s">
        <v>112</v>
      </c>
      <c r="F847" s="119" t="s">
        <v>894</v>
      </c>
      <c r="G847" s="119" t="s">
        <v>894</v>
      </c>
      <c r="H847" s="119" t="s">
        <v>894</v>
      </c>
      <c r="I847" s="119" t="s">
        <v>170</v>
      </c>
      <c r="J847" s="119" t="s">
        <v>603</v>
      </c>
      <c r="K847" s="119" t="s">
        <v>883</v>
      </c>
      <c r="L847" s="119" t="s">
        <v>894</v>
      </c>
      <c r="M847" s="119" t="s">
        <v>46</v>
      </c>
      <c r="N847" s="136">
        <v>0.02</v>
      </c>
      <c r="O847" s="135" t="s">
        <v>51</v>
      </c>
      <c r="P847" s="135"/>
      <c r="Q847" s="137">
        <v>0</v>
      </c>
      <c r="R847" s="137">
        <v>0</v>
      </c>
      <c r="S847" s="137">
        <v>500000</v>
      </c>
      <c r="T847" s="137">
        <f t="shared" si="164"/>
        <v>10000</v>
      </c>
      <c r="U847" s="137">
        <f t="shared" si="168"/>
        <v>510000</v>
      </c>
      <c r="V847" s="137">
        <v>510000</v>
      </c>
      <c r="W847" s="137">
        <f t="shared" si="169"/>
        <v>0</v>
      </c>
      <c r="X847" s="137">
        <f t="shared" si="165"/>
        <v>0</v>
      </c>
      <c r="Y847" s="137">
        <f t="shared" si="170"/>
        <v>0</v>
      </c>
      <c r="Z847" s="137">
        <v>510000</v>
      </c>
      <c r="AA847" s="137">
        <f t="shared" si="166"/>
        <v>0</v>
      </c>
      <c r="AB847" s="146">
        <f>IF(O847="返货",Z847/(1+N847),IF(O847="返现",Z847,IF(O847="折扣",Z847*N847,IF(O847="无",Z847))))</f>
        <v>500000</v>
      </c>
      <c r="AC847" s="147">
        <f t="shared" si="167"/>
        <v>10000</v>
      </c>
      <c r="AD847" s="137">
        <v>532418</v>
      </c>
      <c r="AE847" s="138">
        <v>0.1</v>
      </c>
      <c r="AF847" s="137">
        <f t="shared" si="162"/>
        <v>53241.8</v>
      </c>
      <c r="AG847" s="137">
        <v>0</v>
      </c>
      <c r="AH847" s="154"/>
      <c r="AI847" s="154"/>
      <c r="AJ847" s="135" t="s">
        <v>173</v>
      </c>
      <c r="AK847" s="119" t="s">
        <v>173</v>
      </c>
      <c r="AM847" s="119" t="s">
        <v>174</v>
      </c>
    </row>
    <row r="848" spans="1:39" s="119" customFormat="1" ht="16.5" customHeight="1" x14ac:dyDescent="0.3">
      <c r="A848" s="119">
        <v>2017</v>
      </c>
      <c r="B848" s="119" t="s">
        <v>38</v>
      </c>
      <c r="C848" s="119" t="s">
        <v>110</v>
      </c>
      <c r="D848" s="119" t="s">
        <v>111</v>
      </c>
      <c r="E848" s="119" t="s">
        <v>112</v>
      </c>
      <c r="F848" s="119" t="s">
        <v>894</v>
      </c>
      <c r="G848" s="119" t="s">
        <v>894</v>
      </c>
      <c r="H848" s="119" t="s">
        <v>894</v>
      </c>
      <c r="I848" s="119" t="s">
        <v>170</v>
      </c>
      <c r="J848" s="119" t="s">
        <v>865</v>
      </c>
      <c r="K848" s="119" t="s">
        <v>866</v>
      </c>
      <c r="L848" s="119" t="s">
        <v>894</v>
      </c>
      <c r="M848" s="119" t="s">
        <v>46</v>
      </c>
      <c r="N848" s="136">
        <v>0.02</v>
      </c>
      <c r="O848" s="135" t="s">
        <v>51</v>
      </c>
      <c r="P848" s="135"/>
      <c r="Q848" s="137">
        <v>0</v>
      </c>
      <c r="R848" s="137">
        <v>0</v>
      </c>
      <c r="S848" s="137">
        <v>150000</v>
      </c>
      <c r="T848" s="137">
        <f t="shared" si="164"/>
        <v>3000</v>
      </c>
      <c r="U848" s="137">
        <f t="shared" si="168"/>
        <v>153000</v>
      </c>
      <c r="V848" s="137">
        <v>153000</v>
      </c>
      <c r="W848" s="137">
        <f t="shared" si="169"/>
        <v>0</v>
      </c>
      <c r="X848" s="137">
        <f t="shared" si="165"/>
        <v>0</v>
      </c>
      <c r="Y848" s="137">
        <f t="shared" si="170"/>
        <v>0</v>
      </c>
      <c r="Z848" s="137">
        <v>22418</v>
      </c>
      <c r="AA848" s="137">
        <f t="shared" si="166"/>
        <v>130582</v>
      </c>
      <c r="AB848" s="146">
        <f>IF(O848="返货",Z848/(1+N848),IF(O848="返现",Z848,IF(O848="折扣",Z848*N848,IF(O848="无",Z848))))</f>
        <v>21978.431372549021</v>
      </c>
      <c r="AC848" s="147">
        <f t="shared" si="167"/>
        <v>439.56862745097897</v>
      </c>
      <c r="AD848" s="137">
        <f>Z848*0.972201473425119-Q848</f>
        <v>21794.812631244316</v>
      </c>
      <c r="AE848" s="138">
        <v>0.1</v>
      </c>
      <c r="AF848" s="137">
        <f t="shared" si="162"/>
        <v>2179.4812631244317</v>
      </c>
      <c r="AG848" s="137">
        <v>42802.231372549002</v>
      </c>
      <c r="AH848" s="154"/>
      <c r="AI848" s="154"/>
      <c r="AJ848" s="135" t="s">
        <v>173</v>
      </c>
      <c r="AK848" s="119" t="s">
        <v>173</v>
      </c>
      <c r="AM848" s="119" t="s">
        <v>174</v>
      </c>
    </row>
    <row r="849" spans="1:39" s="119" customFormat="1" ht="15" customHeight="1" x14ac:dyDescent="0.3">
      <c r="A849" s="119">
        <v>2017</v>
      </c>
      <c r="B849" s="119" t="s">
        <v>38</v>
      </c>
      <c r="C849" s="119" t="s">
        <v>110</v>
      </c>
      <c r="D849" s="119" t="s">
        <v>111</v>
      </c>
      <c r="E849" s="119" t="s">
        <v>281</v>
      </c>
      <c r="F849" s="119" t="s">
        <v>895</v>
      </c>
      <c r="G849" s="119" t="s">
        <v>895</v>
      </c>
      <c r="H849" s="119" t="s">
        <v>895</v>
      </c>
      <c r="I849" s="119" t="s">
        <v>170</v>
      </c>
      <c r="J849" s="119" t="s">
        <v>171</v>
      </c>
      <c r="K849" s="119" t="s">
        <v>172</v>
      </c>
      <c r="L849" s="119" t="s">
        <v>895</v>
      </c>
      <c r="M849" s="119" t="s">
        <v>46</v>
      </c>
      <c r="N849" s="136">
        <v>0.02</v>
      </c>
      <c r="O849" s="135" t="s">
        <v>51</v>
      </c>
      <c r="P849" s="135"/>
      <c r="Q849" s="137">
        <v>0</v>
      </c>
      <c r="R849" s="137">
        <v>0</v>
      </c>
      <c r="S849" s="137">
        <v>70000</v>
      </c>
      <c r="T849" s="137">
        <f t="shared" si="164"/>
        <v>1400</v>
      </c>
      <c r="U849" s="137">
        <f t="shared" si="168"/>
        <v>71400</v>
      </c>
      <c r="V849" s="137">
        <v>40000</v>
      </c>
      <c r="W849" s="137">
        <f t="shared" si="169"/>
        <v>31400</v>
      </c>
      <c r="X849" s="137">
        <f t="shared" si="165"/>
        <v>30784.313725490196</v>
      </c>
      <c r="Y849" s="137">
        <f t="shared" si="170"/>
        <v>615.68627450980421</v>
      </c>
      <c r="Z849" s="137">
        <v>40800</v>
      </c>
      <c r="AA849" s="137">
        <f t="shared" si="166"/>
        <v>-800</v>
      </c>
      <c r="AB849" s="146">
        <f>IF(O849="返货",Z849/(1+N849),IF(O849="返现",Z849,IF(O849="折扣",Z849*N849,IF(O849="无",Z849))))</f>
        <v>40000</v>
      </c>
      <c r="AC849" s="147">
        <f t="shared" si="167"/>
        <v>800</v>
      </c>
      <c r="AD849" s="137">
        <f t="shared" ref="AD849:AD850" si="174">(Z849-Q849)*0.89807640489087</f>
        <v>36641.5173195475</v>
      </c>
      <c r="AE849" s="138">
        <v>0.11269173273981201</v>
      </c>
      <c r="AF849" s="137">
        <f t="shared" si="162"/>
        <v>4129.1960769556399</v>
      </c>
      <c r="AG849" s="137">
        <v>0</v>
      </c>
      <c r="AH849" s="154"/>
      <c r="AI849" s="154"/>
      <c r="AJ849" s="135" t="s">
        <v>896</v>
      </c>
      <c r="AK849" s="119" t="s">
        <v>173</v>
      </c>
    </row>
    <row r="850" spans="1:39" s="119" customFormat="1" ht="15" customHeight="1" x14ac:dyDescent="0.3">
      <c r="A850" s="119">
        <v>2017</v>
      </c>
      <c r="B850" s="119" t="s">
        <v>38</v>
      </c>
      <c r="C850" s="119" t="s">
        <v>110</v>
      </c>
      <c r="D850" s="119" t="s">
        <v>111</v>
      </c>
      <c r="E850" s="119" t="s">
        <v>281</v>
      </c>
      <c r="F850" s="119" t="s">
        <v>897</v>
      </c>
      <c r="G850" s="119" t="s">
        <v>897</v>
      </c>
      <c r="H850" s="119" t="s">
        <v>897</v>
      </c>
      <c r="I850" s="119" t="s">
        <v>170</v>
      </c>
      <c r="J850" s="119" t="s">
        <v>171</v>
      </c>
      <c r="K850" s="119" t="s">
        <v>172</v>
      </c>
      <c r="L850" s="119" t="s">
        <v>898</v>
      </c>
      <c r="M850" s="119" t="s">
        <v>46</v>
      </c>
      <c r="N850" s="135">
        <v>0</v>
      </c>
      <c r="O850" s="135" t="s">
        <v>47</v>
      </c>
      <c r="P850" s="135"/>
      <c r="Q850" s="137">
        <v>0</v>
      </c>
      <c r="R850" s="137">
        <v>0</v>
      </c>
      <c r="S850" s="137">
        <v>20000</v>
      </c>
      <c r="T850" s="137">
        <f t="shared" si="164"/>
        <v>0</v>
      </c>
      <c r="U850" s="137">
        <f t="shared" si="168"/>
        <v>20000</v>
      </c>
      <c r="V850" s="137">
        <v>20000</v>
      </c>
      <c r="W850" s="137">
        <f t="shared" si="169"/>
        <v>0</v>
      </c>
      <c r="X850" s="137">
        <f t="shared" si="165"/>
        <v>0</v>
      </c>
      <c r="Y850" s="137">
        <f t="shared" si="170"/>
        <v>0</v>
      </c>
      <c r="Z850" s="137">
        <v>19997.599999999999</v>
      </c>
      <c r="AA850" s="137">
        <f t="shared" si="166"/>
        <v>2.4000000000014552</v>
      </c>
      <c r="AB850" s="146">
        <f>IF(O850="返货",Z850/(1+N850),IF(O850="返现",Z850,IF(O850="折扣",Z850*N850,IF(O850="无",Z850))))</f>
        <v>19997.599999999999</v>
      </c>
      <c r="AC850" s="147">
        <f t="shared" si="167"/>
        <v>0</v>
      </c>
      <c r="AD850" s="137">
        <f t="shared" si="174"/>
        <v>17959.372714445661</v>
      </c>
      <c r="AE850" s="138">
        <v>0.11269173273981201</v>
      </c>
      <c r="AF850" s="137">
        <f t="shared" si="162"/>
        <v>2023.8728301109825</v>
      </c>
      <c r="AG850" s="137">
        <v>1789.17954184525</v>
      </c>
      <c r="AH850" s="154"/>
      <c r="AI850" s="154"/>
      <c r="AJ850" s="135" t="s">
        <v>47</v>
      </c>
      <c r="AK850" s="119" t="s">
        <v>47</v>
      </c>
    </row>
    <row r="851" spans="1:39" s="119" customFormat="1" ht="15" customHeight="1" x14ac:dyDescent="0.3">
      <c r="A851" s="119">
        <v>2017</v>
      </c>
      <c r="B851" s="119" t="s">
        <v>252</v>
      </c>
      <c r="C851" s="119" t="s">
        <v>110</v>
      </c>
      <c r="D851" s="119" t="s">
        <v>111</v>
      </c>
      <c r="E851" s="119" t="s">
        <v>281</v>
      </c>
      <c r="F851" s="119" t="s">
        <v>616</v>
      </c>
      <c r="G851" s="119" t="s">
        <v>617</v>
      </c>
      <c r="H851" s="119" t="s">
        <v>617</v>
      </c>
      <c r="I851" s="119" t="s">
        <v>170</v>
      </c>
      <c r="J851" s="119" t="s">
        <v>603</v>
      </c>
      <c r="K851" s="119" t="s">
        <v>883</v>
      </c>
      <c r="L851" s="119" t="s">
        <v>616</v>
      </c>
      <c r="M851" s="119" t="s">
        <v>46</v>
      </c>
      <c r="N851" s="136">
        <v>0.02</v>
      </c>
      <c r="O851" s="135" t="s">
        <v>51</v>
      </c>
      <c r="P851" s="135"/>
      <c r="Q851" s="137">
        <v>0</v>
      </c>
      <c r="R851" s="137">
        <v>0</v>
      </c>
      <c r="S851" s="137">
        <v>225000</v>
      </c>
      <c r="T851" s="137">
        <f t="shared" si="164"/>
        <v>4500</v>
      </c>
      <c r="U851" s="137">
        <f t="shared" si="168"/>
        <v>229500</v>
      </c>
      <c r="V851" s="137">
        <v>229500</v>
      </c>
      <c r="W851" s="137">
        <f t="shared" si="169"/>
        <v>0</v>
      </c>
      <c r="X851" s="137">
        <f t="shared" si="165"/>
        <v>0</v>
      </c>
      <c r="Y851" s="137">
        <f t="shared" si="170"/>
        <v>0</v>
      </c>
      <c r="Z851" s="137">
        <v>248569.4</v>
      </c>
      <c r="AA851" s="137">
        <f t="shared" si="166"/>
        <v>-19069.399999999994</v>
      </c>
      <c r="AB851" s="146">
        <f>IF(O851="返货",Z851/(1+N851),IF(O851="返现",Z851,IF(O851="折扣",Z851*N851,IF(O851="无",Z851))))</f>
        <v>243695.49019607843</v>
      </c>
      <c r="AC851" s="147">
        <f t="shared" si="167"/>
        <v>4873.9098039215605</v>
      </c>
      <c r="AD851" s="137">
        <v>248569.4</v>
      </c>
      <c r="AE851" s="138">
        <v>0.1</v>
      </c>
      <c r="AF851" s="137">
        <f t="shared" si="162"/>
        <v>24856.940000000002</v>
      </c>
      <c r="AG851" s="137">
        <v>0</v>
      </c>
      <c r="AH851" s="154"/>
      <c r="AI851" s="154"/>
      <c r="AJ851" s="135" t="s">
        <v>173</v>
      </c>
      <c r="AK851" s="119" t="s">
        <v>173</v>
      </c>
      <c r="AM851" s="119" t="s">
        <v>174</v>
      </c>
    </row>
    <row r="852" spans="1:39" s="119" customFormat="1" ht="15" customHeight="1" x14ac:dyDescent="0.3">
      <c r="A852" s="119">
        <v>2017</v>
      </c>
      <c r="B852" s="119" t="s">
        <v>252</v>
      </c>
      <c r="C852" s="119" t="s">
        <v>110</v>
      </c>
      <c r="D852" s="119" t="s">
        <v>111</v>
      </c>
      <c r="E852" s="119" t="s">
        <v>281</v>
      </c>
      <c r="F852" s="119" t="s">
        <v>616</v>
      </c>
      <c r="G852" s="119" t="s">
        <v>617</v>
      </c>
      <c r="H852" s="119" t="s">
        <v>617</v>
      </c>
      <c r="I852" s="119" t="s">
        <v>170</v>
      </c>
      <c r="J852" s="119" t="s">
        <v>865</v>
      </c>
      <c r="K852" s="119" t="s">
        <v>866</v>
      </c>
      <c r="L852" s="119" t="s">
        <v>616</v>
      </c>
      <c r="M852" s="119" t="s">
        <v>46</v>
      </c>
      <c r="N852" s="136">
        <v>0.02</v>
      </c>
      <c r="O852" s="135" t="s">
        <v>51</v>
      </c>
      <c r="P852" s="135"/>
      <c r="Q852" s="137">
        <v>3266.8999999999901</v>
      </c>
      <c r="R852" s="137">
        <v>0</v>
      </c>
      <c r="S852" s="137">
        <v>70000</v>
      </c>
      <c r="T852" s="137">
        <f t="shared" si="164"/>
        <v>1400</v>
      </c>
      <c r="U852" s="137">
        <f t="shared" si="168"/>
        <v>71400</v>
      </c>
      <c r="V852" s="137">
        <v>71400</v>
      </c>
      <c r="W852" s="137">
        <f t="shared" si="169"/>
        <v>0</v>
      </c>
      <c r="X852" s="137">
        <f t="shared" si="165"/>
        <v>0</v>
      </c>
      <c r="Y852" s="137">
        <f t="shared" si="170"/>
        <v>0</v>
      </c>
      <c r="Z852" s="137">
        <v>74666.899999999994</v>
      </c>
      <c r="AA852" s="137">
        <f t="shared" si="166"/>
        <v>0</v>
      </c>
      <c r="AB852" s="146">
        <f>IF(O852="返货",(Z852-Q852)/(1+N852),IF(O852="返现",(Z852-Q852),IF(O852="折扣",(Z852-Q852)*N852,IF(O852="无",(Z852-Q852)))))</f>
        <v>70000</v>
      </c>
      <c r="AC852" s="147">
        <f t="shared" si="167"/>
        <v>4666.8999999999942</v>
      </c>
      <c r="AD852" s="137">
        <f>Z852*0.972201473425119-Q852</f>
        <v>69324.37019608602</v>
      </c>
      <c r="AE852" s="138">
        <v>0.1</v>
      </c>
      <c r="AF852" s="137">
        <f t="shared" si="162"/>
        <v>6932.437019608602</v>
      </c>
      <c r="AG852" s="137">
        <v>20828.667254902</v>
      </c>
      <c r="AH852" s="154"/>
      <c r="AI852" s="154"/>
      <c r="AJ852" s="135" t="s">
        <v>173</v>
      </c>
      <c r="AK852" s="119" t="s">
        <v>173</v>
      </c>
      <c r="AM852" s="119" t="s">
        <v>174</v>
      </c>
    </row>
    <row r="853" spans="1:39" s="119" customFormat="1" ht="15" customHeight="1" x14ac:dyDescent="0.3">
      <c r="A853" s="119">
        <v>2017</v>
      </c>
      <c r="B853" s="119" t="s">
        <v>199</v>
      </c>
      <c r="C853" s="119" t="s">
        <v>110</v>
      </c>
      <c r="D853" s="119" t="s">
        <v>111</v>
      </c>
      <c r="E853" s="119" t="s">
        <v>281</v>
      </c>
      <c r="F853" s="119" t="s">
        <v>899</v>
      </c>
      <c r="G853" s="119" t="s">
        <v>900</v>
      </c>
      <c r="H853" s="119" t="s">
        <v>900</v>
      </c>
      <c r="I853" s="119" t="s">
        <v>170</v>
      </c>
      <c r="J853" s="119" t="s">
        <v>171</v>
      </c>
      <c r="K853" s="119" t="s">
        <v>172</v>
      </c>
      <c r="L853" s="119" t="s">
        <v>899</v>
      </c>
      <c r="M853" s="119" t="s">
        <v>46</v>
      </c>
      <c r="N853" s="136">
        <v>0.02</v>
      </c>
      <c r="O853" s="135" t="s">
        <v>51</v>
      </c>
      <c r="P853" s="135"/>
      <c r="Q853" s="137">
        <v>100000</v>
      </c>
      <c r="R853" s="137">
        <v>0</v>
      </c>
      <c r="S853" s="137">
        <v>70000</v>
      </c>
      <c r="T853" s="137">
        <f t="shared" si="164"/>
        <v>1400</v>
      </c>
      <c r="U853" s="137">
        <f t="shared" si="168"/>
        <v>71400</v>
      </c>
      <c r="V853" s="137">
        <v>71400</v>
      </c>
      <c r="W853" s="137">
        <f t="shared" si="169"/>
        <v>0</v>
      </c>
      <c r="X853" s="137">
        <f t="shared" si="165"/>
        <v>0</v>
      </c>
      <c r="Y853" s="137">
        <f t="shared" si="170"/>
        <v>0</v>
      </c>
      <c r="Z853" s="137">
        <v>86245.5</v>
      </c>
      <c r="AA853" s="137">
        <f t="shared" si="166"/>
        <v>85154.5</v>
      </c>
      <c r="AB853" s="146">
        <f>IF(O853="返货",(Z853-Q853)/(1+N853),IF(O853="返现",(Z853-Q853),IF(O853="折扣",(Z853-Q853)*N853,IF(O853="无",(Z853-Q853)))))</f>
        <v>-13484.803921568628</v>
      </c>
      <c r="AC853" s="147">
        <f t="shared" si="167"/>
        <v>99730.303921568629</v>
      </c>
      <c r="AD853" s="137">
        <f>(Z853-Q853)*0.89807640489087</f>
        <v>-12352.591911071471</v>
      </c>
      <c r="AE853" s="138">
        <v>0.11269173273981201</v>
      </c>
      <c r="AF853" s="137">
        <f t="shared" si="162"/>
        <v>-1392.0349862864298</v>
      </c>
      <c r="AG853" s="137">
        <v>6025.2719367372501</v>
      </c>
      <c r="AH853" s="154"/>
      <c r="AI853" s="154"/>
      <c r="AJ853" s="135" t="s">
        <v>173</v>
      </c>
      <c r="AK853" s="119" t="s">
        <v>173</v>
      </c>
    </row>
    <row r="854" spans="1:39" s="119" customFormat="1" ht="15" customHeight="1" x14ac:dyDescent="0.3">
      <c r="A854" s="119">
        <v>2017</v>
      </c>
      <c r="B854" s="119" t="s">
        <v>252</v>
      </c>
      <c r="C854" s="119" t="s">
        <v>110</v>
      </c>
      <c r="D854" s="119" t="s">
        <v>111</v>
      </c>
      <c r="E854" s="119" t="s">
        <v>281</v>
      </c>
      <c r="F854" s="119" t="s">
        <v>901</v>
      </c>
      <c r="G854" s="119" t="s">
        <v>902</v>
      </c>
      <c r="H854" s="119" t="s">
        <v>903</v>
      </c>
      <c r="I854" s="119" t="s">
        <v>170</v>
      </c>
      <c r="J854" s="119" t="s">
        <v>603</v>
      </c>
      <c r="K854" s="119" t="s">
        <v>883</v>
      </c>
      <c r="L854" s="119" t="s">
        <v>904</v>
      </c>
      <c r="M854" s="119" t="s">
        <v>46</v>
      </c>
      <c r="N854" s="136">
        <v>0.02</v>
      </c>
      <c r="O854" s="135" t="s">
        <v>51</v>
      </c>
      <c r="P854" s="135"/>
      <c r="Q854" s="137">
        <v>0</v>
      </c>
      <c r="R854" s="137">
        <v>0</v>
      </c>
      <c r="S854" s="137">
        <v>250000</v>
      </c>
      <c r="T854" s="137">
        <f t="shared" si="164"/>
        <v>5000</v>
      </c>
      <c r="U854" s="137">
        <f t="shared" si="168"/>
        <v>255000</v>
      </c>
      <c r="V854" s="137">
        <v>250000</v>
      </c>
      <c r="W854" s="137">
        <f t="shared" si="169"/>
        <v>5000</v>
      </c>
      <c r="X854" s="137">
        <f t="shared" si="165"/>
        <v>4901.9607843137255</v>
      </c>
      <c r="Y854" s="137">
        <f t="shared" si="170"/>
        <v>98.039215686274474</v>
      </c>
      <c r="Z854" s="137">
        <v>222261.1</v>
      </c>
      <c r="AA854" s="137">
        <f t="shared" si="166"/>
        <v>27738.899999999994</v>
      </c>
      <c r="AB854" s="146">
        <f t="shared" ref="AB854:AB869" si="175">IF(O854="返货",Z854/(1+N854),IF(O854="返现",Z854,IF(O854="折扣",Z854*N854,IF(O854="无",Z854))))</f>
        <v>217903.03921568627</v>
      </c>
      <c r="AC854" s="147">
        <f t="shared" si="167"/>
        <v>4358.0607843137404</v>
      </c>
      <c r="AD854" s="137">
        <v>222261.1</v>
      </c>
      <c r="AE854" s="138">
        <v>0.1</v>
      </c>
      <c r="AF854" s="137">
        <f t="shared" si="162"/>
        <v>22226.11</v>
      </c>
      <c r="AG854" s="137">
        <v>17868.0492156863</v>
      </c>
      <c r="AH854" s="154"/>
      <c r="AI854" s="154"/>
      <c r="AJ854" s="135" t="s">
        <v>173</v>
      </c>
      <c r="AK854" s="119" t="s">
        <v>173</v>
      </c>
    </row>
    <row r="855" spans="1:39" s="119" customFormat="1" ht="15" customHeight="1" x14ac:dyDescent="0.3">
      <c r="A855" s="119">
        <v>2017</v>
      </c>
      <c r="B855" s="119" t="s">
        <v>199</v>
      </c>
      <c r="C855" s="119" t="s">
        <v>110</v>
      </c>
      <c r="D855" s="119" t="s">
        <v>111</v>
      </c>
      <c r="E855" s="119" t="s">
        <v>281</v>
      </c>
      <c r="F855" s="119" t="s">
        <v>621</v>
      </c>
      <c r="G855" s="119" t="s">
        <v>622</v>
      </c>
      <c r="H855" s="119" t="s">
        <v>622</v>
      </c>
      <c r="I855" s="119" t="s">
        <v>170</v>
      </c>
      <c r="J855" s="119" t="s">
        <v>171</v>
      </c>
      <c r="K855" s="119" t="s">
        <v>172</v>
      </c>
      <c r="L855" s="119" t="s">
        <v>621</v>
      </c>
      <c r="M855" s="119" t="s">
        <v>46</v>
      </c>
      <c r="N855" s="135">
        <v>0</v>
      </c>
      <c r="O855" s="135" t="s">
        <v>47</v>
      </c>
      <c r="P855" s="135" t="s">
        <v>440</v>
      </c>
      <c r="Q855" s="137">
        <v>0</v>
      </c>
      <c r="R855" s="137">
        <v>0</v>
      </c>
      <c r="S855" s="137">
        <v>440000</v>
      </c>
      <c r="T855" s="137">
        <f t="shared" si="164"/>
        <v>0</v>
      </c>
      <c r="U855" s="137">
        <f t="shared" si="168"/>
        <v>440000</v>
      </c>
      <c r="V855" s="137">
        <v>443800</v>
      </c>
      <c r="W855" s="137">
        <f t="shared" si="169"/>
        <v>-3800</v>
      </c>
      <c r="X855" s="137">
        <f t="shared" si="165"/>
        <v>-3800</v>
      </c>
      <c r="Y855" s="137">
        <f t="shared" si="170"/>
        <v>0</v>
      </c>
      <c r="Z855" s="137">
        <f>432041.1-Z1163</f>
        <v>238241.09999999998</v>
      </c>
      <c r="AA855" s="137">
        <f t="shared" si="166"/>
        <v>205558.90000000002</v>
      </c>
      <c r="AB855" s="146">
        <f t="shared" si="175"/>
        <v>238241.09999999998</v>
      </c>
      <c r="AC855" s="147">
        <f t="shared" si="167"/>
        <v>0</v>
      </c>
      <c r="AD855" s="137">
        <f>(Z855-Q855)*0.89807640489087</f>
        <v>213958.71058524624</v>
      </c>
      <c r="AE855" s="138">
        <v>0.11269173273981201</v>
      </c>
      <c r="AF855" s="137">
        <f t="shared" si="162"/>
        <v>24111.377830627356</v>
      </c>
      <c r="AG855" s="137">
        <v>38654.593419026198</v>
      </c>
      <c r="AH855" s="154"/>
      <c r="AI855" s="154"/>
      <c r="AJ855" s="135" t="s">
        <v>47</v>
      </c>
      <c r="AK855" s="119" t="s">
        <v>173</v>
      </c>
    </row>
    <row r="856" spans="1:39" s="119" customFormat="1" ht="15" customHeight="1" x14ac:dyDescent="0.3">
      <c r="A856" s="119">
        <v>2017</v>
      </c>
      <c r="B856" s="119" t="s">
        <v>38</v>
      </c>
      <c r="C856" s="119" t="s">
        <v>110</v>
      </c>
      <c r="D856" s="119" t="s">
        <v>111</v>
      </c>
      <c r="E856" s="119" t="s">
        <v>281</v>
      </c>
      <c r="F856" s="119" t="s">
        <v>905</v>
      </c>
      <c r="G856" s="119" t="s">
        <v>905</v>
      </c>
      <c r="H856" s="119" t="s">
        <v>905</v>
      </c>
      <c r="I856" s="119" t="s">
        <v>170</v>
      </c>
      <c r="J856" s="119" t="s">
        <v>865</v>
      </c>
      <c r="K856" s="119" t="s">
        <v>866</v>
      </c>
      <c r="L856" s="119" t="s">
        <v>905</v>
      </c>
      <c r="M856" s="119" t="s">
        <v>46</v>
      </c>
      <c r="N856" s="136">
        <v>0.02</v>
      </c>
      <c r="O856" s="135" t="s">
        <v>51</v>
      </c>
      <c r="P856" s="135"/>
      <c r="Q856" s="137">
        <v>0</v>
      </c>
      <c r="R856" s="137">
        <v>0</v>
      </c>
      <c r="S856" s="137">
        <v>20000</v>
      </c>
      <c r="T856" s="137">
        <f t="shared" si="164"/>
        <v>400</v>
      </c>
      <c r="U856" s="137">
        <f t="shared" si="168"/>
        <v>20400</v>
      </c>
      <c r="V856" s="137">
        <v>20400</v>
      </c>
      <c r="W856" s="137">
        <f t="shared" si="169"/>
        <v>0</v>
      </c>
      <c r="X856" s="137">
        <f t="shared" si="165"/>
        <v>0</v>
      </c>
      <c r="Y856" s="137">
        <f t="shared" si="170"/>
        <v>0</v>
      </c>
      <c r="Z856" s="137">
        <v>9630.9</v>
      </c>
      <c r="AA856" s="137">
        <f t="shared" si="166"/>
        <v>10769.1</v>
      </c>
      <c r="AB856" s="146">
        <f t="shared" si="175"/>
        <v>9442.0588235294108</v>
      </c>
      <c r="AC856" s="147">
        <f t="shared" si="167"/>
        <v>188.84117647058883</v>
      </c>
      <c r="AD856" s="137">
        <f>Z856*0.972201473425119-Q856</f>
        <v>9363.1751704099788</v>
      </c>
      <c r="AE856" s="138">
        <v>0.1</v>
      </c>
      <c r="AF856" s="137">
        <f t="shared" si="162"/>
        <v>936.31751704099793</v>
      </c>
      <c r="AG856" s="137">
        <v>1639.33274509804</v>
      </c>
      <c r="AH856" s="154"/>
      <c r="AI856" s="154"/>
      <c r="AJ856" s="135" t="s">
        <v>173</v>
      </c>
      <c r="AK856" s="119" t="s">
        <v>173</v>
      </c>
      <c r="AM856" s="119" t="s">
        <v>174</v>
      </c>
    </row>
    <row r="857" spans="1:39" s="119" customFormat="1" ht="15" customHeight="1" x14ac:dyDescent="0.3">
      <c r="A857" s="119">
        <v>2017</v>
      </c>
      <c r="B857" s="119" t="s">
        <v>38</v>
      </c>
      <c r="C857" s="119" t="s">
        <v>110</v>
      </c>
      <c r="D857" s="119" t="s">
        <v>111</v>
      </c>
      <c r="E857" s="119" t="s">
        <v>281</v>
      </c>
      <c r="F857" s="119" t="s">
        <v>623</v>
      </c>
      <c r="G857" s="119" t="s">
        <v>623</v>
      </c>
      <c r="H857" s="119" t="s">
        <v>623</v>
      </c>
      <c r="I857" s="119" t="s">
        <v>170</v>
      </c>
      <c r="J857" s="119" t="s">
        <v>603</v>
      </c>
      <c r="K857" s="119" t="s">
        <v>883</v>
      </c>
      <c r="L857" s="119" t="s">
        <v>623</v>
      </c>
      <c r="M857" s="119" t="s">
        <v>46</v>
      </c>
      <c r="N857" s="136">
        <v>0.02</v>
      </c>
      <c r="O857" s="135" t="s">
        <v>51</v>
      </c>
      <c r="P857" s="135"/>
      <c r="Q857" s="137">
        <v>0</v>
      </c>
      <c r="R857" s="137">
        <v>0</v>
      </c>
      <c r="S857" s="137">
        <v>100000</v>
      </c>
      <c r="T857" s="137">
        <f t="shared" si="164"/>
        <v>2000</v>
      </c>
      <c r="U857" s="137">
        <f t="shared" si="168"/>
        <v>102000</v>
      </c>
      <c r="V857" s="137">
        <v>102000</v>
      </c>
      <c r="W857" s="137">
        <f t="shared" si="169"/>
        <v>0</v>
      </c>
      <c r="X857" s="137">
        <f t="shared" si="165"/>
        <v>0</v>
      </c>
      <c r="Y857" s="137">
        <f t="shared" si="170"/>
        <v>0</v>
      </c>
      <c r="Z857" s="137">
        <v>93046.8</v>
      </c>
      <c r="AA857" s="137">
        <f t="shared" si="166"/>
        <v>8953.1999999999971</v>
      </c>
      <c r="AB857" s="146">
        <f t="shared" si="175"/>
        <v>91222.352941176476</v>
      </c>
      <c r="AC857" s="147">
        <f t="shared" si="167"/>
        <v>1824.4470588235272</v>
      </c>
      <c r="AD857" s="137">
        <v>93046.8</v>
      </c>
      <c r="AE857" s="138">
        <v>0.1</v>
      </c>
      <c r="AF857" s="137">
        <f t="shared" si="162"/>
        <v>9304.68</v>
      </c>
      <c r="AG857" s="137">
        <v>0</v>
      </c>
      <c r="AH857" s="154"/>
      <c r="AI857" s="154"/>
      <c r="AJ857" s="136">
        <v>0.02</v>
      </c>
      <c r="AK857" s="156">
        <v>0.02</v>
      </c>
      <c r="AM857" s="119" t="s">
        <v>174</v>
      </c>
    </row>
    <row r="858" spans="1:39" s="119" customFormat="1" ht="15" customHeight="1" x14ac:dyDescent="0.3">
      <c r="A858" s="119">
        <v>2017</v>
      </c>
      <c r="B858" s="119" t="s">
        <v>38</v>
      </c>
      <c r="C858" s="119" t="s">
        <v>110</v>
      </c>
      <c r="D858" s="119" t="s">
        <v>111</v>
      </c>
      <c r="E858" s="119" t="s">
        <v>281</v>
      </c>
      <c r="F858" s="119" t="s">
        <v>623</v>
      </c>
      <c r="G858" s="119" t="s">
        <v>623</v>
      </c>
      <c r="H858" s="119" t="s">
        <v>623</v>
      </c>
      <c r="I858" s="119" t="s">
        <v>170</v>
      </c>
      <c r="J858" s="119" t="s">
        <v>865</v>
      </c>
      <c r="K858" s="119" t="s">
        <v>866</v>
      </c>
      <c r="L858" s="119" t="s">
        <v>623</v>
      </c>
      <c r="M858" s="119" t="s">
        <v>46</v>
      </c>
      <c r="N858" s="136">
        <v>0.02</v>
      </c>
      <c r="O858" s="135" t="s">
        <v>51</v>
      </c>
      <c r="P858" s="135"/>
      <c r="Q858" s="137">
        <v>0</v>
      </c>
      <c r="R858" s="137">
        <v>0</v>
      </c>
      <c r="S858" s="137">
        <v>120000</v>
      </c>
      <c r="T858" s="137">
        <f t="shared" si="164"/>
        <v>2400</v>
      </c>
      <c r="U858" s="137">
        <f t="shared" si="168"/>
        <v>122400</v>
      </c>
      <c r="V858" s="137">
        <v>122400</v>
      </c>
      <c r="W858" s="137">
        <f t="shared" si="169"/>
        <v>0</v>
      </c>
      <c r="X858" s="137">
        <f t="shared" si="165"/>
        <v>0</v>
      </c>
      <c r="Y858" s="137">
        <f t="shared" si="170"/>
        <v>0</v>
      </c>
      <c r="Z858" s="137">
        <v>104877.7</v>
      </c>
      <c r="AA858" s="137">
        <f t="shared" si="166"/>
        <v>17522.300000000003</v>
      </c>
      <c r="AB858" s="146">
        <f t="shared" si="175"/>
        <v>102821.27450980392</v>
      </c>
      <c r="AC858" s="147">
        <f t="shared" si="167"/>
        <v>2056.4254901960812</v>
      </c>
      <c r="AD858" s="137">
        <f>Z858*0.972201473425119-Q858</f>
        <v>101962.2544694376</v>
      </c>
      <c r="AE858" s="138">
        <v>0.1</v>
      </c>
      <c r="AF858" s="137">
        <f t="shared" si="162"/>
        <v>10196.225446943761</v>
      </c>
      <c r="AG858" s="137">
        <v>15911.5774509804</v>
      </c>
      <c r="AH858" s="154"/>
      <c r="AI858" s="154"/>
      <c r="AJ858" s="136">
        <v>0.02</v>
      </c>
      <c r="AK858" s="156">
        <v>0.02</v>
      </c>
      <c r="AM858" s="119" t="s">
        <v>174</v>
      </c>
    </row>
    <row r="859" spans="1:39" s="119" customFormat="1" ht="15" customHeight="1" x14ac:dyDescent="0.3">
      <c r="A859" s="119">
        <v>2017</v>
      </c>
      <c r="B859" s="119" t="s">
        <v>38</v>
      </c>
      <c r="C859" s="119" t="s">
        <v>110</v>
      </c>
      <c r="D859" s="119" t="s">
        <v>111</v>
      </c>
      <c r="E859" s="119" t="s">
        <v>253</v>
      </c>
      <c r="F859" s="119" t="s">
        <v>630</v>
      </c>
      <c r="G859" s="119" t="s">
        <v>630</v>
      </c>
      <c r="H859" s="119" t="s">
        <v>630</v>
      </c>
      <c r="I859" s="119" t="s">
        <v>170</v>
      </c>
      <c r="J859" s="119" t="s">
        <v>171</v>
      </c>
      <c r="K859" s="119" t="s">
        <v>172</v>
      </c>
      <c r="L859" s="119" t="s">
        <v>630</v>
      </c>
      <c r="M859" s="119" t="s">
        <v>46</v>
      </c>
      <c r="N859" s="136">
        <v>0.04</v>
      </c>
      <c r="O859" s="135" t="s">
        <v>51</v>
      </c>
      <c r="P859" s="135"/>
      <c r="Q859" s="137">
        <v>0</v>
      </c>
      <c r="R859" s="137">
        <v>0</v>
      </c>
      <c r="S859" s="137">
        <v>9259.8700000000008</v>
      </c>
      <c r="T859" s="137">
        <f t="shared" si="164"/>
        <v>370.39480000000003</v>
      </c>
      <c r="U859" s="137">
        <f t="shared" si="168"/>
        <v>9630.2648000000008</v>
      </c>
      <c r="V859" s="137">
        <v>10000</v>
      </c>
      <c r="W859" s="137">
        <f t="shared" si="169"/>
        <v>-369.73519999999917</v>
      </c>
      <c r="X859" s="137">
        <f t="shared" si="165"/>
        <v>-355.51461538461456</v>
      </c>
      <c r="Y859" s="137">
        <f t="shared" si="170"/>
        <v>-14.22058461538461</v>
      </c>
      <c r="Z859" s="137"/>
      <c r="AA859" s="137">
        <f t="shared" si="166"/>
        <v>10000</v>
      </c>
      <c r="AB859" s="146">
        <f t="shared" si="175"/>
        <v>0</v>
      </c>
      <c r="AC859" s="147">
        <f t="shared" si="167"/>
        <v>0</v>
      </c>
      <c r="AD859" s="137">
        <f t="shared" ref="AD859:AD862" si="176">(Z859-Q859)*0.89807640489087</f>
        <v>0</v>
      </c>
      <c r="AE859" s="138">
        <v>0.11269173273981201</v>
      </c>
      <c r="AF859" s="137">
        <f t="shared" si="162"/>
        <v>0</v>
      </c>
      <c r="AG859" s="137">
        <v>20905.019742907301</v>
      </c>
      <c r="AH859" s="154"/>
      <c r="AI859" s="154"/>
      <c r="AJ859" s="136">
        <v>0.04</v>
      </c>
      <c r="AK859" s="156">
        <v>0.08</v>
      </c>
    </row>
    <row r="860" spans="1:39" s="119" customFormat="1" ht="15" customHeight="1" x14ac:dyDescent="0.3">
      <c r="A860" s="119">
        <v>2017</v>
      </c>
      <c r="B860" s="119" t="s">
        <v>38</v>
      </c>
      <c r="C860" s="119" t="s">
        <v>110</v>
      </c>
      <c r="D860" s="119" t="s">
        <v>111</v>
      </c>
      <c r="E860" s="119" t="s">
        <v>253</v>
      </c>
      <c r="F860" s="119" t="s">
        <v>906</v>
      </c>
      <c r="G860" s="119" t="s">
        <v>906</v>
      </c>
      <c r="H860" s="119" t="s">
        <v>906</v>
      </c>
      <c r="I860" s="119" t="s">
        <v>170</v>
      </c>
      <c r="J860" s="119" t="s">
        <v>171</v>
      </c>
      <c r="K860" s="119" t="s">
        <v>172</v>
      </c>
      <c r="L860" s="119" t="s">
        <v>906</v>
      </c>
      <c r="M860" s="119" t="s">
        <v>46</v>
      </c>
      <c r="N860" s="136">
        <v>0.02</v>
      </c>
      <c r="O860" s="135" t="s">
        <v>51</v>
      </c>
      <c r="P860" s="135"/>
      <c r="Q860" s="137">
        <v>0</v>
      </c>
      <c r="R860" s="137">
        <v>0</v>
      </c>
      <c r="S860" s="137">
        <v>495000</v>
      </c>
      <c r="T860" s="137">
        <f t="shared" si="164"/>
        <v>9900</v>
      </c>
      <c r="U860" s="137">
        <f t="shared" si="168"/>
        <v>504900</v>
      </c>
      <c r="V860" s="137">
        <v>504790</v>
      </c>
      <c r="W860" s="137">
        <f t="shared" si="169"/>
        <v>110</v>
      </c>
      <c r="X860" s="137">
        <f t="shared" si="165"/>
        <v>107.84313725490196</v>
      </c>
      <c r="Y860" s="137">
        <f t="shared" si="170"/>
        <v>2.1568627450980387</v>
      </c>
      <c r="Z860" s="137">
        <v>485326.3</v>
      </c>
      <c r="AA860" s="137">
        <f t="shared" si="166"/>
        <v>19463.700000000012</v>
      </c>
      <c r="AB860" s="146">
        <f t="shared" si="175"/>
        <v>475810.09803921566</v>
      </c>
      <c r="AC860" s="147">
        <f t="shared" si="167"/>
        <v>9516.2019607843249</v>
      </c>
      <c r="AD860" s="137">
        <f t="shared" si="176"/>
        <v>435860.09870298783</v>
      </c>
      <c r="AE860" s="138">
        <v>0.11269173273981201</v>
      </c>
      <c r="AF860" s="137">
        <f t="shared" si="162"/>
        <v>49117.829754985185</v>
      </c>
      <c r="AG860" s="137">
        <v>33905.803033787597</v>
      </c>
      <c r="AH860" s="154"/>
      <c r="AI860" s="154"/>
      <c r="AJ860" s="135" t="s">
        <v>896</v>
      </c>
      <c r="AK860" s="119" t="s">
        <v>896</v>
      </c>
    </row>
    <row r="861" spans="1:39" s="119" customFormat="1" ht="15" customHeight="1" x14ac:dyDescent="0.3">
      <c r="A861" s="119">
        <v>2017</v>
      </c>
      <c r="B861" s="119" t="s">
        <v>38</v>
      </c>
      <c r="C861" s="119" t="s">
        <v>110</v>
      </c>
      <c r="D861" s="119" t="s">
        <v>111</v>
      </c>
      <c r="E861" s="119" t="s">
        <v>253</v>
      </c>
      <c r="F861" s="119" t="s">
        <v>907</v>
      </c>
      <c r="G861" s="119" t="s">
        <v>907</v>
      </c>
      <c r="H861" s="119" t="s">
        <v>907</v>
      </c>
      <c r="I861" s="119" t="s">
        <v>170</v>
      </c>
      <c r="J861" s="119" t="s">
        <v>171</v>
      </c>
      <c r="K861" s="119" t="s">
        <v>172</v>
      </c>
      <c r="L861" s="119" t="s">
        <v>907</v>
      </c>
      <c r="M861" s="119" t="s">
        <v>46</v>
      </c>
      <c r="N861" s="136">
        <v>0.02</v>
      </c>
      <c r="O861" s="135" t="s">
        <v>51</v>
      </c>
      <c r="P861" s="135"/>
      <c r="Q861" s="137">
        <v>0</v>
      </c>
      <c r="R861" s="137">
        <v>0</v>
      </c>
      <c r="S861" s="137">
        <v>250000</v>
      </c>
      <c r="T861" s="137">
        <f t="shared" si="164"/>
        <v>5000</v>
      </c>
      <c r="U861" s="137">
        <f t="shared" si="168"/>
        <v>255000</v>
      </c>
      <c r="V861" s="137">
        <v>265200</v>
      </c>
      <c r="W861" s="137">
        <f t="shared" si="169"/>
        <v>-10200</v>
      </c>
      <c r="X861" s="137">
        <f t="shared" si="165"/>
        <v>-10000</v>
      </c>
      <c r="Y861" s="137">
        <f t="shared" si="170"/>
        <v>-200</v>
      </c>
      <c r="Z861" s="137">
        <v>249478.3</v>
      </c>
      <c r="AA861" s="137">
        <f t="shared" si="166"/>
        <v>15721.700000000012</v>
      </c>
      <c r="AB861" s="146">
        <f t="shared" si="175"/>
        <v>244586.56862745096</v>
      </c>
      <c r="AC861" s="147">
        <f t="shared" si="167"/>
        <v>4891.7313725490239</v>
      </c>
      <c r="AD861" s="137">
        <f t="shared" si="176"/>
        <v>224050.57476228592</v>
      </c>
      <c r="AE861" s="138">
        <v>0.11269173273981201</v>
      </c>
      <c r="AF861" s="137">
        <f t="shared" si="162"/>
        <v>25248.647491312793</v>
      </c>
      <c r="AG861" s="137">
        <v>17429.020642409399</v>
      </c>
      <c r="AH861" s="154"/>
      <c r="AI861" s="154"/>
      <c r="AJ861" s="135" t="s">
        <v>173</v>
      </c>
      <c r="AK861" s="119" t="s">
        <v>173</v>
      </c>
    </row>
    <row r="862" spans="1:39" s="119" customFormat="1" ht="15" customHeight="1" x14ac:dyDescent="0.3">
      <c r="A862" s="119">
        <v>2017</v>
      </c>
      <c r="B862" s="119" t="s">
        <v>38</v>
      </c>
      <c r="C862" s="119" t="s">
        <v>88</v>
      </c>
      <c r="D862" s="119" t="s">
        <v>89</v>
      </c>
      <c r="E862" s="119" t="s">
        <v>124</v>
      </c>
      <c r="F862" s="119" t="s">
        <v>908</v>
      </c>
      <c r="G862" s="119" t="s">
        <v>909</v>
      </c>
      <c r="H862" s="119" t="s">
        <v>909</v>
      </c>
      <c r="I862" s="119" t="s">
        <v>170</v>
      </c>
      <c r="J862" s="119" t="s">
        <v>171</v>
      </c>
      <c r="K862" s="119" t="s">
        <v>172</v>
      </c>
      <c r="L862" s="119" t="s">
        <v>908</v>
      </c>
      <c r="M862" s="119" t="s">
        <v>46</v>
      </c>
      <c r="N862" s="136">
        <v>0.04</v>
      </c>
      <c r="O862" s="135" t="s">
        <v>51</v>
      </c>
      <c r="P862" s="135"/>
      <c r="Q862" s="137">
        <v>0</v>
      </c>
      <c r="R862" s="137">
        <v>0</v>
      </c>
      <c r="S862" s="137">
        <v>343278.8</v>
      </c>
      <c r="T862" s="137">
        <f t="shared" si="164"/>
        <v>13731.152</v>
      </c>
      <c r="U862" s="137">
        <f t="shared" si="168"/>
        <v>357009.95199999999</v>
      </c>
      <c r="V862" s="137">
        <v>357000</v>
      </c>
      <c r="W862" s="137">
        <f t="shared" si="169"/>
        <v>9.9519999999902211</v>
      </c>
      <c r="X862" s="137">
        <f t="shared" si="165"/>
        <v>9.5692307692213667</v>
      </c>
      <c r="Y862" s="137">
        <f t="shared" si="170"/>
        <v>0.38276923076885438</v>
      </c>
      <c r="Z862" s="137">
        <v>342607.2</v>
      </c>
      <c r="AA862" s="137">
        <f t="shared" si="166"/>
        <v>14392.799999999988</v>
      </c>
      <c r="AB862" s="146">
        <f t="shared" si="175"/>
        <v>329430</v>
      </c>
      <c r="AC862" s="147">
        <f t="shared" si="167"/>
        <v>13177.200000000012</v>
      </c>
      <c r="AD862" s="137">
        <f t="shared" si="176"/>
        <v>307687.44246572728</v>
      </c>
      <c r="AE862" s="138">
        <v>0.11269173273981201</v>
      </c>
      <c r="AF862" s="137">
        <f t="shared" si="162"/>
        <v>34673.83103374402</v>
      </c>
      <c r="AG862" s="137">
        <v>5274.6569014945899</v>
      </c>
      <c r="AH862" s="154"/>
      <c r="AI862" s="154"/>
      <c r="AJ862" s="136">
        <v>0.04</v>
      </c>
      <c r="AK862" s="156">
        <v>0.04</v>
      </c>
    </row>
    <row r="863" spans="1:39" s="119" customFormat="1" ht="15" customHeight="1" x14ac:dyDescent="0.3">
      <c r="A863" s="119">
        <v>2017</v>
      </c>
      <c r="B863" s="119" t="s">
        <v>38</v>
      </c>
      <c r="C863" s="119" t="s">
        <v>88</v>
      </c>
      <c r="D863" s="119" t="s">
        <v>89</v>
      </c>
      <c r="E863" s="119" t="s">
        <v>124</v>
      </c>
      <c r="F863" s="119" t="s">
        <v>910</v>
      </c>
      <c r="G863" s="119" t="s">
        <v>910</v>
      </c>
      <c r="H863" s="119" t="s">
        <v>910</v>
      </c>
      <c r="I863" s="119" t="s">
        <v>170</v>
      </c>
      <c r="J863" s="119" t="s">
        <v>603</v>
      </c>
      <c r="K863" s="119" t="s">
        <v>883</v>
      </c>
      <c r="L863" s="119" t="s">
        <v>910</v>
      </c>
      <c r="M863" s="119" t="s">
        <v>46</v>
      </c>
      <c r="N863" s="136">
        <v>0.02</v>
      </c>
      <c r="O863" s="135" t="s">
        <v>51</v>
      </c>
      <c r="P863" s="135"/>
      <c r="Q863" s="137">
        <v>0</v>
      </c>
      <c r="R863" s="137">
        <v>0</v>
      </c>
      <c r="S863" s="137">
        <v>10000</v>
      </c>
      <c r="T863" s="137">
        <f t="shared" si="164"/>
        <v>200</v>
      </c>
      <c r="U863" s="137">
        <f t="shared" si="168"/>
        <v>10200</v>
      </c>
      <c r="V863" s="137">
        <v>10200</v>
      </c>
      <c r="W863" s="137">
        <f t="shared" si="169"/>
        <v>0</v>
      </c>
      <c r="X863" s="137">
        <f t="shared" si="165"/>
        <v>0</v>
      </c>
      <c r="Y863" s="137">
        <f t="shared" si="170"/>
        <v>0</v>
      </c>
      <c r="Z863" s="137">
        <v>2506.6999999999998</v>
      </c>
      <c r="AA863" s="137">
        <f>Q863+V863-Z863</f>
        <v>7693.3</v>
      </c>
      <c r="AB863" s="146">
        <f t="shared" si="175"/>
        <v>2457.5490196078431</v>
      </c>
      <c r="AC863" s="147">
        <f t="shared" si="167"/>
        <v>49.150980392156725</v>
      </c>
      <c r="AD863" s="137">
        <v>2506.6999999999998</v>
      </c>
      <c r="AE863" s="138">
        <v>0.1</v>
      </c>
      <c r="AF863" s="137">
        <f t="shared" si="162"/>
        <v>250.67</v>
      </c>
      <c r="AG863" s="137">
        <v>108.781320754717</v>
      </c>
      <c r="AH863" s="154"/>
      <c r="AI863" s="154"/>
      <c r="AJ863" s="135" t="s">
        <v>173</v>
      </c>
      <c r="AK863" s="119" t="s">
        <v>173</v>
      </c>
    </row>
    <row r="864" spans="1:39" s="119" customFormat="1" ht="15" customHeight="1" x14ac:dyDescent="0.3">
      <c r="A864" s="119">
        <v>2017</v>
      </c>
      <c r="B864" s="119" t="s">
        <v>38</v>
      </c>
      <c r="C864" s="119" t="s">
        <v>88</v>
      </c>
      <c r="D864" s="119" t="s">
        <v>89</v>
      </c>
      <c r="E864" s="119" t="s">
        <v>124</v>
      </c>
      <c r="F864" s="119" t="s">
        <v>911</v>
      </c>
      <c r="G864" s="119" t="s">
        <v>911</v>
      </c>
      <c r="H864" s="119" t="s">
        <v>911</v>
      </c>
      <c r="I864" s="119" t="s">
        <v>170</v>
      </c>
      <c r="J864" s="119" t="s">
        <v>171</v>
      </c>
      <c r="K864" s="119" t="s">
        <v>172</v>
      </c>
      <c r="L864" s="119" t="s">
        <v>911</v>
      </c>
      <c r="M864" s="119" t="s">
        <v>46</v>
      </c>
      <c r="N864" s="136">
        <v>0.04</v>
      </c>
      <c r="O864" s="135" t="s">
        <v>51</v>
      </c>
      <c r="P864" s="135"/>
      <c r="Q864" s="137">
        <v>0</v>
      </c>
      <c r="R864" s="137">
        <v>0</v>
      </c>
      <c r="S864" s="137">
        <v>9808</v>
      </c>
      <c r="T864" s="137">
        <f t="shared" si="164"/>
        <v>392.32</v>
      </c>
      <c r="U864" s="137">
        <f t="shared" si="168"/>
        <v>10200.32</v>
      </c>
      <c r="V864" s="137">
        <v>10200</v>
      </c>
      <c r="W864" s="137">
        <f t="shared" si="169"/>
        <v>0.31999999999970896</v>
      </c>
      <c r="X864" s="137">
        <f t="shared" si="165"/>
        <v>0.30769230769202782</v>
      </c>
      <c r="Y864" s="137">
        <f t="shared" si="170"/>
        <v>1.230769230768114E-2</v>
      </c>
      <c r="Z864" s="137">
        <v>10196.9</v>
      </c>
      <c r="AA864" s="137">
        <f t="shared" si="166"/>
        <v>3.1000000000003638</v>
      </c>
      <c r="AB864" s="146">
        <f t="shared" si="175"/>
        <v>9804.7115384615372</v>
      </c>
      <c r="AC864" s="147">
        <f t="shared" si="167"/>
        <v>392.18846153846243</v>
      </c>
      <c r="AD864" s="137">
        <f t="shared" ref="AD864:AD866" si="177">(Z864-Q864)*0.89807640489087</f>
        <v>9157.5952930317126</v>
      </c>
      <c r="AE864" s="138">
        <v>0.11269173273981201</v>
      </c>
      <c r="AF864" s="137">
        <f t="shared" si="162"/>
        <v>1031.9852813016901</v>
      </c>
      <c r="AG864" s="137">
        <v>712.37450547235699</v>
      </c>
      <c r="AH864" s="154"/>
      <c r="AI864" s="154"/>
      <c r="AJ864" s="135" t="s">
        <v>186</v>
      </c>
      <c r="AK864" s="119" t="s">
        <v>186</v>
      </c>
    </row>
    <row r="865" spans="1:39" s="119" customFormat="1" ht="15" customHeight="1" x14ac:dyDescent="0.3">
      <c r="A865" s="119">
        <v>2017</v>
      </c>
      <c r="B865" s="119" t="s">
        <v>38</v>
      </c>
      <c r="C865" s="119" t="s">
        <v>88</v>
      </c>
      <c r="D865" s="119" t="s">
        <v>89</v>
      </c>
      <c r="E865" s="119" t="s">
        <v>124</v>
      </c>
      <c r="F865" s="119" t="s">
        <v>912</v>
      </c>
      <c r="G865" s="119" t="s">
        <v>912</v>
      </c>
      <c r="H865" s="119" t="s">
        <v>912</v>
      </c>
      <c r="I865" s="119" t="s">
        <v>170</v>
      </c>
      <c r="J865" s="119" t="s">
        <v>171</v>
      </c>
      <c r="K865" s="119" t="s">
        <v>172</v>
      </c>
      <c r="L865" s="119" t="s">
        <v>912</v>
      </c>
      <c r="M865" s="119" t="s">
        <v>46</v>
      </c>
      <c r="N865" s="136">
        <v>0.02</v>
      </c>
      <c r="O865" s="135" t="s">
        <v>51</v>
      </c>
      <c r="P865" s="135"/>
      <c r="Q865" s="137">
        <v>0</v>
      </c>
      <c r="R865" s="137">
        <v>0</v>
      </c>
      <c r="S865" s="137">
        <v>320000</v>
      </c>
      <c r="T865" s="137">
        <f t="shared" si="164"/>
        <v>6400</v>
      </c>
      <c r="U865" s="137">
        <f t="shared" si="168"/>
        <v>326400</v>
      </c>
      <c r="V865" s="137">
        <v>326400</v>
      </c>
      <c r="W865" s="137">
        <f t="shared" si="169"/>
        <v>0</v>
      </c>
      <c r="X865" s="137">
        <f t="shared" si="165"/>
        <v>0</v>
      </c>
      <c r="Y865" s="137">
        <f t="shared" si="170"/>
        <v>0</v>
      </c>
      <c r="Z865" s="137">
        <v>225031.9</v>
      </c>
      <c r="AA865" s="137">
        <f t="shared" si="166"/>
        <v>101368.1</v>
      </c>
      <c r="AB865" s="146">
        <f t="shared" si="175"/>
        <v>220619.50980392157</v>
      </c>
      <c r="AC865" s="147">
        <f t="shared" si="167"/>
        <v>4412.3901960784278</v>
      </c>
      <c r="AD865" s="137">
        <f t="shared" si="177"/>
        <v>202095.83973776177</v>
      </c>
      <c r="AE865" s="138">
        <v>0.11269173273981201</v>
      </c>
      <c r="AF865" s="137">
        <f t="shared" si="162"/>
        <v>22774.530359555727</v>
      </c>
      <c r="AG865" s="137">
        <v>9767.7821891861204</v>
      </c>
      <c r="AH865" s="154"/>
      <c r="AI865" s="154"/>
      <c r="AJ865" s="135" t="s">
        <v>173</v>
      </c>
      <c r="AK865" s="119" t="s">
        <v>173</v>
      </c>
      <c r="AM865" s="119" t="s">
        <v>174</v>
      </c>
    </row>
    <row r="866" spans="1:39" s="119" customFormat="1" ht="15" customHeight="1" x14ac:dyDescent="0.3">
      <c r="A866" s="119">
        <v>2017</v>
      </c>
      <c r="B866" s="119" t="s">
        <v>199</v>
      </c>
      <c r="C866" s="119" t="s">
        <v>88</v>
      </c>
      <c r="D866" s="119" t="s">
        <v>89</v>
      </c>
      <c r="E866" s="119" t="s">
        <v>277</v>
      </c>
      <c r="F866" s="119" t="s">
        <v>288</v>
      </c>
      <c r="G866" s="119" t="s">
        <v>289</v>
      </c>
      <c r="H866" s="119" t="s">
        <v>289</v>
      </c>
      <c r="I866" s="119" t="s">
        <v>170</v>
      </c>
      <c r="J866" s="119" t="s">
        <v>171</v>
      </c>
      <c r="K866" s="119" t="s">
        <v>172</v>
      </c>
      <c r="L866" s="119" t="s">
        <v>913</v>
      </c>
      <c r="M866" s="119" t="s">
        <v>46</v>
      </c>
      <c r="N866" s="136">
        <v>0.02</v>
      </c>
      <c r="O866" s="135" t="s">
        <v>51</v>
      </c>
      <c r="P866" s="135"/>
      <c r="Q866" s="137">
        <v>0</v>
      </c>
      <c r="R866" s="137">
        <v>0</v>
      </c>
      <c r="S866" s="137">
        <v>10000</v>
      </c>
      <c r="T866" s="137">
        <f t="shared" si="164"/>
        <v>200</v>
      </c>
      <c r="U866" s="137">
        <f t="shared" si="168"/>
        <v>10200</v>
      </c>
      <c r="V866" s="137">
        <v>10200</v>
      </c>
      <c r="W866" s="137">
        <f t="shared" si="169"/>
        <v>0</v>
      </c>
      <c r="X866" s="137">
        <f t="shared" si="165"/>
        <v>0</v>
      </c>
      <c r="Y866" s="137">
        <f t="shared" si="170"/>
        <v>0</v>
      </c>
      <c r="Z866" s="137">
        <v>4099.5</v>
      </c>
      <c r="AA866" s="137">
        <f t="shared" si="166"/>
        <v>6100.5</v>
      </c>
      <c r="AB866" s="146">
        <f t="shared" si="175"/>
        <v>4019.1176470588234</v>
      </c>
      <c r="AC866" s="147">
        <f t="shared" si="167"/>
        <v>80.382352941176578</v>
      </c>
      <c r="AD866" s="137">
        <f t="shared" si="177"/>
        <v>3681.6642218501215</v>
      </c>
      <c r="AE866" s="138">
        <v>0.11269173273981201</v>
      </c>
      <c r="AF866" s="137">
        <f t="shared" si="162"/>
        <v>414.89312052646181</v>
      </c>
      <c r="AG866" s="137">
        <v>286.398737379392</v>
      </c>
      <c r="AH866" s="154"/>
      <c r="AI866" s="154"/>
      <c r="AJ866" s="136">
        <v>0.02</v>
      </c>
      <c r="AK866" s="156">
        <v>0.02</v>
      </c>
    </row>
    <row r="867" spans="1:39" s="119" customFormat="1" ht="15" customHeight="1" x14ac:dyDescent="0.3">
      <c r="A867" s="119">
        <v>2017</v>
      </c>
      <c r="B867" s="119" t="s">
        <v>38</v>
      </c>
      <c r="C867" s="119" t="s">
        <v>88</v>
      </c>
      <c r="D867" s="119" t="s">
        <v>293</v>
      </c>
      <c r="E867" s="119" t="s">
        <v>194</v>
      </c>
      <c r="F867" s="119" t="s">
        <v>914</v>
      </c>
      <c r="G867" s="119" t="s">
        <v>914</v>
      </c>
      <c r="H867" s="119" t="s">
        <v>914</v>
      </c>
      <c r="I867" s="119" t="s">
        <v>170</v>
      </c>
      <c r="J867" s="119" t="s">
        <v>865</v>
      </c>
      <c r="K867" s="119" t="s">
        <v>866</v>
      </c>
      <c r="L867" s="119" t="s">
        <v>914</v>
      </c>
      <c r="M867" s="119" t="s">
        <v>46</v>
      </c>
      <c r="N867" s="136">
        <v>0.02</v>
      </c>
      <c r="O867" s="135" t="s">
        <v>51</v>
      </c>
      <c r="P867" s="135"/>
      <c r="Q867" s="137">
        <v>0</v>
      </c>
      <c r="R867" s="137">
        <v>0</v>
      </c>
      <c r="S867" s="137">
        <v>30000</v>
      </c>
      <c r="T867" s="137">
        <f t="shared" si="164"/>
        <v>600</v>
      </c>
      <c r="U867" s="137">
        <f t="shared" si="168"/>
        <v>30600</v>
      </c>
      <c r="V867" s="137">
        <v>30600</v>
      </c>
      <c r="W867" s="137">
        <f t="shared" si="169"/>
        <v>0</v>
      </c>
      <c r="X867" s="137">
        <f t="shared" si="165"/>
        <v>0</v>
      </c>
      <c r="Y867" s="137">
        <f t="shared" si="170"/>
        <v>0</v>
      </c>
      <c r="Z867" s="137">
        <v>28082.7</v>
      </c>
      <c r="AA867" s="137">
        <f t="shared" si="166"/>
        <v>2517.2999999999993</v>
      </c>
      <c r="AB867" s="146">
        <f t="shared" si="175"/>
        <v>27532.058823529413</v>
      </c>
      <c r="AC867" s="147">
        <f t="shared" si="167"/>
        <v>550.64117647058811</v>
      </c>
      <c r="AD867" s="137">
        <f>Z867*0.972201473425119-Q867</f>
        <v>27302.042317755589</v>
      </c>
      <c r="AE867" s="138">
        <v>0.1</v>
      </c>
      <c r="AF867" s="137">
        <f t="shared" si="162"/>
        <v>2730.204231775559</v>
      </c>
      <c r="AG867" s="137">
        <v>1218.68320754717</v>
      </c>
      <c r="AH867" s="154"/>
      <c r="AI867" s="154"/>
      <c r="AJ867" s="136">
        <v>0.02</v>
      </c>
      <c r="AK867" s="156">
        <v>0.02</v>
      </c>
    </row>
    <row r="868" spans="1:39" s="119" customFormat="1" ht="15" customHeight="1" x14ac:dyDescent="0.3">
      <c r="A868" s="119">
        <v>2017</v>
      </c>
      <c r="B868" s="119" t="s">
        <v>38</v>
      </c>
      <c r="C868" s="119" t="s">
        <v>75</v>
      </c>
      <c r="D868" s="119" t="s">
        <v>76</v>
      </c>
      <c r="E868" s="119" t="s">
        <v>167</v>
      </c>
      <c r="F868" s="119" t="s">
        <v>295</v>
      </c>
      <c r="G868" s="119" t="s">
        <v>295</v>
      </c>
      <c r="H868" s="119" t="s">
        <v>295</v>
      </c>
      <c r="I868" s="119" t="s">
        <v>170</v>
      </c>
      <c r="J868" s="119" t="s">
        <v>171</v>
      </c>
      <c r="K868" s="119" t="s">
        <v>172</v>
      </c>
      <c r="L868" s="119" t="s">
        <v>295</v>
      </c>
      <c r="M868" s="119" t="s">
        <v>46</v>
      </c>
      <c r="N868" s="136">
        <v>0.02</v>
      </c>
      <c r="O868" s="135" t="s">
        <v>51</v>
      </c>
      <c r="P868" s="135"/>
      <c r="Q868" s="137">
        <v>0</v>
      </c>
      <c r="R868" s="137">
        <v>0</v>
      </c>
      <c r="S868" s="137">
        <v>20000</v>
      </c>
      <c r="T868" s="137">
        <f t="shared" si="164"/>
        <v>400</v>
      </c>
      <c r="U868" s="137">
        <f t="shared" si="168"/>
        <v>20400</v>
      </c>
      <c r="V868" s="137">
        <v>20400</v>
      </c>
      <c r="W868" s="137">
        <f t="shared" si="169"/>
        <v>0</v>
      </c>
      <c r="X868" s="137">
        <f t="shared" si="165"/>
        <v>0</v>
      </c>
      <c r="Y868" s="137">
        <f t="shared" si="170"/>
        <v>0</v>
      </c>
      <c r="Z868" s="137">
        <v>20397.5</v>
      </c>
      <c r="AA868" s="137">
        <f t="shared" si="166"/>
        <v>2.5</v>
      </c>
      <c r="AB868" s="146">
        <f t="shared" si="175"/>
        <v>19997.549019607843</v>
      </c>
      <c r="AC868" s="147">
        <f t="shared" si="167"/>
        <v>399.95098039215736</v>
      </c>
      <c r="AD868" s="137">
        <f t="shared" ref="AD868:AD880" si="178">(Z868-Q868)*0.89807640489087</f>
        <v>18318.513468761521</v>
      </c>
      <c r="AE868" s="138">
        <v>0.11269173273981201</v>
      </c>
      <c r="AF868" s="137">
        <f t="shared" si="162"/>
        <v>2064.3450240123198</v>
      </c>
      <c r="AG868" s="137">
        <v>1425.0074998649</v>
      </c>
      <c r="AH868" s="154"/>
      <c r="AI868" s="154"/>
      <c r="AJ868" s="135" t="s">
        <v>173</v>
      </c>
      <c r="AK868" s="119" t="s">
        <v>173</v>
      </c>
    </row>
    <row r="869" spans="1:39" s="119" customFormat="1" ht="15" customHeight="1" x14ac:dyDescent="0.3">
      <c r="A869" s="119">
        <v>2017</v>
      </c>
      <c r="B869" s="119" t="s">
        <v>38</v>
      </c>
      <c r="C869" s="119" t="s">
        <v>75</v>
      </c>
      <c r="D869" s="119" t="s">
        <v>76</v>
      </c>
      <c r="E869" s="119" t="s">
        <v>167</v>
      </c>
      <c r="F869" s="119" t="s">
        <v>915</v>
      </c>
      <c r="G869" s="119" t="s">
        <v>916</v>
      </c>
      <c r="H869" s="119" t="s">
        <v>916</v>
      </c>
      <c r="I869" s="119" t="s">
        <v>170</v>
      </c>
      <c r="J869" s="119" t="s">
        <v>171</v>
      </c>
      <c r="K869" s="119" t="s">
        <v>172</v>
      </c>
      <c r="L869" s="119" t="s">
        <v>916</v>
      </c>
      <c r="M869" s="119" t="s">
        <v>46</v>
      </c>
      <c r="N869" s="136">
        <v>0.04</v>
      </c>
      <c r="O869" s="135" t="s">
        <v>51</v>
      </c>
      <c r="P869" s="135"/>
      <c r="Q869" s="137">
        <v>0</v>
      </c>
      <c r="R869" s="137">
        <v>0</v>
      </c>
      <c r="S869" s="137">
        <v>711538.46</v>
      </c>
      <c r="T869" s="137">
        <f t="shared" si="164"/>
        <v>28461.538399999998</v>
      </c>
      <c r="U869" s="137">
        <f t="shared" si="168"/>
        <v>739999.99839999992</v>
      </c>
      <c r="V869" s="137">
        <v>740000</v>
      </c>
      <c r="W869" s="137">
        <f t="shared" si="169"/>
        <v>-1.6000000759959221E-3</v>
      </c>
      <c r="X869" s="137">
        <f t="shared" si="165"/>
        <v>-1.5384616115345403E-3</v>
      </c>
      <c r="Y869" s="137">
        <f t="shared" si="170"/>
        <v>-6.1538464461381769E-5</v>
      </c>
      <c r="Z869" s="137">
        <v>429212.7</v>
      </c>
      <c r="AA869" s="137">
        <f t="shared" si="166"/>
        <v>310787.3</v>
      </c>
      <c r="AB869" s="146">
        <f t="shared" si="175"/>
        <v>412704.51923076925</v>
      </c>
      <c r="AC869" s="147">
        <f t="shared" si="167"/>
        <v>16508.180769230763</v>
      </c>
      <c r="AD869" s="137">
        <f t="shared" si="178"/>
        <v>385465.79854950355</v>
      </c>
      <c r="AE869" s="138">
        <v>0.11269173273981201</v>
      </c>
      <c r="AF869" s="137">
        <f t="shared" si="162"/>
        <v>43438.808750478871</v>
      </c>
      <c r="AG869" s="137">
        <v>21893.356512251201</v>
      </c>
      <c r="AH869" s="154"/>
      <c r="AI869" s="154"/>
      <c r="AJ869" s="135" t="s">
        <v>186</v>
      </c>
      <c r="AK869" s="119" t="s">
        <v>186</v>
      </c>
    </row>
    <row r="870" spans="1:39" s="119" customFormat="1" ht="15" customHeight="1" x14ac:dyDescent="0.3">
      <c r="A870" s="119">
        <v>2017</v>
      </c>
      <c r="B870" s="119" t="s">
        <v>38</v>
      </c>
      <c r="C870" s="119" t="s">
        <v>75</v>
      </c>
      <c r="D870" s="119" t="s">
        <v>76</v>
      </c>
      <c r="E870" s="119" t="s">
        <v>296</v>
      </c>
      <c r="F870" s="119" t="s">
        <v>569</v>
      </c>
      <c r="G870" s="119" t="s">
        <v>569</v>
      </c>
      <c r="H870" s="119" t="s">
        <v>569</v>
      </c>
      <c r="I870" s="119" t="s">
        <v>170</v>
      </c>
      <c r="J870" s="119" t="s">
        <v>171</v>
      </c>
      <c r="K870" s="119" t="s">
        <v>172</v>
      </c>
      <c r="L870" s="119" t="s">
        <v>569</v>
      </c>
      <c r="M870" s="119" t="s">
        <v>46</v>
      </c>
      <c r="N870" s="136">
        <v>0.06</v>
      </c>
      <c r="O870" s="135" t="s">
        <v>51</v>
      </c>
      <c r="P870" s="135"/>
      <c r="Q870" s="137">
        <v>126399.7</v>
      </c>
      <c r="R870" s="137">
        <v>0</v>
      </c>
      <c r="S870" s="137">
        <v>3988978.88</v>
      </c>
      <c r="T870" s="137">
        <f t="shared" si="164"/>
        <v>239338.7328</v>
      </c>
      <c r="U870" s="137">
        <f t="shared" si="168"/>
        <v>4228317.6128000002</v>
      </c>
      <c r="V870" s="137">
        <v>3988978.88</v>
      </c>
      <c r="W870" s="137">
        <f t="shared" si="169"/>
        <v>239338.73280000035</v>
      </c>
      <c r="X870" s="137">
        <f t="shared" si="165"/>
        <v>225791.25735849087</v>
      </c>
      <c r="Y870" s="137">
        <f t="shared" si="170"/>
        <v>13547.475441509479</v>
      </c>
      <c r="Z870" s="137">
        <v>3839169.7920000004</v>
      </c>
      <c r="AA870" s="137">
        <f t="shared" si="166"/>
        <v>276208.78799999971</v>
      </c>
      <c r="AB870" s="146">
        <v>3522970.68</v>
      </c>
      <c r="AC870" s="147">
        <f t="shared" si="167"/>
        <v>316199.1120000002</v>
      </c>
      <c r="AD870" s="137">
        <f t="shared" si="178"/>
        <v>3334351.2164097051</v>
      </c>
      <c r="AE870" s="138">
        <v>0.11269173273981201</v>
      </c>
      <c r="AF870" s="137">
        <f t="shared" si="162"/>
        <v>375753.81614030956</v>
      </c>
      <c r="AG870" s="137">
        <v>266806.906068779</v>
      </c>
      <c r="AH870" s="154"/>
      <c r="AI870" s="154"/>
      <c r="AJ870" s="136">
        <v>0.06</v>
      </c>
      <c r="AK870" s="156">
        <v>0.06</v>
      </c>
    </row>
    <row r="871" spans="1:39" s="119" customFormat="1" ht="15" customHeight="1" x14ac:dyDescent="0.3">
      <c r="A871" s="119">
        <v>2017</v>
      </c>
      <c r="B871" s="119" t="s">
        <v>38</v>
      </c>
      <c r="C871" s="119" t="s">
        <v>75</v>
      </c>
      <c r="D871" s="119" t="s">
        <v>76</v>
      </c>
      <c r="E871" s="119" t="s">
        <v>296</v>
      </c>
      <c r="F871" s="119" t="s">
        <v>569</v>
      </c>
      <c r="G871" s="119" t="s">
        <v>569</v>
      </c>
      <c r="H871" s="119" t="s">
        <v>569</v>
      </c>
      <c r="I871" s="119" t="s">
        <v>170</v>
      </c>
      <c r="J871" s="119" t="s">
        <v>171</v>
      </c>
      <c r="K871" s="119" t="s">
        <v>172</v>
      </c>
      <c r="L871" s="119" t="s">
        <v>569</v>
      </c>
      <c r="M871" s="119" t="s">
        <v>46</v>
      </c>
      <c r="N871" s="136">
        <v>0.08</v>
      </c>
      <c r="O871" s="135" t="s">
        <v>51</v>
      </c>
      <c r="P871" s="135"/>
      <c r="Q871" s="137">
        <v>0</v>
      </c>
      <c r="R871" s="137">
        <v>0</v>
      </c>
      <c r="S871" s="137">
        <v>360000</v>
      </c>
      <c r="T871" s="137">
        <f t="shared" si="164"/>
        <v>28800</v>
      </c>
      <c r="U871" s="137">
        <f t="shared" si="168"/>
        <v>388800</v>
      </c>
      <c r="V871" s="137">
        <v>360000</v>
      </c>
      <c r="W871" s="137">
        <f t="shared" si="169"/>
        <v>28800</v>
      </c>
      <c r="X871" s="137">
        <f t="shared" si="165"/>
        <v>26666.666666666664</v>
      </c>
      <c r="Y871" s="137">
        <f t="shared" si="170"/>
        <v>2133.3333333333358</v>
      </c>
      <c r="Z871" s="137">
        <v>0</v>
      </c>
      <c r="AA871" s="137">
        <f t="shared" si="166"/>
        <v>360000</v>
      </c>
      <c r="AB871" s="146">
        <f>IF(O871="返货",Z871/(1+N871),IF(O871="返现",Z871,IF(O871="折扣",Z871*N871,IF(O871="无",Z871))))</f>
        <v>0</v>
      </c>
      <c r="AC871" s="147">
        <f t="shared" si="167"/>
        <v>0</v>
      </c>
      <c r="AD871" s="137">
        <f t="shared" si="178"/>
        <v>0</v>
      </c>
      <c r="AE871" s="138">
        <v>0.11269173273981201</v>
      </c>
      <c r="AF871" s="137">
        <f t="shared" si="162"/>
        <v>0</v>
      </c>
      <c r="AG871" s="137">
        <v>0</v>
      </c>
      <c r="AH871" s="154"/>
      <c r="AI871" s="154"/>
      <c r="AJ871" s="136">
        <v>0.08</v>
      </c>
      <c r="AK871" s="156">
        <v>0.08</v>
      </c>
    </row>
    <row r="872" spans="1:39" s="119" customFormat="1" ht="15" customHeight="1" x14ac:dyDescent="0.3">
      <c r="A872" s="119">
        <v>2017</v>
      </c>
      <c r="B872" s="119" t="s">
        <v>38</v>
      </c>
      <c r="C872" s="119" t="s">
        <v>75</v>
      </c>
      <c r="D872" s="119" t="s">
        <v>76</v>
      </c>
      <c r="E872" s="119" t="s">
        <v>296</v>
      </c>
      <c r="F872" s="119" t="s">
        <v>273</v>
      </c>
      <c r="G872" s="119" t="s">
        <v>273</v>
      </c>
      <c r="H872" s="119" t="s">
        <v>273</v>
      </c>
      <c r="I872" s="119" t="s">
        <v>170</v>
      </c>
      <c r="J872" s="119" t="s">
        <v>171</v>
      </c>
      <c r="K872" s="119" t="s">
        <v>172</v>
      </c>
      <c r="L872" s="119" t="s">
        <v>273</v>
      </c>
      <c r="M872" s="119" t="s">
        <v>46</v>
      </c>
      <c r="N872" s="136">
        <v>0.04</v>
      </c>
      <c r="O872" s="135" t="s">
        <v>51</v>
      </c>
      <c r="P872" s="135"/>
      <c r="Q872" s="137">
        <v>102217.4</v>
      </c>
      <c r="R872" s="137">
        <v>0</v>
      </c>
      <c r="S872" s="137">
        <v>250000</v>
      </c>
      <c r="T872" s="137">
        <f t="shared" si="164"/>
        <v>10000</v>
      </c>
      <c r="U872" s="137">
        <f t="shared" si="168"/>
        <v>260000</v>
      </c>
      <c r="V872" s="137">
        <v>190000</v>
      </c>
      <c r="W872" s="137">
        <f t="shared" si="169"/>
        <v>70000</v>
      </c>
      <c r="X872" s="137">
        <f t="shared" si="165"/>
        <v>67307.692307692312</v>
      </c>
      <c r="Y872" s="137">
        <f t="shared" si="170"/>
        <v>2692.3076923076878</v>
      </c>
      <c r="Z872" s="137">
        <v>292203.5</v>
      </c>
      <c r="AA872" s="137">
        <f t="shared" si="166"/>
        <v>13.900000000023283</v>
      </c>
      <c r="AB872" s="146">
        <f>IF(O872="返货",(Z872-Q872)/(1+N872),IF(O872="返现",(Z872-Q872),IF(O872="折扣",(Z872-Q872)*N872,IF(O872="无",(Z872-Q872)))))</f>
        <v>182678.94230769231</v>
      </c>
      <c r="AC872" s="147">
        <f t="shared" si="167"/>
        <v>109524.55769230769</v>
      </c>
      <c r="AD872" s="137">
        <f t="shared" si="178"/>
        <v>170622.03366723732</v>
      </c>
      <c r="AE872" s="138">
        <v>0.11269173273981201</v>
      </c>
      <c r="AF872" s="137">
        <f t="shared" si="162"/>
        <v>19227.692617551515</v>
      </c>
      <c r="AG872" s="137">
        <v>14904.7672625427</v>
      </c>
      <c r="AH872" s="154"/>
      <c r="AI872" s="154"/>
      <c r="AJ872" s="136">
        <v>0.04</v>
      </c>
      <c r="AK872" s="156">
        <v>0.04</v>
      </c>
    </row>
    <row r="873" spans="1:39" s="119" customFormat="1" ht="15" customHeight="1" x14ac:dyDescent="0.3">
      <c r="A873" s="119">
        <v>2017</v>
      </c>
      <c r="B873" s="119" t="s">
        <v>38</v>
      </c>
      <c r="C873" s="119" t="s">
        <v>75</v>
      </c>
      <c r="D873" s="119" t="s">
        <v>76</v>
      </c>
      <c r="E873" s="119" t="s">
        <v>296</v>
      </c>
      <c r="F873" s="119" t="s">
        <v>641</v>
      </c>
      <c r="G873" s="119" t="s">
        <v>641</v>
      </c>
      <c r="H873" s="119" t="s">
        <v>641</v>
      </c>
      <c r="I873" s="119" t="s">
        <v>170</v>
      </c>
      <c r="J873" s="119" t="s">
        <v>171</v>
      </c>
      <c r="K873" s="119" t="s">
        <v>172</v>
      </c>
      <c r="L873" s="119" t="s">
        <v>641</v>
      </c>
      <c r="M873" s="119" t="s">
        <v>46</v>
      </c>
      <c r="N873" s="136">
        <v>0.06</v>
      </c>
      <c r="O873" s="135" t="s">
        <v>51</v>
      </c>
      <c r="P873" s="135"/>
      <c r="Q873" s="137">
        <v>75575.3</v>
      </c>
      <c r="R873" s="137">
        <v>0</v>
      </c>
      <c r="S873" s="137">
        <v>4370000</v>
      </c>
      <c r="T873" s="137">
        <f t="shared" si="164"/>
        <v>262200</v>
      </c>
      <c r="U873" s="137">
        <f t="shared" si="168"/>
        <v>4632200</v>
      </c>
      <c r="V873" s="137">
        <v>4632599</v>
      </c>
      <c r="W873" s="137">
        <f t="shared" si="169"/>
        <v>-399</v>
      </c>
      <c r="X873" s="137">
        <f t="shared" si="165"/>
        <v>-376.41509433962261</v>
      </c>
      <c r="Y873" s="137">
        <f t="shared" si="170"/>
        <v>-22.584905660377387</v>
      </c>
      <c r="Z873" s="137">
        <v>4522385.3</v>
      </c>
      <c r="AA873" s="137">
        <f t="shared" si="166"/>
        <v>185789</v>
      </c>
      <c r="AB873" s="146">
        <f>IF(O873="返货",(Z873-Q873)/(1+N873),IF(O873="返现",(Z873-Q873),IF(O873="折扣",(Z873-Q873)*N873,IF(O873="无",(Z873-Q873)))))</f>
        <v>4195103.7735849051</v>
      </c>
      <c r="AC873" s="147">
        <f t="shared" si="167"/>
        <v>327281.52641509473</v>
      </c>
      <c r="AD873" s="137">
        <f t="shared" si="178"/>
        <v>3993575.1380327698</v>
      </c>
      <c r="AE873" s="138">
        <v>0.11269173273981201</v>
      </c>
      <c r="AF873" s="137">
        <f t="shared" si="162"/>
        <v>450042.90213154675</v>
      </c>
      <c r="AG873" s="137">
        <v>148632.443352211</v>
      </c>
      <c r="AH873" s="154"/>
      <c r="AI873" s="154"/>
      <c r="AJ873" s="136">
        <v>0.06</v>
      </c>
      <c r="AK873" s="156">
        <v>0.06</v>
      </c>
    </row>
    <row r="874" spans="1:39" s="119" customFormat="1" ht="15" customHeight="1" x14ac:dyDescent="0.3">
      <c r="A874" s="119">
        <v>2017</v>
      </c>
      <c r="B874" s="119" t="s">
        <v>38</v>
      </c>
      <c r="C874" s="119" t="s">
        <v>75</v>
      </c>
      <c r="D874" s="119" t="s">
        <v>76</v>
      </c>
      <c r="E874" s="119" t="s">
        <v>296</v>
      </c>
      <c r="F874" s="119" t="s">
        <v>917</v>
      </c>
      <c r="G874" s="119" t="s">
        <v>917</v>
      </c>
      <c r="H874" s="119" t="s">
        <v>917</v>
      </c>
      <c r="I874" s="119" t="s">
        <v>170</v>
      </c>
      <c r="J874" s="119" t="s">
        <v>171</v>
      </c>
      <c r="K874" s="119" t="s">
        <v>172</v>
      </c>
      <c r="L874" s="119" t="s">
        <v>569</v>
      </c>
      <c r="M874" s="119" t="s">
        <v>46</v>
      </c>
      <c r="N874" s="136">
        <v>0.06</v>
      </c>
      <c r="O874" s="135" t="s">
        <v>51</v>
      </c>
      <c r="P874" s="135"/>
      <c r="Q874" s="137">
        <v>0</v>
      </c>
      <c r="R874" s="137">
        <v>0</v>
      </c>
      <c r="S874" s="137">
        <v>1790251.8</v>
      </c>
      <c r="T874" s="137">
        <f t="shared" si="164"/>
        <v>107415.10799999999</v>
      </c>
      <c r="U874" s="137">
        <f t="shared" si="168"/>
        <v>1897666.9080000001</v>
      </c>
      <c r="V874" s="137">
        <v>1000000</v>
      </c>
      <c r="W874" s="137">
        <f t="shared" si="169"/>
        <v>897666.90800000005</v>
      </c>
      <c r="X874" s="137">
        <f t="shared" si="165"/>
        <v>846855.57358490571</v>
      </c>
      <c r="Y874" s="137">
        <f t="shared" si="170"/>
        <v>50811.334415094345</v>
      </c>
      <c r="Z874" s="137">
        <v>1897666.9080000001</v>
      </c>
      <c r="AA874" s="137">
        <f t="shared" si="166"/>
        <v>-897666.90800000005</v>
      </c>
      <c r="AB874" s="137">
        <v>1790251.8</v>
      </c>
      <c r="AC874" s="147">
        <f t="shared" si="167"/>
        <v>107415.10800000001</v>
      </c>
      <c r="AD874" s="137">
        <f t="shared" si="178"/>
        <v>1704249.8744170135</v>
      </c>
      <c r="AE874" s="138">
        <v>0.11269173273981201</v>
      </c>
      <c r="AF874" s="137">
        <f t="shared" si="162"/>
        <v>192054.87136966025</v>
      </c>
      <c r="AG874" s="137">
        <v>0</v>
      </c>
      <c r="AH874" s="154"/>
      <c r="AI874" s="154"/>
      <c r="AJ874" s="136">
        <v>0.06</v>
      </c>
      <c r="AK874" s="119" t="s">
        <v>193</v>
      </c>
    </row>
    <row r="875" spans="1:39" s="119" customFormat="1" ht="15" customHeight="1" x14ac:dyDescent="0.3">
      <c r="A875" s="119">
        <v>2017</v>
      </c>
      <c r="B875" s="119" t="s">
        <v>38</v>
      </c>
      <c r="C875" s="119" t="s">
        <v>75</v>
      </c>
      <c r="D875" s="119" t="s">
        <v>76</v>
      </c>
      <c r="E875" s="119" t="s">
        <v>296</v>
      </c>
      <c r="F875" s="119" t="s">
        <v>573</v>
      </c>
      <c r="G875" s="119" t="s">
        <v>573</v>
      </c>
      <c r="H875" s="119" t="s">
        <v>573</v>
      </c>
      <c r="I875" s="119" t="s">
        <v>170</v>
      </c>
      <c r="J875" s="119" t="s">
        <v>171</v>
      </c>
      <c r="K875" s="119" t="s">
        <v>172</v>
      </c>
      <c r="L875" s="119" t="s">
        <v>573</v>
      </c>
      <c r="M875" s="119" t="s">
        <v>46</v>
      </c>
      <c r="N875" s="136">
        <v>0.04</v>
      </c>
      <c r="O875" s="135" t="s">
        <v>51</v>
      </c>
      <c r="P875" s="135"/>
      <c r="Q875" s="137">
        <v>0</v>
      </c>
      <c r="R875" s="137">
        <v>0</v>
      </c>
      <c r="S875" s="137">
        <v>424982</v>
      </c>
      <c r="T875" s="137">
        <f t="shared" si="164"/>
        <v>16999.28</v>
      </c>
      <c r="U875" s="137">
        <f t="shared" si="168"/>
        <v>441981.28</v>
      </c>
      <c r="V875" s="137">
        <v>538600</v>
      </c>
      <c r="W875" s="137">
        <f t="shared" si="169"/>
        <v>-96618.719999999972</v>
      </c>
      <c r="X875" s="137">
        <f t="shared" si="165"/>
        <v>-92902.615384615361</v>
      </c>
      <c r="Y875" s="137">
        <f t="shared" si="170"/>
        <v>-3716.104615384611</v>
      </c>
      <c r="Z875" s="137">
        <v>0</v>
      </c>
      <c r="AA875" s="137">
        <f t="shared" si="166"/>
        <v>538600</v>
      </c>
      <c r="AB875" s="146">
        <f>IF(O875="返货",Z875/(1+N875),IF(O875="返现",Z875,IF(O875="折扣",Z875*N875,IF(O875="无",Z875))))</f>
        <v>0</v>
      </c>
      <c r="AC875" s="147">
        <f t="shared" si="167"/>
        <v>0</v>
      </c>
      <c r="AD875" s="137">
        <f t="shared" si="178"/>
        <v>0</v>
      </c>
      <c r="AE875" s="138">
        <v>0.11269173273981201</v>
      </c>
      <c r="AF875" s="137">
        <f t="shared" si="162"/>
        <v>0</v>
      </c>
      <c r="AG875" s="137">
        <v>0</v>
      </c>
      <c r="AH875" s="154"/>
      <c r="AI875" s="154"/>
      <c r="AJ875" s="136">
        <v>0.04</v>
      </c>
      <c r="AK875" s="156">
        <v>0.04</v>
      </c>
    </row>
    <row r="876" spans="1:39" s="119" customFormat="1" ht="15" customHeight="1" x14ac:dyDescent="0.3">
      <c r="A876" s="119">
        <v>2017</v>
      </c>
      <c r="B876" s="119" t="s">
        <v>38</v>
      </c>
      <c r="C876" s="119" t="s">
        <v>75</v>
      </c>
      <c r="D876" s="119" t="s">
        <v>76</v>
      </c>
      <c r="E876" s="119" t="s">
        <v>296</v>
      </c>
      <c r="F876" s="119" t="s">
        <v>567</v>
      </c>
      <c r="G876" s="119" t="s">
        <v>567</v>
      </c>
      <c r="H876" s="119" t="s">
        <v>567</v>
      </c>
      <c r="I876" s="119" t="s">
        <v>170</v>
      </c>
      <c r="J876" s="119" t="s">
        <v>171</v>
      </c>
      <c r="K876" s="119" t="s">
        <v>172</v>
      </c>
      <c r="L876" s="119" t="s">
        <v>569</v>
      </c>
      <c r="M876" s="119" t="s">
        <v>46</v>
      </c>
      <c r="N876" s="136">
        <v>0.06</v>
      </c>
      <c r="O876" s="135" t="s">
        <v>51</v>
      </c>
      <c r="P876" s="135"/>
      <c r="Q876" s="137">
        <v>0</v>
      </c>
      <c r="R876" s="137">
        <v>0</v>
      </c>
      <c r="S876" s="137">
        <v>1600000</v>
      </c>
      <c r="T876" s="137">
        <f t="shared" si="164"/>
        <v>96000</v>
      </c>
      <c r="U876" s="137">
        <f t="shared" si="168"/>
        <v>1696000</v>
      </c>
      <c r="V876" s="137">
        <v>1100000</v>
      </c>
      <c r="W876" s="137">
        <f t="shared" si="169"/>
        <v>596000</v>
      </c>
      <c r="X876" s="137">
        <f t="shared" si="165"/>
        <v>562264.15094339615</v>
      </c>
      <c r="Y876" s="137">
        <f t="shared" si="170"/>
        <v>33735.849056603853</v>
      </c>
      <c r="Z876" s="137">
        <v>1696000</v>
      </c>
      <c r="AA876" s="137">
        <f t="shared" si="166"/>
        <v>-596000</v>
      </c>
      <c r="AB876" s="146">
        <f>S876</f>
        <v>1600000</v>
      </c>
      <c r="AC876" s="147">
        <f t="shared" si="167"/>
        <v>96000</v>
      </c>
      <c r="AD876" s="137">
        <f t="shared" si="178"/>
        <v>1523137.5826949156</v>
      </c>
      <c r="AE876" s="138">
        <v>0.11269173273981201</v>
      </c>
      <c r="AF876" s="137">
        <f t="shared" si="162"/>
        <v>171645.01339501873</v>
      </c>
      <c r="AG876" s="137">
        <v>0</v>
      </c>
      <c r="AH876" s="154"/>
      <c r="AI876" s="154"/>
      <c r="AJ876" s="136">
        <v>0.06</v>
      </c>
      <c r="AK876" s="156">
        <v>0.06</v>
      </c>
    </row>
    <row r="877" spans="1:39" s="119" customFormat="1" ht="15" customHeight="1" x14ac:dyDescent="0.3">
      <c r="A877" s="119">
        <v>2017</v>
      </c>
      <c r="B877" s="119" t="s">
        <v>38</v>
      </c>
      <c r="C877" s="119" t="s">
        <v>75</v>
      </c>
      <c r="D877" s="119" t="s">
        <v>256</v>
      </c>
      <c r="E877" s="119" t="s">
        <v>321</v>
      </c>
      <c r="F877" s="119" t="s">
        <v>699</v>
      </c>
      <c r="G877" s="119" t="s">
        <v>699</v>
      </c>
      <c r="H877" s="119" t="s">
        <v>699</v>
      </c>
      <c r="I877" s="119" t="s">
        <v>170</v>
      </c>
      <c r="J877" s="119" t="s">
        <v>171</v>
      </c>
      <c r="K877" s="119" t="s">
        <v>172</v>
      </c>
      <c r="L877" s="119" t="s">
        <v>700</v>
      </c>
      <c r="M877" s="119" t="s">
        <v>46</v>
      </c>
      <c r="N877" s="136">
        <v>0.02</v>
      </c>
      <c r="O877" s="135" t="s">
        <v>51</v>
      </c>
      <c r="P877" s="135"/>
      <c r="Q877" s="142">
        <v>304185.80000000098</v>
      </c>
      <c r="R877" s="137">
        <v>0</v>
      </c>
      <c r="S877" s="137">
        <v>10560000</v>
      </c>
      <c r="T877" s="137">
        <f t="shared" si="164"/>
        <v>211200</v>
      </c>
      <c r="U877" s="137">
        <f t="shared" si="168"/>
        <v>10771200</v>
      </c>
      <c r="V877" s="137">
        <v>10598457.699999999</v>
      </c>
      <c r="W877" s="137">
        <f t="shared" si="169"/>
        <v>172742.30000000075</v>
      </c>
      <c r="X877" s="137">
        <f t="shared" si="165"/>
        <v>169355.19607843211</v>
      </c>
      <c r="Y877" s="137">
        <f t="shared" si="170"/>
        <v>3387.1039215686324</v>
      </c>
      <c r="Z877" s="137">
        <v>10902640.9</v>
      </c>
      <c r="AA877" s="137">
        <f t="shared" si="166"/>
        <v>2.599999999627471</v>
      </c>
      <c r="AB877" s="146">
        <f>IF(O877="返货",(Z877-Q877)/(1+N877),IF(O877="返现",(Z877-Q877),IF(O877="折扣",(Z877-Q877)*N877,IF(O877="无",(Z877-Q877)))))</f>
        <v>10390642.25490196</v>
      </c>
      <c r="AC877" s="147">
        <f t="shared" si="167"/>
        <v>511998.64509803988</v>
      </c>
      <c r="AD877" s="137">
        <f t="shared" si="178"/>
        <v>9518222.4536053054</v>
      </c>
      <c r="AE877" s="138">
        <v>0.11269173273981201</v>
      </c>
      <c r="AF877" s="137">
        <f t="shared" si="162"/>
        <v>1072624.9808997668</v>
      </c>
      <c r="AG877" s="137">
        <v>761678.88470811502</v>
      </c>
      <c r="AH877" s="154"/>
      <c r="AI877" s="154"/>
      <c r="AJ877" s="135" t="s">
        <v>173</v>
      </c>
      <c r="AK877" s="119" t="s">
        <v>173</v>
      </c>
    </row>
    <row r="878" spans="1:39" s="119" customFormat="1" ht="15" customHeight="1" x14ac:dyDescent="0.3">
      <c r="A878" s="119">
        <v>2017</v>
      </c>
      <c r="B878" s="119" t="s">
        <v>38</v>
      </c>
      <c r="C878" s="119" t="s">
        <v>75</v>
      </c>
      <c r="D878" s="119" t="s">
        <v>76</v>
      </c>
      <c r="E878" s="119" t="s">
        <v>296</v>
      </c>
      <c r="F878" s="119" t="s">
        <v>567</v>
      </c>
      <c r="G878" s="119" t="s">
        <v>567</v>
      </c>
      <c r="H878" s="119" t="s">
        <v>567</v>
      </c>
      <c r="I878" s="119" t="s">
        <v>170</v>
      </c>
      <c r="J878" s="119" t="s">
        <v>171</v>
      </c>
      <c r="K878" s="119" t="s">
        <v>172</v>
      </c>
      <c r="L878" s="119" t="s">
        <v>569</v>
      </c>
      <c r="M878" s="119" t="s">
        <v>46</v>
      </c>
      <c r="N878" s="136">
        <v>0.08</v>
      </c>
      <c r="O878" s="135" t="s">
        <v>51</v>
      </c>
      <c r="P878" s="135"/>
      <c r="Q878" s="137">
        <v>0</v>
      </c>
      <c r="R878" s="137">
        <v>0</v>
      </c>
      <c r="S878" s="137">
        <v>340000</v>
      </c>
      <c r="T878" s="137">
        <f t="shared" si="164"/>
        <v>27200</v>
      </c>
      <c r="U878" s="137">
        <f t="shared" si="168"/>
        <v>367200</v>
      </c>
      <c r="V878" s="137">
        <v>340000</v>
      </c>
      <c r="W878" s="137">
        <f t="shared" si="169"/>
        <v>27200</v>
      </c>
      <c r="X878" s="137">
        <f t="shared" si="165"/>
        <v>25185.185185185182</v>
      </c>
      <c r="Y878" s="137">
        <f t="shared" si="170"/>
        <v>2014.8148148148175</v>
      </c>
      <c r="Z878" s="137">
        <v>367200</v>
      </c>
      <c r="AA878" s="137">
        <f t="shared" si="166"/>
        <v>-27200</v>
      </c>
      <c r="AB878" s="146">
        <f>S878</f>
        <v>340000</v>
      </c>
      <c r="AC878" s="147">
        <f t="shared" si="167"/>
        <v>27200</v>
      </c>
      <c r="AD878" s="137">
        <f t="shared" si="178"/>
        <v>329773.65587592748</v>
      </c>
      <c r="AE878" s="138">
        <v>0.11269173273981201</v>
      </c>
      <c r="AF878" s="137">
        <f t="shared" si="162"/>
        <v>37162.764692600751</v>
      </c>
      <c r="AG878" s="137">
        <v>0</v>
      </c>
      <c r="AH878" s="154"/>
      <c r="AI878" s="154"/>
      <c r="AJ878" s="136">
        <v>0.08</v>
      </c>
      <c r="AK878" s="156">
        <v>0.08</v>
      </c>
    </row>
    <row r="879" spans="1:39" s="119" customFormat="1" ht="15" customHeight="1" x14ac:dyDescent="0.3">
      <c r="A879" s="119">
        <v>2017</v>
      </c>
      <c r="B879" s="119" t="s">
        <v>38</v>
      </c>
      <c r="C879" s="119" t="s">
        <v>75</v>
      </c>
      <c r="D879" s="119" t="s">
        <v>76</v>
      </c>
      <c r="E879" s="119" t="s">
        <v>296</v>
      </c>
      <c r="F879" s="119" t="s">
        <v>849</v>
      </c>
      <c r="G879" s="119" t="s">
        <v>849</v>
      </c>
      <c r="H879" s="119" t="s">
        <v>849</v>
      </c>
      <c r="I879" s="119" t="s">
        <v>170</v>
      </c>
      <c r="J879" s="119" t="s">
        <v>171</v>
      </c>
      <c r="K879" s="119" t="s">
        <v>172</v>
      </c>
      <c r="L879" s="119" t="s">
        <v>849</v>
      </c>
      <c r="M879" s="119" t="s">
        <v>46</v>
      </c>
      <c r="N879" s="136">
        <v>0.04</v>
      </c>
      <c r="O879" s="135" t="s">
        <v>51</v>
      </c>
      <c r="P879" s="135"/>
      <c r="Q879" s="137">
        <v>53592.6</v>
      </c>
      <c r="R879" s="137">
        <v>0</v>
      </c>
      <c r="S879" s="137">
        <v>439806.39</v>
      </c>
      <c r="T879" s="137">
        <f t="shared" si="164"/>
        <v>17592.2556</v>
      </c>
      <c r="U879" s="137">
        <f t="shared" si="168"/>
        <v>457398.64559999999</v>
      </c>
      <c r="V879" s="137">
        <v>450000</v>
      </c>
      <c r="W879" s="137">
        <f t="shared" si="169"/>
        <v>7398.6455999999889</v>
      </c>
      <c r="X879" s="137">
        <f t="shared" si="165"/>
        <v>7114.082307692297</v>
      </c>
      <c r="Y879" s="137">
        <f t="shared" si="170"/>
        <v>284.56329230769188</v>
      </c>
      <c r="Z879" s="137">
        <v>1268520.5</v>
      </c>
      <c r="AA879" s="137">
        <f t="shared" si="166"/>
        <v>-764927.9</v>
      </c>
      <c r="AB879" s="146">
        <f>IF(O879="返货",(Z879-Q879)/(1+N879),IF(O879="返现",(Z879-Q879),IF(O879="折扣",(Z879-Q879)*N879,IF(O879="无",(Z879-Q879)))))</f>
        <v>1168199.9038461538</v>
      </c>
      <c r="AC879" s="147">
        <f t="shared" si="167"/>
        <v>100320.59615384624</v>
      </c>
      <c r="AD879" s="137">
        <f t="shared" si="178"/>
        <v>1091098.0806336144</v>
      </c>
      <c r="AE879" s="138">
        <v>0.11269173273981201</v>
      </c>
      <c r="AF879" s="137">
        <f t="shared" ref="AF879:AF942" si="179">AD879*AE879</f>
        <v>122957.73329568513</v>
      </c>
      <c r="AG879" s="137">
        <v>64704.915650443501</v>
      </c>
      <c r="AH879" s="154"/>
      <c r="AI879" s="154"/>
      <c r="AJ879" s="136">
        <v>0.04</v>
      </c>
      <c r="AK879" s="156">
        <v>0.04</v>
      </c>
    </row>
    <row r="880" spans="1:39" s="119" customFormat="1" ht="15" customHeight="1" x14ac:dyDescent="0.3">
      <c r="A880" s="119">
        <v>2017</v>
      </c>
      <c r="B880" s="119" t="s">
        <v>38</v>
      </c>
      <c r="C880" s="119" t="s">
        <v>75</v>
      </c>
      <c r="D880" s="119" t="s">
        <v>76</v>
      </c>
      <c r="E880" s="119" t="s">
        <v>296</v>
      </c>
      <c r="F880" s="119" t="s">
        <v>205</v>
      </c>
      <c r="G880" s="119" t="s">
        <v>205</v>
      </c>
      <c r="H880" s="119" t="s">
        <v>205</v>
      </c>
      <c r="I880" s="119" t="s">
        <v>170</v>
      </c>
      <c r="J880" s="119" t="s">
        <v>171</v>
      </c>
      <c r="K880" s="119" t="s">
        <v>172</v>
      </c>
      <c r="L880" s="119" t="s">
        <v>569</v>
      </c>
      <c r="M880" s="119" t="s">
        <v>46</v>
      </c>
      <c r="N880" s="136">
        <v>0.06</v>
      </c>
      <c r="O880" s="135" t="s">
        <v>51</v>
      </c>
      <c r="P880" s="135"/>
      <c r="Q880" s="137">
        <v>0</v>
      </c>
      <c r="R880" s="137">
        <v>0</v>
      </c>
      <c r="S880" s="137">
        <v>300000</v>
      </c>
      <c r="T880" s="137">
        <f t="shared" si="164"/>
        <v>18000</v>
      </c>
      <c r="U880" s="137">
        <f t="shared" si="168"/>
        <v>318000</v>
      </c>
      <c r="V880" s="137">
        <v>300000</v>
      </c>
      <c r="W880" s="137">
        <f t="shared" si="169"/>
        <v>18000</v>
      </c>
      <c r="X880" s="137">
        <f t="shared" si="165"/>
        <v>16981.132075471698</v>
      </c>
      <c r="Y880" s="137">
        <f t="shared" si="170"/>
        <v>1018.867924528302</v>
      </c>
      <c r="Z880" s="137">
        <v>318000</v>
      </c>
      <c r="AA880" s="137">
        <f t="shared" si="166"/>
        <v>-18000</v>
      </c>
      <c r="AB880" s="146">
        <v>300000</v>
      </c>
      <c r="AC880" s="147">
        <f t="shared" si="167"/>
        <v>18000</v>
      </c>
      <c r="AD880" s="137">
        <f t="shared" si="178"/>
        <v>285588.29675529664</v>
      </c>
      <c r="AE880" s="138">
        <v>0.11269173273981201</v>
      </c>
      <c r="AF880" s="137">
        <f t="shared" si="179"/>
        <v>32183.44001156601</v>
      </c>
      <c r="AG880" s="137">
        <v>0</v>
      </c>
      <c r="AH880" s="154"/>
      <c r="AI880" s="154"/>
      <c r="AJ880" s="136">
        <v>0.06</v>
      </c>
      <c r="AK880" s="156">
        <v>0.06</v>
      </c>
    </row>
    <row r="881" spans="1:39" s="119" customFormat="1" ht="15" customHeight="1" x14ac:dyDescent="0.3">
      <c r="A881" s="119">
        <v>2017</v>
      </c>
      <c r="B881" s="119" t="s">
        <v>38</v>
      </c>
      <c r="C881" s="119" t="s">
        <v>75</v>
      </c>
      <c r="D881" s="119" t="s">
        <v>76</v>
      </c>
      <c r="E881" s="119" t="s">
        <v>296</v>
      </c>
      <c r="F881" s="119" t="s">
        <v>205</v>
      </c>
      <c r="G881" s="119" t="s">
        <v>918</v>
      </c>
      <c r="H881" s="119" t="s">
        <v>918</v>
      </c>
      <c r="I881" s="119" t="s">
        <v>170</v>
      </c>
      <c r="J881" s="119" t="s">
        <v>865</v>
      </c>
      <c r="K881" s="119" t="s">
        <v>866</v>
      </c>
      <c r="L881" s="119" t="s">
        <v>569</v>
      </c>
      <c r="M881" s="119" t="s">
        <v>46</v>
      </c>
      <c r="N881" s="136">
        <v>0.03</v>
      </c>
      <c r="O881" s="135" t="s">
        <v>51</v>
      </c>
      <c r="P881" s="135"/>
      <c r="Q881" s="137">
        <v>2203.3000000000002</v>
      </c>
      <c r="R881" s="137">
        <v>0</v>
      </c>
      <c r="S881" s="137">
        <v>20000</v>
      </c>
      <c r="T881" s="137">
        <f t="shared" si="164"/>
        <v>600</v>
      </c>
      <c r="U881" s="137">
        <f t="shared" si="168"/>
        <v>20600</v>
      </c>
      <c r="V881" s="137">
        <v>20000</v>
      </c>
      <c r="W881" s="137">
        <f t="shared" si="169"/>
        <v>600</v>
      </c>
      <c r="X881" s="137">
        <f t="shared" si="165"/>
        <v>582.52427184466023</v>
      </c>
      <c r="Y881" s="137">
        <f t="shared" si="170"/>
        <v>17.475728155339766</v>
      </c>
      <c r="Z881" s="137">
        <v>22203.3</v>
      </c>
      <c r="AA881" s="137">
        <f t="shared" si="166"/>
        <v>0</v>
      </c>
      <c r="AB881" s="146">
        <f>IF(O881="返货",(Z881-Q881)/(1+N881),IF(O881="返现",(Z881-Q881),IF(O881="折扣",(Z881-Q881)*N881,IF(O881="无",(Z881-Q881)))))</f>
        <v>19417.475728155339</v>
      </c>
      <c r="AC881" s="147">
        <f t="shared" si="167"/>
        <v>2785.82427184466</v>
      </c>
      <c r="AD881" s="137">
        <f>Z881*0.972201473425119-Q881</f>
        <v>19382.780974899943</v>
      </c>
      <c r="AE881" s="138">
        <v>0.1</v>
      </c>
      <c r="AF881" s="137">
        <f t="shared" si="179"/>
        <v>1938.2780974899943</v>
      </c>
      <c r="AG881" s="137">
        <v>1573.63194174757</v>
      </c>
      <c r="AH881" s="154"/>
      <c r="AI881" s="154"/>
      <c r="AJ881" s="136">
        <v>0.03</v>
      </c>
      <c r="AK881" s="156">
        <v>0.03</v>
      </c>
    </row>
    <row r="882" spans="1:39" s="119" customFormat="1" ht="15" customHeight="1" x14ac:dyDescent="0.3">
      <c r="A882" s="119">
        <v>2017</v>
      </c>
      <c r="B882" s="119" t="s">
        <v>38</v>
      </c>
      <c r="C882" s="119" t="s">
        <v>75</v>
      </c>
      <c r="D882" s="119" t="s">
        <v>76</v>
      </c>
      <c r="E882" s="119" t="s">
        <v>647</v>
      </c>
      <c r="F882" s="119" t="s">
        <v>538</v>
      </c>
      <c r="G882" s="119" t="s">
        <v>538</v>
      </c>
      <c r="H882" s="119" t="s">
        <v>538</v>
      </c>
      <c r="I882" s="119" t="s">
        <v>170</v>
      </c>
      <c r="J882" s="119" t="s">
        <v>171</v>
      </c>
      <c r="K882" s="119" t="s">
        <v>172</v>
      </c>
      <c r="L882" s="119" t="s">
        <v>539</v>
      </c>
      <c r="M882" s="119" t="s">
        <v>46</v>
      </c>
      <c r="N882" s="136">
        <v>0.02</v>
      </c>
      <c r="O882" s="135" t="s">
        <v>51</v>
      </c>
      <c r="P882" s="135" t="s">
        <v>440</v>
      </c>
      <c r="Q882" s="137">
        <v>0</v>
      </c>
      <c r="R882" s="137">
        <v>0</v>
      </c>
      <c r="S882" s="137">
        <v>133112918.06999999</v>
      </c>
      <c r="T882" s="137">
        <f t="shared" si="164"/>
        <v>2662258.3613999998</v>
      </c>
      <c r="U882" s="137">
        <f t="shared" si="168"/>
        <v>135775176.4314</v>
      </c>
      <c r="V882" s="137">
        <v>153444000</v>
      </c>
      <c r="W882" s="137">
        <f t="shared" si="169"/>
        <v>-17668823.568599999</v>
      </c>
      <c r="X882" s="137">
        <f t="shared" si="165"/>
        <v>-17322376.047647059</v>
      </c>
      <c r="Y882" s="137">
        <f t="shared" si="170"/>
        <v>-346447.52095293999</v>
      </c>
      <c r="Z882" s="137">
        <v>136399177</v>
      </c>
      <c r="AA882" s="137">
        <f t="shared" si="166"/>
        <v>17044823</v>
      </c>
      <c r="AB882" s="146">
        <f>IF(O882="返货",Z882/(1+N882),IF(O882="返现",Z882,IF(O882="折扣",Z882*N882,IF(O882="无",Z882))))</f>
        <v>133724683.33333333</v>
      </c>
      <c r="AC882" s="147">
        <f t="shared" si="167"/>
        <v>2674493.6666666716</v>
      </c>
      <c r="AD882" s="137">
        <f>(Z882-Q882)*0.89807640489087</f>
        <v>122496882.51023345</v>
      </c>
      <c r="AE882" s="138">
        <v>0.11269173273981201</v>
      </c>
      <c r="AF882" s="137">
        <f t="shared" si="179"/>
        <v>13804385.945303379</v>
      </c>
      <c r="AG882" s="137">
        <v>9347806.9181474708</v>
      </c>
      <c r="AH882" s="154"/>
      <c r="AI882" s="154"/>
      <c r="AJ882" s="136">
        <v>0.02</v>
      </c>
      <c r="AK882" s="119">
        <v>0</v>
      </c>
      <c r="AM882" s="119" t="s">
        <v>174</v>
      </c>
    </row>
    <row r="883" spans="1:39" s="119" customFormat="1" ht="15" customHeight="1" x14ac:dyDescent="0.3">
      <c r="A883" s="119">
        <v>2017</v>
      </c>
      <c r="B883" s="119" t="s">
        <v>38</v>
      </c>
      <c r="C883" s="119" t="s">
        <v>75</v>
      </c>
      <c r="D883" s="119" t="s">
        <v>76</v>
      </c>
      <c r="E883" s="119" t="s">
        <v>647</v>
      </c>
      <c r="F883" s="119" t="s">
        <v>538</v>
      </c>
      <c r="G883" s="119" t="s">
        <v>538</v>
      </c>
      <c r="H883" s="119" t="s">
        <v>538</v>
      </c>
      <c r="I883" s="119" t="s">
        <v>170</v>
      </c>
      <c r="J883" s="119" t="s">
        <v>171</v>
      </c>
      <c r="K883" s="119" t="s">
        <v>172</v>
      </c>
      <c r="L883" s="119" t="s">
        <v>539</v>
      </c>
      <c r="M883" s="119" t="s">
        <v>160</v>
      </c>
      <c r="N883" s="136">
        <v>0.02</v>
      </c>
      <c r="O883" s="135" t="s">
        <v>51</v>
      </c>
      <c r="P883" s="135"/>
      <c r="Q883" s="137">
        <v>0</v>
      </c>
      <c r="R883" s="137">
        <v>0</v>
      </c>
      <c r="S883" s="137">
        <v>482940</v>
      </c>
      <c r="T883" s="137">
        <f t="shared" si="164"/>
        <v>9658.8000000000011</v>
      </c>
      <c r="U883" s="137">
        <f t="shared" si="168"/>
        <v>492598.8</v>
      </c>
      <c r="V883" s="137">
        <v>685355</v>
      </c>
      <c r="W883" s="137">
        <f t="shared" si="169"/>
        <v>-192756.2</v>
      </c>
      <c r="X883" s="137">
        <f t="shared" si="165"/>
        <v>-188976.66666666669</v>
      </c>
      <c r="Y883" s="137">
        <f t="shared" si="170"/>
        <v>-3779.5333333333256</v>
      </c>
      <c r="Z883" s="137">
        <v>685355</v>
      </c>
      <c r="AA883" s="137">
        <f t="shared" si="166"/>
        <v>0</v>
      </c>
      <c r="AB883" s="146">
        <f>IF(O883="返货",Z883/(1+N883),IF(O883="返现",Z883,IF(O883="折扣",Z883*N883,IF(O883="无",Z883))))</f>
        <v>671916.66666666663</v>
      </c>
      <c r="AC883" s="147">
        <f t="shared" si="167"/>
        <v>13438.333333333372</v>
      </c>
      <c r="AD883" s="137">
        <f>(Z883-Q883)*0.826045217867759</f>
        <v>566134.22029175796</v>
      </c>
      <c r="AE883" s="138">
        <v>0.11269173273981201</v>
      </c>
      <c r="AF883" s="137">
        <f t="shared" si="179"/>
        <v>63798.646247980643</v>
      </c>
      <c r="AG883" s="137">
        <v>47880.182133590301</v>
      </c>
      <c r="AH883" s="154"/>
      <c r="AI883" s="154"/>
      <c r="AJ883" s="135" t="s">
        <v>173</v>
      </c>
      <c r="AK883" s="119" t="s">
        <v>173</v>
      </c>
    </row>
    <row r="884" spans="1:39" s="119" customFormat="1" ht="15" customHeight="1" x14ac:dyDescent="0.3">
      <c r="A884" s="119">
        <v>2017</v>
      </c>
      <c r="B884" s="119" t="s">
        <v>38</v>
      </c>
      <c r="C884" s="119" t="s">
        <v>75</v>
      </c>
      <c r="D884" s="119" t="s">
        <v>76</v>
      </c>
      <c r="E884" s="119" t="s">
        <v>647</v>
      </c>
      <c r="F884" s="119" t="s">
        <v>538</v>
      </c>
      <c r="G884" s="119" t="s">
        <v>538</v>
      </c>
      <c r="H884" s="119" t="s">
        <v>538</v>
      </c>
      <c r="I884" s="119" t="s">
        <v>170</v>
      </c>
      <c r="J884" s="119" t="s">
        <v>171</v>
      </c>
      <c r="K884" s="119" t="s">
        <v>172</v>
      </c>
      <c r="L884" s="119" t="s">
        <v>539</v>
      </c>
      <c r="M884" s="119" t="s">
        <v>185</v>
      </c>
      <c r="N884" s="136">
        <v>0.04</v>
      </c>
      <c r="O884" s="135" t="s">
        <v>51</v>
      </c>
      <c r="P884" s="135"/>
      <c r="Q884" s="137">
        <v>0</v>
      </c>
      <c r="R884" s="137">
        <v>0</v>
      </c>
      <c r="S884" s="137">
        <v>400000</v>
      </c>
      <c r="T884" s="137">
        <f t="shared" si="164"/>
        <v>16000</v>
      </c>
      <c r="U884" s="137">
        <f t="shared" si="168"/>
        <v>416000</v>
      </c>
      <c r="V884" s="137">
        <v>516000</v>
      </c>
      <c r="W884" s="137">
        <f t="shared" si="169"/>
        <v>-100000</v>
      </c>
      <c r="X884" s="137">
        <f t="shared" si="165"/>
        <v>-96153.846153846156</v>
      </c>
      <c r="Y884" s="137">
        <f t="shared" si="170"/>
        <v>-3846.1538461538439</v>
      </c>
      <c r="Z884" s="137">
        <v>409928.2</v>
      </c>
      <c r="AA884" s="137">
        <f t="shared" si="166"/>
        <v>106071.79999999999</v>
      </c>
      <c r="AB884" s="146">
        <f>IF(O884="返货",Z884/(1+N884),IF(O884="返现",Z884,IF(O884="折扣",Z884*N884,IF(O884="无",Z884))))</f>
        <v>394161.73076923075</v>
      </c>
      <c r="AC884" s="147">
        <f t="shared" si="167"/>
        <v>15766.46923076926</v>
      </c>
      <c r="AD884" s="137">
        <f>(Z884-Q884)*0.91072157793815</f>
        <v>373330.45714534557</v>
      </c>
      <c r="AE884" s="138">
        <v>0.11269173273981201</v>
      </c>
      <c r="AF884" s="137">
        <f t="shared" si="179"/>
        <v>42071.256100255123</v>
      </c>
      <c r="AG884" s="137">
        <v>20909.689361534201</v>
      </c>
      <c r="AH884" s="154"/>
      <c r="AI884" s="154"/>
      <c r="AJ884" s="135" t="s">
        <v>186</v>
      </c>
      <c r="AK884" s="119" t="s">
        <v>186</v>
      </c>
    </row>
    <row r="885" spans="1:39" s="119" customFormat="1" ht="15" customHeight="1" x14ac:dyDescent="0.3">
      <c r="A885" s="119">
        <v>2017</v>
      </c>
      <c r="B885" s="119" t="s">
        <v>38</v>
      </c>
      <c r="C885" s="119" t="s">
        <v>75</v>
      </c>
      <c r="D885" s="119" t="s">
        <v>76</v>
      </c>
      <c r="E885" s="119" t="s">
        <v>315</v>
      </c>
      <c r="F885" s="119" t="s">
        <v>649</v>
      </c>
      <c r="G885" s="119" t="s">
        <v>649</v>
      </c>
      <c r="H885" s="119" t="s">
        <v>649</v>
      </c>
      <c r="I885" s="119" t="s">
        <v>170</v>
      </c>
      <c r="J885" s="119" t="s">
        <v>171</v>
      </c>
      <c r="K885" s="119" t="s">
        <v>172</v>
      </c>
      <c r="L885" s="119" t="s">
        <v>649</v>
      </c>
      <c r="M885" s="119" t="s">
        <v>46</v>
      </c>
      <c r="N885" s="136">
        <v>0.04</v>
      </c>
      <c r="O885" s="135" t="s">
        <v>51</v>
      </c>
      <c r="P885" s="135"/>
      <c r="Q885" s="137">
        <v>0</v>
      </c>
      <c r="R885" s="137">
        <v>0</v>
      </c>
      <c r="S885" s="137">
        <v>440000</v>
      </c>
      <c r="T885" s="137">
        <f t="shared" si="164"/>
        <v>17600</v>
      </c>
      <c r="U885" s="137">
        <f t="shared" si="168"/>
        <v>457600</v>
      </c>
      <c r="V885" s="137">
        <v>457599.93</v>
      </c>
      <c r="W885" s="137">
        <f t="shared" si="169"/>
        <v>7.0000000006984919E-2</v>
      </c>
      <c r="X885" s="137">
        <f t="shared" si="165"/>
        <v>6.7307692314408571E-2</v>
      </c>
      <c r="Y885" s="137">
        <f t="shared" si="170"/>
        <v>2.6923076925763484E-3</v>
      </c>
      <c r="Z885" s="137">
        <v>441068.3</v>
      </c>
      <c r="AA885" s="137">
        <f t="shared" si="166"/>
        <v>16531.630000000005</v>
      </c>
      <c r="AB885" s="146">
        <f>IF(O885="返货",Z885/(1+N885),IF(O885="返现",Z885,IF(O885="折扣",Z885*N885,IF(O885="无",Z885))))</f>
        <v>424104.13461538457</v>
      </c>
      <c r="AC885" s="147">
        <f t="shared" si="167"/>
        <v>16964.165384615422</v>
      </c>
      <c r="AD885" s="137">
        <f t="shared" ref="AD885:AD888" si="180">(Z885-Q885)*0.89807640489087</f>
        <v>396113.0331753277</v>
      </c>
      <c r="AE885" s="138">
        <v>0.11269173273981201</v>
      </c>
      <c r="AF885" s="137">
        <f t="shared" si="179"/>
        <v>44638.664069350314</v>
      </c>
      <c r="AG885" s="137">
        <v>22498.089031737702</v>
      </c>
      <c r="AH885" s="154"/>
      <c r="AI885" s="154"/>
      <c r="AJ885" s="135" t="s">
        <v>186</v>
      </c>
      <c r="AK885" s="119" t="s">
        <v>186</v>
      </c>
    </row>
    <row r="886" spans="1:39" s="119" customFormat="1" ht="15" customHeight="1" x14ac:dyDescent="0.3">
      <c r="A886" s="119">
        <v>2017</v>
      </c>
      <c r="B886" s="119" t="s">
        <v>38</v>
      </c>
      <c r="C886" s="119" t="s">
        <v>75</v>
      </c>
      <c r="D886" s="119" t="s">
        <v>76</v>
      </c>
      <c r="E886" s="119" t="s">
        <v>150</v>
      </c>
      <c r="F886" s="119" t="s">
        <v>919</v>
      </c>
      <c r="G886" s="119" t="s">
        <v>919</v>
      </c>
      <c r="H886" s="119" t="s">
        <v>919</v>
      </c>
      <c r="I886" s="119" t="s">
        <v>170</v>
      </c>
      <c r="J886" s="119" t="s">
        <v>171</v>
      </c>
      <c r="K886" s="119" t="s">
        <v>172</v>
      </c>
      <c r="L886" s="119" t="s">
        <v>877</v>
      </c>
      <c r="M886" s="119" t="s">
        <v>46</v>
      </c>
      <c r="N886" s="136">
        <v>0.04</v>
      </c>
      <c r="O886" s="135" t="s">
        <v>51</v>
      </c>
      <c r="P886" s="135"/>
      <c r="Q886" s="137">
        <v>0.3</v>
      </c>
      <c r="R886" s="137">
        <v>0</v>
      </c>
      <c r="S886" s="137">
        <v>685600</v>
      </c>
      <c r="T886" s="137">
        <f t="shared" si="164"/>
        <v>27424</v>
      </c>
      <c r="U886" s="137">
        <f t="shared" si="168"/>
        <v>713024</v>
      </c>
      <c r="V886" s="137">
        <v>685600</v>
      </c>
      <c r="W886" s="137">
        <f t="shared" si="169"/>
        <v>27424</v>
      </c>
      <c r="X886" s="137">
        <f t="shared" si="165"/>
        <v>26369.23076923077</v>
      </c>
      <c r="Y886" s="137">
        <f t="shared" si="170"/>
        <v>1054.7692307692305</v>
      </c>
      <c r="Z886" s="137">
        <v>0</v>
      </c>
      <c r="AA886" s="137">
        <f t="shared" si="166"/>
        <v>685600.3</v>
      </c>
      <c r="AB886" s="146">
        <f>IF(O886="返货",(Z886-Q886)/(1+N886),IF(O886="返现",(Z886-Q886),IF(O886="折扣",(Z886-Q886)*N886,IF(O886="无",(Z886-Q886)))))</f>
        <v>-0.28846153846153844</v>
      </c>
      <c r="AC886" s="147">
        <f t="shared" si="167"/>
        <v>0.28846153846153844</v>
      </c>
      <c r="AD886" s="137">
        <f t="shared" si="180"/>
        <v>-0.26942292146726099</v>
      </c>
      <c r="AE886" s="138">
        <v>0.11269173273981201</v>
      </c>
      <c r="AF886" s="137">
        <f t="shared" si="179"/>
        <v>-3.0361735859967934E-2</v>
      </c>
      <c r="AG886" s="137">
        <v>0</v>
      </c>
      <c r="AH886" s="154"/>
      <c r="AI886" s="154"/>
      <c r="AJ886" s="135" t="s">
        <v>186</v>
      </c>
      <c r="AK886" s="119" t="s">
        <v>186</v>
      </c>
    </row>
    <row r="887" spans="1:39" s="119" customFormat="1" ht="15" customHeight="1" x14ac:dyDescent="0.3">
      <c r="A887" s="119">
        <v>2017</v>
      </c>
      <c r="B887" s="119" t="s">
        <v>38</v>
      </c>
      <c r="C887" s="119" t="s">
        <v>75</v>
      </c>
      <c r="D887" s="119" t="s">
        <v>76</v>
      </c>
      <c r="E887" s="119" t="s">
        <v>150</v>
      </c>
      <c r="F887" s="119" t="s">
        <v>659</v>
      </c>
      <c r="G887" s="119" t="s">
        <v>659</v>
      </c>
      <c r="H887" s="119" t="s">
        <v>659</v>
      </c>
      <c r="I887" s="119" t="s">
        <v>170</v>
      </c>
      <c r="J887" s="119" t="s">
        <v>171</v>
      </c>
      <c r="K887" s="119" t="s">
        <v>172</v>
      </c>
      <c r="L887" s="119" t="s">
        <v>659</v>
      </c>
      <c r="M887" s="119" t="s">
        <v>46</v>
      </c>
      <c r="N887" s="136">
        <v>0.04</v>
      </c>
      <c r="O887" s="135" t="s">
        <v>51</v>
      </c>
      <c r="P887" s="135"/>
      <c r="Q887" s="137">
        <v>0</v>
      </c>
      <c r="R887" s="137">
        <v>0</v>
      </c>
      <c r="S887" s="137">
        <v>50000</v>
      </c>
      <c r="T887" s="137">
        <f t="shared" si="164"/>
        <v>2000</v>
      </c>
      <c r="U887" s="137">
        <f t="shared" si="168"/>
        <v>52000</v>
      </c>
      <c r="V887" s="137">
        <v>50000</v>
      </c>
      <c r="W887" s="137">
        <f t="shared" si="169"/>
        <v>2000</v>
      </c>
      <c r="X887" s="137">
        <f t="shared" si="165"/>
        <v>1923.0769230769231</v>
      </c>
      <c r="Y887" s="137">
        <f t="shared" si="170"/>
        <v>76.923076923076906</v>
      </c>
      <c r="Z887" s="137">
        <v>0</v>
      </c>
      <c r="AA887" s="137">
        <f t="shared" si="166"/>
        <v>50000</v>
      </c>
      <c r="AB887" s="146">
        <f>IF(O887="返货",Z887/(1+N887),IF(O887="返现",Z887,IF(O887="折扣",Z887*N887,IF(O887="无",Z887))))</f>
        <v>0</v>
      </c>
      <c r="AC887" s="147">
        <f t="shared" si="167"/>
        <v>0</v>
      </c>
      <c r="AD887" s="137">
        <f t="shared" si="180"/>
        <v>0</v>
      </c>
      <c r="AE887" s="138">
        <v>0.11269173273981201</v>
      </c>
      <c r="AF887" s="137">
        <f t="shared" si="179"/>
        <v>0</v>
      </c>
      <c r="AG887" s="137">
        <v>0</v>
      </c>
      <c r="AH887" s="154"/>
      <c r="AI887" s="154"/>
      <c r="AJ887" s="135" t="s">
        <v>186</v>
      </c>
      <c r="AK887" s="119" t="s">
        <v>186</v>
      </c>
    </row>
    <row r="888" spans="1:39" s="119" customFormat="1" ht="15" customHeight="1" x14ac:dyDescent="0.3">
      <c r="A888" s="119">
        <v>2017</v>
      </c>
      <c r="B888" s="119" t="s">
        <v>38</v>
      </c>
      <c r="C888" s="119" t="s">
        <v>75</v>
      </c>
      <c r="D888" s="119" t="s">
        <v>76</v>
      </c>
      <c r="E888" s="119" t="s">
        <v>150</v>
      </c>
      <c r="F888" s="119" t="s">
        <v>151</v>
      </c>
      <c r="G888" s="119" t="s">
        <v>151</v>
      </c>
      <c r="H888" s="119" t="s">
        <v>151</v>
      </c>
      <c r="I888" s="119" t="s">
        <v>170</v>
      </c>
      <c r="J888" s="119" t="s">
        <v>171</v>
      </c>
      <c r="K888" s="119" t="s">
        <v>172</v>
      </c>
      <c r="L888" s="119" t="s">
        <v>151</v>
      </c>
      <c r="M888" s="119" t="s">
        <v>46</v>
      </c>
      <c r="N888" s="136">
        <v>0.06</v>
      </c>
      <c r="O888" s="135" t="s">
        <v>51</v>
      </c>
      <c r="P888" s="135" t="s">
        <v>440</v>
      </c>
      <c r="Q888" s="137">
        <v>0</v>
      </c>
      <c r="R888" s="137">
        <v>0</v>
      </c>
      <c r="S888" s="137">
        <v>300000</v>
      </c>
      <c r="T888" s="137">
        <f t="shared" si="164"/>
        <v>18000</v>
      </c>
      <c r="U888" s="137">
        <f t="shared" si="168"/>
        <v>318000</v>
      </c>
      <c r="V888" s="137">
        <v>312000</v>
      </c>
      <c r="W888" s="137">
        <f t="shared" si="169"/>
        <v>6000</v>
      </c>
      <c r="X888" s="137">
        <f t="shared" si="165"/>
        <v>5660.3773584905657</v>
      </c>
      <c r="Y888" s="137">
        <f t="shared" si="170"/>
        <v>339.62264150943429</v>
      </c>
      <c r="Z888" s="137">
        <f>310000.1-Z1170</f>
        <v>206000.09999999998</v>
      </c>
      <c r="AA888" s="137">
        <f t="shared" si="166"/>
        <v>105999.90000000002</v>
      </c>
      <c r="AB888" s="146">
        <f>IF(O888="返货",Z888/(1+N888),IF(O888="返现",Z888,IF(O888="折扣",Z888*N888,IF(O888="无",Z888))))</f>
        <v>194339.71698113205</v>
      </c>
      <c r="AC888" s="147">
        <f t="shared" si="167"/>
        <v>11660.383018867928</v>
      </c>
      <c r="AD888" s="137">
        <f t="shared" si="180"/>
        <v>185003.8292151597</v>
      </c>
      <c r="AE888" s="138">
        <v>0.11269173273981201</v>
      </c>
      <c r="AF888" s="137">
        <f t="shared" si="179"/>
        <v>20848.4020777566</v>
      </c>
      <c r="AG888" s="137">
        <v>15812.5393496826</v>
      </c>
      <c r="AH888" s="154"/>
      <c r="AI888" s="154"/>
      <c r="AJ888" s="135">
        <v>0.06</v>
      </c>
      <c r="AK888" s="119" t="s">
        <v>186</v>
      </c>
    </row>
    <row r="889" spans="1:39" s="119" customFormat="1" ht="15" customHeight="1" x14ac:dyDescent="0.3">
      <c r="A889" s="119">
        <v>2017</v>
      </c>
      <c r="B889" s="119" t="s">
        <v>38</v>
      </c>
      <c r="C889" s="119" t="s">
        <v>59</v>
      </c>
      <c r="D889" s="119" t="s">
        <v>106</v>
      </c>
      <c r="E889" s="119" t="s">
        <v>239</v>
      </c>
      <c r="F889" s="119" t="s">
        <v>352</v>
      </c>
      <c r="G889" s="119" t="s">
        <v>352</v>
      </c>
      <c r="H889" s="119" t="s">
        <v>352</v>
      </c>
      <c r="I889" s="131" t="s">
        <v>243</v>
      </c>
      <c r="J889" s="119" t="s">
        <v>244</v>
      </c>
      <c r="K889" s="119" t="s">
        <v>245</v>
      </c>
      <c r="L889" s="119" t="s">
        <v>352</v>
      </c>
      <c r="M889" s="119" t="s">
        <v>46</v>
      </c>
      <c r="N889" s="135">
        <v>0</v>
      </c>
      <c r="O889" s="135" t="s">
        <v>47</v>
      </c>
      <c r="P889" s="135"/>
      <c r="Q889" s="137">
        <v>0</v>
      </c>
      <c r="R889" s="137">
        <v>0</v>
      </c>
      <c r="S889" s="137">
        <v>900000</v>
      </c>
      <c r="T889" s="137">
        <f t="shared" si="164"/>
        <v>0</v>
      </c>
      <c r="U889" s="137">
        <f t="shared" si="168"/>
        <v>900000</v>
      </c>
      <c r="V889" s="137">
        <v>1048000</v>
      </c>
      <c r="W889" s="137">
        <f t="shared" si="169"/>
        <v>-148000</v>
      </c>
      <c r="X889" s="137">
        <f t="shared" si="165"/>
        <v>-148000</v>
      </c>
      <c r="Y889" s="137">
        <f t="shared" si="170"/>
        <v>0</v>
      </c>
      <c r="Z889" s="137">
        <v>1082259.2</v>
      </c>
      <c r="AA889" s="137">
        <f t="shared" si="166"/>
        <v>-34259.199999999953</v>
      </c>
      <c r="AB889" s="146">
        <f>IF(O889="返货",Z889/(1+N889),IF(O889="返现",Z889,IF(O889="折扣",Z889*N889,IF(O889="无",Z889))))</f>
        <v>1082259.2</v>
      </c>
      <c r="AC889" s="147">
        <f t="shared" si="167"/>
        <v>0</v>
      </c>
      <c r="AD889" s="137">
        <v>907222.76932618103</v>
      </c>
      <c r="AE889" s="138">
        <v>0.17647058823529399</v>
      </c>
      <c r="AF889" s="137">
        <f t="shared" si="179"/>
        <v>160098.1357634436</v>
      </c>
      <c r="AG889" s="137">
        <f>AB889-Z889+AF889</f>
        <v>160098.1357634436</v>
      </c>
      <c r="AH889" s="154"/>
      <c r="AI889" s="154"/>
      <c r="AJ889" s="136">
        <v>0</v>
      </c>
      <c r="AK889" s="119" t="s">
        <v>120</v>
      </c>
      <c r="AM889" s="131"/>
    </row>
    <row r="890" spans="1:39" s="119" customFormat="1" ht="15" customHeight="1" x14ac:dyDescent="0.3">
      <c r="A890" s="119">
        <v>2017</v>
      </c>
      <c r="B890" s="119" t="s">
        <v>38</v>
      </c>
      <c r="C890" s="119" t="s">
        <v>75</v>
      </c>
      <c r="D890" s="119" t="s">
        <v>76</v>
      </c>
      <c r="E890" s="119" t="s">
        <v>77</v>
      </c>
      <c r="F890" s="119" t="s">
        <v>303</v>
      </c>
      <c r="G890" s="119" t="s">
        <v>303</v>
      </c>
      <c r="H890" s="119" t="s">
        <v>303</v>
      </c>
      <c r="I890" s="119" t="s">
        <v>170</v>
      </c>
      <c r="J890" s="119" t="s">
        <v>603</v>
      </c>
      <c r="K890" s="119" t="s">
        <v>883</v>
      </c>
      <c r="L890" s="119" t="s">
        <v>303</v>
      </c>
      <c r="M890" s="119" t="s">
        <v>46</v>
      </c>
      <c r="N890" s="136">
        <v>0.02</v>
      </c>
      <c r="O890" s="135" t="s">
        <v>51</v>
      </c>
      <c r="P890" s="135"/>
      <c r="Q890" s="137">
        <v>0</v>
      </c>
      <c r="R890" s="137">
        <v>0</v>
      </c>
      <c r="S890" s="137">
        <v>0</v>
      </c>
      <c r="T890" s="137">
        <f t="shared" si="164"/>
        <v>0</v>
      </c>
      <c r="U890" s="137">
        <f t="shared" si="168"/>
        <v>0</v>
      </c>
      <c r="V890" s="137">
        <v>0</v>
      </c>
      <c r="W890" s="137">
        <f t="shared" si="169"/>
        <v>0</v>
      </c>
      <c r="X890" s="137">
        <f t="shared" si="165"/>
        <v>0</v>
      </c>
      <c r="Y890" s="137">
        <f t="shared" si="170"/>
        <v>0</v>
      </c>
      <c r="Z890" s="137">
        <v>0</v>
      </c>
      <c r="AA890" s="137">
        <f t="shared" si="166"/>
        <v>0</v>
      </c>
      <c r="AB890" s="146">
        <f>IF(O890="返货",Z890/(1+N890),IF(O890="返现",Z890,IF(O890="折扣",Z890*N890,IF(O890="无",Z890))))</f>
        <v>0</v>
      </c>
      <c r="AC890" s="147">
        <f t="shared" si="167"/>
        <v>0</v>
      </c>
      <c r="AD890" s="137">
        <v>0</v>
      </c>
      <c r="AE890" s="138">
        <v>0.1</v>
      </c>
      <c r="AF890" s="137">
        <f t="shared" si="179"/>
        <v>0</v>
      </c>
      <c r="AG890" s="137">
        <v>0</v>
      </c>
      <c r="AH890" s="154"/>
      <c r="AI890" s="154"/>
      <c r="AJ890" s="136">
        <v>0.02</v>
      </c>
      <c r="AK890" s="156">
        <v>0.02</v>
      </c>
    </row>
    <row r="891" spans="1:39" s="119" customFormat="1" ht="15" customHeight="1" x14ac:dyDescent="0.3">
      <c r="A891" s="119">
        <v>2017</v>
      </c>
      <c r="B891" s="119" t="s">
        <v>38</v>
      </c>
      <c r="C891" s="119" t="s">
        <v>39</v>
      </c>
      <c r="D891" s="119" t="s">
        <v>81</v>
      </c>
      <c r="E891" s="119" t="s">
        <v>41</v>
      </c>
      <c r="F891" s="119" t="s">
        <v>704</v>
      </c>
      <c r="G891" s="119" t="s">
        <v>704</v>
      </c>
      <c r="H891" s="119" t="s">
        <v>704</v>
      </c>
      <c r="I891" s="119" t="s">
        <v>170</v>
      </c>
      <c r="J891" s="119" t="s">
        <v>171</v>
      </c>
      <c r="K891" s="119" t="s">
        <v>172</v>
      </c>
      <c r="L891" s="119" t="s">
        <v>705</v>
      </c>
      <c r="M891" s="119" t="s">
        <v>46</v>
      </c>
      <c r="N891" s="136">
        <v>0</v>
      </c>
      <c r="O891" s="135" t="s">
        <v>47</v>
      </c>
      <c r="P891" s="135"/>
      <c r="Q891" s="137">
        <v>0</v>
      </c>
      <c r="R891" s="137">
        <v>0</v>
      </c>
      <c r="S891" s="137">
        <v>2011203.1</v>
      </c>
      <c r="T891" s="137">
        <f t="shared" si="164"/>
        <v>0</v>
      </c>
      <c r="U891" s="137">
        <f t="shared" si="168"/>
        <v>2011203.1</v>
      </c>
      <c r="V891" s="137">
        <v>2017631.4</v>
      </c>
      <c r="W891" s="137">
        <f t="shared" si="169"/>
        <v>-6428.2999999998137</v>
      </c>
      <c r="X891" s="137">
        <f t="shared" si="165"/>
        <v>-6428.2999999998137</v>
      </c>
      <c r="Y891" s="137">
        <f t="shared" si="170"/>
        <v>0</v>
      </c>
      <c r="Z891" s="137">
        <v>2045971.6</v>
      </c>
      <c r="AA891" s="137">
        <f t="shared" si="166"/>
        <v>-28340.200000000186</v>
      </c>
      <c r="AB891" s="146">
        <f>IF(O891="返货",Z891/(1+N891),IF(O891="返现",Z891,IF(O891="折扣",Z891*N891,IF(O891="无",Z891))))</f>
        <v>2045971.6</v>
      </c>
      <c r="AC891" s="147">
        <f t="shared" si="167"/>
        <v>0</v>
      </c>
      <c r="AD891" s="137">
        <f>(Z891-Q891)*0.89807640489087</f>
        <v>1837438.8190368214</v>
      </c>
      <c r="AE891" s="138">
        <v>0.11269173273981201</v>
      </c>
      <c r="AF891" s="137">
        <f t="shared" si="179"/>
        <v>207064.16432065328</v>
      </c>
      <c r="AG891" s="137">
        <v>183052.492794955</v>
      </c>
      <c r="AH891" s="154"/>
      <c r="AI891" s="154"/>
      <c r="AJ891" s="155">
        <v>0</v>
      </c>
      <c r="AK891" s="119">
        <v>0</v>
      </c>
    </row>
    <row r="892" spans="1:39" s="119" customFormat="1" ht="15" customHeight="1" x14ac:dyDescent="0.3">
      <c r="A892" s="119">
        <v>2017</v>
      </c>
      <c r="B892" s="119" t="s">
        <v>252</v>
      </c>
      <c r="C892" s="119" t="s">
        <v>75</v>
      </c>
      <c r="D892" s="119" t="s">
        <v>76</v>
      </c>
      <c r="E892" s="119" t="s">
        <v>77</v>
      </c>
      <c r="F892" s="119" t="s">
        <v>303</v>
      </c>
      <c r="G892" s="119" t="s">
        <v>867</v>
      </c>
      <c r="H892" s="119" t="s">
        <v>868</v>
      </c>
      <c r="I892" s="119" t="s">
        <v>170</v>
      </c>
      <c r="J892" s="119" t="s">
        <v>603</v>
      </c>
      <c r="K892" s="119" t="s">
        <v>883</v>
      </c>
      <c r="L892" s="119" t="s">
        <v>303</v>
      </c>
      <c r="M892" s="119" t="s">
        <v>46</v>
      </c>
      <c r="N892" s="136">
        <v>0.02</v>
      </c>
      <c r="O892" s="135" t="s">
        <v>51</v>
      </c>
      <c r="P892" s="135" t="s">
        <v>15</v>
      </c>
      <c r="Q892" s="137">
        <v>0</v>
      </c>
      <c r="R892" s="137">
        <v>0</v>
      </c>
      <c r="S892" s="137">
        <v>350000</v>
      </c>
      <c r="T892" s="137">
        <f t="shared" si="164"/>
        <v>7000</v>
      </c>
      <c r="U892" s="137">
        <f t="shared" si="168"/>
        <v>357000</v>
      </c>
      <c r="V892" s="137">
        <v>500000</v>
      </c>
      <c r="W892" s="137">
        <f t="shared" si="169"/>
        <v>-143000</v>
      </c>
      <c r="X892" s="137">
        <f t="shared" si="165"/>
        <v>-140196.07843137256</v>
      </c>
      <c r="Y892" s="137">
        <f t="shared" si="170"/>
        <v>-2803.9215686274401</v>
      </c>
      <c r="Z892" s="137">
        <v>630477.5</v>
      </c>
      <c r="AA892" s="137">
        <f t="shared" si="166"/>
        <v>-130477.5</v>
      </c>
      <c r="AB892" s="146">
        <f>IF(O892="返货",Z892/(1+N892),IF(O892="返现",Z892,IF(O892="折扣",Z892*N892,IF(O892="无",(Z892-38440.9)))))</f>
        <v>618115.19607843133</v>
      </c>
      <c r="AC892" s="147">
        <f t="shared" si="167"/>
        <v>12362.303921568673</v>
      </c>
      <c r="AD892" s="137">
        <v>630477.5</v>
      </c>
      <c r="AE892" s="138">
        <v>0.1</v>
      </c>
      <c r="AF892" s="137">
        <f t="shared" si="179"/>
        <v>63047.75</v>
      </c>
      <c r="AG892" s="137">
        <v>0</v>
      </c>
      <c r="AH892" s="154"/>
      <c r="AI892" s="154"/>
      <c r="AJ892" s="135" t="s">
        <v>173</v>
      </c>
      <c r="AK892" s="119" t="s">
        <v>173</v>
      </c>
      <c r="AM892" s="119" t="s">
        <v>174</v>
      </c>
    </row>
    <row r="893" spans="1:39" s="119" customFormat="1" ht="15" customHeight="1" x14ac:dyDescent="0.3">
      <c r="A893" s="119">
        <v>2017</v>
      </c>
      <c r="B893" s="119" t="s">
        <v>38</v>
      </c>
      <c r="C893" s="119" t="s">
        <v>59</v>
      </c>
      <c r="D893" s="119" t="s">
        <v>210</v>
      </c>
      <c r="E893" s="119" t="s">
        <v>131</v>
      </c>
      <c r="F893" s="119" t="s">
        <v>771</v>
      </c>
      <c r="G893" s="119" t="s">
        <v>771</v>
      </c>
      <c r="H893" s="119" t="s">
        <v>771</v>
      </c>
      <c r="I893" s="119" t="s">
        <v>170</v>
      </c>
      <c r="J893" s="119" t="s">
        <v>171</v>
      </c>
      <c r="K893" s="119" t="s">
        <v>172</v>
      </c>
      <c r="L893" s="119" t="s">
        <v>771</v>
      </c>
      <c r="M893" s="119" t="s">
        <v>46</v>
      </c>
      <c r="N893" s="136">
        <v>0.02</v>
      </c>
      <c r="O893" s="135" t="s">
        <v>51</v>
      </c>
      <c r="P893" s="135"/>
      <c r="Q893" s="137">
        <v>0</v>
      </c>
      <c r="R893" s="137">
        <v>0</v>
      </c>
      <c r="S893" s="137">
        <v>1520000</v>
      </c>
      <c r="T893" s="137">
        <f t="shared" si="164"/>
        <v>30400</v>
      </c>
      <c r="U893" s="137">
        <f t="shared" si="168"/>
        <v>1550400</v>
      </c>
      <c r="V893" s="137">
        <v>1457442</v>
      </c>
      <c r="W893" s="137">
        <f t="shared" si="169"/>
        <v>92958</v>
      </c>
      <c r="X893" s="137">
        <f t="shared" si="165"/>
        <v>91135.294117647063</v>
      </c>
      <c r="Y893" s="137">
        <f t="shared" si="170"/>
        <v>1822.7058823529369</v>
      </c>
      <c r="Z893" s="137">
        <v>1483886.8</v>
      </c>
      <c r="AA893" s="137">
        <f t="shared" si="166"/>
        <v>-26444.800000000047</v>
      </c>
      <c r="AB893" s="146">
        <f>IF(O893="返货",Z893/(1+N893),IF(O893="返现",Z893,IF(O893="折扣",Z893*N893,IF(O893="无",Z893))))</f>
        <v>1454790.9803921569</v>
      </c>
      <c r="AC893" s="147">
        <f t="shared" si="167"/>
        <v>29095.819607843179</v>
      </c>
      <c r="AD893" s="137">
        <f t="shared" ref="AD893:AD895" si="181">(Z893-Q893)*0.89807640489087</f>
        <v>1332643.7226090175</v>
      </c>
      <c r="AE893" s="138">
        <v>0.11269173273981201</v>
      </c>
      <c r="AF893" s="137">
        <f t="shared" si="179"/>
        <v>150177.93022564356</v>
      </c>
      <c r="AG893" s="137">
        <v>103667.107192084</v>
      </c>
      <c r="AH893" s="154"/>
      <c r="AI893" s="154"/>
      <c r="AJ893" s="135" t="s">
        <v>173</v>
      </c>
      <c r="AK893" s="119" t="s">
        <v>173</v>
      </c>
    </row>
    <row r="894" spans="1:39" s="119" customFormat="1" ht="15" customHeight="1" x14ac:dyDescent="0.3">
      <c r="A894" s="119">
        <v>2017</v>
      </c>
      <c r="B894" s="119" t="s">
        <v>38</v>
      </c>
      <c r="C894" s="119" t="s">
        <v>75</v>
      </c>
      <c r="D894" s="119" t="s">
        <v>76</v>
      </c>
      <c r="E894" s="119" t="s">
        <v>450</v>
      </c>
      <c r="F894" s="119" t="s">
        <v>920</v>
      </c>
      <c r="G894" s="119" t="s">
        <v>920</v>
      </c>
      <c r="H894" s="119" t="s">
        <v>920</v>
      </c>
      <c r="I894" s="119" t="s">
        <v>170</v>
      </c>
      <c r="J894" s="119" t="s">
        <v>171</v>
      </c>
      <c r="K894" s="119" t="s">
        <v>172</v>
      </c>
      <c r="L894" s="119" t="s">
        <v>920</v>
      </c>
      <c r="M894" s="119" t="s">
        <v>46</v>
      </c>
      <c r="N894" s="136">
        <v>0.02</v>
      </c>
      <c r="O894" s="135" t="s">
        <v>51</v>
      </c>
      <c r="P894" s="135"/>
      <c r="Q894" s="137">
        <v>0</v>
      </c>
      <c r="R894" s="137">
        <v>0</v>
      </c>
      <c r="S894" s="137">
        <v>250000</v>
      </c>
      <c r="T894" s="137">
        <f t="shared" si="164"/>
        <v>5000</v>
      </c>
      <c r="U894" s="137">
        <f t="shared" si="168"/>
        <v>255000</v>
      </c>
      <c r="V894" s="137">
        <v>254000</v>
      </c>
      <c r="W894" s="137">
        <f t="shared" si="169"/>
        <v>1000</v>
      </c>
      <c r="X894" s="137">
        <f t="shared" si="165"/>
        <v>980.39215686274508</v>
      </c>
      <c r="Y894" s="137">
        <f t="shared" si="170"/>
        <v>19.607843137254918</v>
      </c>
      <c r="Z894" s="137">
        <v>217401.1</v>
      </c>
      <c r="AA894" s="137">
        <f t="shared" si="166"/>
        <v>36598.899999999994</v>
      </c>
      <c r="AB894" s="146">
        <f>IF(O894="返货",Z894/(1+N894),IF(O894="返现",Z894,IF(O894="折扣",Z894*N894,IF(O894="无",Z894))))</f>
        <v>213138.33333333334</v>
      </c>
      <c r="AC894" s="147">
        <f t="shared" si="167"/>
        <v>4262.7666666666628</v>
      </c>
      <c r="AD894" s="137">
        <f t="shared" si="181"/>
        <v>195242.79830732054</v>
      </c>
      <c r="AE894" s="138">
        <v>0.11269173273981201</v>
      </c>
      <c r="AF894" s="137">
        <f t="shared" si="179"/>
        <v>22002.249246221585</v>
      </c>
      <c r="AG894" s="137">
        <v>15188.047455760699</v>
      </c>
      <c r="AH894" s="154"/>
      <c r="AI894" s="154"/>
      <c r="AJ894" s="135" t="s">
        <v>173</v>
      </c>
      <c r="AK894" s="119" t="s">
        <v>173</v>
      </c>
    </row>
    <row r="895" spans="1:39" s="119" customFormat="1" ht="15" customHeight="1" x14ac:dyDescent="0.3">
      <c r="A895" s="119">
        <v>2017</v>
      </c>
      <c r="B895" s="119" t="s">
        <v>38</v>
      </c>
      <c r="C895" s="119" t="s">
        <v>75</v>
      </c>
      <c r="D895" s="119" t="s">
        <v>76</v>
      </c>
      <c r="E895" s="119" t="s">
        <v>304</v>
      </c>
      <c r="F895" s="119" t="s">
        <v>921</v>
      </c>
      <c r="G895" s="119" t="s">
        <v>921</v>
      </c>
      <c r="H895" s="119" t="s">
        <v>921</v>
      </c>
      <c r="I895" s="119" t="s">
        <v>170</v>
      </c>
      <c r="J895" s="119" t="s">
        <v>171</v>
      </c>
      <c r="K895" s="119" t="s">
        <v>172</v>
      </c>
      <c r="L895" s="119" t="s">
        <v>922</v>
      </c>
      <c r="M895" s="119" t="s">
        <v>46</v>
      </c>
      <c r="N895" s="136">
        <v>0.02</v>
      </c>
      <c r="O895" s="135" t="s">
        <v>51</v>
      </c>
      <c r="P895" s="135"/>
      <c r="Q895" s="137">
        <v>0</v>
      </c>
      <c r="R895" s="137">
        <v>0</v>
      </c>
      <c r="S895" s="137">
        <v>9606.9500000000007</v>
      </c>
      <c r="T895" s="137">
        <f t="shared" si="164"/>
        <v>192.13900000000001</v>
      </c>
      <c r="U895" s="137">
        <f t="shared" si="168"/>
        <v>9799.0889999999999</v>
      </c>
      <c r="V895" s="137">
        <v>9799</v>
      </c>
      <c r="W895" s="137">
        <f t="shared" si="169"/>
        <v>8.8999999999941792E-2</v>
      </c>
      <c r="X895" s="137">
        <f t="shared" si="165"/>
        <v>8.7254901960727244E-2</v>
      </c>
      <c r="Y895" s="137">
        <f t="shared" si="170"/>
        <v>1.7450980392145488E-3</v>
      </c>
      <c r="Z895" s="137">
        <v>9798.2000000000007</v>
      </c>
      <c r="AA895" s="137">
        <v>0</v>
      </c>
      <c r="AB895" s="146">
        <v>9606.9500000000007</v>
      </c>
      <c r="AC895" s="147">
        <f t="shared" si="167"/>
        <v>191.25</v>
      </c>
      <c r="AD895" s="137">
        <f t="shared" si="181"/>
        <v>8799.5322304017227</v>
      </c>
      <c r="AE895" s="138">
        <v>0.11269173273981201</v>
      </c>
      <c r="AF895" s="137">
        <f t="shared" si="179"/>
        <v>991.63453434379278</v>
      </c>
      <c r="AG895" s="137">
        <v>684.52057777552398</v>
      </c>
      <c r="AH895" s="154"/>
      <c r="AI895" s="154"/>
      <c r="AJ895" s="135" t="s">
        <v>173</v>
      </c>
      <c r="AK895" s="119" t="s">
        <v>173</v>
      </c>
    </row>
    <row r="896" spans="1:39" s="119" customFormat="1" ht="15" customHeight="1" x14ac:dyDescent="0.3">
      <c r="A896" s="119">
        <v>2017</v>
      </c>
      <c r="B896" s="119" t="s">
        <v>38</v>
      </c>
      <c r="C896" s="119" t="s">
        <v>75</v>
      </c>
      <c r="D896" s="119" t="s">
        <v>76</v>
      </c>
      <c r="E896" s="119" t="s">
        <v>304</v>
      </c>
      <c r="F896" s="119" t="s">
        <v>921</v>
      </c>
      <c r="G896" s="119" t="s">
        <v>921</v>
      </c>
      <c r="H896" s="119" t="s">
        <v>921</v>
      </c>
      <c r="I896" s="119" t="s">
        <v>170</v>
      </c>
      <c r="J896" s="119" t="s">
        <v>171</v>
      </c>
      <c r="K896" s="119" t="s">
        <v>172</v>
      </c>
      <c r="L896" s="119" t="s">
        <v>922</v>
      </c>
      <c r="M896" s="119" t="s">
        <v>185</v>
      </c>
      <c r="N896" s="136">
        <v>0.08</v>
      </c>
      <c r="O896" s="135" t="s">
        <v>51</v>
      </c>
      <c r="P896" s="135"/>
      <c r="Q896" s="137">
        <v>0</v>
      </c>
      <c r="R896" s="137">
        <v>0</v>
      </c>
      <c r="S896" s="137">
        <v>23.05</v>
      </c>
      <c r="T896" s="137">
        <f t="shared" si="164"/>
        <v>1.8440000000000001</v>
      </c>
      <c r="U896" s="137">
        <f t="shared" si="168"/>
        <v>24.894000000000002</v>
      </c>
      <c r="V896" s="137">
        <v>24.899999999999601</v>
      </c>
      <c r="W896" s="137">
        <f t="shared" si="169"/>
        <v>-5.9999999995987707E-3</v>
      </c>
      <c r="X896" s="137">
        <f t="shared" si="165"/>
        <v>-5.5555555551840465E-3</v>
      </c>
      <c r="Y896" s="137">
        <f t="shared" si="170"/>
        <v>-4.4444444441472421E-4</v>
      </c>
      <c r="Z896" s="137">
        <v>24.9</v>
      </c>
      <c r="AA896" s="137">
        <f t="shared" si="166"/>
        <v>-3.979039320256561E-13</v>
      </c>
      <c r="AB896" s="146">
        <v>23.05</v>
      </c>
      <c r="AC896" s="147">
        <f t="shared" si="167"/>
        <v>1.8499999999999979</v>
      </c>
      <c r="AD896" s="137">
        <f>(Z896-Q896)*0.91072157793815</f>
        <v>22.676967290659935</v>
      </c>
      <c r="AE896" s="138">
        <v>0.11269173273981201</v>
      </c>
      <c r="AF896" s="137">
        <f t="shared" si="179"/>
        <v>2.5555067372685083</v>
      </c>
      <c r="AG896" s="137">
        <v>0.38335142065670502</v>
      </c>
      <c r="AH896" s="154"/>
      <c r="AI896" s="154"/>
      <c r="AJ896" s="135" t="s">
        <v>53</v>
      </c>
      <c r="AK896" s="119" t="s">
        <v>53</v>
      </c>
    </row>
    <row r="897" spans="1:39" s="119" customFormat="1" ht="15" customHeight="1" x14ac:dyDescent="0.3">
      <c r="A897" s="119">
        <v>2017</v>
      </c>
      <c r="B897" s="119" t="s">
        <v>252</v>
      </c>
      <c r="C897" s="119" t="s">
        <v>75</v>
      </c>
      <c r="D897" s="119" t="s">
        <v>76</v>
      </c>
      <c r="E897" s="119" t="s">
        <v>304</v>
      </c>
      <c r="F897" s="119" t="s">
        <v>309</v>
      </c>
      <c r="G897" s="119" t="s">
        <v>310</v>
      </c>
      <c r="H897" s="119" t="s">
        <v>311</v>
      </c>
      <c r="I897" s="119" t="s">
        <v>170</v>
      </c>
      <c r="J897" s="119" t="s">
        <v>171</v>
      </c>
      <c r="K897" s="119" t="s">
        <v>172</v>
      </c>
      <c r="L897" s="119" t="s">
        <v>309</v>
      </c>
      <c r="M897" s="119" t="s">
        <v>46</v>
      </c>
      <c r="N897" s="136">
        <v>0.04</v>
      </c>
      <c r="O897" s="135" t="s">
        <v>51</v>
      </c>
      <c r="P897" s="135"/>
      <c r="Q897" s="137">
        <v>275253.36300000001</v>
      </c>
      <c r="R897" s="137">
        <v>0</v>
      </c>
      <c r="S897" s="137">
        <v>440000</v>
      </c>
      <c r="T897" s="137">
        <f t="shared" si="164"/>
        <v>17600</v>
      </c>
      <c r="U897" s="137">
        <f t="shared" si="168"/>
        <v>457600</v>
      </c>
      <c r="V897" s="137">
        <v>457600</v>
      </c>
      <c r="W897" s="137">
        <f t="shared" si="169"/>
        <v>0</v>
      </c>
      <c r="X897" s="137">
        <f t="shared" si="165"/>
        <v>0</v>
      </c>
      <c r="Y897" s="137">
        <f t="shared" si="170"/>
        <v>0</v>
      </c>
      <c r="Z897" s="137">
        <v>580708.6</v>
      </c>
      <c r="AA897" s="137">
        <f t="shared" si="166"/>
        <v>152144.76300000004</v>
      </c>
      <c r="AB897" s="146">
        <f>IF(O897="返货",(Z897-Q897)/(1+N897),IF(O897="返现",(Z897-Q897),IF(O897="折扣",(Z897-Q897)*N897,IF(O897="无",(Z897-Q897)))))</f>
        <v>293706.95865384612</v>
      </c>
      <c r="AC897" s="147">
        <f t="shared" si="167"/>
        <v>287001.64134615386</v>
      </c>
      <c r="AD897" s="137">
        <f t="shared" ref="AD897:AD898" si="182">(Z897-Q897)*0.89807640489087</f>
        <v>274322.14110004861</v>
      </c>
      <c r="AE897" s="138">
        <v>0.11269173273981201</v>
      </c>
      <c r="AF897" s="137">
        <f t="shared" si="179"/>
        <v>30913.837409459677</v>
      </c>
      <c r="AG897" s="137">
        <v>29620.885890679001</v>
      </c>
      <c r="AH897" s="154"/>
      <c r="AI897" s="154"/>
      <c r="AJ897" s="135" t="s">
        <v>186</v>
      </c>
      <c r="AK897" s="119" t="s">
        <v>186</v>
      </c>
    </row>
    <row r="898" spans="1:39" s="119" customFormat="1" ht="15" customHeight="1" x14ac:dyDescent="0.3">
      <c r="A898" s="119">
        <v>2017</v>
      </c>
      <c r="B898" s="119" t="s">
        <v>38</v>
      </c>
      <c r="C898" s="119" t="s">
        <v>75</v>
      </c>
      <c r="D898" s="119" t="s">
        <v>76</v>
      </c>
      <c r="E898" s="119" t="s">
        <v>304</v>
      </c>
      <c r="F898" s="119" t="s">
        <v>674</v>
      </c>
      <c r="G898" s="119" t="s">
        <v>674</v>
      </c>
      <c r="H898" s="119" t="s">
        <v>674</v>
      </c>
      <c r="I898" s="119" t="s">
        <v>170</v>
      </c>
      <c r="J898" s="119" t="s">
        <v>171</v>
      </c>
      <c r="K898" s="119" t="s">
        <v>172</v>
      </c>
      <c r="L898" s="119" t="s">
        <v>674</v>
      </c>
      <c r="M898" s="119" t="s">
        <v>46</v>
      </c>
      <c r="N898" s="136">
        <v>0.04</v>
      </c>
      <c r="O898" s="135" t="s">
        <v>51</v>
      </c>
      <c r="P898" s="135"/>
      <c r="Q898" s="137">
        <v>0</v>
      </c>
      <c r="R898" s="137">
        <v>0</v>
      </c>
      <c r="S898" s="137">
        <v>3000000</v>
      </c>
      <c r="T898" s="137">
        <f t="shared" ref="T898:T961" si="183">S898*N898</f>
        <v>120000</v>
      </c>
      <c r="U898" s="137">
        <f t="shared" si="168"/>
        <v>3120000</v>
      </c>
      <c r="V898" s="137">
        <v>3092000</v>
      </c>
      <c r="W898" s="137">
        <f t="shared" si="169"/>
        <v>28000</v>
      </c>
      <c r="X898" s="137">
        <f t="shared" ref="X898:X961" si="184">W898/(1+N898)</f>
        <v>26923.076923076922</v>
      </c>
      <c r="Y898" s="137">
        <f t="shared" si="170"/>
        <v>1076.923076923078</v>
      </c>
      <c r="Z898" s="137">
        <v>0</v>
      </c>
      <c r="AA898" s="137">
        <f t="shared" ref="AA898:AA961" si="185">Q898+V898-Z898</f>
        <v>3092000</v>
      </c>
      <c r="AB898" s="146">
        <f t="shared" ref="AB898:AB906" si="186">IF(O898="返货",Z898/(1+N898),IF(O898="返现",Z898,IF(O898="折扣",Z898*N898,IF(O898="无",Z898))))</f>
        <v>0</v>
      </c>
      <c r="AC898" s="147">
        <f t="shared" ref="AC898:AC961" si="187">IF(O898="返现",Z898*N898,Z898-AB898)</f>
        <v>0</v>
      </c>
      <c r="AD898" s="137">
        <f t="shared" si="182"/>
        <v>0</v>
      </c>
      <c r="AE898" s="138">
        <v>0.11269173273981201</v>
      </c>
      <c r="AF898" s="137">
        <f t="shared" si="179"/>
        <v>0</v>
      </c>
      <c r="AG898" s="137">
        <v>0</v>
      </c>
      <c r="AH898" s="154"/>
      <c r="AI898" s="154"/>
      <c r="AJ898" s="135" t="s">
        <v>186</v>
      </c>
      <c r="AK898" s="119" t="s">
        <v>186</v>
      </c>
    </row>
    <row r="899" spans="1:39" s="119" customFormat="1" ht="15" customHeight="1" x14ac:dyDescent="0.3">
      <c r="A899" s="119">
        <v>2017</v>
      </c>
      <c r="B899" s="119" t="s">
        <v>38</v>
      </c>
      <c r="C899" s="119" t="s">
        <v>75</v>
      </c>
      <c r="D899" s="119" t="s">
        <v>76</v>
      </c>
      <c r="E899" s="119" t="s">
        <v>304</v>
      </c>
      <c r="F899" s="119" t="s">
        <v>674</v>
      </c>
      <c r="G899" s="119" t="s">
        <v>674</v>
      </c>
      <c r="H899" s="119" t="s">
        <v>674</v>
      </c>
      <c r="I899" s="119" t="s">
        <v>170</v>
      </c>
      <c r="J899" s="119" t="s">
        <v>171</v>
      </c>
      <c r="K899" s="119" t="s">
        <v>172</v>
      </c>
      <c r="L899" s="119" t="s">
        <v>674</v>
      </c>
      <c r="M899" s="119" t="s">
        <v>160</v>
      </c>
      <c r="N899" s="136">
        <v>0.04</v>
      </c>
      <c r="O899" s="135" t="s">
        <v>51</v>
      </c>
      <c r="P899" s="135"/>
      <c r="Q899" s="137">
        <v>0</v>
      </c>
      <c r="R899" s="137">
        <v>0</v>
      </c>
      <c r="S899" s="137">
        <v>83580</v>
      </c>
      <c r="T899" s="137">
        <f t="shared" si="183"/>
        <v>3343.2000000000003</v>
      </c>
      <c r="U899" s="137">
        <f t="shared" ref="U899:U962" si="188">R899+S899+T899</f>
        <v>86923.199999999997</v>
      </c>
      <c r="V899" s="137">
        <v>83580</v>
      </c>
      <c r="W899" s="137">
        <f t="shared" ref="W899:W962" si="189">U899-V899</f>
        <v>3343.1999999999971</v>
      </c>
      <c r="X899" s="137">
        <f t="shared" si="184"/>
        <v>3214.6153846153816</v>
      </c>
      <c r="Y899" s="137">
        <f t="shared" ref="Y899:Y962" si="190">W899-X899</f>
        <v>128.58461538461552</v>
      </c>
      <c r="Z899" s="137">
        <v>83580</v>
      </c>
      <c r="AA899" s="137">
        <f t="shared" si="185"/>
        <v>0</v>
      </c>
      <c r="AB899" s="146">
        <f t="shared" si="186"/>
        <v>80365.38461538461</v>
      </c>
      <c r="AC899" s="147">
        <f t="shared" si="187"/>
        <v>3214.6153846153902</v>
      </c>
      <c r="AD899" s="137">
        <f>(Z899-Q899)*0.826045217867759</f>
        <v>69040.859309387291</v>
      </c>
      <c r="AE899" s="138">
        <v>0.11269173273981201</v>
      </c>
      <c r="AF899" s="137">
        <f t="shared" si="179"/>
        <v>7780.3340654204339</v>
      </c>
      <c r="AG899" s="137">
        <v>4263.2632661940097</v>
      </c>
      <c r="AH899" s="154"/>
      <c r="AI899" s="154"/>
      <c r="AJ899" s="135" t="s">
        <v>186</v>
      </c>
      <c r="AK899" s="119" t="s">
        <v>186</v>
      </c>
    </row>
    <row r="900" spans="1:39" s="119" customFormat="1" ht="15" customHeight="1" x14ac:dyDescent="0.3">
      <c r="A900" s="119">
        <v>2017</v>
      </c>
      <c r="B900" s="119" t="s">
        <v>38</v>
      </c>
      <c r="C900" s="119" t="s">
        <v>75</v>
      </c>
      <c r="D900" s="119" t="s">
        <v>76</v>
      </c>
      <c r="E900" s="119" t="s">
        <v>118</v>
      </c>
      <c r="F900" s="119" t="s">
        <v>119</v>
      </c>
      <c r="G900" s="119" t="s">
        <v>923</v>
      </c>
      <c r="H900" s="119" t="s">
        <v>923</v>
      </c>
      <c r="I900" s="119" t="s">
        <v>170</v>
      </c>
      <c r="J900" s="119" t="s">
        <v>171</v>
      </c>
      <c r="K900" s="119" t="s">
        <v>172</v>
      </c>
      <c r="L900" s="119" t="s">
        <v>119</v>
      </c>
      <c r="M900" s="119" t="s">
        <v>46</v>
      </c>
      <c r="N900" s="136">
        <v>0.04</v>
      </c>
      <c r="O900" s="135" t="s">
        <v>51</v>
      </c>
      <c r="P900" s="135" t="s">
        <v>440</v>
      </c>
      <c r="Q900" s="137">
        <v>0</v>
      </c>
      <c r="R900" s="137">
        <v>0</v>
      </c>
      <c r="S900" s="137">
        <v>796538.46</v>
      </c>
      <c r="T900" s="137">
        <f t="shared" si="183"/>
        <v>31861.538399999998</v>
      </c>
      <c r="U900" s="137">
        <f t="shared" si="188"/>
        <v>828399.99839999992</v>
      </c>
      <c r="V900" s="137">
        <v>828399.99840000004</v>
      </c>
      <c r="W900" s="137">
        <f t="shared" si="189"/>
        <v>0</v>
      </c>
      <c r="X900" s="137">
        <f t="shared" si="184"/>
        <v>0</v>
      </c>
      <c r="Y900" s="137">
        <f t="shared" si="190"/>
        <v>0</v>
      </c>
      <c r="Z900" s="137">
        <v>828400</v>
      </c>
      <c r="AA900" s="137">
        <f t="shared" si="185"/>
        <v>-1.5999999595806003E-3</v>
      </c>
      <c r="AB900" s="146">
        <f t="shared" si="186"/>
        <v>796538.4615384615</v>
      </c>
      <c r="AC900" s="147">
        <f t="shared" si="187"/>
        <v>31861.538461538497</v>
      </c>
      <c r="AD900" s="137">
        <f t="shared" ref="AD900:AD902" si="191">(Z900-Q900)*0.89807640489087</f>
        <v>743966.49381159677</v>
      </c>
      <c r="AE900" s="138">
        <v>0.11269173273981201</v>
      </c>
      <c r="AF900" s="137">
        <f t="shared" si="179"/>
        <v>83838.873287991461</v>
      </c>
      <c r="AG900" s="137">
        <v>0</v>
      </c>
      <c r="AH900" s="154"/>
      <c r="AI900" s="154"/>
      <c r="AJ900" s="135" t="s">
        <v>186</v>
      </c>
      <c r="AK900" s="119" t="s">
        <v>186</v>
      </c>
    </row>
    <row r="901" spans="1:39" s="119" customFormat="1" ht="15" customHeight="1" x14ac:dyDescent="0.3">
      <c r="A901" s="119">
        <v>2017</v>
      </c>
      <c r="B901" s="119" t="s">
        <v>38</v>
      </c>
      <c r="C901" s="119" t="s">
        <v>75</v>
      </c>
      <c r="D901" s="119" t="s">
        <v>76</v>
      </c>
      <c r="E901" s="119" t="s">
        <v>118</v>
      </c>
      <c r="F901" s="119" t="s">
        <v>924</v>
      </c>
      <c r="G901" s="119" t="s">
        <v>924</v>
      </c>
      <c r="H901" s="119" t="s">
        <v>924</v>
      </c>
      <c r="I901" s="119" t="s">
        <v>170</v>
      </c>
      <c r="J901" s="119" t="s">
        <v>171</v>
      </c>
      <c r="K901" s="119" t="s">
        <v>172</v>
      </c>
      <c r="L901" s="119" t="s">
        <v>924</v>
      </c>
      <c r="M901" s="119" t="s">
        <v>46</v>
      </c>
      <c r="N901" s="136">
        <v>0.04</v>
      </c>
      <c r="O901" s="135" t="s">
        <v>51</v>
      </c>
      <c r="P901" s="135"/>
      <c r="Q901" s="137">
        <v>0</v>
      </c>
      <c r="R901" s="137">
        <v>0</v>
      </c>
      <c r="S901" s="137">
        <v>170400</v>
      </c>
      <c r="T901" s="137">
        <f t="shared" si="183"/>
        <v>6816</v>
      </c>
      <c r="U901" s="137">
        <f t="shared" si="188"/>
        <v>177216</v>
      </c>
      <c r="V901" s="137">
        <v>170400</v>
      </c>
      <c r="W901" s="137">
        <f t="shared" si="189"/>
        <v>6816</v>
      </c>
      <c r="X901" s="137">
        <f t="shared" si="184"/>
        <v>6553.8461538461534</v>
      </c>
      <c r="Y901" s="137">
        <f t="shared" si="190"/>
        <v>262.15384615384664</v>
      </c>
      <c r="Z901" s="137">
        <v>170402.1</v>
      </c>
      <c r="AA901" s="137">
        <f t="shared" si="185"/>
        <v>-2.1000000000058208</v>
      </c>
      <c r="AB901" s="146">
        <f t="shared" si="186"/>
        <v>163848.17307692306</v>
      </c>
      <c r="AC901" s="147">
        <f t="shared" si="187"/>
        <v>6553.9269230769423</v>
      </c>
      <c r="AD901" s="137">
        <f t="shared" si="191"/>
        <v>153034.10535385454</v>
      </c>
      <c r="AE901" s="138">
        <v>0.11269173273981201</v>
      </c>
      <c r="AF901" s="137">
        <f t="shared" si="179"/>
        <v>17245.678500612808</v>
      </c>
      <c r="AG901" s="137">
        <v>8691.9001365436507</v>
      </c>
      <c r="AH901" s="154"/>
      <c r="AI901" s="154"/>
      <c r="AJ901" s="135" t="s">
        <v>186</v>
      </c>
      <c r="AK901" s="119" t="s">
        <v>186</v>
      </c>
    </row>
    <row r="902" spans="1:39" s="119" customFormat="1" ht="15" customHeight="1" x14ac:dyDescent="0.3">
      <c r="A902" s="119">
        <v>2017</v>
      </c>
      <c r="B902" s="119" t="s">
        <v>38</v>
      </c>
      <c r="C902" s="119" t="s">
        <v>75</v>
      </c>
      <c r="D902" s="119" t="s">
        <v>76</v>
      </c>
      <c r="E902" s="119" t="s">
        <v>118</v>
      </c>
      <c r="F902" s="119" t="s">
        <v>925</v>
      </c>
      <c r="G902" s="119" t="s">
        <v>925</v>
      </c>
      <c r="H902" s="119" t="s">
        <v>925</v>
      </c>
      <c r="I902" s="119" t="s">
        <v>170</v>
      </c>
      <c r="J902" s="119" t="s">
        <v>171</v>
      </c>
      <c r="K902" s="119" t="s">
        <v>172</v>
      </c>
      <c r="L902" s="119" t="s">
        <v>925</v>
      </c>
      <c r="M902" s="119" t="s">
        <v>46</v>
      </c>
      <c r="N902" s="136">
        <v>0.02</v>
      </c>
      <c r="O902" s="135" t="s">
        <v>51</v>
      </c>
      <c r="P902" s="135"/>
      <c r="Q902" s="137">
        <v>0</v>
      </c>
      <c r="R902" s="137">
        <v>0</v>
      </c>
      <c r="S902" s="137">
        <v>45000</v>
      </c>
      <c r="T902" s="137">
        <f t="shared" si="183"/>
        <v>900</v>
      </c>
      <c r="U902" s="137">
        <f t="shared" si="188"/>
        <v>45900</v>
      </c>
      <c r="V902" s="137">
        <v>45000</v>
      </c>
      <c r="W902" s="137">
        <f t="shared" si="189"/>
        <v>900</v>
      </c>
      <c r="X902" s="137">
        <f t="shared" si="184"/>
        <v>882.35294117647061</v>
      </c>
      <c r="Y902" s="137">
        <f t="shared" si="190"/>
        <v>17.647058823529392</v>
      </c>
      <c r="Z902" s="137">
        <v>44024.5</v>
      </c>
      <c r="AA902" s="137">
        <f t="shared" si="185"/>
        <v>975.5</v>
      </c>
      <c r="AB902" s="146">
        <f t="shared" si="186"/>
        <v>43161.274509803923</v>
      </c>
      <c r="AC902" s="147">
        <f t="shared" si="187"/>
        <v>863.22549019607686</v>
      </c>
      <c r="AD902" s="137">
        <f t="shared" si="191"/>
        <v>39537.364687118104</v>
      </c>
      <c r="AE902" s="138">
        <v>0.11269173273981201</v>
      </c>
      <c r="AF902" s="137">
        <f t="shared" si="179"/>
        <v>4455.5341345571942</v>
      </c>
      <c r="AG902" s="137">
        <v>3075.63390993025</v>
      </c>
      <c r="AH902" s="154"/>
      <c r="AI902" s="154"/>
      <c r="AJ902" s="135" t="s">
        <v>173</v>
      </c>
      <c r="AK902" s="119" t="s">
        <v>173</v>
      </c>
    </row>
    <row r="903" spans="1:39" s="119" customFormat="1" ht="15" customHeight="1" x14ac:dyDescent="0.3">
      <c r="A903" s="119">
        <v>2017</v>
      </c>
      <c r="B903" s="119" t="s">
        <v>38</v>
      </c>
      <c r="C903" s="119" t="s">
        <v>75</v>
      </c>
      <c r="D903" s="119" t="s">
        <v>76</v>
      </c>
      <c r="E903" s="119" t="s">
        <v>118</v>
      </c>
      <c r="F903" s="119" t="s">
        <v>926</v>
      </c>
      <c r="G903" s="119" t="s">
        <v>926</v>
      </c>
      <c r="H903" s="119" t="s">
        <v>926</v>
      </c>
      <c r="I903" s="119" t="s">
        <v>170</v>
      </c>
      <c r="J903" s="119" t="s">
        <v>171</v>
      </c>
      <c r="K903" s="119" t="s">
        <v>172</v>
      </c>
      <c r="L903" s="119" t="s">
        <v>926</v>
      </c>
      <c r="M903" s="119" t="s">
        <v>185</v>
      </c>
      <c r="N903" s="136">
        <v>0.9</v>
      </c>
      <c r="O903" s="135" t="s">
        <v>259</v>
      </c>
      <c r="P903" s="135"/>
      <c r="Q903" s="137">
        <v>0</v>
      </c>
      <c r="R903" s="137">
        <v>0</v>
      </c>
      <c r="S903" s="137">
        <v>38181.82</v>
      </c>
      <c r="T903" s="137">
        <f t="shared" si="183"/>
        <v>34363.637999999999</v>
      </c>
      <c r="U903" s="137">
        <f t="shared" si="188"/>
        <v>72545.457999999999</v>
      </c>
      <c r="V903" s="137">
        <v>31500</v>
      </c>
      <c r="W903" s="137">
        <f t="shared" si="189"/>
        <v>41045.457999999999</v>
      </c>
      <c r="X903" s="137">
        <f t="shared" si="184"/>
        <v>21602.872631578946</v>
      </c>
      <c r="Y903" s="137">
        <f t="shared" si="190"/>
        <v>19442.585368421052</v>
      </c>
      <c r="Z903" s="137">
        <v>10281.92</v>
      </c>
      <c r="AA903" s="137">
        <f t="shared" si="185"/>
        <v>21218.080000000002</v>
      </c>
      <c r="AB903" s="146">
        <f t="shared" si="186"/>
        <v>9253.728000000001</v>
      </c>
      <c r="AC903" s="147">
        <f t="shared" si="187"/>
        <v>1028.1919999999991</v>
      </c>
      <c r="AD903" s="137">
        <f>(Z903-Q903)*0.91072157793815</f>
        <v>9363.9664066338228</v>
      </c>
      <c r="AE903" s="138">
        <v>0.11269173273981201</v>
      </c>
      <c r="AF903" s="137">
        <f t="shared" si="179"/>
        <v>1055.2415996809566</v>
      </c>
      <c r="AG903" s="137">
        <v>919.43729974414703</v>
      </c>
      <c r="AH903" s="154"/>
      <c r="AI903" s="154"/>
      <c r="AJ903" s="135" t="s">
        <v>927</v>
      </c>
      <c r="AK903" s="119" t="s">
        <v>927</v>
      </c>
      <c r="AM903" s="119" t="s">
        <v>174</v>
      </c>
    </row>
    <row r="904" spans="1:39" s="119" customFormat="1" ht="15" customHeight="1" x14ac:dyDescent="0.3">
      <c r="A904" s="119">
        <v>2017</v>
      </c>
      <c r="B904" s="119" t="s">
        <v>38</v>
      </c>
      <c r="C904" s="119" t="s">
        <v>75</v>
      </c>
      <c r="D904" s="119" t="s">
        <v>76</v>
      </c>
      <c r="E904" s="119" t="s">
        <v>118</v>
      </c>
      <c r="F904" s="119" t="s">
        <v>926</v>
      </c>
      <c r="G904" s="119" t="s">
        <v>926</v>
      </c>
      <c r="H904" s="119" t="s">
        <v>926</v>
      </c>
      <c r="I904" s="119" t="s">
        <v>170</v>
      </c>
      <c r="J904" s="119" t="s">
        <v>171</v>
      </c>
      <c r="K904" s="119" t="s">
        <v>172</v>
      </c>
      <c r="L904" s="119" t="s">
        <v>926</v>
      </c>
      <c r="M904" s="119" t="s">
        <v>46</v>
      </c>
      <c r="N904" s="136">
        <v>0.9</v>
      </c>
      <c r="O904" s="135" t="s">
        <v>259</v>
      </c>
      <c r="P904" s="135"/>
      <c r="Q904" s="137">
        <v>0</v>
      </c>
      <c r="R904" s="137">
        <v>0</v>
      </c>
      <c r="S904" s="137">
        <v>9450</v>
      </c>
      <c r="T904" s="137">
        <f t="shared" si="183"/>
        <v>8505</v>
      </c>
      <c r="U904" s="137">
        <f t="shared" si="188"/>
        <v>17955</v>
      </c>
      <c r="V904" s="137">
        <v>0</v>
      </c>
      <c r="W904" s="137">
        <f t="shared" si="189"/>
        <v>17955</v>
      </c>
      <c r="X904" s="137">
        <f t="shared" si="184"/>
        <v>9450</v>
      </c>
      <c r="Y904" s="137">
        <f t="shared" si="190"/>
        <v>8505</v>
      </c>
      <c r="Z904" s="137">
        <v>0</v>
      </c>
      <c r="AA904" s="137">
        <f t="shared" si="185"/>
        <v>0</v>
      </c>
      <c r="AB904" s="146">
        <f t="shared" si="186"/>
        <v>0</v>
      </c>
      <c r="AC904" s="147">
        <f t="shared" si="187"/>
        <v>0</v>
      </c>
      <c r="AD904" s="137">
        <f t="shared" ref="AD904:AD905" si="192">(Z904-Q904)*0.89807640489087</f>
        <v>0</v>
      </c>
      <c r="AE904" s="138">
        <v>0.11269173273981201</v>
      </c>
      <c r="AF904" s="137">
        <f t="shared" si="179"/>
        <v>0</v>
      </c>
      <c r="AG904" s="137">
        <v>0</v>
      </c>
      <c r="AH904" s="154"/>
      <c r="AI904" s="154"/>
      <c r="AJ904" s="135" t="s">
        <v>928</v>
      </c>
      <c r="AK904" s="119" t="s">
        <v>928</v>
      </c>
    </row>
    <row r="905" spans="1:39" s="119" customFormat="1" ht="15" customHeight="1" x14ac:dyDescent="0.3">
      <c r="A905" s="119">
        <v>2017</v>
      </c>
      <c r="B905" s="119" t="s">
        <v>38</v>
      </c>
      <c r="C905" s="119" t="s">
        <v>75</v>
      </c>
      <c r="D905" s="119" t="s">
        <v>76</v>
      </c>
      <c r="E905" s="119" t="s">
        <v>118</v>
      </c>
      <c r="F905" s="119" t="s">
        <v>677</v>
      </c>
      <c r="G905" s="119" t="s">
        <v>677</v>
      </c>
      <c r="H905" s="119" t="s">
        <v>677</v>
      </c>
      <c r="I905" s="119" t="s">
        <v>170</v>
      </c>
      <c r="J905" s="119" t="s">
        <v>171</v>
      </c>
      <c r="K905" s="119" t="s">
        <v>172</v>
      </c>
      <c r="L905" s="119" t="s">
        <v>677</v>
      </c>
      <c r="M905" s="119" t="s">
        <v>46</v>
      </c>
      <c r="N905" s="136">
        <v>0.04</v>
      </c>
      <c r="O905" s="135" t="s">
        <v>51</v>
      </c>
      <c r="P905" s="135"/>
      <c r="Q905" s="137">
        <v>0</v>
      </c>
      <c r="R905" s="137">
        <v>0</v>
      </c>
      <c r="S905" s="137">
        <v>1381126.24</v>
      </c>
      <c r="T905" s="137">
        <f t="shared" si="183"/>
        <v>55245.049599999998</v>
      </c>
      <c r="U905" s="137">
        <f t="shared" si="188"/>
        <v>1436371.2896</v>
      </c>
      <c r="V905" s="137">
        <v>1426766.15</v>
      </c>
      <c r="W905" s="137">
        <f t="shared" si="189"/>
        <v>9605.1396000001114</v>
      </c>
      <c r="X905" s="137">
        <f t="shared" si="184"/>
        <v>9235.7111538462614</v>
      </c>
      <c r="Y905" s="137">
        <f t="shared" si="190"/>
        <v>369.42844615385002</v>
      </c>
      <c r="Z905" s="137">
        <v>1376696.2</v>
      </c>
      <c r="AA905" s="137">
        <f t="shared" si="185"/>
        <v>50069.949999999953</v>
      </c>
      <c r="AB905" s="146">
        <f t="shared" si="186"/>
        <v>1323746.346153846</v>
      </c>
      <c r="AC905" s="147">
        <f t="shared" si="187"/>
        <v>52949.853846153943</v>
      </c>
      <c r="AD905" s="137">
        <f t="shared" si="192"/>
        <v>1236378.3739229222</v>
      </c>
      <c r="AE905" s="138">
        <v>0.11269173273981201</v>
      </c>
      <c r="AF905" s="137">
        <f t="shared" si="179"/>
        <v>139329.62127940531</v>
      </c>
      <c r="AG905" s="137">
        <v>70222.760686394904</v>
      </c>
      <c r="AH905" s="154"/>
      <c r="AI905" s="154"/>
      <c r="AJ905" s="135" t="s">
        <v>186</v>
      </c>
      <c r="AK905" s="119" t="s">
        <v>186</v>
      </c>
    </row>
    <row r="906" spans="1:39" s="119" customFormat="1" ht="15" customHeight="1" x14ac:dyDescent="0.3">
      <c r="A906" s="119">
        <v>2017</v>
      </c>
      <c r="B906" s="119" t="s">
        <v>38</v>
      </c>
      <c r="C906" s="119" t="s">
        <v>75</v>
      </c>
      <c r="D906" s="119" t="s">
        <v>76</v>
      </c>
      <c r="E906" s="119" t="s">
        <v>118</v>
      </c>
      <c r="F906" s="119" t="s">
        <v>677</v>
      </c>
      <c r="G906" s="119" t="s">
        <v>677</v>
      </c>
      <c r="H906" s="119" t="s">
        <v>677</v>
      </c>
      <c r="I906" s="119" t="s">
        <v>170</v>
      </c>
      <c r="J906" s="119" t="s">
        <v>171</v>
      </c>
      <c r="K906" s="119" t="s">
        <v>172</v>
      </c>
      <c r="L906" s="119" t="s">
        <v>677</v>
      </c>
      <c r="M906" s="119" t="s">
        <v>185</v>
      </c>
      <c r="N906" s="136">
        <v>0.08</v>
      </c>
      <c r="O906" s="135" t="s">
        <v>51</v>
      </c>
      <c r="P906" s="135"/>
      <c r="Q906" s="137">
        <v>0</v>
      </c>
      <c r="R906" s="137">
        <v>0</v>
      </c>
      <c r="S906" s="137">
        <v>72500.75</v>
      </c>
      <c r="T906" s="137">
        <f t="shared" si="183"/>
        <v>5800.06</v>
      </c>
      <c r="U906" s="137">
        <f t="shared" si="188"/>
        <v>78300.81</v>
      </c>
      <c r="V906" s="137">
        <v>78300</v>
      </c>
      <c r="W906" s="137">
        <f t="shared" si="189"/>
        <v>0.80999999999767169</v>
      </c>
      <c r="X906" s="137">
        <f t="shared" si="184"/>
        <v>0.74999999999784406</v>
      </c>
      <c r="Y906" s="137">
        <f t="shared" si="190"/>
        <v>5.9999999999827636E-2</v>
      </c>
      <c r="Z906" s="137">
        <v>51533.02</v>
      </c>
      <c r="AA906" s="137">
        <f t="shared" si="185"/>
        <v>26766.980000000003</v>
      </c>
      <c r="AB906" s="146">
        <f t="shared" si="186"/>
        <v>47715.759259259255</v>
      </c>
      <c r="AC906" s="147">
        <f t="shared" si="187"/>
        <v>3817.2607407407413</v>
      </c>
      <c r="AD906" s="137">
        <f>(Z906-Q906)*0.91072157793815</f>
        <v>46932.23329031824</v>
      </c>
      <c r="AE906" s="138">
        <v>0.11269173273981201</v>
      </c>
      <c r="AF906" s="137">
        <f t="shared" si="179"/>
        <v>5288.8746908350513</v>
      </c>
      <c r="AG906" s="137">
        <v>793.05971406929905</v>
      </c>
      <c r="AH906" s="154"/>
      <c r="AI906" s="154"/>
      <c r="AJ906" s="135" t="s">
        <v>53</v>
      </c>
      <c r="AK906" s="119" t="s">
        <v>53</v>
      </c>
      <c r="AM906" s="119" t="s">
        <v>174</v>
      </c>
    </row>
    <row r="907" spans="1:39" s="119" customFormat="1" ht="15" customHeight="1" x14ac:dyDescent="0.3">
      <c r="A907" s="119">
        <v>2017</v>
      </c>
      <c r="F907" s="131" t="e">
        <v>#N/A</v>
      </c>
      <c r="G907" s="131"/>
      <c r="H907" s="131"/>
      <c r="I907" s="119" t="s">
        <v>170</v>
      </c>
      <c r="J907" s="119" t="s">
        <v>171</v>
      </c>
      <c r="K907" s="119" t="s">
        <v>172</v>
      </c>
      <c r="L907" s="119" t="s">
        <v>929</v>
      </c>
      <c r="M907" s="119" t="s">
        <v>46</v>
      </c>
      <c r="N907" s="135">
        <v>0</v>
      </c>
      <c r="O907" s="135" t="s">
        <v>47</v>
      </c>
      <c r="P907" s="135" t="s">
        <v>852</v>
      </c>
      <c r="Q907" s="137">
        <v>0.6</v>
      </c>
      <c r="R907" s="137">
        <v>0</v>
      </c>
      <c r="S907" s="137"/>
      <c r="T907" s="137">
        <f t="shared" si="183"/>
        <v>0</v>
      </c>
      <c r="U907" s="137">
        <f t="shared" si="188"/>
        <v>0</v>
      </c>
      <c r="V907" s="137">
        <v>0</v>
      </c>
      <c r="W907" s="137">
        <f t="shared" si="189"/>
        <v>0</v>
      </c>
      <c r="X907" s="137">
        <f t="shared" si="184"/>
        <v>0</v>
      </c>
      <c r="Y907" s="137">
        <f t="shared" si="190"/>
        <v>0</v>
      </c>
      <c r="Z907" s="137">
        <v>23526.6</v>
      </c>
      <c r="AA907" s="137">
        <f t="shared" si="185"/>
        <v>-23526</v>
      </c>
      <c r="AB907" s="146">
        <v>0</v>
      </c>
      <c r="AC907" s="147">
        <f t="shared" si="187"/>
        <v>23526.6</v>
      </c>
      <c r="AD907" s="137">
        <f t="shared" ref="AD907:AD911" si="193">(Z907-Q907)*0.89807640489087</f>
        <v>21128.145501462608</v>
      </c>
      <c r="AE907" s="138">
        <v>0.11269173273981201</v>
      </c>
      <c r="AF907" s="137">
        <f t="shared" si="179"/>
        <v>2380.9673261386856</v>
      </c>
      <c r="AG907" s="137">
        <v>2104.9181606380998</v>
      </c>
      <c r="AH907" s="154"/>
      <c r="AI907" s="154"/>
      <c r="AJ907" s="135" t="e">
        <v>#N/A</v>
      </c>
      <c r="AK907" s="119" t="s">
        <v>47</v>
      </c>
      <c r="AM907" s="131" t="s">
        <v>208</v>
      </c>
    </row>
    <row r="908" spans="1:39" s="119" customFormat="1" ht="15" customHeight="1" x14ac:dyDescent="0.3">
      <c r="A908" s="119">
        <v>2017</v>
      </c>
      <c r="B908" s="119" t="s">
        <v>38</v>
      </c>
      <c r="C908" s="119" t="s">
        <v>75</v>
      </c>
      <c r="D908" s="119" t="s">
        <v>76</v>
      </c>
      <c r="E908" s="119" t="s">
        <v>118</v>
      </c>
      <c r="F908" s="119" t="s">
        <v>930</v>
      </c>
      <c r="G908" s="119" t="s">
        <v>930</v>
      </c>
      <c r="H908" s="119" t="s">
        <v>930</v>
      </c>
      <c r="I908" s="119" t="s">
        <v>170</v>
      </c>
      <c r="J908" s="119" t="s">
        <v>171</v>
      </c>
      <c r="K908" s="119" t="s">
        <v>172</v>
      </c>
      <c r="L908" s="119" t="s">
        <v>931</v>
      </c>
      <c r="M908" s="119" t="s">
        <v>46</v>
      </c>
      <c r="N908" s="135">
        <v>0.06</v>
      </c>
      <c r="O908" s="135" t="s">
        <v>51</v>
      </c>
      <c r="P908" s="135"/>
      <c r="Q908" s="137">
        <v>2649.7</v>
      </c>
      <c r="R908" s="137">
        <v>0</v>
      </c>
      <c r="S908" s="137">
        <v>134000</v>
      </c>
      <c r="T908" s="137">
        <f t="shared" si="183"/>
        <v>8040</v>
      </c>
      <c r="U908" s="137">
        <f t="shared" si="188"/>
        <v>142040</v>
      </c>
      <c r="V908" s="137">
        <v>30000</v>
      </c>
      <c r="W908" s="137">
        <f t="shared" si="189"/>
        <v>112040</v>
      </c>
      <c r="X908" s="137">
        <f t="shared" si="184"/>
        <v>105698.11320754717</v>
      </c>
      <c r="Y908" s="137">
        <f t="shared" si="190"/>
        <v>6341.8867924528313</v>
      </c>
      <c r="Z908" s="137">
        <v>0</v>
      </c>
      <c r="AA908" s="137">
        <f t="shared" si="185"/>
        <v>32649.7</v>
      </c>
      <c r="AB908" s="146">
        <f>IF(O908="返货",(Z908-Q908)/(1+N908),IF(O908="返现",(Z908-Q908),IF(O908="折扣",(Z908-Q908)*N908,IF(O908="无",(Z908-Q908)))))</f>
        <v>-2499.716981132075</v>
      </c>
      <c r="AC908" s="147">
        <f t="shared" si="187"/>
        <v>2499.716981132075</v>
      </c>
      <c r="AD908" s="137">
        <f t="shared" si="193"/>
        <v>-2379.6330500393383</v>
      </c>
      <c r="AE908" s="138">
        <v>0.11269173273981201</v>
      </c>
      <c r="AF908" s="137">
        <f t="shared" si="179"/>
        <v>-268.16497169385678</v>
      </c>
      <c r="AG908" s="137">
        <v>0</v>
      </c>
      <c r="AH908" s="154"/>
      <c r="AI908" s="154"/>
      <c r="AJ908" s="135" t="s">
        <v>193</v>
      </c>
      <c r="AK908" s="119" t="s">
        <v>193</v>
      </c>
    </row>
    <row r="909" spans="1:39" s="119" customFormat="1" ht="15" customHeight="1" x14ac:dyDescent="0.3">
      <c r="A909" s="119">
        <v>2017</v>
      </c>
      <c r="B909" s="119" t="s">
        <v>38</v>
      </c>
      <c r="C909" s="119" t="s">
        <v>75</v>
      </c>
      <c r="D909" s="119" t="s">
        <v>76</v>
      </c>
      <c r="E909" s="119" t="s">
        <v>118</v>
      </c>
      <c r="F909" s="119" t="s">
        <v>679</v>
      </c>
      <c r="G909" s="119" t="s">
        <v>679</v>
      </c>
      <c r="H909" s="119" t="s">
        <v>679</v>
      </c>
      <c r="I909" s="119" t="s">
        <v>170</v>
      </c>
      <c r="J909" s="119" t="s">
        <v>171</v>
      </c>
      <c r="K909" s="119" t="s">
        <v>172</v>
      </c>
      <c r="L909" s="119" t="s">
        <v>679</v>
      </c>
      <c r="M909" s="119" t="s">
        <v>46</v>
      </c>
      <c r="N909" s="135">
        <v>0.06</v>
      </c>
      <c r="O909" s="135" t="s">
        <v>51</v>
      </c>
      <c r="P909" s="135"/>
      <c r="Q909" s="137">
        <v>100000</v>
      </c>
      <c r="R909" s="137">
        <v>0</v>
      </c>
      <c r="S909" s="137">
        <v>662954</v>
      </c>
      <c r="T909" s="137">
        <f t="shared" si="183"/>
        <v>39777.24</v>
      </c>
      <c r="U909" s="137">
        <f t="shared" si="188"/>
        <v>702731.24</v>
      </c>
      <c r="V909" s="137">
        <v>792697.97</v>
      </c>
      <c r="W909" s="137">
        <f t="shared" si="189"/>
        <v>-89966.729999999981</v>
      </c>
      <c r="X909" s="137">
        <f t="shared" si="184"/>
        <v>-84874.273584905633</v>
      </c>
      <c r="Y909" s="137">
        <f t="shared" si="190"/>
        <v>-5092.4564150943479</v>
      </c>
      <c r="Z909" s="137">
        <v>615795.19999999995</v>
      </c>
      <c r="AA909" s="137">
        <f t="shared" si="185"/>
        <v>276902.77</v>
      </c>
      <c r="AB909" s="146">
        <f>IF(O909="返货",(Z909-Q909)/(1+N909),IF(O909="返现",(Z909-Q909),IF(O909="折扣",(Z909-Q909)*N909,IF(O909="无",(Z909-Q909)))))</f>
        <v>486599.2452830188</v>
      </c>
      <c r="AC909" s="147">
        <f t="shared" si="187"/>
        <v>129195.95471698116</v>
      </c>
      <c r="AD909" s="137">
        <f t="shared" si="193"/>
        <v>463223.49887596723</v>
      </c>
      <c r="AE909" s="138">
        <v>0.11269173273981201</v>
      </c>
      <c r="AF909" s="137">
        <f t="shared" si="179"/>
        <v>52201.458734131105</v>
      </c>
      <c r="AG909" s="137">
        <v>20238.688017264602</v>
      </c>
      <c r="AH909" s="154"/>
      <c r="AI909" s="154"/>
      <c r="AJ909" s="135" t="s">
        <v>193</v>
      </c>
      <c r="AK909" s="119" t="s">
        <v>193</v>
      </c>
    </row>
    <row r="910" spans="1:39" s="119" customFormat="1" ht="15" customHeight="1" x14ac:dyDescent="0.3">
      <c r="A910" s="119">
        <v>2017</v>
      </c>
      <c r="B910" s="119" t="s">
        <v>38</v>
      </c>
      <c r="C910" s="119" t="s">
        <v>75</v>
      </c>
      <c r="D910" s="119" t="s">
        <v>76</v>
      </c>
      <c r="E910" s="119" t="s">
        <v>118</v>
      </c>
      <c r="F910" s="119" t="s">
        <v>119</v>
      </c>
      <c r="G910" s="119" t="s">
        <v>119</v>
      </c>
      <c r="H910" s="119" t="s">
        <v>119</v>
      </c>
      <c r="I910" s="119" t="s">
        <v>170</v>
      </c>
      <c r="J910" s="119" t="s">
        <v>171</v>
      </c>
      <c r="K910" s="119" t="s">
        <v>172</v>
      </c>
      <c r="L910" s="119" t="s">
        <v>119</v>
      </c>
      <c r="M910" s="119" t="s">
        <v>46</v>
      </c>
      <c r="N910" s="135">
        <v>0.06</v>
      </c>
      <c r="O910" s="135" t="s">
        <v>51</v>
      </c>
      <c r="P910" s="135" t="s">
        <v>440</v>
      </c>
      <c r="Q910" s="137">
        <v>0</v>
      </c>
      <c r="R910" s="137">
        <v>0</v>
      </c>
      <c r="S910" s="137">
        <v>1996226.41</v>
      </c>
      <c r="T910" s="137">
        <f t="shared" si="183"/>
        <v>119773.58459999999</v>
      </c>
      <c r="U910" s="137">
        <f t="shared" si="188"/>
        <v>2115999.9945999999</v>
      </c>
      <c r="V910" s="137">
        <v>2115999.9945999999</v>
      </c>
      <c r="W910" s="137">
        <f t="shared" si="189"/>
        <v>0</v>
      </c>
      <c r="X910" s="137">
        <f t="shared" si="184"/>
        <v>0</v>
      </c>
      <c r="Y910" s="137">
        <f t="shared" si="190"/>
        <v>0</v>
      </c>
      <c r="Z910" s="137">
        <f>2920389.2-Z900</f>
        <v>2091989.2000000002</v>
      </c>
      <c r="AA910" s="137">
        <f t="shared" si="185"/>
        <v>24010.794599999674</v>
      </c>
      <c r="AB910" s="146">
        <f>IF(O910="返货",Z910/(1+N910),IF(O910="返现",Z910,IF(O910="折扣",Z910*N910,IF(O910="无",Z910))))</f>
        <v>1973574.716981132</v>
      </c>
      <c r="AC910" s="147">
        <f t="shared" si="187"/>
        <v>118414.48301886814</v>
      </c>
      <c r="AD910" s="137">
        <f t="shared" si="193"/>
        <v>1878766.1398065274</v>
      </c>
      <c r="AE910" s="138">
        <v>0.11269173273981201</v>
      </c>
      <c r="AF910" s="137">
        <f t="shared" si="179"/>
        <v>211721.41170768547</v>
      </c>
      <c r="AG910" s="137">
        <v>95981.335852876</v>
      </c>
      <c r="AH910" s="154"/>
      <c r="AI910" s="154"/>
      <c r="AJ910" s="135" t="s">
        <v>193</v>
      </c>
      <c r="AK910" s="119" t="s">
        <v>193</v>
      </c>
    </row>
    <row r="911" spans="1:39" s="119" customFormat="1" ht="15" customHeight="1" x14ac:dyDescent="0.3">
      <c r="A911" s="119">
        <v>2017</v>
      </c>
      <c r="B911" s="119" t="s">
        <v>38</v>
      </c>
      <c r="C911" s="119" t="s">
        <v>75</v>
      </c>
      <c r="D911" s="119" t="s">
        <v>76</v>
      </c>
      <c r="E911" s="119" t="s">
        <v>118</v>
      </c>
      <c r="F911" s="119" t="s">
        <v>932</v>
      </c>
      <c r="G911" s="119" t="s">
        <v>932</v>
      </c>
      <c r="H911" s="119" t="s">
        <v>932</v>
      </c>
      <c r="I911" s="119" t="s">
        <v>170</v>
      </c>
      <c r="J911" s="119" t="s">
        <v>171</v>
      </c>
      <c r="K911" s="119" t="s">
        <v>172</v>
      </c>
      <c r="L911" s="119" t="s">
        <v>932</v>
      </c>
      <c r="M911" s="119" t="s">
        <v>46</v>
      </c>
      <c r="N911" s="135">
        <v>0.06</v>
      </c>
      <c r="O911" s="135" t="s">
        <v>51</v>
      </c>
      <c r="P911" s="135"/>
      <c r="Q911" s="137">
        <v>0</v>
      </c>
      <c r="R911" s="137">
        <v>0</v>
      </c>
      <c r="S911" s="137">
        <v>340094.37</v>
      </c>
      <c r="T911" s="137">
        <f t="shared" si="183"/>
        <v>20405.662199999999</v>
      </c>
      <c r="U911" s="137">
        <f t="shared" si="188"/>
        <v>360500.03220000002</v>
      </c>
      <c r="V911" s="137">
        <v>360500</v>
      </c>
      <c r="W911" s="137">
        <f t="shared" si="189"/>
        <v>3.2200000016018748E-2</v>
      </c>
      <c r="X911" s="137">
        <f t="shared" si="184"/>
        <v>3.0377358505678062E-2</v>
      </c>
      <c r="Y911" s="137">
        <f t="shared" si="190"/>
        <v>1.8226415103406862E-3</v>
      </c>
      <c r="Z911" s="137">
        <v>338262.9</v>
      </c>
      <c r="AA911" s="137">
        <f t="shared" si="185"/>
        <v>22237.099999999977</v>
      </c>
      <c r="AB911" s="146">
        <f>IF(O911="返货",Z911/(1+N911),IF(O911="返现",Z911,IF(O911="折扣",Z911*N911,IF(O911="无",Z911))))</f>
        <v>319115.94339622644</v>
      </c>
      <c r="AC911" s="147">
        <f t="shared" si="187"/>
        <v>19146.956603773579</v>
      </c>
      <c r="AD911" s="137">
        <f t="shared" si="193"/>
        <v>303785.92913995992</v>
      </c>
      <c r="AE911" s="138">
        <v>0.11269173273981201</v>
      </c>
      <c r="AF911" s="137">
        <f t="shared" si="179"/>
        <v>34234.162736755832</v>
      </c>
      <c r="AG911" s="137">
        <v>11117.3281326571</v>
      </c>
      <c r="AH911" s="154"/>
      <c r="AI911" s="154"/>
      <c r="AJ911" s="135" t="s">
        <v>193</v>
      </c>
      <c r="AK911" s="119" t="s">
        <v>193</v>
      </c>
    </row>
    <row r="912" spans="1:39" s="119" customFormat="1" ht="15" customHeight="1" x14ac:dyDescent="0.3">
      <c r="A912" s="119">
        <v>2017</v>
      </c>
      <c r="B912" s="119" t="s">
        <v>38</v>
      </c>
      <c r="C912" s="119" t="s">
        <v>75</v>
      </c>
      <c r="D912" s="119" t="s">
        <v>256</v>
      </c>
      <c r="E912" s="119" t="s">
        <v>257</v>
      </c>
      <c r="F912" s="119" t="s">
        <v>933</v>
      </c>
      <c r="G912" s="119" t="s">
        <v>933</v>
      </c>
      <c r="H912" s="119" t="s">
        <v>933</v>
      </c>
      <c r="I912" s="119" t="s">
        <v>170</v>
      </c>
      <c r="J912" s="119" t="s">
        <v>865</v>
      </c>
      <c r="K912" s="119" t="s">
        <v>866</v>
      </c>
      <c r="L912" s="119" t="s">
        <v>933</v>
      </c>
      <c r="M912" s="119" t="s">
        <v>46</v>
      </c>
      <c r="N912" s="135">
        <v>0</v>
      </c>
      <c r="O912" s="135" t="s">
        <v>47</v>
      </c>
      <c r="P912" s="135"/>
      <c r="Q912" s="137">
        <v>5013.7150000000101</v>
      </c>
      <c r="R912" s="137">
        <v>0</v>
      </c>
      <c r="S912" s="137">
        <v>100000</v>
      </c>
      <c r="T912" s="137">
        <f t="shared" si="183"/>
        <v>0</v>
      </c>
      <c r="U912" s="137">
        <f t="shared" si="188"/>
        <v>100000</v>
      </c>
      <c r="V912" s="137">
        <v>239890</v>
      </c>
      <c r="W912" s="137">
        <f t="shared" si="189"/>
        <v>-139890</v>
      </c>
      <c r="X912" s="137">
        <f t="shared" si="184"/>
        <v>-139890</v>
      </c>
      <c r="Y912" s="137">
        <f t="shared" si="190"/>
        <v>0</v>
      </c>
      <c r="Z912" s="137">
        <v>239894.7</v>
      </c>
      <c r="AA912" s="137">
        <f t="shared" si="185"/>
        <v>5009.0149999999849</v>
      </c>
      <c r="AB912" s="146">
        <f>IF(O912="返货",(Z912-Q912)/(1+N912),IF(O912="返现",(Z912-Q912),IF(O912="折扣",(Z912-Q912)*N912,IF(O912="无",(Z912-Q912)))))</f>
        <v>234880.98500000002</v>
      </c>
      <c r="AC912" s="147">
        <f t="shared" si="187"/>
        <v>5013.7149999999965</v>
      </c>
      <c r="AD912" s="137">
        <f>Z912*0.972201473425119-Q912</f>
        <v>228212.26580687691</v>
      </c>
      <c r="AE912" s="138">
        <v>0.1</v>
      </c>
      <c r="AF912" s="137">
        <f t="shared" si="179"/>
        <v>22821.226580687693</v>
      </c>
      <c r="AG912" s="137">
        <v>23989.47</v>
      </c>
      <c r="AH912" s="154"/>
      <c r="AI912" s="154"/>
      <c r="AJ912" s="136">
        <v>1</v>
      </c>
      <c r="AK912" s="156">
        <v>1</v>
      </c>
    </row>
    <row r="913" spans="1:39" s="119" customFormat="1" ht="15" customHeight="1" x14ac:dyDescent="0.3">
      <c r="A913" s="119">
        <v>2017</v>
      </c>
      <c r="B913" s="119" t="s">
        <v>38</v>
      </c>
      <c r="C913" s="119" t="s">
        <v>75</v>
      </c>
      <c r="D913" s="119" t="s">
        <v>256</v>
      </c>
      <c r="E913" s="119" t="s">
        <v>257</v>
      </c>
      <c r="F913" s="119" t="s">
        <v>934</v>
      </c>
      <c r="G913" s="119" t="s">
        <v>934</v>
      </c>
      <c r="H913" s="119" t="s">
        <v>934</v>
      </c>
      <c r="I913" s="119" t="s">
        <v>170</v>
      </c>
      <c r="J913" s="119" t="s">
        <v>171</v>
      </c>
      <c r="K913" s="119" t="s">
        <v>172</v>
      </c>
      <c r="L913" s="119" t="s">
        <v>934</v>
      </c>
      <c r="M913" s="119" t="s">
        <v>46</v>
      </c>
      <c r="N913" s="136">
        <v>0.02</v>
      </c>
      <c r="O913" s="135" t="s">
        <v>51</v>
      </c>
      <c r="P913" s="135"/>
      <c r="Q913" s="137">
        <v>0</v>
      </c>
      <c r="R913" s="137">
        <v>0</v>
      </c>
      <c r="S913" s="137">
        <v>230000</v>
      </c>
      <c r="T913" s="137">
        <f t="shared" si="183"/>
        <v>4600</v>
      </c>
      <c r="U913" s="137">
        <f t="shared" si="188"/>
        <v>234600</v>
      </c>
      <c r="V913" s="137">
        <v>234600</v>
      </c>
      <c r="W913" s="137">
        <f t="shared" si="189"/>
        <v>0</v>
      </c>
      <c r="X913" s="137">
        <f t="shared" si="184"/>
        <v>0</v>
      </c>
      <c r="Y913" s="137">
        <f t="shared" si="190"/>
        <v>0</v>
      </c>
      <c r="Z913" s="137">
        <v>201385.5</v>
      </c>
      <c r="AA913" s="137">
        <f t="shared" si="185"/>
        <v>33214.5</v>
      </c>
      <c r="AB913" s="146">
        <f>IF(O913="返货",Z913/(1+N913),IF(O913="返现",Z913,IF(O913="折扣",Z913*N913,IF(O913="无",Z913))))</f>
        <v>197436.76470588235</v>
      </c>
      <c r="AC913" s="147">
        <f t="shared" si="187"/>
        <v>3948.7352941176505</v>
      </c>
      <c r="AD913" s="137">
        <f>(Z913-Q913)*0.89807640489087</f>
        <v>180859.56583715029</v>
      </c>
      <c r="AE913" s="138">
        <v>0.11269173273981201</v>
      </c>
      <c r="AF913" s="137">
        <f t="shared" si="179"/>
        <v>20381.377856758576</v>
      </c>
      <c r="AG913" s="137">
        <v>14069.1676854537</v>
      </c>
      <c r="AH913" s="154"/>
      <c r="AI913" s="154"/>
      <c r="AJ913" s="135" t="s">
        <v>173</v>
      </c>
      <c r="AK913" s="119" t="s">
        <v>173</v>
      </c>
    </row>
    <row r="914" spans="1:39" s="119" customFormat="1" ht="15" customHeight="1" x14ac:dyDescent="0.3">
      <c r="A914" s="119">
        <v>2017</v>
      </c>
      <c r="B914" s="119" t="s">
        <v>199</v>
      </c>
      <c r="C914" s="119" t="s">
        <v>75</v>
      </c>
      <c r="D914" s="119" t="s">
        <v>256</v>
      </c>
      <c r="E914" s="119" t="s">
        <v>175</v>
      </c>
      <c r="F914" s="119" t="s">
        <v>935</v>
      </c>
      <c r="G914" s="119" t="s">
        <v>936</v>
      </c>
      <c r="H914" s="119" t="s">
        <v>937</v>
      </c>
      <c r="I914" s="119" t="s">
        <v>170</v>
      </c>
      <c r="J914" s="119" t="s">
        <v>865</v>
      </c>
      <c r="K914" s="119" t="s">
        <v>866</v>
      </c>
      <c r="L914" s="119" t="s">
        <v>935</v>
      </c>
      <c r="M914" s="119" t="s">
        <v>46</v>
      </c>
      <c r="N914" s="136">
        <v>0.02</v>
      </c>
      <c r="O914" s="135" t="s">
        <v>51</v>
      </c>
      <c r="P914" s="135"/>
      <c r="Q914" s="137">
        <v>219641.01</v>
      </c>
      <c r="R914" s="137">
        <v>0</v>
      </c>
      <c r="S914" s="137">
        <v>2457064.2999999998</v>
      </c>
      <c r="T914" s="137">
        <f t="shared" si="183"/>
        <v>49141.286</v>
      </c>
      <c r="U914" s="137">
        <f t="shared" si="188"/>
        <v>2506205.5859999997</v>
      </c>
      <c r="V914" s="137">
        <v>2823005.5860000001</v>
      </c>
      <c r="W914" s="137">
        <f t="shared" si="189"/>
        <v>-316800.00000000047</v>
      </c>
      <c r="X914" s="137">
        <f t="shared" si="184"/>
        <v>-310588.23529411812</v>
      </c>
      <c r="Y914" s="137">
        <f t="shared" si="190"/>
        <v>-6211.7647058823495</v>
      </c>
      <c r="Z914" s="137">
        <v>3027446.6</v>
      </c>
      <c r="AA914" s="137">
        <f t="shared" si="185"/>
        <v>15199.99599999981</v>
      </c>
      <c r="AB914" s="146">
        <f>IF(O914="返货",(Z914-Q914)/(1+N914),IF(O914="返现",(Z914-Q914),IF(O914="折扣",(Z914-Q914)*N914,IF(O914="无",(Z914-Q914)))))</f>
        <v>2752750.5784313725</v>
      </c>
      <c r="AC914" s="147">
        <f t="shared" si="187"/>
        <v>274696.02156862756</v>
      </c>
      <c r="AD914" s="137">
        <f>Z914*0.972201473425119-Q914</f>
        <v>2723647.0352358669</v>
      </c>
      <c r="AE914" s="138">
        <v>0.1</v>
      </c>
      <c r="AF914" s="137">
        <f t="shared" si="179"/>
        <v>272364.70352358668</v>
      </c>
      <c r="AG914" s="137">
        <v>243382.96196078401</v>
      </c>
      <c r="AH914" s="154"/>
      <c r="AI914" s="154"/>
      <c r="AJ914" s="135" t="s">
        <v>173</v>
      </c>
      <c r="AK914" s="119" t="s">
        <v>173</v>
      </c>
    </row>
    <row r="915" spans="1:39" s="119" customFormat="1" ht="15" customHeight="1" x14ac:dyDescent="0.3">
      <c r="A915" s="119">
        <v>2017</v>
      </c>
      <c r="B915" s="119" t="s">
        <v>199</v>
      </c>
      <c r="C915" s="119" t="s">
        <v>75</v>
      </c>
      <c r="D915" s="119" t="s">
        <v>256</v>
      </c>
      <c r="E915" s="119" t="s">
        <v>175</v>
      </c>
      <c r="F915" s="119" t="s">
        <v>935</v>
      </c>
      <c r="G915" s="119" t="s">
        <v>936</v>
      </c>
      <c r="H915" s="119" t="s">
        <v>937</v>
      </c>
      <c r="I915" s="119" t="s">
        <v>170</v>
      </c>
      <c r="J915" s="119" t="s">
        <v>865</v>
      </c>
      <c r="K915" s="119" t="s">
        <v>866</v>
      </c>
      <c r="L915" s="119" t="s">
        <v>935</v>
      </c>
      <c r="M915" s="119" t="s">
        <v>160</v>
      </c>
      <c r="N915" s="135">
        <v>0</v>
      </c>
      <c r="O915" s="135" t="s">
        <v>47</v>
      </c>
      <c r="P915" s="135"/>
      <c r="Q915" s="137">
        <v>0</v>
      </c>
      <c r="R915" s="137">
        <v>0</v>
      </c>
      <c r="S915" s="137">
        <v>15200</v>
      </c>
      <c r="T915" s="137">
        <f t="shared" si="183"/>
        <v>0</v>
      </c>
      <c r="U915" s="137">
        <f t="shared" si="188"/>
        <v>15200</v>
      </c>
      <c r="V915" s="137">
        <v>15200</v>
      </c>
      <c r="W915" s="137">
        <f t="shared" si="189"/>
        <v>0</v>
      </c>
      <c r="X915" s="137">
        <f t="shared" si="184"/>
        <v>0</v>
      </c>
      <c r="Y915" s="137">
        <f t="shared" si="190"/>
        <v>0</v>
      </c>
      <c r="Z915" s="137">
        <v>15200</v>
      </c>
      <c r="AA915" s="137">
        <f t="shared" si="185"/>
        <v>0</v>
      </c>
      <c r="AB915" s="146">
        <f>IF(O915="返货",Z915/(1+N915),IF(O915="返现",Z915,IF(O915="折扣",Z915*N915,IF(O915="无",Z915))))</f>
        <v>15200</v>
      </c>
      <c r="AC915" s="147">
        <f t="shared" si="187"/>
        <v>0</v>
      </c>
      <c r="AD915" s="137">
        <f>Z915</f>
        <v>15200</v>
      </c>
      <c r="AE915" s="138">
        <v>0</v>
      </c>
      <c r="AF915" s="137">
        <f t="shared" si="179"/>
        <v>0</v>
      </c>
      <c r="AG915" s="137">
        <v>1520</v>
      </c>
      <c r="AH915" s="154"/>
      <c r="AI915" s="154"/>
      <c r="AJ915" s="135" t="s">
        <v>47</v>
      </c>
      <c r="AK915" s="119" t="s">
        <v>47</v>
      </c>
    </row>
    <row r="916" spans="1:39" s="119" customFormat="1" ht="15" customHeight="1" x14ac:dyDescent="0.3">
      <c r="A916" s="119">
        <v>2017</v>
      </c>
      <c r="B916" s="119" t="s">
        <v>199</v>
      </c>
      <c r="C916" s="119" t="s">
        <v>75</v>
      </c>
      <c r="D916" s="119" t="s">
        <v>256</v>
      </c>
      <c r="E916" s="119" t="s">
        <v>175</v>
      </c>
      <c r="F916" s="119" t="s">
        <v>935</v>
      </c>
      <c r="G916" s="119" t="s">
        <v>936</v>
      </c>
      <c r="H916" s="119" t="s">
        <v>937</v>
      </c>
      <c r="I916" s="119" t="s">
        <v>170</v>
      </c>
      <c r="J916" s="119" t="s">
        <v>171</v>
      </c>
      <c r="K916" s="119" t="s">
        <v>172</v>
      </c>
      <c r="L916" s="119" t="s">
        <v>935</v>
      </c>
      <c r="M916" s="119" t="s">
        <v>46</v>
      </c>
      <c r="N916" s="136">
        <v>0.02</v>
      </c>
      <c r="O916" s="135" t="s">
        <v>51</v>
      </c>
      <c r="P916" s="135"/>
      <c r="Q916" s="137">
        <v>0</v>
      </c>
      <c r="R916" s="137">
        <v>0</v>
      </c>
      <c r="S916" s="137">
        <v>300000</v>
      </c>
      <c r="T916" s="137">
        <f t="shared" si="183"/>
        <v>6000</v>
      </c>
      <c r="U916" s="137">
        <f t="shared" si="188"/>
        <v>306000</v>
      </c>
      <c r="V916" s="137">
        <v>0</v>
      </c>
      <c r="W916" s="137">
        <f t="shared" si="189"/>
        <v>306000</v>
      </c>
      <c r="X916" s="137">
        <f t="shared" si="184"/>
        <v>300000</v>
      </c>
      <c r="Y916" s="137">
        <f t="shared" si="190"/>
        <v>6000</v>
      </c>
      <c r="Z916" s="137">
        <v>0</v>
      </c>
      <c r="AA916" s="137">
        <f t="shared" si="185"/>
        <v>0</v>
      </c>
      <c r="AB916" s="146">
        <f>IF(O916="返货",Z916/(1+N916),IF(O916="返现",Z916,IF(O916="折扣",Z916*N916,IF(O916="无",Z916))))</f>
        <v>0</v>
      </c>
      <c r="AC916" s="147">
        <f t="shared" si="187"/>
        <v>0</v>
      </c>
      <c r="AD916" s="137">
        <f t="shared" ref="AD916:AD917" si="194">(Z916-Q916)*0.89807640489087</f>
        <v>0</v>
      </c>
      <c r="AE916" s="138">
        <v>0.11269173273981201</v>
      </c>
      <c r="AF916" s="137">
        <f t="shared" si="179"/>
        <v>0</v>
      </c>
      <c r="AG916" s="137">
        <v>0</v>
      </c>
      <c r="AH916" s="154"/>
      <c r="AI916" s="154"/>
      <c r="AJ916" s="135" t="s">
        <v>173</v>
      </c>
      <c r="AK916" s="119" t="s">
        <v>173</v>
      </c>
    </row>
    <row r="917" spans="1:39" s="119" customFormat="1" ht="15" customHeight="1" x14ac:dyDescent="0.3">
      <c r="A917" s="119">
        <v>2017</v>
      </c>
      <c r="B917" s="119" t="s">
        <v>38</v>
      </c>
      <c r="C917" s="119" t="s">
        <v>75</v>
      </c>
      <c r="D917" s="119" t="s">
        <v>256</v>
      </c>
      <c r="E917" s="119" t="s">
        <v>175</v>
      </c>
      <c r="F917" s="119" t="s">
        <v>383</v>
      </c>
      <c r="G917" s="119" t="s">
        <v>448</v>
      </c>
      <c r="H917" s="119" t="s">
        <v>448</v>
      </c>
      <c r="I917" s="119" t="s">
        <v>170</v>
      </c>
      <c r="J917" s="119" t="s">
        <v>171</v>
      </c>
      <c r="K917" s="119" t="s">
        <v>172</v>
      </c>
      <c r="L917" s="119" t="s">
        <v>383</v>
      </c>
      <c r="M917" s="119" t="s">
        <v>46</v>
      </c>
      <c r="N917" s="136">
        <v>0.02</v>
      </c>
      <c r="O917" s="135" t="s">
        <v>51</v>
      </c>
      <c r="P917" s="135"/>
      <c r="Q917" s="137">
        <v>0</v>
      </c>
      <c r="R917" s="137">
        <v>0</v>
      </c>
      <c r="S917" s="137">
        <v>450000</v>
      </c>
      <c r="T917" s="137">
        <f t="shared" si="183"/>
        <v>9000</v>
      </c>
      <c r="U917" s="137">
        <f t="shared" si="188"/>
        <v>459000</v>
      </c>
      <c r="V917" s="137">
        <v>459000</v>
      </c>
      <c r="W917" s="137">
        <f t="shared" si="189"/>
        <v>0</v>
      </c>
      <c r="X917" s="137">
        <f t="shared" si="184"/>
        <v>0</v>
      </c>
      <c r="Y917" s="137">
        <f t="shared" si="190"/>
        <v>0</v>
      </c>
      <c r="Z917" s="137">
        <v>445580</v>
      </c>
      <c r="AA917" s="137">
        <f t="shared" si="185"/>
        <v>13420</v>
      </c>
      <c r="AB917" s="146">
        <f>IF(O917="返货",Z917/(1+N917),IF(O917="返现",Z917,IF(O917="折扣",Z917*N917,IF(O917="无",Z917))))</f>
        <v>436843.13725490193</v>
      </c>
      <c r="AC917" s="147">
        <f t="shared" si="187"/>
        <v>8736.8627450980712</v>
      </c>
      <c r="AD917" s="137">
        <f t="shared" si="194"/>
        <v>400164.8844912739</v>
      </c>
      <c r="AE917" s="138">
        <v>0.11269173273981201</v>
      </c>
      <c r="AF917" s="137">
        <f t="shared" si="179"/>
        <v>45095.274214948382</v>
      </c>
      <c r="AG917" s="137">
        <v>31129.052177463</v>
      </c>
      <c r="AH917" s="154"/>
      <c r="AI917" s="154"/>
      <c r="AJ917" s="135" t="s">
        <v>173</v>
      </c>
      <c r="AK917" s="119" t="s">
        <v>173</v>
      </c>
    </row>
    <row r="918" spans="1:39" s="119" customFormat="1" ht="15" customHeight="1" x14ac:dyDescent="0.3">
      <c r="A918" s="119">
        <v>2017</v>
      </c>
      <c r="B918" s="119" t="s">
        <v>38</v>
      </c>
      <c r="C918" s="119" t="s">
        <v>75</v>
      </c>
      <c r="D918" s="119" t="s">
        <v>256</v>
      </c>
      <c r="E918" s="119" t="s">
        <v>225</v>
      </c>
      <c r="F918" s="119" t="s">
        <v>938</v>
      </c>
      <c r="G918" s="119" t="s">
        <v>938</v>
      </c>
      <c r="H918" s="119" t="s">
        <v>938</v>
      </c>
      <c r="I918" s="119" t="s">
        <v>170</v>
      </c>
      <c r="J918" s="119" t="s">
        <v>865</v>
      </c>
      <c r="K918" s="119" t="s">
        <v>866</v>
      </c>
      <c r="L918" s="119" t="s">
        <v>938</v>
      </c>
      <c r="M918" s="119" t="s">
        <v>46</v>
      </c>
      <c r="N918" s="136">
        <v>0.02</v>
      </c>
      <c r="O918" s="135" t="s">
        <v>51</v>
      </c>
      <c r="P918" s="135"/>
      <c r="Q918" s="137">
        <v>0</v>
      </c>
      <c r="R918" s="137">
        <v>0</v>
      </c>
      <c r="S918" s="137">
        <v>100000</v>
      </c>
      <c r="T918" s="137">
        <f t="shared" si="183"/>
        <v>2000</v>
      </c>
      <c r="U918" s="137">
        <f t="shared" si="188"/>
        <v>102000</v>
      </c>
      <c r="V918" s="137">
        <v>102000</v>
      </c>
      <c r="W918" s="137">
        <f t="shared" si="189"/>
        <v>0</v>
      </c>
      <c r="X918" s="137">
        <f t="shared" si="184"/>
        <v>0</v>
      </c>
      <c r="Y918" s="137">
        <f t="shared" si="190"/>
        <v>0</v>
      </c>
      <c r="Z918" s="137">
        <v>0</v>
      </c>
      <c r="AA918" s="137">
        <f t="shared" si="185"/>
        <v>102000</v>
      </c>
      <c r="AB918" s="146">
        <f>IF(O918="返货",Z918/(1+N918),IF(O918="返现",Z918,IF(O918="折扣",Z918*N918,IF(O918="无",Z918))))</f>
        <v>0</v>
      </c>
      <c r="AC918" s="147">
        <f t="shared" si="187"/>
        <v>0</v>
      </c>
      <c r="AD918" s="137">
        <f>Z918*0.972201473425119-Q918</f>
        <v>0</v>
      </c>
      <c r="AE918" s="138">
        <v>0.1</v>
      </c>
      <c r="AF918" s="137">
        <f t="shared" si="179"/>
        <v>0</v>
      </c>
      <c r="AG918" s="137">
        <v>0</v>
      </c>
      <c r="AH918" s="154"/>
      <c r="AI918" s="154"/>
      <c r="AJ918" s="135" t="s">
        <v>173</v>
      </c>
      <c r="AK918" s="119" t="s">
        <v>173</v>
      </c>
    </row>
    <row r="919" spans="1:39" s="119" customFormat="1" ht="15" customHeight="1" x14ac:dyDescent="0.3">
      <c r="A919" s="119">
        <v>2017</v>
      </c>
      <c r="B919" s="119" t="s">
        <v>252</v>
      </c>
      <c r="C919" s="119" t="s">
        <v>88</v>
      </c>
      <c r="D919" s="119" t="s">
        <v>128</v>
      </c>
      <c r="E919" s="119" t="s">
        <v>194</v>
      </c>
      <c r="F919" s="119" t="s">
        <v>939</v>
      </c>
      <c r="G919" s="119" t="s">
        <v>940</v>
      </c>
      <c r="H919" s="119" t="s">
        <v>940</v>
      </c>
      <c r="I919" s="119" t="s">
        <v>170</v>
      </c>
      <c r="J919" s="119" t="s">
        <v>171</v>
      </c>
      <c r="K919" s="119" t="s">
        <v>172</v>
      </c>
      <c r="L919" s="119" t="s">
        <v>939</v>
      </c>
      <c r="M919" s="119" t="s">
        <v>46</v>
      </c>
      <c r="N919" s="135">
        <v>0</v>
      </c>
      <c r="O919" s="135" t="s">
        <v>47</v>
      </c>
      <c r="P919" s="135"/>
      <c r="Q919" s="137">
        <v>100000</v>
      </c>
      <c r="R919" s="137">
        <v>0</v>
      </c>
      <c r="S919" s="137">
        <v>300000</v>
      </c>
      <c r="T919" s="137">
        <f t="shared" si="183"/>
        <v>0</v>
      </c>
      <c r="U919" s="137">
        <f t="shared" si="188"/>
        <v>300000</v>
      </c>
      <c r="V919" s="137">
        <v>300000</v>
      </c>
      <c r="W919" s="137">
        <f t="shared" si="189"/>
        <v>0</v>
      </c>
      <c r="X919" s="137">
        <f t="shared" si="184"/>
        <v>0</v>
      </c>
      <c r="Y919" s="137">
        <f t="shared" si="190"/>
        <v>0</v>
      </c>
      <c r="Z919" s="137">
        <v>420774.3</v>
      </c>
      <c r="AA919" s="137">
        <f t="shared" si="185"/>
        <v>-20774.299999999988</v>
      </c>
      <c r="AB919" s="146">
        <f>IF(O919="返货",(Z919-Q919)/(1+N919),IF(O919="返现",(Z919-Q919),IF(O919="折扣",(Z919-Q919)*N919,IF(O919="无",(Z919-Q919)))))</f>
        <v>320774.3</v>
      </c>
      <c r="AC919" s="147">
        <f t="shared" si="187"/>
        <v>100000</v>
      </c>
      <c r="AD919" s="137">
        <f t="shared" ref="AD919:AD922" si="195">(Z919-Q919)*0.89807640489087</f>
        <v>288079.83012538543</v>
      </c>
      <c r="AE919" s="138">
        <v>0.11269173273981201</v>
      </c>
      <c r="AF919" s="137">
        <f t="shared" si="179"/>
        <v>32464.215224220377</v>
      </c>
      <c r="AG919" s="137">
        <v>29396.079580850699</v>
      </c>
      <c r="AH919" s="154"/>
      <c r="AI919" s="154"/>
      <c r="AJ919" s="135" t="s">
        <v>47</v>
      </c>
      <c r="AK919" s="119" t="s">
        <v>47</v>
      </c>
    </row>
    <row r="920" spans="1:39" s="119" customFormat="1" ht="15" customHeight="1" x14ac:dyDescent="0.3">
      <c r="A920" s="119">
        <v>2017</v>
      </c>
      <c r="B920" s="119" t="s">
        <v>38</v>
      </c>
      <c r="C920" s="119" t="s">
        <v>75</v>
      </c>
      <c r="D920" s="119" t="s">
        <v>256</v>
      </c>
      <c r="E920" s="119" t="s">
        <v>321</v>
      </c>
      <c r="F920" s="119" t="s">
        <v>941</v>
      </c>
      <c r="G920" s="119" t="s">
        <v>941</v>
      </c>
      <c r="H920" s="119" t="s">
        <v>941</v>
      </c>
      <c r="I920" s="119" t="s">
        <v>170</v>
      </c>
      <c r="J920" s="119" t="s">
        <v>171</v>
      </c>
      <c r="K920" s="119" t="s">
        <v>172</v>
      </c>
      <c r="L920" s="119" t="s">
        <v>941</v>
      </c>
      <c r="M920" s="119" t="s">
        <v>46</v>
      </c>
      <c r="N920" s="136">
        <v>0.02</v>
      </c>
      <c r="O920" s="135" t="s">
        <v>51</v>
      </c>
      <c r="P920" s="135"/>
      <c r="Q920" s="137">
        <v>0</v>
      </c>
      <c r="R920" s="137">
        <v>0</v>
      </c>
      <c r="S920" s="137">
        <v>783065.99</v>
      </c>
      <c r="T920" s="137">
        <f t="shared" si="183"/>
        <v>15661.319799999999</v>
      </c>
      <c r="U920" s="137">
        <f t="shared" si="188"/>
        <v>798727.30980000005</v>
      </c>
      <c r="V920" s="137">
        <v>836400</v>
      </c>
      <c r="W920" s="137">
        <f t="shared" si="189"/>
        <v>-37672.690199999954</v>
      </c>
      <c r="X920" s="137">
        <f t="shared" si="184"/>
        <v>-36934.009999999951</v>
      </c>
      <c r="Y920" s="137">
        <f t="shared" si="190"/>
        <v>-738.68020000000251</v>
      </c>
      <c r="Z920" s="137">
        <v>798727.3</v>
      </c>
      <c r="AA920" s="137">
        <f t="shared" si="185"/>
        <v>37672.699999999953</v>
      </c>
      <c r="AB920" s="146">
        <f t="shared" ref="AB920:AB927" si="196">IF(O920="返货",Z920/(1+N920),IF(O920="返现",Z920,IF(O920="折扣",Z920*N920,IF(O920="无",Z920))))</f>
        <v>783065.98039215687</v>
      </c>
      <c r="AC920" s="147">
        <f t="shared" si="187"/>
        <v>15661.319607843179</v>
      </c>
      <c r="AD920" s="137">
        <f t="shared" si="195"/>
        <v>717318.14207219146</v>
      </c>
      <c r="AE920" s="138">
        <v>0.11269173273981201</v>
      </c>
      <c r="AF920" s="137">
        <f t="shared" si="179"/>
        <v>80835.824355817895</v>
      </c>
      <c r="AG920" s="137">
        <v>55800.583054141003</v>
      </c>
      <c r="AH920" s="154"/>
      <c r="AI920" s="154"/>
      <c r="AJ920" s="135" t="s">
        <v>173</v>
      </c>
      <c r="AK920" s="119" t="s">
        <v>173</v>
      </c>
    </row>
    <row r="921" spans="1:39" s="119" customFormat="1" ht="15" customHeight="1" x14ac:dyDescent="0.3">
      <c r="A921" s="119">
        <v>2017</v>
      </c>
      <c r="B921" s="119" t="s">
        <v>38</v>
      </c>
      <c r="C921" s="119" t="s">
        <v>39</v>
      </c>
      <c r="D921" s="119" t="s">
        <v>81</v>
      </c>
      <c r="E921" s="119" t="s">
        <v>48</v>
      </c>
      <c r="F921" s="119" t="s">
        <v>455</v>
      </c>
      <c r="G921" s="119" t="s">
        <v>455</v>
      </c>
      <c r="H921" s="119" t="s">
        <v>455</v>
      </c>
      <c r="I921" s="119" t="s">
        <v>170</v>
      </c>
      <c r="J921" s="119" t="s">
        <v>171</v>
      </c>
      <c r="K921" s="119" t="s">
        <v>172</v>
      </c>
      <c r="L921" s="119" t="s">
        <v>702</v>
      </c>
      <c r="M921" s="119" t="s">
        <v>46</v>
      </c>
      <c r="N921" s="136">
        <v>0.04</v>
      </c>
      <c r="O921" s="135" t="s">
        <v>51</v>
      </c>
      <c r="P921" s="135"/>
      <c r="Q921" s="137">
        <v>0</v>
      </c>
      <c r="R921" s="137">
        <v>0</v>
      </c>
      <c r="S921" s="137">
        <v>14377193.08</v>
      </c>
      <c r="T921" s="137">
        <f t="shared" si="183"/>
        <v>575087.72320000001</v>
      </c>
      <c r="U921" s="137">
        <f t="shared" si="188"/>
        <v>14952280.803200001</v>
      </c>
      <c r="V921" s="137">
        <v>14952280.800000001</v>
      </c>
      <c r="W921" s="137">
        <f t="shared" si="189"/>
        <v>3.2000001519918442E-3</v>
      </c>
      <c r="X921" s="137">
        <f t="shared" si="184"/>
        <v>3.0769232230690806E-3</v>
      </c>
      <c r="Y921" s="137">
        <f t="shared" si="190"/>
        <v>1.2307692892276354E-4</v>
      </c>
      <c r="Z921" s="137">
        <v>14952280.300000001</v>
      </c>
      <c r="AA921" s="137">
        <f t="shared" si="185"/>
        <v>0.5</v>
      </c>
      <c r="AB921" s="146">
        <f t="shared" si="196"/>
        <v>14377192.596153846</v>
      </c>
      <c r="AC921" s="147">
        <f t="shared" si="187"/>
        <v>575087.70384615473</v>
      </c>
      <c r="AD921" s="137">
        <f t="shared" si="195"/>
        <v>13428290.136744581</v>
      </c>
      <c r="AE921" s="138">
        <v>0.11269173273981201</v>
      </c>
      <c r="AF921" s="137">
        <f t="shared" si="179"/>
        <v>1513257.2832426738</v>
      </c>
      <c r="AG921" s="137">
        <v>762688.53013671201</v>
      </c>
      <c r="AH921" s="154"/>
      <c r="AI921" s="154"/>
      <c r="AJ921" s="135" t="s">
        <v>186</v>
      </c>
      <c r="AK921" s="119" t="s">
        <v>186</v>
      </c>
    </row>
    <row r="922" spans="1:39" s="119" customFormat="1" ht="15" customHeight="1" x14ac:dyDescent="0.3">
      <c r="A922" s="119">
        <v>2017</v>
      </c>
      <c r="B922" s="119" t="s">
        <v>38</v>
      </c>
      <c r="C922" s="119" t="s">
        <v>39</v>
      </c>
      <c r="D922" s="119" t="s">
        <v>81</v>
      </c>
      <c r="E922" s="119" t="s">
        <v>48</v>
      </c>
      <c r="F922" s="119" t="s">
        <v>942</v>
      </c>
      <c r="G922" s="119" t="s">
        <v>942</v>
      </c>
      <c r="H922" s="119" t="s">
        <v>942</v>
      </c>
      <c r="I922" s="119" t="s">
        <v>170</v>
      </c>
      <c r="J922" s="119" t="s">
        <v>171</v>
      </c>
      <c r="K922" s="119" t="s">
        <v>172</v>
      </c>
      <c r="L922" s="119" t="s">
        <v>943</v>
      </c>
      <c r="M922" s="119" t="s">
        <v>46</v>
      </c>
      <c r="N922" s="136">
        <v>0.04</v>
      </c>
      <c r="O922" s="135" t="s">
        <v>51</v>
      </c>
      <c r="P922" s="135"/>
      <c r="Q922" s="137">
        <v>0</v>
      </c>
      <c r="R922" s="137">
        <v>0</v>
      </c>
      <c r="S922" s="137">
        <v>300000</v>
      </c>
      <c r="T922" s="137">
        <f t="shared" si="183"/>
        <v>12000</v>
      </c>
      <c r="U922" s="137">
        <f t="shared" si="188"/>
        <v>312000</v>
      </c>
      <c r="V922" s="137">
        <v>300000</v>
      </c>
      <c r="W922" s="137">
        <f t="shared" si="189"/>
        <v>12000</v>
      </c>
      <c r="X922" s="137">
        <f t="shared" si="184"/>
        <v>11538.461538461537</v>
      </c>
      <c r="Y922" s="137">
        <f t="shared" si="190"/>
        <v>461.5384615384628</v>
      </c>
      <c r="Z922" s="137">
        <v>283999.2</v>
      </c>
      <c r="AA922" s="137">
        <f t="shared" si="185"/>
        <v>16000.799999999988</v>
      </c>
      <c r="AB922" s="146">
        <f t="shared" si="196"/>
        <v>273076.15384615387</v>
      </c>
      <c r="AC922" s="147">
        <f t="shared" si="187"/>
        <v>10923.046153846139</v>
      </c>
      <c r="AD922" s="137">
        <f t="shared" si="195"/>
        <v>255052.98052788319</v>
      </c>
      <c r="AE922" s="138">
        <v>0.11269173273981201</v>
      </c>
      <c r="AF922" s="137">
        <f t="shared" si="179"/>
        <v>28742.362316140687</v>
      </c>
      <c r="AG922" s="137">
        <v>14486.2808924203</v>
      </c>
      <c r="AH922" s="154"/>
      <c r="AI922" s="154"/>
      <c r="AJ922" s="136">
        <v>0.04</v>
      </c>
      <c r="AK922" s="156">
        <v>0.04</v>
      </c>
    </row>
    <row r="923" spans="1:39" s="119" customFormat="1" ht="15" customHeight="1" x14ac:dyDescent="0.3">
      <c r="A923" s="119">
        <v>2017</v>
      </c>
      <c r="B923" s="119" t="s">
        <v>38</v>
      </c>
      <c r="C923" s="119" t="s">
        <v>39</v>
      </c>
      <c r="D923" s="119" t="s">
        <v>81</v>
      </c>
      <c r="E923" s="119" t="s">
        <v>48</v>
      </c>
      <c r="F923" s="119" t="s">
        <v>944</v>
      </c>
      <c r="G923" s="119" t="s">
        <v>944</v>
      </c>
      <c r="H923" s="119" t="s">
        <v>944</v>
      </c>
      <c r="I923" s="119" t="s">
        <v>170</v>
      </c>
      <c r="J923" s="119" t="s">
        <v>603</v>
      </c>
      <c r="K923" s="119" t="s">
        <v>883</v>
      </c>
      <c r="L923" s="119" t="s">
        <v>944</v>
      </c>
      <c r="M923" s="119" t="s">
        <v>46</v>
      </c>
      <c r="N923" s="136">
        <v>0.02</v>
      </c>
      <c r="O923" s="135" t="s">
        <v>51</v>
      </c>
      <c r="P923" s="135"/>
      <c r="Q923" s="137">
        <v>0</v>
      </c>
      <c r="R923" s="137">
        <v>0</v>
      </c>
      <c r="S923" s="137">
        <v>50000</v>
      </c>
      <c r="T923" s="137">
        <f t="shared" si="183"/>
        <v>1000</v>
      </c>
      <c r="U923" s="137">
        <f t="shared" si="188"/>
        <v>51000</v>
      </c>
      <c r="V923" s="137">
        <v>50000</v>
      </c>
      <c r="W923" s="137">
        <f t="shared" si="189"/>
        <v>1000</v>
      </c>
      <c r="X923" s="137">
        <f t="shared" si="184"/>
        <v>980.39215686274508</v>
      </c>
      <c r="Y923" s="137">
        <f t="shared" si="190"/>
        <v>19.607843137254918</v>
      </c>
      <c r="Z923" s="137">
        <v>35349</v>
      </c>
      <c r="AA923" s="137">
        <f t="shared" si="185"/>
        <v>14651</v>
      </c>
      <c r="AB923" s="146">
        <f t="shared" si="196"/>
        <v>34655.882352941175</v>
      </c>
      <c r="AC923" s="147">
        <f t="shared" si="187"/>
        <v>693.11764705882524</v>
      </c>
      <c r="AD923" s="137">
        <v>35349</v>
      </c>
      <c r="AE923" s="138">
        <v>0.1</v>
      </c>
      <c r="AF923" s="137">
        <f t="shared" si="179"/>
        <v>3534.9</v>
      </c>
      <c r="AG923" s="137">
        <v>0</v>
      </c>
      <c r="AH923" s="154"/>
      <c r="AI923" s="154"/>
      <c r="AJ923" s="136">
        <v>0.02</v>
      </c>
      <c r="AK923" s="156">
        <v>0.02</v>
      </c>
      <c r="AM923" s="119" t="s">
        <v>174</v>
      </c>
    </row>
    <row r="924" spans="1:39" s="119" customFormat="1" ht="15" customHeight="1" x14ac:dyDescent="0.3">
      <c r="A924" s="119">
        <v>2017</v>
      </c>
      <c r="B924" s="119" t="s">
        <v>38</v>
      </c>
      <c r="C924" s="119" t="s">
        <v>39</v>
      </c>
      <c r="D924" s="119" t="s">
        <v>81</v>
      </c>
      <c r="E924" s="119" t="s">
        <v>48</v>
      </c>
      <c r="F924" s="119" t="s">
        <v>944</v>
      </c>
      <c r="G924" s="119" t="s">
        <v>944</v>
      </c>
      <c r="H924" s="119" t="s">
        <v>944</v>
      </c>
      <c r="I924" s="119" t="s">
        <v>170</v>
      </c>
      <c r="J924" s="119" t="s">
        <v>865</v>
      </c>
      <c r="K924" s="119" t="s">
        <v>866</v>
      </c>
      <c r="L924" s="119" t="s">
        <v>944</v>
      </c>
      <c r="M924" s="119" t="s">
        <v>46</v>
      </c>
      <c r="N924" s="136">
        <v>0.02</v>
      </c>
      <c r="O924" s="135" t="s">
        <v>51</v>
      </c>
      <c r="P924" s="135"/>
      <c r="Q924" s="137">
        <v>0</v>
      </c>
      <c r="R924" s="137">
        <v>0</v>
      </c>
      <c r="S924" s="137">
        <v>388500</v>
      </c>
      <c r="T924" s="137">
        <f t="shared" si="183"/>
        <v>7770</v>
      </c>
      <c r="U924" s="137">
        <f t="shared" si="188"/>
        <v>396270</v>
      </c>
      <c r="V924" s="137">
        <v>347049</v>
      </c>
      <c r="W924" s="137">
        <f t="shared" si="189"/>
        <v>49221</v>
      </c>
      <c r="X924" s="137">
        <f t="shared" si="184"/>
        <v>48255.882352941175</v>
      </c>
      <c r="Y924" s="137">
        <f t="shared" si="190"/>
        <v>965.11764705882524</v>
      </c>
      <c r="Z924" s="137">
        <v>256562</v>
      </c>
      <c r="AA924" s="137">
        <f t="shared" si="185"/>
        <v>90487</v>
      </c>
      <c r="AB924" s="146">
        <f t="shared" si="196"/>
        <v>251531.37254901961</v>
      </c>
      <c r="AC924" s="147">
        <f t="shared" si="187"/>
        <v>5030.6274509803916</v>
      </c>
      <c r="AD924" s="137">
        <f>Z924*0.972201473425119-Q924</f>
        <v>249429.95442489538</v>
      </c>
      <c r="AE924" s="138">
        <v>0.1</v>
      </c>
      <c r="AF924" s="137">
        <f t="shared" si="179"/>
        <v>24942.99544248954</v>
      </c>
      <c r="AG924" s="137">
        <v>23467.3549019608</v>
      </c>
      <c r="AH924" s="154"/>
      <c r="AI924" s="154"/>
      <c r="AJ924" s="136">
        <v>0.02</v>
      </c>
      <c r="AK924" s="119" t="s">
        <v>173</v>
      </c>
      <c r="AM924" s="119" t="s">
        <v>174</v>
      </c>
    </row>
    <row r="925" spans="1:39" s="119" customFormat="1" ht="15" customHeight="1" x14ac:dyDescent="0.3">
      <c r="A925" s="119">
        <v>2017</v>
      </c>
      <c r="B925" s="119" t="s">
        <v>38</v>
      </c>
      <c r="C925" s="119" t="s">
        <v>39</v>
      </c>
      <c r="D925" s="119" t="s">
        <v>81</v>
      </c>
      <c r="E925" s="119" t="s">
        <v>48</v>
      </c>
      <c r="F925" s="119" t="s">
        <v>944</v>
      </c>
      <c r="G925" s="119" t="s">
        <v>944</v>
      </c>
      <c r="H925" s="119" t="s">
        <v>944</v>
      </c>
      <c r="I925" s="119" t="s">
        <v>170</v>
      </c>
      <c r="J925" s="119" t="s">
        <v>865</v>
      </c>
      <c r="K925" s="119" t="s">
        <v>866</v>
      </c>
      <c r="L925" s="119" t="s">
        <v>944</v>
      </c>
      <c r="M925" s="119" t="s">
        <v>185</v>
      </c>
      <c r="N925" s="136">
        <v>0.04</v>
      </c>
      <c r="O925" s="135" t="s">
        <v>51</v>
      </c>
      <c r="P925" s="135"/>
      <c r="Q925" s="137">
        <v>0</v>
      </c>
      <c r="R925" s="137">
        <v>0</v>
      </c>
      <c r="S925" s="137">
        <v>10000</v>
      </c>
      <c r="T925" s="137">
        <f t="shared" si="183"/>
        <v>400</v>
      </c>
      <c r="U925" s="137">
        <f t="shared" si="188"/>
        <v>10400</v>
      </c>
      <c r="V925" s="137">
        <v>10000</v>
      </c>
      <c r="W925" s="137">
        <f t="shared" si="189"/>
        <v>400</v>
      </c>
      <c r="X925" s="137">
        <f t="shared" si="184"/>
        <v>384.61538461538458</v>
      </c>
      <c r="Y925" s="137">
        <f t="shared" si="190"/>
        <v>15.384615384615415</v>
      </c>
      <c r="Z925" s="137">
        <v>7961.2</v>
      </c>
      <c r="AA925" s="137">
        <f t="shared" si="185"/>
        <v>2038.8000000000002</v>
      </c>
      <c r="AB925" s="146">
        <f t="shared" si="196"/>
        <v>7655</v>
      </c>
      <c r="AC925" s="147">
        <f t="shared" si="187"/>
        <v>306.19999999999982</v>
      </c>
      <c r="AD925" s="137">
        <f>Z925</f>
        <v>7961.2</v>
      </c>
      <c r="AE925" s="138">
        <v>0.1</v>
      </c>
      <c r="AF925" s="137">
        <f t="shared" si="179"/>
        <v>796.12</v>
      </c>
      <c r="AG925" s="137">
        <v>592.34461538461505</v>
      </c>
      <c r="AH925" s="154"/>
      <c r="AI925" s="154"/>
      <c r="AJ925" s="136">
        <v>0.04</v>
      </c>
      <c r="AK925" s="156">
        <v>0.04</v>
      </c>
      <c r="AM925" s="119" t="s">
        <v>174</v>
      </c>
    </row>
    <row r="926" spans="1:39" s="119" customFormat="1" ht="15" customHeight="1" x14ac:dyDescent="0.3">
      <c r="A926" s="119">
        <v>2017</v>
      </c>
      <c r="B926" s="119" t="s">
        <v>38</v>
      </c>
      <c r="C926" s="119" t="s">
        <v>39</v>
      </c>
      <c r="D926" s="119" t="s">
        <v>81</v>
      </c>
      <c r="E926" s="119" t="s">
        <v>48</v>
      </c>
      <c r="F926" s="119" t="s">
        <v>944</v>
      </c>
      <c r="G926" s="119" t="s">
        <v>944</v>
      </c>
      <c r="H926" s="119" t="s">
        <v>944</v>
      </c>
      <c r="I926" s="119" t="s">
        <v>170</v>
      </c>
      <c r="J926" s="119" t="s">
        <v>865</v>
      </c>
      <c r="K926" s="119" t="s">
        <v>866</v>
      </c>
      <c r="L926" s="119" t="s">
        <v>944</v>
      </c>
      <c r="M926" s="119" t="s">
        <v>160</v>
      </c>
      <c r="N926" s="135">
        <v>0</v>
      </c>
      <c r="O926" s="135" t="s">
        <v>47</v>
      </c>
      <c r="P926" s="135"/>
      <c r="Q926" s="137">
        <v>0</v>
      </c>
      <c r="R926" s="137">
        <v>0</v>
      </c>
      <c r="S926" s="137">
        <v>55130</v>
      </c>
      <c r="T926" s="137">
        <f t="shared" si="183"/>
        <v>0</v>
      </c>
      <c r="U926" s="137">
        <f t="shared" si="188"/>
        <v>55130</v>
      </c>
      <c r="V926" s="137">
        <v>55130</v>
      </c>
      <c r="W926" s="137">
        <f t="shared" si="189"/>
        <v>0</v>
      </c>
      <c r="X926" s="137">
        <f t="shared" si="184"/>
        <v>0</v>
      </c>
      <c r="Y926" s="137">
        <f t="shared" si="190"/>
        <v>0</v>
      </c>
      <c r="Z926" s="137">
        <v>55130</v>
      </c>
      <c r="AA926" s="137">
        <f t="shared" si="185"/>
        <v>0</v>
      </c>
      <c r="AB926" s="146">
        <f t="shared" si="196"/>
        <v>55130</v>
      </c>
      <c r="AC926" s="147">
        <f t="shared" si="187"/>
        <v>0</v>
      </c>
      <c r="AD926" s="137">
        <f>Z926</f>
        <v>55130</v>
      </c>
      <c r="AE926" s="138">
        <v>0</v>
      </c>
      <c r="AF926" s="137">
        <f t="shared" si="179"/>
        <v>0</v>
      </c>
      <c r="AG926" s="137">
        <v>5513</v>
      </c>
      <c r="AH926" s="154"/>
      <c r="AI926" s="154"/>
      <c r="AJ926" s="135" t="s">
        <v>47</v>
      </c>
      <c r="AK926" s="119" t="s">
        <v>47</v>
      </c>
    </row>
    <row r="927" spans="1:39" s="119" customFormat="1" ht="15" customHeight="1" x14ac:dyDescent="0.3">
      <c r="A927" s="119">
        <v>2017</v>
      </c>
      <c r="B927" s="119" t="s">
        <v>38</v>
      </c>
      <c r="C927" s="119" t="s">
        <v>39</v>
      </c>
      <c r="D927" s="119" t="s">
        <v>81</v>
      </c>
      <c r="E927" s="119" t="s">
        <v>41</v>
      </c>
      <c r="F927" s="119" t="s">
        <v>945</v>
      </c>
      <c r="G927" s="119" t="s">
        <v>945</v>
      </c>
      <c r="H927" s="119" t="s">
        <v>945</v>
      </c>
      <c r="I927" s="119" t="s">
        <v>170</v>
      </c>
      <c r="J927" s="119" t="s">
        <v>171</v>
      </c>
      <c r="K927" s="119" t="s">
        <v>172</v>
      </c>
      <c r="L927" s="119" t="s">
        <v>945</v>
      </c>
      <c r="M927" s="119" t="s">
        <v>160</v>
      </c>
      <c r="N927" s="136">
        <v>0</v>
      </c>
      <c r="O927" s="135" t="s">
        <v>47</v>
      </c>
      <c r="P927" s="135"/>
      <c r="Q927" s="137">
        <v>0</v>
      </c>
      <c r="R927" s="137">
        <v>0</v>
      </c>
      <c r="S927" s="137">
        <v>261020</v>
      </c>
      <c r="T927" s="137">
        <f t="shared" si="183"/>
        <v>0</v>
      </c>
      <c r="U927" s="137">
        <f t="shared" si="188"/>
        <v>261020</v>
      </c>
      <c r="V927" s="137">
        <v>261020</v>
      </c>
      <c r="W927" s="137">
        <f t="shared" si="189"/>
        <v>0</v>
      </c>
      <c r="X927" s="137">
        <f t="shared" si="184"/>
        <v>0</v>
      </c>
      <c r="Y927" s="137">
        <f t="shared" si="190"/>
        <v>0</v>
      </c>
      <c r="Z927" s="137">
        <v>261020</v>
      </c>
      <c r="AA927" s="137">
        <f t="shared" si="185"/>
        <v>0</v>
      </c>
      <c r="AB927" s="146">
        <f t="shared" si="196"/>
        <v>261020</v>
      </c>
      <c r="AC927" s="147">
        <f t="shared" si="187"/>
        <v>0</v>
      </c>
      <c r="AD927" s="137">
        <f>(240500-Q927)*0.826045217867759</f>
        <v>198663.87489719604</v>
      </c>
      <c r="AE927" s="138">
        <v>0.11269173273981201</v>
      </c>
      <c r="AF927" s="137">
        <f t="shared" si="179"/>
        <v>22387.776294970263</v>
      </c>
      <c r="AG927" s="137">
        <v>21517.466086619501</v>
      </c>
      <c r="AH927" s="154"/>
      <c r="AI927" s="154"/>
      <c r="AJ927" s="136">
        <v>0</v>
      </c>
      <c r="AK927" s="156">
        <v>0</v>
      </c>
    </row>
    <row r="928" spans="1:39" s="119" customFormat="1" ht="15" customHeight="1" x14ac:dyDescent="0.3">
      <c r="A928" s="119">
        <v>2017</v>
      </c>
      <c r="B928" s="119" t="s">
        <v>199</v>
      </c>
      <c r="C928" s="119" t="s">
        <v>39</v>
      </c>
      <c r="D928" s="119" t="s">
        <v>81</v>
      </c>
      <c r="E928" s="119" t="s">
        <v>41</v>
      </c>
      <c r="F928" s="119" t="s">
        <v>946</v>
      </c>
      <c r="G928" s="119" t="s">
        <v>947</v>
      </c>
      <c r="H928" s="119" t="s">
        <v>947</v>
      </c>
      <c r="I928" s="119" t="s">
        <v>170</v>
      </c>
      <c r="J928" s="119" t="s">
        <v>865</v>
      </c>
      <c r="K928" s="119" t="s">
        <v>866</v>
      </c>
      <c r="L928" s="119" t="s">
        <v>946</v>
      </c>
      <c r="M928" s="119" t="s">
        <v>46</v>
      </c>
      <c r="N928" s="136">
        <v>0.02</v>
      </c>
      <c r="O928" s="135" t="s">
        <v>51</v>
      </c>
      <c r="P928" s="135"/>
      <c r="Q928" s="137">
        <v>4800</v>
      </c>
      <c r="R928" s="137">
        <v>0</v>
      </c>
      <c r="S928" s="137">
        <v>20000</v>
      </c>
      <c r="T928" s="137">
        <f t="shared" si="183"/>
        <v>400</v>
      </c>
      <c r="U928" s="137">
        <f t="shared" si="188"/>
        <v>20400</v>
      </c>
      <c r="V928" s="137">
        <v>4392.5</v>
      </c>
      <c r="W928" s="137">
        <f t="shared" si="189"/>
        <v>16007.5</v>
      </c>
      <c r="X928" s="137">
        <f t="shared" si="184"/>
        <v>15693.627450980392</v>
      </c>
      <c r="Y928" s="137">
        <f t="shared" si="190"/>
        <v>313.87254901960841</v>
      </c>
      <c r="Z928" s="137">
        <v>4392.5</v>
      </c>
      <c r="AA928" s="137">
        <f t="shared" si="185"/>
        <v>4800</v>
      </c>
      <c r="AB928" s="146">
        <f>IF(O928="返货",(Z928-Q928)/(1+N928),IF(O928="返现",(Z928-Q928),IF(O928="折扣",(Z928-Q928)*N928,IF(O928="无",(Z928-Q928)))))</f>
        <v>-399.50980392156862</v>
      </c>
      <c r="AC928" s="147">
        <f t="shared" si="187"/>
        <v>4792.0098039215682</v>
      </c>
      <c r="AD928" s="137">
        <f>Z928*0.972201473425119-Q928</f>
        <v>-529.60502798016478</v>
      </c>
      <c r="AE928" s="138">
        <v>0.1</v>
      </c>
      <c r="AF928" s="137">
        <f t="shared" si="179"/>
        <v>-52.960502798016478</v>
      </c>
      <c r="AG928" s="137">
        <v>441.51372549019601</v>
      </c>
      <c r="AH928" s="154"/>
      <c r="AI928" s="154"/>
      <c r="AJ928" s="136">
        <v>0.02</v>
      </c>
      <c r="AK928" s="156">
        <v>0.02</v>
      </c>
      <c r="AM928" s="119" t="s">
        <v>174</v>
      </c>
    </row>
    <row r="929" spans="1:39" s="119" customFormat="1" ht="15" customHeight="1" x14ac:dyDescent="0.3">
      <c r="A929" s="119">
        <v>2017</v>
      </c>
      <c r="B929" s="119" t="s">
        <v>38</v>
      </c>
      <c r="C929" s="119" t="s">
        <v>39</v>
      </c>
      <c r="D929" s="119" t="s">
        <v>81</v>
      </c>
      <c r="E929" s="119" t="s">
        <v>41</v>
      </c>
      <c r="F929" s="119" t="s">
        <v>704</v>
      </c>
      <c r="G929" s="119" t="s">
        <v>704</v>
      </c>
      <c r="H929" s="119" t="s">
        <v>704</v>
      </c>
      <c r="I929" s="119" t="s">
        <v>170</v>
      </c>
      <c r="J929" s="119" t="s">
        <v>171</v>
      </c>
      <c r="K929" s="119" t="s">
        <v>172</v>
      </c>
      <c r="L929" s="119" t="s">
        <v>705</v>
      </c>
      <c r="M929" s="119" t="s">
        <v>185</v>
      </c>
      <c r="N929" s="136">
        <v>0</v>
      </c>
      <c r="O929" s="135" t="s">
        <v>47</v>
      </c>
      <c r="P929" s="135"/>
      <c r="Q929" s="137">
        <v>0</v>
      </c>
      <c r="R929" s="137">
        <v>0</v>
      </c>
      <c r="S929" s="137">
        <v>65000</v>
      </c>
      <c r="T929" s="137">
        <f t="shared" si="183"/>
        <v>0</v>
      </c>
      <c r="U929" s="137">
        <f t="shared" si="188"/>
        <v>65000</v>
      </c>
      <c r="V929" s="137">
        <v>39945.699999999997</v>
      </c>
      <c r="W929" s="137">
        <f t="shared" si="189"/>
        <v>25054.300000000003</v>
      </c>
      <c r="X929" s="137">
        <f t="shared" si="184"/>
        <v>25054.300000000003</v>
      </c>
      <c r="Y929" s="137">
        <f t="shared" si="190"/>
        <v>0</v>
      </c>
      <c r="Z929" s="137">
        <v>39945.699999999997</v>
      </c>
      <c r="AA929" s="137">
        <f t="shared" si="185"/>
        <v>0</v>
      </c>
      <c r="AB929" s="146">
        <f t="shared" ref="AB929:AB953" si="197">IF(O929="返货",Z929/(1+N929),IF(O929="返现",Z929,IF(O929="折扣",Z929*N929,IF(O929="无",Z929))))</f>
        <v>39945.699999999997</v>
      </c>
      <c r="AC929" s="147">
        <f t="shared" si="187"/>
        <v>0</v>
      </c>
      <c r="AD929" s="137">
        <f>(Z929-Q929)*0.91072157793815</f>
        <v>36379.410935843953</v>
      </c>
      <c r="AE929" s="138">
        <v>0.11269173273981201</v>
      </c>
      <c r="AF929" s="137">
        <f t="shared" si="179"/>
        <v>4099.6588544139213</v>
      </c>
      <c r="AG929" s="137">
        <v>3573.9303328743399</v>
      </c>
      <c r="AH929" s="154"/>
      <c r="AI929" s="154"/>
      <c r="AJ929" s="155">
        <v>0</v>
      </c>
      <c r="AK929" s="119">
        <v>0</v>
      </c>
    </row>
    <row r="930" spans="1:39" s="119" customFormat="1" ht="15" customHeight="1" x14ac:dyDescent="0.3">
      <c r="A930" s="119">
        <v>2017</v>
      </c>
      <c r="B930" s="119" t="s">
        <v>199</v>
      </c>
      <c r="C930" s="119" t="s">
        <v>200</v>
      </c>
      <c r="D930" s="119" t="s">
        <v>201</v>
      </c>
      <c r="E930" s="119" t="s">
        <v>399</v>
      </c>
      <c r="F930" s="119" t="s">
        <v>948</v>
      </c>
      <c r="G930" s="119" t="s">
        <v>949</v>
      </c>
      <c r="H930" s="119" t="s">
        <v>949</v>
      </c>
      <c r="I930" s="119" t="s">
        <v>170</v>
      </c>
      <c r="J930" s="119" t="s">
        <v>171</v>
      </c>
      <c r="K930" s="119" t="s">
        <v>172</v>
      </c>
      <c r="L930" s="119" t="s">
        <v>950</v>
      </c>
      <c r="M930" s="119" t="s">
        <v>46</v>
      </c>
      <c r="N930" s="136">
        <v>0.04</v>
      </c>
      <c r="O930" s="135" t="s">
        <v>51</v>
      </c>
      <c r="P930" s="135"/>
      <c r="Q930" s="142">
        <v>248056.65999999901</v>
      </c>
      <c r="R930" s="137">
        <v>0</v>
      </c>
      <c r="S930" s="137">
        <v>5265998.87</v>
      </c>
      <c r="T930" s="137">
        <f t="shared" si="183"/>
        <v>210639.95480000001</v>
      </c>
      <c r="U930" s="137">
        <f t="shared" si="188"/>
        <v>5476638.8248000005</v>
      </c>
      <c r="V930" s="137">
        <v>5570648.4800000004</v>
      </c>
      <c r="W930" s="137">
        <f t="shared" si="189"/>
        <v>-94009.655199999921</v>
      </c>
      <c r="X930" s="137">
        <f t="shared" si="184"/>
        <v>-90393.899230769151</v>
      </c>
      <c r="Y930" s="137">
        <f t="shared" si="190"/>
        <v>-3615.7559692307696</v>
      </c>
      <c r="Z930" s="137">
        <v>5591306.0999999996</v>
      </c>
      <c r="AA930" s="137">
        <f t="shared" si="185"/>
        <v>227399.04000000004</v>
      </c>
      <c r="AB930" s="146">
        <f>IF(O930="返货",(Z930-Q930)/(1+N930),IF(O930="返现",(Z930-Q930),IF(O930="折扣",(Z930-Q930)*N930,IF(O930="无",(Z930-Q930)))))</f>
        <v>5137739.846153846</v>
      </c>
      <c r="AC930" s="147">
        <f t="shared" si="187"/>
        <v>453566.25384615362</v>
      </c>
      <c r="AD930" s="137">
        <f t="shared" ref="AD930:AD931" si="198">(Z930-Q930)*0.89807640489087</f>
        <v>4798646.247510355</v>
      </c>
      <c r="AE930" s="138">
        <v>0.11269173273981201</v>
      </c>
      <c r="AF930" s="137">
        <f t="shared" si="179"/>
        <v>540767.76043733873</v>
      </c>
      <c r="AG930" s="137">
        <v>285202.32000689802</v>
      </c>
      <c r="AH930" s="154"/>
      <c r="AI930" s="154"/>
      <c r="AJ930" s="135" t="s">
        <v>186</v>
      </c>
      <c r="AK930" s="119" t="s">
        <v>186</v>
      </c>
    </row>
    <row r="931" spans="1:39" s="119" customFormat="1" ht="15" customHeight="1" x14ac:dyDescent="0.3">
      <c r="A931" s="119">
        <v>2017</v>
      </c>
      <c r="B931" s="119" t="s">
        <v>38</v>
      </c>
      <c r="C931" s="119" t="s">
        <v>39</v>
      </c>
      <c r="D931" s="119" t="s">
        <v>81</v>
      </c>
      <c r="E931" s="119" t="s">
        <v>82</v>
      </c>
      <c r="F931" s="119" t="s">
        <v>951</v>
      </c>
      <c r="G931" s="119" t="s">
        <v>951</v>
      </c>
      <c r="H931" s="119" t="s">
        <v>951</v>
      </c>
      <c r="I931" s="119" t="s">
        <v>170</v>
      </c>
      <c r="J931" s="119" t="s">
        <v>171</v>
      </c>
      <c r="K931" s="119" t="s">
        <v>172</v>
      </c>
      <c r="L931" s="119" t="s">
        <v>952</v>
      </c>
      <c r="M931" s="119" t="s">
        <v>46</v>
      </c>
      <c r="N931" s="136">
        <v>0.03</v>
      </c>
      <c r="O931" s="135" t="s">
        <v>51</v>
      </c>
      <c r="P931" s="135"/>
      <c r="Q931" s="137">
        <v>0</v>
      </c>
      <c r="R931" s="137">
        <v>0</v>
      </c>
      <c r="S931" s="137">
        <v>10000</v>
      </c>
      <c r="T931" s="137">
        <f t="shared" si="183"/>
        <v>300</v>
      </c>
      <c r="U931" s="137">
        <f t="shared" si="188"/>
        <v>10300</v>
      </c>
      <c r="V931" s="137">
        <v>10300</v>
      </c>
      <c r="W931" s="137">
        <f t="shared" si="189"/>
        <v>0</v>
      </c>
      <c r="X931" s="137">
        <f t="shared" si="184"/>
        <v>0</v>
      </c>
      <c r="Y931" s="137">
        <f t="shared" si="190"/>
        <v>0</v>
      </c>
      <c r="Z931" s="137">
        <v>10299.1</v>
      </c>
      <c r="AA931" s="137">
        <f t="shared" si="185"/>
        <v>0.8999999999996362</v>
      </c>
      <c r="AB931" s="146">
        <f t="shared" si="197"/>
        <v>9999.1262135922334</v>
      </c>
      <c r="AC931" s="147">
        <f t="shared" si="187"/>
        <v>299.97378640776697</v>
      </c>
      <c r="AD931" s="137">
        <f t="shared" si="198"/>
        <v>9249.3787016115602</v>
      </c>
      <c r="AE931" s="138">
        <v>0.11269173273981201</v>
      </c>
      <c r="AF931" s="137">
        <f t="shared" si="179"/>
        <v>1042.3285126513192</v>
      </c>
      <c r="AG931" s="137">
        <v>621.48373946625895</v>
      </c>
      <c r="AH931" s="154"/>
      <c r="AI931" s="154"/>
      <c r="AJ931" s="136">
        <v>0.03</v>
      </c>
      <c r="AK931" s="156">
        <v>0.03</v>
      </c>
    </row>
    <row r="932" spans="1:39" s="119" customFormat="1" ht="15" customHeight="1" x14ac:dyDescent="0.3">
      <c r="A932" s="119">
        <v>2017</v>
      </c>
      <c r="B932" s="119" t="s">
        <v>38</v>
      </c>
      <c r="C932" s="119" t="s">
        <v>137</v>
      </c>
      <c r="D932" s="119" t="s">
        <v>138</v>
      </c>
      <c r="F932" s="131" t="s">
        <v>573</v>
      </c>
      <c r="G932" s="131" t="s">
        <v>574</v>
      </c>
      <c r="H932" s="131" t="s">
        <v>574</v>
      </c>
      <c r="I932" s="119" t="s">
        <v>170</v>
      </c>
      <c r="J932" s="119" t="s">
        <v>171</v>
      </c>
      <c r="K932" s="119" t="s">
        <v>172</v>
      </c>
      <c r="L932" s="119" t="s">
        <v>953</v>
      </c>
      <c r="M932" s="119" t="s">
        <v>185</v>
      </c>
      <c r="N932" s="136">
        <v>0.08</v>
      </c>
      <c r="O932" s="135" t="s">
        <v>51</v>
      </c>
      <c r="P932" s="135"/>
      <c r="Q932" s="137">
        <v>0</v>
      </c>
      <c r="R932" s="137">
        <v>0</v>
      </c>
      <c r="S932" s="137"/>
      <c r="T932" s="137">
        <f t="shared" si="183"/>
        <v>0</v>
      </c>
      <c r="U932" s="137">
        <f t="shared" si="188"/>
        <v>0</v>
      </c>
      <c r="V932" s="137">
        <v>0</v>
      </c>
      <c r="W932" s="137">
        <f t="shared" si="189"/>
        <v>0</v>
      </c>
      <c r="X932" s="137">
        <f t="shared" si="184"/>
        <v>0</v>
      </c>
      <c r="Y932" s="137">
        <f t="shared" si="190"/>
        <v>0</v>
      </c>
      <c r="Z932" s="137">
        <v>19729.2</v>
      </c>
      <c r="AA932" s="137">
        <f t="shared" si="185"/>
        <v>-19729.2</v>
      </c>
      <c r="AB932" s="146">
        <f t="shared" si="197"/>
        <v>18267.777777777777</v>
      </c>
      <c r="AC932" s="147">
        <f t="shared" si="187"/>
        <v>1461.4222222222234</v>
      </c>
      <c r="AD932" s="137">
        <f>(Z932-Q932)*0.91072157793815</f>
        <v>17967.808155457351</v>
      </c>
      <c r="AE932" s="138">
        <v>0.11269173273981201</v>
      </c>
      <c r="AF932" s="137">
        <f t="shared" si="179"/>
        <v>2024.8234345750143</v>
      </c>
      <c r="AG932" s="137">
        <v>303.743648530933</v>
      </c>
      <c r="AH932" s="154"/>
      <c r="AI932" s="154"/>
      <c r="AJ932" s="136">
        <v>0.08</v>
      </c>
      <c r="AK932" s="119" t="s">
        <v>47</v>
      </c>
      <c r="AM932" s="131" t="s">
        <v>208</v>
      </c>
    </row>
    <row r="933" spans="1:39" s="119" customFormat="1" ht="15" customHeight="1" x14ac:dyDescent="0.3">
      <c r="A933" s="119">
        <v>2017</v>
      </c>
      <c r="B933" s="119" t="s">
        <v>38</v>
      </c>
      <c r="C933" s="119" t="s">
        <v>39</v>
      </c>
      <c r="D933" s="119" t="s">
        <v>81</v>
      </c>
      <c r="E933" s="119" t="s">
        <v>82</v>
      </c>
      <c r="F933" s="119" t="s">
        <v>83</v>
      </c>
      <c r="G933" s="119" t="s">
        <v>83</v>
      </c>
      <c r="H933" s="119" t="s">
        <v>83</v>
      </c>
      <c r="I933" s="119" t="s">
        <v>170</v>
      </c>
      <c r="J933" s="119" t="s">
        <v>171</v>
      </c>
      <c r="K933" s="119" t="s">
        <v>172</v>
      </c>
      <c r="L933" s="119" t="s">
        <v>83</v>
      </c>
      <c r="M933" s="119" t="s">
        <v>46</v>
      </c>
      <c r="N933" s="136">
        <v>0.03</v>
      </c>
      <c r="O933" s="135" t="s">
        <v>51</v>
      </c>
      <c r="P933" s="135" t="s">
        <v>440</v>
      </c>
      <c r="Q933" s="137">
        <v>0</v>
      </c>
      <c r="R933" s="137">
        <v>0</v>
      </c>
      <c r="S933" s="137">
        <v>4130000</v>
      </c>
      <c r="T933" s="137">
        <f t="shared" si="183"/>
        <v>123900</v>
      </c>
      <c r="U933" s="137">
        <f t="shared" si="188"/>
        <v>4253900</v>
      </c>
      <c r="V933" s="137">
        <v>3950000</v>
      </c>
      <c r="W933" s="137">
        <f t="shared" si="189"/>
        <v>303900</v>
      </c>
      <c r="X933" s="137">
        <f t="shared" si="184"/>
        <v>295048.54368932039</v>
      </c>
      <c r="Y933" s="137">
        <f t="shared" si="190"/>
        <v>8851.4563106796122</v>
      </c>
      <c r="Z933" s="137">
        <f>3867353.4-Z1162</f>
        <v>2047853.4</v>
      </c>
      <c r="AA933" s="137">
        <f t="shared" si="185"/>
        <v>1902146.6</v>
      </c>
      <c r="AB933" s="146">
        <f t="shared" si="197"/>
        <v>1988207.1844660193</v>
      </c>
      <c r="AC933" s="147">
        <f t="shared" si="187"/>
        <v>59646.215533980634</v>
      </c>
      <c r="AD933" s="137">
        <f t="shared" ref="AD933:AD936" si="199">(Z933-Q933)*0.89807640489087</f>
        <v>1839128.8192155447</v>
      </c>
      <c r="AE933" s="138">
        <v>0.11269173273981201</v>
      </c>
      <c r="AF933" s="137">
        <f t="shared" si="179"/>
        <v>207254.61336912418</v>
      </c>
      <c r="AG933" s="137">
        <v>270180.54171481897</v>
      </c>
      <c r="AH933" s="154"/>
      <c r="AI933" s="154"/>
      <c r="AJ933" s="135" t="s">
        <v>189</v>
      </c>
      <c r="AK933" s="119" t="s">
        <v>173</v>
      </c>
    </row>
    <row r="934" spans="1:39" s="119" customFormat="1" ht="15" customHeight="1" x14ac:dyDescent="0.3">
      <c r="A934" s="119">
        <v>2017</v>
      </c>
      <c r="B934" s="119" t="s">
        <v>38</v>
      </c>
      <c r="C934" s="119" t="s">
        <v>39</v>
      </c>
      <c r="D934" s="119" t="s">
        <v>81</v>
      </c>
      <c r="E934" s="119" t="s">
        <v>82</v>
      </c>
      <c r="F934" s="119" t="s">
        <v>954</v>
      </c>
      <c r="G934" s="119" t="s">
        <v>954</v>
      </c>
      <c r="H934" s="119" t="s">
        <v>954</v>
      </c>
      <c r="I934" s="119" t="s">
        <v>170</v>
      </c>
      <c r="J934" s="119" t="s">
        <v>171</v>
      </c>
      <c r="K934" s="119" t="s">
        <v>172</v>
      </c>
      <c r="L934" s="119" t="s">
        <v>954</v>
      </c>
      <c r="M934" s="119" t="s">
        <v>46</v>
      </c>
      <c r="N934" s="135">
        <v>0.05</v>
      </c>
      <c r="O934" s="135" t="s">
        <v>51</v>
      </c>
      <c r="P934" s="135"/>
      <c r="Q934" s="137">
        <v>0</v>
      </c>
      <c r="R934" s="137">
        <v>0</v>
      </c>
      <c r="S934" s="137">
        <v>105000</v>
      </c>
      <c r="T934" s="137">
        <f t="shared" si="183"/>
        <v>5250</v>
      </c>
      <c r="U934" s="137">
        <f t="shared" si="188"/>
        <v>110250</v>
      </c>
      <c r="V934" s="137">
        <v>108500</v>
      </c>
      <c r="W934" s="137">
        <f t="shared" si="189"/>
        <v>1750</v>
      </c>
      <c r="X934" s="137">
        <f t="shared" si="184"/>
        <v>1666.6666666666665</v>
      </c>
      <c r="Y934" s="137">
        <f t="shared" si="190"/>
        <v>83.333333333333485</v>
      </c>
      <c r="Z934" s="137">
        <v>97285.6</v>
      </c>
      <c r="AA934" s="137">
        <f t="shared" si="185"/>
        <v>11214.399999999994</v>
      </c>
      <c r="AB934" s="146">
        <f>IF(O934="返货",Z934/(1+N934),IF(O934="返现",Z934,IF(O934="折扣",Z934*N934,IF(O934="无",Z934))))+1750/1.05</f>
        <v>94319.619047619053</v>
      </c>
      <c r="AC934" s="147">
        <f t="shared" si="187"/>
        <v>2965.9809523809527</v>
      </c>
      <c r="AD934" s="137">
        <f t="shared" si="199"/>
        <v>87369.90189565123</v>
      </c>
      <c r="AE934" s="138">
        <v>0.11269173273981201</v>
      </c>
      <c r="AF934" s="137">
        <f t="shared" si="179"/>
        <v>9845.8656339283225</v>
      </c>
      <c r="AG934" s="137">
        <v>4071.4671365300601</v>
      </c>
      <c r="AH934" s="154"/>
      <c r="AI934" s="154"/>
      <c r="AJ934" s="135" t="s">
        <v>63</v>
      </c>
      <c r="AK934" s="119" t="s">
        <v>63</v>
      </c>
    </row>
    <row r="935" spans="1:39" s="119" customFormat="1" ht="15" customHeight="1" x14ac:dyDescent="0.3">
      <c r="A935" s="119">
        <v>2017</v>
      </c>
      <c r="B935" s="119" t="s">
        <v>38</v>
      </c>
      <c r="C935" s="119" t="s">
        <v>39</v>
      </c>
      <c r="D935" s="119" t="s">
        <v>81</v>
      </c>
      <c r="E935" s="119" t="s">
        <v>82</v>
      </c>
      <c r="F935" s="119" t="s">
        <v>955</v>
      </c>
      <c r="G935" s="119" t="s">
        <v>955</v>
      </c>
      <c r="H935" s="119" t="s">
        <v>955</v>
      </c>
      <c r="I935" s="119" t="s">
        <v>170</v>
      </c>
      <c r="J935" s="119" t="s">
        <v>171</v>
      </c>
      <c r="K935" s="119" t="s">
        <v>172</v>
      </c>
      <c r="L935" s="119" t="s">
        <v>955</v>
      </c>
      <c r="M935" s="119" t="s">
        <v>46</v>
      </c>
      <c r="N935" s="136">
        <v>0.02</v>
      </c>
      <c r="O935" s="135" t="s">
        <v>51</v>
      </c>
      <c r="P935" s="135"/>
      <c r="Q935" s="137">
        <v>0</v>
      </c>
      <c r="R935" s="137">
        <v>0</v>
      </c>
      <c r="S935" s="137">
        <v>20000</v>
      </c>
      <c r="T935" s="137">
        <f t="shared" si="183"/>
        <v>400</v>
      </c>
      <c r="U935" s="137">
        <f t="shared" si="188"/>
        <v>20400</v>
      </c>
      <c r="V935" s="137">
        <v>20000</v>
      </c>
      <c r="W935" s="137">
        <f t="shared" si="189"/>
        <v>400</v>
      </c>
      <c r="X935" s="137">
        <f t="shared" si="184"/>
        <v>392.15686274509801</v>
      </c>
      <c r="Y935" s="137">
        <f t="shared" si="190"/>
        <v>7.8431372549019898</v>
      </c>
      <c r="Z935" s="137">
        <v>20001.3</v>
      </c>
      <c r="AA935" s="137">
        <f t="shared" si="185"/>
        <v>-1.2999999999992724</v>
      </c>
      <c r="AB935" s="146">
        <f t="shared" si="197"/>
        <v>19609.117647058822</v>
      </c>
      <c r="AC935" s="147">
        <f t="shared" si="187"/>
        <v>392.18235294117767</v>
      </c>
      <c r="AD935" s="137">
        <f t="shared" si="199"/>
        <v>17962.695597143756</v>
      </c>
      <c r="AE935" s="138">
        <v>0.11269173273981201</v>
      </c>
      <c r="AF935" s="137">
        <f t="shared" si="179"/>
        <v>2024.2472915199221</v>
      </c>
      <c r="AG935" s="137">
        <v>1397.32822684387</v>
      </c>
      <c r="AH935" s="154"/>
      <c r="AI935" s="154"/>
      <c r="AJ935" s="136">
        <v>0.02</v>
      </c>
      <c r="AK935" s="156">
        <v>0.02</v>
      </c>
    </row>
    <row r="936" spans="1:39" s="119" customFormat="1" ht="15" customHeight="1" x14ac:dyDescent="0.3">
      <c r="A936" s="119">
        <v>2017</v>
      </c>
      <c r="B936" s="119" t="s">
        <v>38</v>
      </c>
      <c r="C936" s="119" t="s">
        <v>39</v>
      </c>
      <c r="D936" s="119" t="s">
        <v>81</v>
      </c>
      <c r="E936" s="119" t="s">
        <v>82</v>
      </c>
      <c r="F936" s="119" t="s">
        <v>956</v>
      </c>
      <c r="G936" s="119" t="s">
        <v>956</v>
      </c>
      <c r="H936" s="119" t="s">
        <v>956</v>
      </c>
      <c r="I936" s="119" t="s">
        <v>170</v>
      </c>
      <c r="J936" s="119" t="s">
        <v>171</v>
      </c>
      <c r="K936" s="119" t="s">
        <v>172</v>
      </c>
      <c r="L936" s="119" t="s">
        <v>956</v>
      </c>
      <c r="M936" s="119" t="s">
        <v>46</v>
      </c>
      <c r="N936" s="136">
        <v>0</v>
      </c>
      <c r="O936" s="135" t="s">
        <v>47</v>
      </c>
      <c r="P936" s="135"/>
      <c r="Q936" s="137">
        <v>0</v>
      </c>
      <c r="R936" s="137">
        <v>0</v>
      </c>
      <c r="S936" s="137">
        <v>445000</v>
      </c>
      <c r="T936" s="137">
        <f t="shared" si="183"/>
        <v>0</v>
      </c>
      <c r="U936" s="137">
        <f t="shared" si="188"/>
        <v>445000</v>
      </c>
      <c r="V936" s="137">
        <v>449400</v>
      </c>
      <c r="W936" s="137">
        <f t="shared" si="189"/>
        <v>-4400</v>
      </c>
      <c r="X936" s="137">
        <f t="shared" si="184"/>
        <v>-4400</v>
      </c>
      <c r="Y936" s="137">
        <f t="shared" si="190"/>
        <v>0</v>
      </c>
      <c r="Z936" s="137">
        <v>450461</v>
      </c>
      <c r="AA936" s="137">
        <f t="shared" si="185"/>
        <v>-1061</v>
      </c>
      <c r="AB936" s="146">
        <f t="shared" si="197"/>
        <v>450461</v>
      </c>
      <c r="AC936" s="147">
        <f t="shared" si="187"/>
        <v>0</v>
      </c>
      <c r="AD936" s="137">
        <f t="shared" si="199"/>
        <v>404548.3954235462</v>
      </c>
      <c r="AE936" s="138">
        <v>0.11269173273981201</v>
      </c>
      <c r="AF936" s="137">
        <f t="shared" si="179"/>
        <v>45589.259657390052</v>
      </c>
      <c r="AG936" s="137">
        <v>0</v>
      </c>
      <c r="AH936" s="154"/>
      <c r="AI936" s="154"/>
      <c r="AJ936" s="136">
        <v>0</v>
      </c>
      <c r="AK936" s="156">
        <v>0</v>
      </c>
    </row>
    <row r="937" spans="1:39" s="119" customFormat="1" ht="15" customHeight="1" x14ac:dyDescent="0.3">
      <c r="A937" s="119">
        <v>2017</v>
      </c>
      <c r="B937" s="119" t="s">
        <v>38</v>
      </c>
      <c r="C937" s="119" t="s">
        <v>39</v>
      </c>
      <c r="D937" s="119" t="s">
        <v>81</v>
      </c>
      <c r="E937" s="119" t="s">
        <v>82</v>
      </c>
      <c r="F937" s="119" t="s">
        <v>956</v>
      </c>
      <c r="G937" s="119" t="s">
        <v>956</v>
      </c>
      <c r="H937" s="119" t="s">
        <v>956</v>
      </c>
      <c r="I937" s="119" t="s">
        <v>170</v>
      </c>
      <c r="J937" s="119" t="s">
        <v>171</v>
      </c>
      <c r="K937" s="119" t="s">
        <v>172</v>
      </c>
      <c r="L937" s="119" t="s">
        <v>956</v>
      </c>
      <c r="M937" s="119" t="s">
        <v>185</v>
      </c>
      <c r="N937" s="135">
        <v>0</v>
      </c>
      <c r="O937" s="135" t="s">
        <v>47</v>
      </c>
      <c r="P937" s="135"/>
      <c r="Q937" s="137">
        <v>0</v>
      </c>
      <c r="R937" s="137">
        <v>0</v>
      </c>
      <c r="S937" s="137">
        <v>5000</v>
      </c>
      <c r="T937" s="137">
        <f t="shared" si="183"/>
        <v>0</v>
      </c>
      <c r="U937" s="137">
        <f t="shared" si="188"/>
        <v>5000</v>
      </c>
      <c r="V937" s="137">
        <v>5010.18</v>
      </c>
      <c r="W937" s="137">
        <f t="shared" si="189"/>
        <v>-10.180000000000291</v>
      </c>
      <c r="X937" s="137">
        <f t="shared" si="184"/>
        <v>-10.180000000000291</v>
      </c>
      <c r="Y937" s="137">
        <f t="shared" si="190"/>
        <v>0</v>
      </c>
      <c r="Z937" s="137">
        <v>1017.9</v>
      </c>
      <c r="AA937" s="137">
        <f t="shared" si="185"/>
        <v>3992.28</v>
      </c>
      <c r="AB937" s="146">
        <f t="shared" si="197"/>
        <v>1017.9</v>
      </c>
      <c r="AC937" s="147">
        <f t="shared" si="187"/>
        <v>0</v>
      </c>
      <c r="AD937" s="137">
        <f>(Z937-Q937)*0.91072157793815</f>
        <v>927.02349418324286</v>
      </c>
      <c r="AE937" s="138">
        <v>0.11269173273981201</v>
      </c>
      <c r="AF937" s="137">
        <f t="shared" si="179"/>
        <v>104.46788385002468</v>
      </c>
      <c r="AG937" s="137">
        <v>91.071221328773504</v>
      </c>
      <c r="AH937" s="154"/>
      <c r="AI937" s="154"/>
      <c r="AJ937" s="135" t="s">
        <v>47</v>
      </c>
      <c r="AK937" s="119" t="s">
        <v>47</v>
      </c>
    </row>
    <row r="938" spans="1:39" s="119" customFormat="1" ht="15" customHeight="1" x14ac:dyDescent="0.3">
      <c r="A938" s="119">
        <v>2017</v>
      </c>
      <c r="B938" s="119" t="s">
        <v>38</v>
      </c>
      <c r="C938" s="119" t="s">
        <v>39</v>
      </c>
      <c r="D938" s="119" t="s">
        <v>81</v>
      </c>
      <c r="E938" s="119" t="s">
        <v>82</v>
      </c>
      <c r="F938" s="119" t="s">
        <v>957</v>
      </c>
      <c r="G938" s="119" t="s">
        <v>957</v>
      </c>
      <c r="H938" s="119" t="s">
        <v>957</v>
      </c>
      <c r="I938" s="119" t="s">
        <v>170</v>
      </c>
      <c r="J938" s="119" t="s">
        <v>171</v>
      </c>
      <c r="K938" s="119" t="s">
        <v>172</v>
      </c>
      <c r="L938" s="119" t="s">
        <v>958</v>
      </c>
      <c r="M938" s="119" t="s">
        <v>46</v>
      </c>
      <c r="N938" s="136">
        <v>0.02</v>
      </c>
      <c r="O938" s="135" t="s">
        <v>51</v>
      </c>
      <c r="P938" s="135"/>
      <c r="Q938" s="137">
        <v>0</v>
      </c>
      <c r="R938" s="137">
        <v>0</v>
      </c>
      <c r="S938" s="137">
        <v>10000</v>
      </c>
      <c r="T938" s="137">
        <f t="shared" si="183"/>
        <v>200</v>
      </c>
      <c r="U938" s="137">
        <f t="shared" si="188"/>
        <v>10200</v>
      </c>
      <c r="V938" s="137">
        <v>0</v>
      </c>
      <c r="W938" s="137">
        <f t="shared" si="189"/>
        <v>10200</v>
      </c>
      <c r="X938" s="137">
        <f t="shared" si="184"/>
        <v>10000</v>
      </c>
      <c r="Y938" s="137">
        <f t="shared" si="190"/>
        <v>200</v>
      </c>
      <c r="Z938" s="137">
        <v>0</v>
      </c>
      <c r="AA938" s="137">
        <f t="shared" si="185"/>
        <v>0</v>
      </c>
      <c r="AB938" s="146">
        <f t="shared" si="197"/>
        <v>0</v>
      </c>
      <c r="AC938" s="147">
        <f t="shared" si="187"/>
        <v>0</v>
      </c>
      <c r="AD938" s="137">
        <f t="shared" ref="AD938:AD939" si="200">(Z938-Q938)*0.89807640489087</f>
        <v>0</v>
      </c>
      <c r="AE938" s="138">
        <v>0.11269173273981201</v>
      </c>
      <c r="AF938" s="137">
        <f t="shared" si="179"/>
        <v>0</v>
      </c>
      <c r="AG938" s="137">
        <v>0</v>
      </c>
      <c r="AH938" s="154"/>
      <c r="AI938" s="154"/>
      <c r="AJ938" s="136">
        <v>0.02</v>
      </c>
      <c r="AK938" s="156">
        <v>0.02</v>
      </c>
    </row>
    <row r="939" spans="1:39" s="119" customFormat="1" ht="15" customHeight="1" x14ac:dyDescent="0.3">
      <c r="A939" s="119">
        <v>2017</v>
      </c>
      <c r="B939" s="119" t="s">
        <v>38</v>
      </c>
      <c r="C939" s="119" t="s">
        <v>39</v>
      </c>
      <c r="D939" s="119" t="s">
        <v>81</v>
      </c>
      <c r="E939" s="119" t="s">
        <v>82</v>
      </c>
      <c r="F939" s="119" t="s">
        <v>959</v>
      </c>
      <c r="G939" s="119" t="s">
        <v>959</v>
      </c>
      <c r="H939" s="119" t="s">
        <v>959</v>
      </c>
      <c r="I939" s="119" t="s">
        <v>170</v>
      </c>
      <c r="J939" s="119" t="s">
        <v>171</v>
      </c>
      <c r="K939" s="119" t="s">
        <v>172</v>
      </c>
      <c r="L939" s="119" t="s">
        <v>956</v>
      </c>
      <c r="M939" s="119" t="s">
        <v>46</v>
      </c>
      <c r="N939" s="136">
        <v>0.01</v>
      </c>
      <c r="O939" s="135" t="s">
        <v>51</v>
      </c>
      <c r="P939" s="135"/>
      <c r="Q939" s="137">
        <v>0</v>
      </c>
      <c r="R939" s="137">
        <v>0</v>
      </c>
      <c r="S939" s="137">
        <v>40000</v>
      </c>
      <c r="T939" s="137">
        <f t="shared" si="183"/>
        <v>400</v>
      </c>
      <c r="U939" s="137">
        <f t="shared" si="188"/>
        <v>40400</v>
      </c>
      <c r="V939" s="137">
        <v>40400</v>
      </c>
      <c r="W939" s="137">
        <f t="shared" si="189"/>
        <v>0</v>
      </c>
      <c r="X939" s="137">
        <f t="shared" si="184"/>
        <v>0</v>
      </c>
      <c r="Y939" s="137">
        <f t="shared" si="190"/>
        <v>0</v>
      </c>
      <c r="Z939" s="137">
        <f>475074.9-Z936</f>
        <v>24613.900000000023</v>
      </c>
      <c r="AA939" s="137">
        <f t="shared" si="185"/>
        <v>15786.099999999977</v>
      </c>
      <c r="AB939" s="146">
        <f t="shared" si="197"/>
        <v>24370.198019802003</v>
      </c>
      <c r="AC939" s="147">
        <f t="shared" si="187"/>
        <v>243.70198019802046</v>
      </c>
      <c r="AD939" s="137">
        <f t="shared" si="200"/>
        <v>22105.162822343405</v>
      </c>
      <c r="AE939" s="138">
        <v>0.11269173273981201</v>
      </c>
      <c r="AF939" s="137">
        <f t="shared" si="179"/>
        <v>2491.0691009455513</v>
      </c>
      <c r="AG939" s="137">
        <v>37801.103292841697</v>
      </c>
      <c r="AH939" s="154"/>
      <c r="AI939" s="154"/>
      <c r="AJ939" s="135" t="s">
        <v>960</v>
      </c>
      <c r="AK939" s="119" t="s">
        <v>960</v>
      </c>
    </row>
    <row r="940" spans="1:39" s="119" customFormat="1" ht="15" customHeight="1" x14ac:dyDescent="0.3">
      <c r="A940" s="119">
        <v>2017</v>
      </c>
      <c r="B940" s="119" t="s">
        <v>38</v>
      </c>
      <c r="C940" s="119" t="s">
        <v>39</v>
      </c>
      <c r="D940" s="119" t="s">
        <v>40</v>
      </c>
      <c r="E940" s="119" t="s">
        <v>48</v>
      </c>
      <c r="F940" s="119" t="s">
        <v>908</v>
      </c>
      <c r="G940" s="119" t="s">
        <v>908</v>
      </c>
      <c r="H940" s="119" t="s">
        <v>908</v>
      </c>
      <c r="I940" s="119" t="s">
        <v>170</v>
      </c>
      <c r="J940" s="119" t="s">
        <v>865</v>
      </c>
      <c r="K940" s="119" t="s">
        <v>866</v>
      </c>
      <c r="L940" s="119" t="s">
        <v>961</v>
      </c>
      <c r="M940" s="119" t="s">
        <v>46</v>
      </c>
      <c r="N940" s="136">
        <v>0.05</v>
      </c>
      <c r="O940" s="135" t="s">
        <v>51</v>
      </c>
      <c r="P940" s="135"/>
      <c r="Q940" s="137">
        <v>0</v>
      </c>
      <c r="R940" s="137">
        <v>0</v>
      </c>
      <c r="S940" s="137">
        <v>28571.43</v>
      </c>
      <c r="T940" s="137">
        <f t="shared" si="183"/>
        <v>1428.5715</v>
      </c>
      <c r="U940" s="137">
        <f t="shared" si="188"/>
        <v>30000.001499999998</v>
      </c>
      <c r="V940" s="137">
        <v>30000.001499999998</v>
      </c>
      <c r="W940" s="137">
        <f t="shared" si="189"/>
        <v>0</v>
      </c>
      <c r="X940" s="137">
        <f t="shared" si="184"/>
        <v>0</v>
      </c>
      <c r="Y940" s="137">
        <f t="shared" si="190"/>
        <v>0</v>
      </c>
      <c r="Z940" s="137">
        <v>21245.5</v>
      </c>
      <c r="AA940" s="137">
        <f t="shared" si="185"/>
        <v>8754.5014999999985</v>
      </c>
      <c r="AB940" s="146">
        <f t="shared" si="197"/>
        <v>20233.809523809523</v>
      </c>
      <c r="AC940" s="147">
        <f t="shared" si="187"/>
        <v>1011.6904761904771</v>
      </c>
      <c r="AD940" s="137">
        <f>Z940*0.972201473425119-Q940</f>
        <v>20654.906403653364</v>
      </c>
      <c r="AE940" s="138">
        <v>0.1</v>
      </c>
      <c r="AF940" s="137">
        <f t="shared" si="179"/>
        <v>2065.4906403653363</v>
      </c>
      <c r="AG940" s="137">
        <v>1571.41809523809</v>
      </c>
      <c r="AH940" s="154"/>
      <c r="AI940" s="154"/>
      <c r="AJ940" s="136">
        <v>0.05</v>
      </c>
      <c r="AK940" s="156">
        <v>0.05</v>
      </c>
      <c r="AM940" s="119" t="s">
        <v>174</v>
      </c>
    </row>
    <row r="941" spans="1:39" s="119" customFormat="1" ht="15" customHeight="1" x14ac:dyDescent="0.3">
      <c r="A941" s="119">
        <v>2017</v>
      </c>
      <c r="B941" s="119" t="s">
        <v>38</v>
      </c>
      <c r="C941" s="119" t="s">
        <v>39</v>
      </c>
      <c r="D941" s="119" t="s">
        <v>40</v>
      </c>
      <c r="E941" s="119" t="s">
        <v>41</v>
      </c>
      <c r="F941" s="119" t="s">
        <v>42</v>
      </c>
      <c r="G941" s="119" t="s">
        <v>42</v>
      </c>
      <c r="H941" s="119" t="s">
        <v>42</v>
      </c>
      <c r="I941" s="119" t="s">
        <v>170</v>
      </c>
      <c r="J941" s="119" t="s">
        <v>171</v>
      </c>
      <c r="K941" s="119" t="s">
        <v>172</v>
      </c>
      <c r="L941" s="119" t="s">
        <v>42</v>
      </c>
      <c r="M941" s="119" t="s">
        <v>185</v>
      </c>
      <c r="N941" s="135">
        <v>0</v>
      </c>
      <c r="O941" s="135" t="s">
        <v>47</v>
      </c>
      <c r="P941" s="135"/>
      <c r="Q941" s="137">
        <v>0</v>
      </c>
      <c r="R941" s="137">
        <v>0</v>
      </c>
      <c r="S941" s="137">
        <v>4000</v>
      </c>
      <c r="T941" s="137">
        <f t="shared" si="183"/>
        <v>0</v>
      </c>
      <c r="U941" s="137">
        <f t="shared" si="188"/>
        <v>4000</v>
      </c>
      <c r="V941" s="137">
        <v>0</v>
      </c>
      <c r="W941" s="137">
        <f t="shared" si="189"/>
        <v>4000</v>
      </c>
      <c r="X941" s="137">
        <f t="shared" si="184"/>
        <v>4000</v>
      </c>
      <c r="Y941" s="137">
        <f t="shared" si="190"/>
        <v>0</v>
      </c>
      <c r="Z941" s="137">
        <v>0</v>
      </c>
      <c r="AA941" s="137">
        <f t="shared" si="185"/>
        <v>0</v>
      </c>
      <c r="AB941" s="146">
        <f t="shared" si="197"/>
        <v>0</v>
      </c>
      <c r="AC941" s="147">
        <f t="shared" si="187"/>
        <v>0</v>
      </c>
      <c r="AD941" s="137">
        <f>(Z941-Q941)*0.91072157793815</f>
        <v>0</v>
      </c>
      <c r="AE941" s="138">
        <v>0.11269173273981201</v>
      </c>
      <c r="AF941" s="137">
        <f t="shared" si="179"/>
        <v>0</v>
      </c>
      <c r="AG941" s="137">
        <v>0</v>
      </c>
      <c r="AH941" s="154"/>
      <c r="AI941" s="154"/>
      <c r="AJ941" s="135" t="s">
        <v>47</v>
      </c>
      <c r="AK941" s="119" t="s">
        <v>47</v>
      </c>
    </row>
    <row r="942" spans="1:39" s="119" customFormat="1" ht="15" customHeight="1" x14ac:dyDescent="0.3">
      <c r="A942" s="119">
        <v>2017</v>
      </c>
      <c r="B942" s="119" t="s">
        <v>333</v>
      </c>
      <c r="C942" s="119" t="s">
        <v>39</v>
      </c>
      <c r="D942" s="119" t="s">
        <v>40</v>
      </c>
      <c r="E942" s="119" t="s">
        <v>41</v>
      </c>
      <c r="F942" s="119" t="s">
        <v>457</v>
      </c>
      <c r="G942" s="119" t="s">
        <v>962</v>
      </c>
      <c r="H942" s="119" t="s">
        <v>962</v>
      </c>
      <c r="I942" s="119" t="s">
        <v>170</v>
      </c>
      <c r="J942" s="119" t="s">
        <v>171</v>
      </c>
      <c r="K942" s="119" t="s">
        <v>172</v>
      </c>
      <c r="L942" s="119" t="s">
        <v>457</v>
      </c>
      <c r="M942" s="119" t="s">
        <v>46</v>
      </c>
      <c r="N942" s="136">
        <v>0.02</v>
      </c>
      <c r="O942" s="135" t="s">
        <v>51</v>
      </c>
      <c r="P942" s="135"/>
      <c r="Q942" s="137">
        <v>0</v>
      </c>
      <c r="R942" s="137">
        <v>0</v>
      </c>
      <c r="S942" s="137">
        <v>5205000</v>
      </c>
      <c r="T942" s="137">
        <f t="shared" si="183"/>
        <v>104100</v>
      </c>
      <c r="U942" s="137">
        <f t="shared" si="188"/>
        <v>5309100</v>
      </c>
      <c r="V942" s="137">
        <v>5275700</v>
      </c>
      <c r="W942" s="137">
        <f t="shared" si="189"/>
        <v>33400</v>
      </c>
      <c r="X942" s="137">
        <f t="shared" si="184"/>
        <v>32745.098039215685</v>
      </c>
      <c r="Y942" s="137">
        <f t="shared" si="190"/>
        <v>654.90196078431472</v>
      </c>
      <c r="Z942" s="137">
        <v>5195706.4000000004</v>
      </c>
      <c r="AA942" s="137">
        <f t="shared" si="185"/>
        <v>79993.599999999627</v>
      </c>
      <c r="AB942" s="146">
        <f t="shared" si="197"/>
        <v>5093829.8039215691</v>
      </c>
      <c r="AC942" s="147">
        <f t="shared" si="187"/>
        <v>101876.59607843123</v>
      </c>
      <c r="AD942" s="137">
        <f t="shared" ref="AD942:AD946" si="201">(Z942-Q942)*0.89807640489087</f>
        <v>4666141.324580485</v>
      </c>
      <c r="AE942" s="138">
        <v>0.11269173273981201</v>
      </c>
      <c r="AF942" s="137">
        <f t="shared" si="179"/>
        <v>525835.55107581639</v>
      </c>
      <c r="AG942" s="137">
        <v>362981.76674082899</v>
      </c>
      <c r="AH942" s="154"/>
      <c r="AI942" s="154"/>
      <c r="AJ942" s="135" t="s">
        <v>173</v>
      </c>
      <c r="AK942" s="119" t="s">
        <v>173</v>
      </c>
    </row>
    <row r="943" spans="1:39" s="119" customFormat="1" ht="15" customHeight="1" x14ac:dyDescent="0.3">
      <c r="A943" s="119">
        <v>2017</v>
      </c>
      <c r="B943" s="119" t="s">
        <v>38</v>
      </c>
      <c r="C943" s="119" t="s">
        <v>39</v>
      </c>
      <c r="D943" s="119" t="s">
        <v>40</v>
      </c>
      <c r="E943" s="119" t="s">
        <v>82</v>
      </c>
      <c r="F943" s="119" t="s">
        <v>963</v>
      </c>
      <c r="G943" s="119" t="s">
        <v>963</v>
      </c>
      <c r="H943" s="119" t="s">
        <v>963</v>
      </c>
      <c r="I943" s="119" t="s">
        <v>170</v>
      </c>
      <c r="J943" s="119" t="s">
        <v>171</v>
      </c>
      <c r="K943" s="119" t="s">
        <v>172</v>
      </c>
      <c r="L943" s="119" t="s">
        <v>963</v>
      </c>
      <c r="M943" s="119" t="s">
        <v>46</v>
      </c>
      <c r="N943" s="136">
        <v>0.02</v>
      </c>
      <c r="O943" s="135" t="s">
        <v>51</v>
      </c>
      <c r="P943" s="135"/>
      <c r="Q943" s="137">
        <v>0</v>
      </c>
      <c r="R943" s="137">
        <v>0</v>
      </c>
      <c r="S943" s="137">
        <v>618164</v>
      </c>
      <c r="T943" s="137">
        <f t="shared" si="183"/>
        <v>12363.28</v>
      </c>
      <c r="U943" s="137">
        <f t="shared" si="188"/>
        <v>630527.28</v>
      </c>
      <c r="V943" s="137">
        <v>630527</v>
      </c>
      <c r="W943" s="137">
        <f t="shared" si="189"/>
        <v>0.28000000002793968</v>
      </c>
      <c r="X943" s="137">
        <f t="shared" si="184"/>
        <v>0.27450980394896046</v>
      </c>
      <c r="Y943" s="137">
        <f t="shared" si="190"/>
        <v>5.4901960789792148E-3</v>
      </c>
      <c r="Z943" s="137">
        <v>467118</v>
      </c>
      <c r="AA943" s="137">
        <f t="shared" si="185"/>
        <v>163409</v>
      </c>
      <c r="AB943" s="146">
        <f t="shared" si="197"/>
        <v>457958.82352941175</v>
      </c>
      <c r="AC943" s="147">
        <f t="shared" si="187"/>
        <v>9159.1764705882524</v>
      </c>
      <c r="AD943" s="137">
        <f t="shared" si="201"/>
        <v>419507.65409981343</v>
      </c>
      <c r="AE943" s="138">
        <v>0.11269173273981201</v>
      </c>
      <c r="AF943" s="137">
        <f t="shared" ref="AF943:AF1006" si="202">AD943*AE943</f>
        <v>47275.044438121673</v>
      </c>
      <c r="AG943" s="137">
        <v>32633.737140428599</v>
      </c>
      <c r="AH943" s="154"/>
      <c r="AI943" s="154"/>
      <c r="AJ943" s="135" t="s">
        <v>173</v>
      </c>
      <c r="AK943" s="119" t="s">
        <v>173</v>
      </c>
    </row>
    <row r="944" spans="1:39" s="119" customFormat="1" ht="15" customHeight="1" x14ac:dyDescent="0.3">
      <c r="A944" s="119">
        <v>2017</v>
      </c>
      <c r="B944" s="119" t="s">
        <v>38</v>
      </c>
      <c r="C944" s="119" t="s">
        <v>39</v>
      </c>
      <c r="D944" s="119" t="s">
        <v>40</v>
      </c>
      <c r="E944" s="119" t="s">
        <v>82</v>
      </c>
      <c r="F944" s="119" t="s">
        <v>715</v>
      </c>
      <c r="G944" s="119" t="s">
        <v>715</v>
      </c>
      <c r="H944" s="119" t="s">
        <v>715</v>
      </c>
      <c r="I944" s="119" t="s">
        <v>170</v>
      </c>
      <c r="J944" s="119" t="s">
        <v>171</v>
      </c>
      <c r="K944" s="119" t="s">
        <v>172</v>
      </c>
      <c r="L944" s="119" t="s">
        <v>715</v>
      </c>
      <c r="M944" s="119" t="s">
        <v>46</v>
      </c>
      <c r="N944" s="135">
        <v>0.05</v>
      </c>
      <c r="O944" s="135" t="s">
        <v>51</v>
      </c>
      <c r="P944" s="135"/>
      <c r="Q944" s="137">
        <v>0</v>
      </c>
      <c r="R944" s="137">
        <v>0</v>
      </c>
      <c r="S944" s="137">
        <v>80000</v>
      </c>
      <c r="T944" s="137">
        <f t="shared" si="183"/>
        <v>4000</v>
      </c>
      <c r="U944" s="137">
        <f t="shared" si="188"/>
        <v>84000</v>
      </c>
      <c r="V944" s="137">
        <v>60000</v>
      </c>
      <c r="W944" s="137">
        <f t="shared" si="189"/>
        <v>24000</v>
      </c>
      <c r="X944" s="137">
        <f t="shared" si="184"/>
        <v>22857.142857142855</v>
      </c>
      <c r="Y944" s="137">
        <f t="shared" si="190"/>
        <v>1142.8571428571449</v>
      </c>
      <c r="Z944" s="137">
        <v>49988.6</v>
      </c>
      <c r="AA944" s="137">
        <f t="shared" si="185"/>
        <v>10011.400000000001</v>
      </c>
      <c r="AB944" s="146">
        <f t="shared" si="197"/>
        <v>47608.190476190473</v>
      </c>
      <c r="AC944" s="147">
        <f t="shared" si="187"/>
        <v>2380.4095238095251</v>
      </c>
      <c r="AD944" s="137">
        <f t="shared" si="201"/>
        <v>44893.582173527742</v>
      </c>
      <c r="AE944" s="138">
        <v>0.11269173273981201</v>
      </c>
      <c r="AF944" s="137">
        <f t="shared" si="202"/>
        <v>5059.1355640319771</v>
      </c>
      <c r="AG944" s="137">
        <v>2092.0561943509301</v>
      </c>
      <c r="AH944" s="154"/>
      <c r="AI944" s="154"/>
      <c r="AJ944" s="135" t="s">
        <v>63</v>
      </c>
      <c r="AK944" s="119" t="s">
        <v>63</v>
      </c>
    </row>
    <row r="945" spans="1:39" s="119" customFormat="1" ht="15" customHeight="1" x14ac:dyDescent="0.3">
      <c r="A945" s="119">
        <v>2017</v>
      </c>
      <c r="B945" s="119" t="s">
        <v>38</v>
      </c>
      <c r="C945" s="119" t="s">
        <v>39</v>
      </c>
      <c r="D945" s="119" t="s">
        <v>40</v>
      </c>
      <c r="E945" s="119" t="s">
        <v>82</v>
      </c>
      <c r="F945" s="119" t="s">
        <v>674</v>
      </c>
      <c r="G945" s="119" t="s">
        <v>964</v>
      </c>
      <c r="H945" s="119" t="s">
        <v>964</v>
      </c>
      <c r="I945" s="119" t="s">
        <v>170</v>
      </c>
      <c r="J945" s="119" t="s">
        <v>171</v>
      </c>
      <c r="K945" s="119" t="s">
        <v>172</v>
      </c>
      <c r="L945" s="119" t="s">
        <v>674</v>
      </c>
      <c r="M945" s="119" t="s">
        <v>46</v>
      </c>
      <c r="N945" s="136">
        <v>0.04</v>
      </c>
      <c r="O945" s="135" t="s">
        <v>51</v>
      </c>
      <c r="P945" s="135"/>
      <c r="Q945" s="137">
        <v>0</v>
      </c>
      <c r="R945" s="137">
        <v>0</v>
      </c>
      <c r="S945" s="137">
        <v>150000</v>
      </c>
      <c r="T945" s="137">
        <f t="shared" si="183"/>
        <v>6000</v>
      </c>
      <c r="U945" s="137">
        <f t="shared" si="188"/>
        <v>156000</v>
      </c>
      <c r="V945" s="137">
        <v>154000</v>
      </c>
      <c r="W945" s="137">
        <f t="shared" si="189"/>
        <v>2000</v>
      </c>
      <c r="X945" s="137">
        <f t="shared" si="184"/>
        <v>1923.0769230769231</v>
      </c>
      <c r="Y945" s="137">
        <f t="shared" si="190"/>
        <v>76.923076923076906</v>
      </c>
      <c r="Z945" s="137">
        <v>3237849.8</v>
      </c>
      <c r="AA945" s="137">
        <f t="shared" si="185"/>
        <v>-3083849.8</v>
      </c>
      <c r="AB945" s="146">
        <f t="shared" si="197"/>
        <v>3113317.115384615</v>
      </c>
      <c r="AC945" s="147">
        <f t="shared" si="187"/>
        <v>124532.68461538479</v>
      </c>
      <c r="AD945" s="137">
        <f t="shared" si="201"/>
        <v>2907836.5079606222</v>
      </c>
      <c r="AE945" s="138">
        <v>0.11269173273981201</v>
      </c>
      <c r="AF945" s="137">
        <f t="shared" si="202"/>
        <v>327689.13460616668</v>
      </c>
      <c r="AG945" s="137">
        <v>165156.80921026101</v>
      </c>
      <c r="AH945" s="154"/>
      <c r="AI945" s="154"/>
      <c r="AJ945" s="135" t="s">
        <v>186</v>
      </c>
      <c r="AK945" s="119" t="s">
        <v>186</v>
      </c>
    </row>
    <row r="946" spans="1:39" s="119" customFormat="1" ht="15" customHeight="1" x14ac:dyDescent="0.3">
      <c r="A946" s="119">
        <v>2017</v>
      </c>
      <c r="B946" s="119" t="s">
        <v>38</v>
      </c>
      <c r="C946" s="119" t="s">
        <v>59</v>
      </c>
      <c r="D946" s="119" t="s">
        <v>154</v>
      </c>
      <c r="E946" s="119" t="s">
        <v>107</v>
      </c>
      <c r="F946" s="119" t="s">
        <v>464</v>
      </c>
      <c r="G946" s="119" t="s">
        <v>464</v>
      </c>
      <c r="H946" s="119" t="s">
        <v>464</v>
      </c>
      <c r="I946" s="119" t="s">
        <v>170</v>
      </c>
      <c r="J946" s="119" t="s">
        <v>171</v>
      </c>
      <c r="K946" s="119" t="s">
        <v>172</v>
      </c>
      <c r="L946" s="119" t="s">
        <v>464</v>
      </c>
      <c r="M946" s="119" t="s">
        <v>46</v>
      </c>
      <c r="N946" s="136">
        <v>0.04</v>
      </c>
      <c r="O946" s="135" t="s">
        <v>51</v>
      </c>
      <c r="P946" s="135"/>
      <c r="Q946" s="137">
        <v>0</v>
      </c>
      <c r="R946" s="137">
        <v>0</v>
      </c>
      <c r="S946" s="137">
        <v>950000</v>
      </c>
      <c r="T946" s="137">
        <f t="shared" si="183"/>
        <v>38000</v>
      </c>
      <c r="U946" s="137">
        <f t="shared" si="188"/>
        <v>988000</v>
      </c>
      <c r="V946" s="137">
        <v>996400</v>
      </c>
      <c r="W946" s="137">
        <f t="shared" si="189"/>
        <v>-8400</v>
      </c>
      <c r="X946" s="137">
        <f t="shared" si="184"/>
        <v>-8076.9230769230762</v>
      </c>
      <c r="Y946" s="137">
        <f t="shared" si="190"/>
        <v>-323.07692307692378</v>
      </c>
      <c r="Z946" s="137">
        <v>908062</v>
      </c>
      <c r="AA946" s="137">
        <f t="shared" si="185"/>
        <v>88338</v>
      </c>
      <c r="AB946" s="146">
        <f t="shared" si="197"/>
        <v>873136.53846153838</v>
      </c>
      <c r="AC946" s="147">
        <f t="shared" si="187"/>
        <v>34925.461538461619</v>
      </c>
      <c r="AD946" s="137">
        <f t="shared" si="201"/>
        <v>815509.05637801322</v>
      </c>
      <c r="AE946" s="138">
        <v>0.11269173273981201</v>
      </c>
      <c r="AF946" s="137">
        <f t="shared" si="202"/>
        <v>91901.128628247345</v>
      </c>
      <c r="AG946" s="137">
        <v>46318.585403525503</v>
      </c>
      <c r="AH946" s="154"/>
      <c r="AI946" s="154"/>
      <c r="AJ946" s="135" t="s">
        <v>186</v>
      </c>
      <c r="AK946" s="119" t="s">
        <v>186</v>
      </c>
    </row>
    <row r="947" spans="1:39" s="119" customFormat="1" ht="15" customHeight="1" x14ac:dyDescent="0.3">
      <c r="A947" s="119">
        <v>2017</v>
      </c>
      <c r="B947" s="119" t="s">
        <v>38</v>
      </c>
      <c r="C947" s="119" t="s">
        <v>59</v>
      </c>
      <c r="D947" s="119" t="s">
        <v>154</v>
      </c>
      <c r="E947" s="119" t="s">
        <v>107</v>
      </c>
      <c r="F947" s="119" t="s">
        <v>338</v>
      </c>
      <c r="G947" s="119" t="s">
        <v>339</v>
      </c>
      <c r="H947" s="119" t="s">
        <v>339</v>
      </c>
      <c r="I947" s="119" t="s">
        <v>170</v>
      </c>
      <c r="J947" s="119" t="s">
        <v>865</v>
      </c>
      <c r="K947" s="119" t="s">
        <v>866</v>
      </c>
      <c r="L947" s="119" t="s">
        <v>338</v>
      </c>
      <c r="M947" s="119" t="s">
        <v>46</v>
      </c>
      <c r="N947" s="135">
        <v>0</v>
      </c>
      <c r="O947" s="135" t="s">
        <v>47</v>
      </c>
      <c r="P947" s="135"/>
      <c r="Q947" s="137">
        <v>0</v>
      </c>
      <c r="R947" s="137">
        <v>0</v>
      </c>
      <c r="S947" s="137">
        <v>10000</v>
      </c>
      <c r="T947" s="137">
        <f t="shared" si="183"/>
        <v>0</v>
      </c>
      <c r="U947" s="137">
        <f t="shared" si="188"/>
        <v>10000</v>
      </c>
      <c r="V947" s="137">
        <v>10000</v>
      </c>
      <c r="W947" s="137">
        <f t="shared" si="189"/>
        <v>0</v>
      </c>
      <c r="X947" s="137">
        <f t="shared" si="184"/>
        <v>0</v>
      </c>
      <c r="Y947" s="137">
        <f t="shared" si="190"/>
        <v>0</v>
      </c>
      <c r="Z947" s="137">
        <v>10000.5</v>
      </c>
      <c r="AA947" s="137">
        <f t="shared" si="185"/>
        <v>-0.5</v>
      </c>
      <c r="AB947" s="146">
        <f t="shared" si="197"/>
        <v>10000.5</v>
      </c>
      <c r="AC947" s="147">
        <f t="shared" si="187"/>
        <v>0</v>
      </c>
      <c r="AD947" s="137">
        <f>Z947*0.972201473425119-Q947</f>
        <v>9722.5008349879026</v>
      </c>
      <c r="AE947" s="138">
        <v>0.1</v>
      </c>
      <c r="AF947" s="137">
        <f t="shared" si="202"/>
        <v>972.25008349879033</v>
      </c>
      <c r="AG947" s="137">
        <v>1000.05</v>
      </c>
      <c r="AH947" s="154"/>
      <c r="AI947" s="154"/>
      <c r="AJ947" s="135" t="s">
        <v>47</v>
      </c>
      <c r="AK947" s="119" t="s">
        <v>47</v>
      </c>
    </row>
    <row r="948" spans="1:39" s="119" customFormat="1" ht="15" customHeight="1" x14ac:dyDescent="0.3">
      <c r="A948" s="119">
        <v>2017</v>
      </c>
      <c r="B948" s="119" t="s">
        <v>38</v>
      </c>
      <c r="C948" s="119" t="s">
        <v>59</v>
      </c>
      <c r="D948" s="119" t="s">
        <v>154</v>
      </c>
      <c r="E948" s="119" t="s">
        <v>107</v>
      </c>
      <c r="F948" s="119" t="s">
        <v>155</v>
      </c>
      <c r="G948" s="119" t="s">
        <v>1659</v>
      </c>
      <c r="H948" s="119" t="s">
        <v>155</v>
      </c>
      <c r="I948" s="119" t="s">
        <v>170</v>
      </c>
      <c r="J948" s="119" t="s">
        <v>171</v>
      </c>
      <c r="K948" s="119" t="s">
        <v>172</v>
      </c>
      <c r="L948" s="119" t="s">
        <v>155</v>
      </c>
      <c r="M948" s="119" t="s">
        <v>46</v>
      </c>
      <c r="N948" s="136">
        <v>0.02</v>
      </c>
      <c r="O948" s="135" t="s">
        <v>51</v>
      </c>
      <c r="P948" s="135" t="s">
        <v>1658</v>
      </c>
      <c r="Q948" s="137">
        <v>0</v>
      </c>
      <c r="R948" s="137">
        <v>0</v>
      </c>
      <c r="S948" s="137">
        <v>51756</v>
      </c>
      <c r="T948" s="137">
        <f t="shared" si="183"/>
        <v>1035.1200000000001</v>
      </c>
      <c r="U948" s="137">
        <f t="shared" si="188"/>
        <v>52791.12</v>
      </c>
      <c r="V948" s="137">
        <v>52778.6</v>
      </c>
      <c r="W948" s="137">
        <f t="shared" si="189"/>
        <v>12.520000000004075</v>
      </c>
      <c r="X948" s="137">
        <f t="shared" si="184"/>
        <v>12.274509803925563</v>
      </c>
      <c r="Y948" s="137">
        <f t="shared" si="190"/>
        <v>0.24549019607851186</v>
      </c>
      <c r="Z948" s="137">
        <f>51259.9-73.6</f>
        <v>51186.3</v>
      </c>
      <c r="AA948" s="137">
        <f t="shared" si="185"/>
        <v>1592.2999999999956</v>
      </c>
      <c r="AB948" s="146">
        <f>IF(O948="返货",Z948/(1+N948),IF(O948="返现",Z948,IF(O948="折扣",Z948*N948,IF(O948="无",Z948))))+12.16</f>
        <v>50194.807058823535</v>
      </c>
      <c r="AC948" s="147">
        <f t="shared" si="187"/>
        <v>991.49294117646787</v>
      </c>
      <c r="AD948" s="137">
        <f t="shared" ref="AD948:AD949" si="203">(Z948-Q948)*0.89807640489087</f>
        <v>45969.208283665546</v>
      </c>
      <c r="AE948" s="138">
        <v>0.11269173273981201</v>
      </c>
      <c r="AF948" s="137">
        <f t="shared" si="202"/>
        <v>5180.3497341635903</v>
      </c>
      <c r="AG948" s="137">
        <v>3581.1124864480798</v>
      </c>
      <c r="AH948" s="154"/>
      <c r="AI948" s="154"/>
      <c r="AJ948" s="135" t="s">
        <v>173</v>
      </c>
      <c r="AK948" s="119" t="s">
        <v>173</v>
      </c>
    </row>
    <row r="949" spans="1:39" s="119" customFormat="1" ht="15" customHeight="1" x14ac:dyDescent="0.3">
      <c r="A949" s="119">
        <v>2017</v>
      </c>
      <c r="B949" s="119" t="s">
        <v>38</v>
      </c>
      <c r="C949" s="119" t="s">
        <v>59</v>
      </c>
      <c r="D949" s="119" t="s">
        <v>154</v>
      </c>
      <c r="E949" s="119" t="s">
        <v>61</v>
      </c>
      <c r="F949" s="119" t="s">
        <v>722</v>
      </c>
      <c r="G949" s="119" t="s">
        <v>723</v>
      </c>
      <c r="H949" s="119" t="s">
        <v>723</v>
      </c>
      <c r="I949" s="119" t="s">
        <v>170</v>
      </c>
      <c r="J949" s="119" t="s">
        <v>171</v>
      </c>
      <c r="K949" s="119" t="s">
        <v>172</v>
      </c>
      <c r="L949" s="119" t="s">
        <v>831</v>
      </c>
      <c r="M949" s="119" t="s">
        <v>46</v>
      </c>
      <c r="N949" s="136">
        <v>0.02</v>
      </c>
      <c r="O949" s="135" t="s">
        <v>51</v>
      </c>
      <c r="P949" s="135"/>
      <c r="Q949" s="137">
        <v>0</v>
      </c>
      <c r="R949" s="137">
        <v>0</v>
      </c>
      <c r="S949" s="137">
        <v>562523.30000000005</v>
      </c>
      <c r="T949" s="137">
        <f t="shared" si="183"/>
        <v>11250.466</v>
      </c>
      <c r="U949" s="137">
        <f t="shared" si="188"/>
        <v>573773.76600000006</v>
      </c>
      <c r="V949" s="137">
        <v>573773.77</v>
      </c>
      <c r="W949" s="137">
        <f t="shared" si="189"/>
        <v>-3.9999999571591616E-3</v>
      </c>
      <c r="X949" s="137">
        <f t="shared" si="184"/>
        <v>-3.9215685854501582E-3</v>
      </c>
      <c r="Y949" s="137">
        <f t="shared" si="190"/>
        <v>-7.8431371709003321E-5</v>
      </c>
      <c r="Z949" s="137">
        <v>524673.80000000005</v>
      </c>
      <c r="AA949" s="137">
        <f t="shared" si="185"/>
        <v>49099.969999999972</v>
      </c>
      <c r="AB949" s="146">
        <f t="shared" si="197"/>
        <v>514386.07843137259</v>
      </c>
      <c r="AC949" s="147">
        <f t="shared" si="187"/>
        <v>10287.721568627458</v>
      </c>
      <c r="AD949" s="137">
        <f t="shared" si="203"/>
        <v>471197.1600444314</v>
      </c>
      <c r="AE949" s="138">
        <v>0.11269173273981201</v>
      </c>
      <c r="AF949" s="137">
        <f t="shared" si="202"/>
        <v>53100.024427485485</v>
      </c>
      <c r="AG949" s="137">
        <v>36654.692976228303</v>
      </c>
      <c r="AH949" s="154"/>
      <c r="AI949" s="154"/>
      <c r="AJ949" s="135" t="s">
        <v>173</v>
      </c>
      <c r="AK949" s="119" t="s">
        <v>173</v>
      </c>
    </row>
    <row r="950" spans="1:39" s="119" customFormat="1" ht="15" customHeight="1" x14ac:dyDescent="0.3">
      <c r="A950" s="119">
        <v>2017</v>
      </c>
      <c r="B950" s="119" t="s">
        <v>38</v>
      </c>
      <c r="C950" s="119" t="s">
        <v>59</v>
      </c>
      <c r="D950" s="119" t="s">
        <v>154</v>
      </c>
      <c r="E950" s="119" t="s">
        <v>61</v>
      </c>
      <c r="F950" s="119" t="s">
        <v>722</v>
      </c>
      <c r="G950" s="119" t="s">
        <v>723</v>
      </c>
      <c r="H950" s="119" t="s">
        <v>723</v>
      </c>
      <c r="I950" s="119" t="s">
        <v>170</v>
      </c>
      <c r="J950" s="119" t="s">
        <v>171</v>
      </c>
      <c r="K950" s="119" t="s">
        <v>172</v>
      </c>
      <c r="L950" s="119" t="s">
        <v>831</v>
      </c>
      <c r="M950" s="119" t="s">
        <v>185</v>
      </c>
      <c r="N950" s="136">
        <v>0.04</v>
      </c>
      <c r="O950" s="135" t="s">
        <v>51</v>
      </c>
      <c r="P950" s="135"/>
      <c r="Q950" s="137">
        <v>0</v>
      </c>
      <c r="R950" s="137">
        <v>0</v>
      </c>
      <c r="S950" s="137">
        <v>7476.7</v>
      </c>
      <c r="T950" s="137">
        <f t="shared" si="183"/>
        <v>299.06799999999998</v>
      </c>
      <c r="U950" s="137">
        <f t="shared" si="188"/>
        <v>7775.768</v>
      </c>
      <c r="V950" s="137">
        <v>7476.7</v>
      </c>
      <c r="W950" s="137">
        <f t="shared" si="189"/>
        <v>299.06800000000021</v>
      </c>
      <c r="X950" s="137">
        <f t="shared" si="184"/>
        <v>287.5653846153848</v>
      </c>
      <c r="Y950" s="137">
        <f t="shared" si="190"/>
        <v>11.50261538461541</v>
      </c>
      <c r="Z950" s="137">
        <v>7476.7</v>
      </c>
      <c r="AA950" s="137">
        <f t="shared" si="185"/>
        <v>0</v>
      </c>
      <c r="AB950" s="146">
        <f t="shared" si="197"/>
        <v>7189.1346153846152</v>
      </c>
      <c r="AC950" s="147">
        <f t="shared" si="187"/>
        <v>287.56538461538457</v>
      </c>
      <c r="AD950" s="137">
        <f>(Z950-Q950)*0.91072157793815</f>
        <v>6809.1920217701663</v>
      </c>
      <c r="AE950" s="138">
        <v>0.11269173273981201</v>
      </c>
      <c r="AF950" s="137">
        <f t="shared" si="202"/>
        <v>767.33964749138374</v>
      </c>
      <c r="AG950" s="137">
        <v>381.37282199512799</v>
      </c>
      <c r="AH950" s="154"/>
      <c r="AI950" s="154"/>
      <c r="AJ950" s="135" t="s">
        <v>186</v>
      </c>
      <c r="AK950" s="119" t="s">
        <v>186</v>
      </c>
    </row>
    <row r="951" spans="1:39" s="119" customFormat="1" ht="15" customHeight="1" x14ac:dyDescent="0.3">
      <c r="A951" s="119">
        <v>2017</v>
      </c>
      <c r="B951" s="119" t="s">
        <v>38</v>
      </c>
      <c r="C951" s="119" t="s">
        <v>59</v>
      </c>
      <c r="D951" s="119" t="s">
        <v>154</v>
      </c>
      <c r="E951" s="119" t="s">
        <v>468</v>
      </c>
      <c r="F951" s="119" t="s">
        <v>724</v>
      </c>
      <c r="G951" s="119" t="s">
        <v>724</v>
      </c>
      <c r="H951" s="119" t="s">
        <v>724</v>
      </c>
      <c r="I951" s="119" t="s">
        <v>170</v>
      </c>
      <c r="J951" s="119" t="s">
        <v>171</v>
      </c>
      <c r="K951" s="119" t="s">
        <v>172</v>
      </c>
      <c r="L951" s="119" t="s">
        <v>724</v>
      </c>
      <c r="M951" s="119" t="s">
        <v>46</v>
      </c>
      <c r="N951" s="136">
        <v>0.02</v>
      </c>
      <c r="O951" s="135" t="s">
        <v>51</v>
      </c>
      <c r="P951" s="135"/>
      <c r="Q951" s="137">
        <v>0</v>
      </c>
      <c r="R951" s="137">
        <v>0</v>
      </c>
      <c r="S951" s="137">
        <v>8000</v>
      </c>
      <c r="T951" s="137">
        <f t="shared" si="183"/>
        <v>160</v>
      </c>
      <c r="U951" s="137">
        <f t="shared" si="188"/>
        <v>8160</v>
      </c>
      <c r="V951" s="137">
        <v>8160</v>
      </c>
      <c r="W951" s="137">
        <f t="shared" si="189"/>
        <v>0</v>
      </c>
      <c r="X951" s="137">
        <f t="shared" si="184"/>
        <v>0</v>
      </c>
      <c r="Y951" s="137">
        <f t="shared" si="190"/>
        <v>0</v>
      </c>
      <c r="Z951" s="137">
        <v>8158.9</v>
      </c>
      <c r="AA951" s="137">
        <f t="shared" si="185"/>
        <v>1.1000000000003638</v>
      </c>
      <c r="AB951" s="146">
        <f t="shared" si="197"/>
        <v>7998.9215686274501</v>
      </c>
      <c r="AC951" s="147">
        <f t="shared" si="187"/>
        <v>159.97843137254949</v>
      </c>
      <c r="AD951" s="137">
        <f>(Z951-Q951)*0.89807640489087</f>
        <v>7327.3155798641192</v>
      </c>
      <c r="AE951" s="138">
        <v>0.11269173273981201</v>
      </c>
      <c r="AF951" s="137">
        <f t="shared" si="202"/>
        <v>825.72788902630793</v>
      </c>
      <c r="AG951" s="137">
        <v>569.99601375892701</v>
      </c>
      <c r="AH951" s="154"/>
      <c r="AI951" s="154"/>
      <c r="AJ951" s="135" t="s">
        <v>173</v>
      </c>
      <c r="AK951" s="119" t="s">
        <v>173</v>
      </c>
    </row>
    <row r="952" spans="1:39" s="119" customFormat="1" ht="15" customHeight="1" x14ac:dyDescent="0.3">
      <c r="A952" s="119">
        <v>2017</v>
      </c>
      <c r="B952" s="119" t="s">
        <v>38</v>
      </c>
      <c r="C952" s="119" t="s">
        <v>59</v>
      </c>
      <c r="D952" s="119" t="s">
        <v>154</v>
      </c>
      <c r="E952" s="119" t="s">
        <v>468</v>
      </c>
      <c r="F952" s="119" t="s">
        <v>724</v>
      </c>
      <c r="G952" s="119" t="s">
        <v>724</v>
      </c>
      <c r="H952" s="119" t="s">
        <v>724</v>
      </c>
      <c r="I952" s="119" t="s">
        <v>170</v>
      </c>
      <c r="J952" s="119" t="s">
        <v>171</v>
      </c>
      <c r="K952" s="119" t="s">
        <v>172</v>
      </c>
      <c r="L952" s="119" t="s">
        <v>724</v>
      </c>
      <c r="M952" s="119" t="s">
        <v>185</v>
      </c>
      <c r="N952" s="136">
        <v>0.04</v>
      </c>
      <c r="O952" s="135" t="s">
        <v>51</v>
      </c>
      <c r="P952" s="135"/>
      <c r="Q952" s="137">
        <v>0</v>
      </c>
      <c r="R952" s="137">
        <v>0</v>
      </c>
      <c r="S952" s="137">
        <v>2000</v>
      </c>
      <c r="T952" s="137">
        <f t="shared" si="183"/>
        <v>80</v>
      </c>
      <c r="U952" s="137">
        <f t="shared" si="188"/>
        <v>2080</v>
      </c>
      <c r="V952" s="137">
        <v>2080</v>
      </c>
      <c r="W952" s="137">
        <f t="shared" si="189"/>
        <v>0</v>
      </c>
      <c r="X952" s="137">
        <f t="shared" si="184"/>
        <v>0</v>
      </c>
      <c r="Y952" s="137">
        <f t="shared" si="190"/>
        <v>0</v>
      </c>
      <c r="Z952" s="137">
        <v>1673.5</v>
      </c>
      <c r="AA952" s="137">
        <f t="shared" si="185"/>
        <v>406.5</v>
      </c>
      <c r="AB952" s="146">
        <f t="shared" si="197"/>
        <v>1609.1346153846152</v>
      </c>
      <c r="AC952" s="147">
        <f t="shared" si="187"/>
        <v>64.365384615384755</v>
      </c>
      <c r="AD952" s="137">
        <f>(Z952-Q952)*0.91072157793815</f>
        <v>1524.092560679494</v>
      </c>
      <c r="AE952" s="138">
        <v>0.11269173273981201</v>
      </c>
      <c r="AF952" s="137">
        <f t="shared" si="202"/>
        <v>171.75263151882925</v>
      </c>
      <c r="AG952" s="137">
        <v>85.3621808563732</v>
      </c>
      <c r="AH952" s="154"/>
      <c r="AI952" s="154"/>
      <c r="AJ952" s="135" t="s">
        <v>186</v>
      </c>
      <c r="AK952" s="119" t="s">
        <v>186</v>
      </c>
    </row>
    <row r="953" spans="1:39" s="119" customFormat="1" ht="15" customHeight="1" x14ac:dyDescent="0.3">
      <c r="A953" s="119">
        <v>2017</v>
      </c>
      <c r="B953" s="119" t="s">
        <v>199</v>
      </c>
      <c r="C953" s="119" t="s">
        <v>59</v>
      </c>
      <c r="D953" s="119" t="s">
        <v>154</v>
      </c>
      <c r="E953" s="119" t="s">
        <v>192</v>
      </c>
      <c r="F953" s="119" t="s">
        <v>965</v>
      </c>
      <c r="G953" s="119" t="s">
        <v>966</v>
      </c>
      <c r="H953" s="119" t="s">
        <v>966</v>
      </c>
      <c r="I953" s="119" t="s">
        <v>170</v>
      </c>
      <c r="J953" s="119" t="s">
        <v>171</v>
      </c>
      <c r="K953" s="119" t="s">
        <v>172</v>
      </c>
      <c r="L953" s="119" t="s">
        <v>965</v>
      </c>
      <c r="M953" s="119" t="s">
        <v>46</v>
      </c>
      <c r="N953" s="136">
        <v>0.02</v>
      </c>
      <c r="O953" s="135" t="s">
        <v>51</v>
      </c>
      <c r="P953" s="135"/>
      <c r="Q953" s="137">
        <v>0</v>
      </c>
      <c r="R953" s="137">
        <v>0</v>
      </c>
      <c r="S953" s="137">
        <v>60000</v>
      </c>
      <c r="T953" s="137">
        <f t="shared" si="183"/>
        <v>1200</v>
      </c>
      <c r="U953" s="137">
        <f t="shared" si="188"/>
        <v>61200</v>
      </c>
      <c r="V953" s="137">
        <v>61200</v>
      </c>
      <c r="W953" s="137">
        <f t="shared" si="189"/>
        <v>0</v>
      </c>
      <c r="X953" s="137">
        <f t="shared" si="184"/>
        <v>0</v>
      </c>
      <c r="Y953" s="137">
        <f t="shared" si="190"/>
        <v>0</v>
      </c>
      <c r="Z953" s="137">
        <v>61199.3</v>
      </c>
      <c r="AA953" s="137">
        <f t="shared" si="185"/>
        <v>0.69999999999708962</v>
      </c>
      <c r="AB953" s="146">
        <f t="shared" si="197"/>
        <v>59999.313725490196</v>
      </c>
      <c r="AC953" s="147">
        <f t="shared" si="187"/>
        <v>1199.9862745098071</v>
      </c>
      <c r="AD953" s="137">
        <f t="shared" ref="AD953:AD954" si="204">(Z953-Q953)*0.89807640489087</f>
        <v>54961.647325837825</v>
      </c>
      <c r="AE953" s="138">
        <v>0.11269173273981201</v>
      </c>
      <c r="AF953" s="137">
        <f t="shared" si="202"/>
        <v>6193.723271383119</v>
      </c>
      <c r="AG953" s="137">
        <v>4275.4975603128796</v>
      </c>
      <c r="AH953" s="154"/>
      <c r="AI953" s="154"/>
      <c r="AJ953" s="135" t="s">
        <v>173</v>
      </c>
      <c r="AK953" s="119" t="s">
        <v>173</v>
      </c>
    </row>
    <row r="954" spans="1:39" s="119" customFormat="1" ht="15" customHeight="1" x14ac:dyDescent="0.3">
      <c r="A954" s="119">
        <v>2017</v>
      </c>
      <c r="B954" s="119" t="s">
        <v>38</v>
      </c>
      <c r="C954" s="119" t="s">
        <v>54</v>
      </c>
      <c r="D954" s="119" t="s">
        <v>102</v>
      </c>
      <c r="E954" s="119" t="s">
        <v>115</v>
      </c>
      <c r="F954" s="119" t="s">
        <v>571</v>
      </c>
      <c r="G954" s="119" t="s">
        <v>571</v>
      </c>
      <c r="H954" s="119" t="s">
        <v>571</v>
      </c>
      <c r="I954" s="119" t="s">
        <v>170</v>
      </c>
      <c r="J954" s="119" t="s">
        <v>171</v>
      </c>
      <c r="K954" s="119" t="s">
        <v>172</v>
      </c>
      <c r="L954" s="119" t="s">
        <v>571</v>
      </c>
      <c r="M954" s="119" t="s">
        <v>46</v>
      </c>
      <c r="N954" s="136">
        <v>0.02</v>
      </c>
      <c r="O954" s="135" t="s">
        <v>51</v>
      </c>
      <c r="P954" s="135"/>
      <c r="Q954" s="137">
        <v>50805.640816251202</v>
      </c>
      <c r="R954" s="137">
        <v>0</v>
      </c>
      <c r="S954" s="137">
        <v>205904.7</v>
      </c>
      <c r="T954" s="137">
        <f t="shared" si="183"/>
        <v>4118.0940000000001</v>
      </c>
      <c r="U954" s="137">
        <f t="shared" si="188"/>
        <v>210022.79400000002</v>
      </c>
      <c r="V954" s="137">
        <v>222385.4</v>
      </c>
      <c r="W954" s="137">
        <f t="shared" si="189"/>
        <v>-12362.605999999971</v>
      </c>
      <c r="X954" s="137">
        <f t="shared" si="184"/>
        <v>-12120.201960784285</v>
      </c>
      <c r="Y954" s="137">
        <f t="shared" si="190"/>
        <v>-242.40403921568577</v>
      </c>
      <c r="Z954" s="137">
        <v>292138</v>
      </c>
      <c r="AA954" s="137">
        <f t="shared" si="185"/>
        <v>-18946.959183748811</v>
      </c>
      <c r="AB954" s="146">
        <f>IF(O954="返货",(Z954-Q954)/(1+N954),IF(O954="返现",(Z954-Q954),IF(O954="折扣",(Z954-Q954)*N954,IF(O954="无",(Z954-Q954)))))</f>
        <v>236600.35214093019</v>
      </c>
      <c r="AC954" s="147">
        <f t="shared" si="187"/>
        <v>55537.64785906981</v>
      </c>
      <c r="AD954" s="137">
        <f t="shared" si="204"/>
        <v>216734.89751957328</v>
      </c>
      <c r="AE954" s="138">
        <v>0.11269173273981201</v>
      </c>
      <c r="AF954" s="137">
        <f t="shared" si="202"/>
        <v>24424.231146666298</v>
      </c>
      <c r="AG954" s="137">
        <v>15933.4247087725</v>
      </c>
      <c r="AH954" s="154"/>
      <c r="AI954" s="154"/>
      <c r="AJ954" s="135" t="s">
        <v>173</v>
      </c>
      <c r="AK954" s="119" t="s">
        <v>173</v>
      </c>
      <c r="AM954" s="119" t="s">
        <v>174</v>
      </c>
    </row>
    <row r="955" spans="1:39" s="119" customFormat="1" ht="15" customHeight="1" x14ac:dyDescent="0.3">
      <c r="A955" s="119">
        <v>2017</v>
      </c>
      <c r="B955" s="119" t="s">
        <v>38</v>
      </c>
      <c r="C955" s="119" t="s">
        <v>59</v>
      </c>
      <c r="D955" s="119" t="s">
        <v>154</v>
      </c>
      <c r="E955" s="119" t="s">
        <v>192</v>
      </c>
      <c r="F955" s="119" t="s">
        <v>967</v>
      </c>
      <c r="G955" s="119" t="s">
        <v>967</v>
      </c>
      <c r="H955" s="119" t="s">
        <v>967</v>
      </c>
      <c r="I955" s="119" t="s">
        <v>170</v>
      </c>
      <c r="J955" s="119" t="s">
        <v>171</v>
      </c>
      <c r="K955" s="119" t="s">
        <v>172</v>
      </c>
      <c r="L955" s="119" t="s">
        <v>967</v>
      </c>
      <c r="M955" s="119" t="s">
        <v>185</v>
      </c>
      <c r="N955" s="136">
        <v>0.08</v>
      </c>
      <c r="O955" s="135" t="s">
        <v>51</v>
      </c>
      <c r="P955" s="135"/>
      <c r="Q955" s="137">
        <v>0</v>
      </c>
      <c r="R955" s="137">
        <v>0</v>
      </c>
      <c r="S955" s="137">
        <v>18518.52</v>
      </c>
      <c r="T955" s="137">
        <f t="shared" si="183"/>
        <v>1481.4816000000001</v>
      </c>
      <c r="U955" s="137">
        <f t="shared" si="188"/>
        <v>20000.0016</v>
      </c>
      <c r="V955" s="137">
        <v>20000</v>
      </c>
      <c r="W955" s="137">
        <f t="shared" si="189"/>
        <v>1.5999999995983671E-3</v>
      </c>
      <c r="X955" s="137">
        <f t="shared" si="184"/>
        <v>1.4814814811095992E-3</v>
      </c>
      <c r="Y955" s="137">
        <f t="shared" si="190"/>
        <v>1.1851851848876794E-4</v>
      </c>
      <c r="Z955" s="137">
        <v>0</v>
      </c>
      <c r="AA955" s="137">
        <f t="shared" si="185"/>
        <v>20000</v>
      </c>
      <c r="AB955" s="146">
        <f t="shared" ref="AB955:AB961" si="205">IF(O955="返货",Z955/(1+N955),IF(O955="返现",Z955,IF(O955="折扣",Z955*N955,IF(O955="无",Z955))))</f>
        <v>0</v>
      </c>
      <c r="AC955" s="147">
        <f t="shared" si="187"/>
        <v>0</v>
      </c>
      <c r="AD955" s="137">
        <f>(Z955-Q955)*0.91072157793815</f>
        <v>0</v>
      </c>
      <c r="AE955" s="138">
        <v>0.11269173273981201</v>
      </c>
      <c r="AF955" s="137">
        <f t="shared" si="202"/>
        <v>0</v>
      </c>
      <c r="AG955" s="137">
        <v>0</v>
      </c>
      <c r="AH955" s="154"/>
      <c r="AI955" s="154"/>
      <c r="AJ955" s="136">
        <v>0.08</v>
      </c>
      <c r="AK955" s="156">
        <v>0.08</v>
      </c>
    </row>
    <row r="956" spans="1:39" s="119" customFormat="1" ht="15" customHeight="1" x14ac:dyDescent="0.3">
      <c r="A956" s="119">
        <v>2017</v>
      </c>
      <c r="B956" s="119" t="s">
        <v>38</v>
      </c>
      <c r="C956" s="119" t="s">
        <v>59</v>
      </c>
      <c r="D956" s="119" t="s">
        <v>727</v>
      </c>
      <c r="E956" s="119" t="s">
        <v>131</v>
      </c>
      <c r="F956" s="119" t="s">
        <v>731</v>
      </c>
      <c r="G956" s="119" t="s">
        <v>731</v>
      </c>
      <c r="H956" s="119" t="s">
        <v>731</v>
      </c>
      <c r="I956" s="119" t="s">
        <v>170</v>
      </c>
      <c r="J956" s="119" t="s">
        <v>171</v>
      </c>
      <c r="K956" s="119" t="s">
        <v>172</v>
      </c>
      <c r="L956" s="119" t="s">
        <v>731</v>
      </c>
      <c r="M956" s="119" t="s">
        <v>46</v>
      </c>
      <c r="N956" s="136">
        <v>0.02</v>
      </c>
      <c r="O956" s="135" t="s">
        <v>51</v>
      </c>
      <c r="P956" s="135"/>
      <c r="Q956" s="137">
        <v>0</v>
      </c>
      <c r="R956" s="137">
        <v>0</v>
      </c>
      <c r="S956" s="137">
        <v>10000</v>
      </c>
      <c r="T956" s="137">
        <f t="shared" si="183"/>
        <v>200</v>
      </c>
      <c r="U956" s="137">
        <f t="shared" si="188"/>
        <v>10200</v>
      </c>
      <c r="V956" s="137">
        <v>10000</v>
      </c>
      <c r="W956" s="137">
        <f t="shared" si="189"/>
        <v>200</v>
      </c>
      <c r="X956" s="137">
        <f t="shared" si="184"/>
        <v>196.07843137254901</v>
      </c>
      <c r="Y956" s="137">
        <f t="shared" si="190"/>
        <v>3.9215686274509949</v>
      </c>
      <c r="Z956" s="137">
        <v>6960.4</v>
      </c>
      <c r="AA956" s="137">
        <f t="shared" si="185"/>
        <v>3039.6000000000004</v>
      </c>
      <c r="AB956" s="146">
        <f t="shared" si="205"/>
        <v>6823.9215686274501</v>
      </c>
      <c r="AC956" s="147">
        <f t="shared" si="187"/>
        <v>136.47843137254949</v>
      </c>
      <c r="AD956" s="137">
        <f t="shared" ref="AD956:AD959" si="206">(Z956-Q956)*0.89807640489087</f>
        <v>6250.9710086024115</v>
      </c>
      <c r="AE956" s="138">
        <v>0.11269173273981201</v>
      </c>
      <c r="AF956" s="137">
        <f t="shared" si="202"/>
        <v>704.43275426573609</v>
      </c>
      <c r="AG956" s="137">
        <v>486.26656217966098</v>
      </c>
      <c r="AH956" s="154"/>
      <c r="AI956" s="154"/>
      <c r="AJ956" s="135" t="s">
        <v>173</v>
      </c>
      <c r="AK956" s="119" t="s">
        <v>173</v>
      </c>
    </row>
    <row r="957" spans="1:39" s="119" customFormat="1" ht="15" customHeight="1" x14ac:dyDescent="0.3">
      <c r="A957" s="119">
        <v>2017</v>
      </c>
      <c r="B957" s="119" t="s">
        <v>38</v>
      </c>
      <c r="C957" s="119" t="s">
        <v>59</v>
      </c>
      <c r="D957" s="119" t="s">
        <v>181</v>
      </c>
      <c r="E957" s="119" t="s">
        <v>61</v>
      </c>
      <c r="F957" s="119" t="s">
        <v>968</v>
      </c>
      <c r="G957" s="119" t="s">
        <v>968</v>
      </c>
      <c r="H957" s="119" t="s">
        <v>968</v>
      </c>
      <c r="I957" s="119" t="s">
        <v>170</v>
      </c>
      <c r="J957" s="119" t="s">
        <v>171</v>
      </c>
      <c r="K957" s="119" t="s">
        <v>172</v>
      </c>
      <c r="L957" s="119" t="s">
        <v>968</v>
      </c>
      <c r="M957" s="119" t="s">
        <v>46</v>
      </c>
      <c r="N957" s="136">
        <v>0.02</v>
      </c>
      <c r="O957" s="135" t="s">
        <v>51</v>
      </c>
      <c r="P957" s="135"/>
      <c r="Q957" s="137">
        <v>0</v>
      </c>
      <c r="R957" s="137">
        <v>0</v>
      </c>
      <c r="S957" s="137">
        <v>20000</v>
      </c>
      <c r="T957" s="137">
        <f t="shared" si="183"/>
        <v>400</v>
      </c>
      <c r="U957" s="137">
        <f t="shared" si="188"/>
        <v>20400</v>
      </c>
      <c r="V957" s="137">
        <v>20400</v>
      </c>
      <c r="W957" s="137">
        <f t="shared" si="189"/>
        <v>0</v>
      </c>
      <c r="X957" s="137">
        <f t="shared" si="184"/>
        <v>0</v>
      </c>
      <c r="Y957" s="137">
        <f t="shared" si="190"/>
        <v>0</v>
      </c>
      <c r="Z957" s="137">
        <v>15652.6</v>
      </c>
      <c r="AA957" s="137">
        <f t="shared" si="185"/>
        <v>4747.3999999999996</v>
      </c>
      <c r="AB957" s="146">
        <f t="shared" si="205"/>
        <v>15345.686274509804</v>
      </c>
      <c r="AC957" s="147">
        <f t="shared" si="187"/>
        <v>306.91372549019616</v>
      </c>
      <c r="AD957" s="137">
        <f t="shared" si="206"/>
        <v>14057.230735194833</v>
      </c>
      <c r="AE957" s="138">
        <v>0.11269173273981201</v>
      </c>
      <c r="AF957" s="137">
        <f t="shared" si="202"/>
        <v>1584.1336890724472</v>
      </c>
      <c r="AG957" s="137">
        <v>1093.51991138058</v>
      </c>
      <c r="AH957" s="154"/>
      <c r="AI957" s="154"/>
      <c r="AJ957" s="135" t="s">
        <v>173</v>
      </c>
      <c r="AK957" s="119" t="s">
        <v>173</v>
      </c>
    </row>
    <row r="958" spans="1:39" s="119" customFormat="1" ht="15" customHeight="1" x14ac:dyDescent="0.3">
      <c r="A958" s="119">
        <v>2017</v>
      </c>
      <c r="B958" s="119" t="s">
        <v>38</v>
      </c>
      <c r="C958" s="119" t="s">
        <v>59</v>
      </c>
      <c r="D958" s="119" t="s">
        <v>181</v>
      </c>
      <c r="E958" s="119" t="s">
        <v>61</v>
      </c>
      <c r="F958" s="119" t="s">
        <v>969</v>
      </c>
      <c r="G958" s="119" t="s">
        <v>969</v>
      </c>
      <c r="H958" s="119" t="s">
        <v>969</v>
      </c>
      <c r="I958" s="119" t="s">
        <v>170</v>
      </c>
      <c r="J958" s="119" t="s">
        <v>171</v>
      </c>
      <c r="K958" s="119" t="s">
        <v>172</v>
      </c>
      <c r="L958" s="119" t="s">
        <v>969</v>
      </c>
      <c r="M958" s="119" t="s">
        <v>46</v>
      </c>
      <c r="N958" s="136">
        <v>0.02</v>
      </c>
      <c r="O958" s="135" t="s">
        <v>51</v>
      </c>
      <c r="P958" s="135"/>
      <c r="Q958" s="137">
        <v>0</v>
      </c>
      <c r="R958" s="137">
        <v>0</v>
      </c>
      <c r="S958" s="137">
        <v>10000</v>
      </c>
      <c r="T958" s="137">
        <f t="shared" si="183"/>
        <v>200</v>
      </c>
      <c r="U958" s="137">
        <f t="shared" si="188"/>
        <v>10200</v>
      </c>
      <c r="V958" s="137">
        <v>10200</v>
      </c>
      <c r="W958" s="137">
        <f t="shared" si="189"/>
        <v>0</v>
      </c>
      <c r="X958" s="137">
        <f t="shared" si="184"/>
        <v>0</v>
      </c>
      <c r="Y958" s="137">
        <f t="shared" si="190"/>
        <v>0</v>
      </c>
      <c r="Z958" s="137">
        <v>3631.4</v>
      </c>
      <c r="AA958" s="137">
        <f t="shared" si="185"/>
        <v>6568.6</v>
      </c>
      <c r="AB958" s="146">
        <f t="shared" si="205"/>
        <v>3560.1960784313724</v>
      </c>
      <c r="AC958" s="147">
        <f t="shared" si="187"/>
        <v>71.20392156862772</v>
      </c>
      <c r="AD958" s="137">
        <f t="shared" si="206"/>
        <v>3261.2746567207055</v>
      </c>
      <c r="AE958" s="138">
        <v>0.11269173273981201</v>
      </c>
      <c r="AF958" s="137">
        <f t="shared" si="202"/>
        <v>367.51869200629187</v>
      </c>
      <c r="AG958" s="137">
        <v>253.69639588230899</v>
      </c>
      <c r="AH958" s="154"/>
      <c r="AI958" s="154"/>
      <c r="AJ958" s="135" t="s">
        <v>173</v>
      </c>
      <c r="AK958" s="119" t="s">
        <v>173</v>
      </c>
    </row>
    <row r="959" spans="1:39" s="119" customFormat="1" ht="15" customHeight="1" x14ac:dyDescent="0.3">
      <c r="A959" s="119">
        <v>2017</v>
      </c>
      <c r="B959" s="119" t="s">
        <v>38</v>
      </c>
      <c r="C959" s="119" t="s">
        <v>59</v>
      </c>
      <c r="D959" s="119" t="s">
        <v>181</v>
      </c>
      <c r="E959" s="119" t="s">
        <v>61</v>
      </c>
      <c r="F959" s="119" t="s">
        <v>471</v>
      </c>
      <c r="G959" s="119" t="s">
        <v>471</v>
      </c>
      <c r="H959" s="119" t="s">
        <v>471</v>
      </c>
      <c r="I959" s="119" t="s">
        <v>170</v>
      </c>
      <c r="J959" s="119" t="s">
        <v>171</v>
      </c>
      <c r="K959" s="119" t="s">
        <v>172</v>
      </c>
      <c r="L959" s="119" t="s">
        <v>471</v>
      </c>
      <c r="M959" s="119" t="s">
        <v>46</v>
      </c>
      <c r="N959" s="136">
        <v>0.04</v>
      </c>
      <c r="O959" s="135" t="s">
        <v>51</v>
      </c>
      <c r="P959" s="135"/>
      <c r="Q959" s="137">
        <v>0</v>
      </c>
      <c r="R959" s="137">
        <v>0</v>
      </c>
      <c r="S959" s="137">
        <v>10000</v>
      </c>
      <c r="T959" s="137">
        <f t="shared" si="183"/>
        <v>400</v>
      </c>
      <c r="U959" s="137">
        <f t="shared" si="188"/>
        <v>10400</v>
      </c>
      <c r="V959" s="137">
        <v>10620.6</v>
      </c>
      <c r="W959" s="137">
        <f t="shared" si="189"/>
        <v>-220.60000000000036</v>
      </c>
      <c r="X959" s="137">
        <f t="shared" si="184"/>
        <v>-212.11538461538495</v>
      </c>
      <c r="Y959" s="137">
        <f t="shared" si="190"/>
        <v>-8.4846153846154095</v>
      </c>
      <c r="Z959" s="137">
        <v>9051.1</v>
      </c>
      <c r="AA959" s="137">
        <f t="shared" si="185"/>
        <v>1569.5</v>
      </c>
      <c r="AB959" s="146">
        <f t="shared" si="205"/>
        <v>8702.9807692307695</v>
      </c>
      <c r="AC959" s="147">
        <f t="shared" si="187"/>
        <v>348.11923076923085</v>
      </c>
      <c r="AD959" s="137">
        <f t="shared" si="206"/>
        <v>8128.5793483077541</v>
      </c>
      <c r="AE959" s="138">
        <v>0.11269173273981201</v>
      </c>
      <c r="AF959" s="137">
        <f t="shared" si="202"/>
        <v>916.02369147385264</v>
      </c>
      <c r="AG959" s="137">
        <v>461.68009270936398</v>
      </c>
      <c r="AH959" s="154"/>
      <c r="AI959" s="154"/>
      <c r="AJ959" s="135" t="s">
        <v>186</v>
      </c>
      <c r="AK959" s="119" t="s">
        <v>186</v>
      </c>
    </row>
    <row r="960" spans="1:39" s="119" customFormat="1" ht="15" customHeight="1" x14ac:dyDescent="0.3">
      <c r="A960" s="119">
        <v>2017</v>
      </c>
      <c r="B960" s="119" t="s">
        <v>38</v>
      </c>
      <c r="C960" s="119" t="s">
        <v>59</v>
      </c>
      <c r="D960" s="119" t="s">
        <v>181</v>
      </c>
      <c r="E960" s="119" t="s">
        <v>61</v>
      </c>
      <c r="F960" s="119" t="s">
        <v>970</v>
      </c>
      <c r="G960" s="119" t="s">
        <v>970</v>
      </c>
      <c r="H960" s="119" t="s">
        <v>970</v>
      </c>
      <c r="I960" s="119" t="s">
        <v>170</v>
      </c>
      <c r="J960" s="119" t="s">
        <v>603</v>
      </c>
      <c r="K960" s="119" t="s">
        <v>883</v>
      </c>
      <c r="L960" s="119" t="s">
        <v>970</v>
      </c>
      <c r="M960" s="119" t="s">
        <v>46</v>
      </c>
      <c r="N960" s="136">
        <v>0.02</v>
      </c>
      <c r="O960" s="135" t="s">
        <v>51</v>
      </c>
      <c r="P960" s="135"/>
      <c r="Q960" s="137">
        <v>0</v>
      </c>
      <c r="R960" s="137">
        <v>0</v>
      </c>
      <c r="S960" s="137">
        <v>330000</v>
      </c>
      <c r="T960" s="137">
        <f t="shared" si="183"/>
        <v>6600</v>
      </c>
      <c r="U960" s="137">
        <f t="shared" si="188"/>
        <v>336600</v>
      </c>
      <c r="V960" s="137">
        <v>280000</v>
      </c>
      <c r="W960" s="137">
        <f t="shared" si="189"/>
        <v>56600</v>
      </c>
      <c r="X960" s="137">
        <f t="shared" si="184"/>
        <v>55490.196078431371</v>
      </c>
      <c r="Y960" s="137">
        <f t="shared" si="190"/>
        <v>1109.8039215686294</v>
      </c>
      <c r="Z960" s="137">
        <v>281660.90000000002</v>
      </c>
      <c r="AA960" s="137">
        <f t="shared" si="185"/>
        <v>-1660.9000000000233</v>
      </c>
      <c r="AB960" s="146">
        <f t="shared" si="205"/>
        <v>276138.13725490199</v>
      </c>
      <c r="AC960" s="147">
        <f t="shared" si="187"/>
        <v>5522.7627450980362</v>
      </c>
      <c r="AD960" s="137">
        <v>281660.90000000002</v>
      </c>
      <c r="AE960" s="138">
        <v>0.1</v>
      </c>
      <c r="AF960" s="137">
        <f t="shared" si="202"/>
        <v>28166.090000000004</v>
      </c>
      <c r="AG960" s="137">
        <v>22643.327254902</v>
      </c>
      <c r="AH960" s="154"/>
      <c r="AI960" s="154"/>
      <c r="AJ960" s="135" t="s">
        <v>173</v>
      </c>
      <c r="AK960" s="119" t="s">
        <v>173</v>
      </c>
    </row>
    <row r="961" spans="1:39" s="119" customFormat="1" ht="15" customHeight="1" x14ac:dyDescent="0.3">
      <c r="A961" s="119">
        <v>2017</v>
      </c>
      <c r="B961" s="119" t="s">
        <v>38</v>
      </c>
      <c r="C961" s="119" t="s">
        <v>59</v>
      </c>
      <c r="D961" s="119" t="s">
        <v>181</v>
      </c>
      <c r="E961" s="119" t="s">
        <v>61</v>
      </c>
      <c r="F961" s="119" t="s">
        <v>971</v>
      </c>
      <c r="G961" s="119" t="s">
        <v>971</v>
      </c>
      <c r="H961" s="119" t="s">
        <v>971</v>
      </c>
      <c r="I961" s="119" t="s">
        <v>170</v>
      </c>
      <c r="J961" s="119" t="s">
        <v>171</v>
      </c>
      <c r="K961" s="119" t="s">
        <v>172</v>
      </c>
      <c r="L961" s="119" t="s">
        <v>971</v>
      </c>
      <c r="M961" s="119" t="s">
        <v>46</v>
      </c>
      <c r="N961" s="136">
        <v>0.02</v>
      </c>
      <c r="O961" s="135" t="s">
        <v>51</v>
      </c>
      <c r="P961" s="135"/>
      <c r="Q961" s="137">
        <v>0</v>
      </c>
      <c r="R961" s="137">
        <v>0</v>
      </c>
      <c r="S961" s="137">
        <v>10000</v>
      </c>
      <c r="T961" s="137">
        <f t="shared" si="183"/>
        <v>200</v>
      </c>
      <c r="U961" s="137">
        <f t="shared" si="188"/>
        <v>10200</v>
      </c>
      <c r="V961" s="137">
        <v>10000</v>
      </c>
      <c r="W961" s="137">
        <f t="shared" si="189"/>
        <v>200</v>
      </c>
      <c r="X961" s="137">
        <f t="shared" si="184"/>
        <v>196.07843137254901</v>
      </c>
      <c r="Y961" s="137">
        <f t="shared" si="190"/>
        <v>3.9215686274509949</v>
      </c>
      <c r="Z961" s="137">
        <v>9999.5</v>
      </c>
      <c r="AA961" s="137">
        <f t="shared" si="185"/>
        <v>0.5</v>
      </c>
      <c r="AB961" s="146">
        <f t="shared" si="205"/>
        <v>9803.4313725490192</v>
      </c>
      <c r="AC961" s="147">
        <f t="shared" si="187"/>
        <v>196.06862745098078</v>
      </c>
      <c r="AD961" s="137">
        <f t="shared" ref="AD961:AD963" si="207">(Z961-Q961)*0.89807640489087</f>
        <v>8980.3150107062556</v>
      </c>
      <c r="AE961" s="138">
        <v>0.11269173273981201</v>
      </c>
      <c r="AF961" s="137">
        <f t="shared" si="202"/>
        <v>1012.0072591058314</v>
      </c>
      <c r="AG961" s="137">
        <v>698.58377227106496</v>
      </c>
      <c r="AH961" s="154"/>
      <c r="AI961" s="154"/>
      <c r="AJ961" s="135" t="s">
        <v>173</v>
      </c>
      <c r="AK961" s="119" t="s">
        <v>173</v>
      </c>
    </row>
    <row r="962" spans="1:39" s="119" customFormat="1" ht="15" customHeight="1" x14ac:dyDescent="0.3">
      <c r="A962" s="119">
        <v>2017</v>
      </c>
      <c r="B962" s="119" t="s">
        <v>199</v>
      </c>
      <c r="C962" s="119" t="s">
        <v>200</v>
      </c>
      <c r="D962" s="119" t="s">
        <v>201</v>
      </c>
      <c r="F962" s="131" t="s">
        <v>948</v>
      </c>
      <c r="G962" s="131" t="s">
        <v>949</v>
      </c>
      <c r="H962" s="131" t="s">
        <v>949</v>
      </c>
      <c r="I962" s="119" t="s">
        <v>170</v>
      </c>
      <c r="J962" s="119" t="s">
        <v>171</v>
      </c>
      <c r="K962" s="119" t="s">
        <v>172</v>
      </c>
      <c r="L962" s="119" t="s">
        <v>972</v>
      </c>
      <c r="M962" s="119" t="s">
        <v>46</v>
      </c>
      <c r="N962" s="136">
        <v>0.04</v>
      </c>
      <c r="O962" s="135" t="s">
        <v>51</v>
      </c>
      <c r="P962" s="135"/>
      <c r="Q962" s="137">
        <v>204392.14402005399</v>
      </c>
      <c r="R962" s="137">
        <v>0</v>
      </c>
      <c r="S962" s="137"/>
      <c r="T962" s="137">
        <f t="shared" ref="T962:T1025" si="208">S962*N962</f>
        <v>0</v>
      </c>
      <c r="U962" s="137">
        <f t="shared" si="188"/>
        <v>0</v>
      </c>
      <c r="V962" s="137">
        <v>0</v>
      </c>
      <c r="W962" s="137">
        <f t="shared" si="189"/>
        <v>0</v>
      </c>
      <c r="X962" s="137">
        <f t="shared" ref="X962:X1025" si="209">W962/(1+N962)</f>
        <v>0</v>
      </c>
      <c r="Y962" s="137">
        <f t="shared" si="190"/>
        <v>0</v>
      </c>
      <c r="Z962" s="137">
        <v>222871.5</v>
      </c>
      <c r="AA962" s="137">
        <f t="shared" ref="AA962:AA1025" si="210">Q962+V962-Z962</f>
        <v>-18479.355979946005</v>
      </c>
      <c r="AB962" s="146">
        <f>IF(O962="返货",(Z962-Q962)/(1+N962),IF(O962="返现",(Z962-Q962),IF(O962="折扣",(Z962-Q962)*N962,IF(O962="无",(Z962-Q962)))))</f>
        <v>17768.611519178852</v>
      </c>
      <c r="AC962" s="147">
        <f t="shared" ref="AC962:AC1025" si="211">IF(O962="返现",Z962*N962,Z962-AB962)</f>
        <v>205102.88848082116</v>
      </c>
      <c r="AD962" s="137">
        <f t="shared" si="207"/>
        <v>16595.873583168508</v>
      </c>
      <c r="AE962" s="138">
        <v>0.11269173273981201</v>
      </c>
      <c r="AF962" s="137">
        <f t="shared" si="202"/>
        <v>1870.2177504181318</v>
      </c>
      <c r="AG962" s="137">
        <v>19940.249242927301</v>
      </c>
      <c r="AH962" s="154"/>
      <c r="AI962" s="154"/>
      <c r="AJ962" s="135" t="s">
        <v>186</v>
      </c>
      <c r="AK962" s="119" t="s">
        <v>47</v>
      </c>
      <c r="AM962" s="131" t="s">
        <v>208</v>
      </c>
    </row>
    <row r="963" spans="1:39" s="119" customFormat="1" ht="15" customHeight="1" x14ac:dyDescent="0.3">
      <c r="A963" s="119">
        <v>2017</v>
      </c>
      <c r="B963" s="119" t="s">
        <v>38</v>
      </c>
      <c r="C963" s="119" t="s">
        <v>59</v>
      </c>
      <c r="D963" s="119" t="s">
        <v>181</v>
      </c>
      <c r="E963" s="119" t="s">
        <v>973</v>
      </c>
      <c r="F963" s="119" t="s">
        <v>472</v>
      </c>
      <c r="G963" s="119" t="s">
        <v>472</v>
      </c>
      <c r="H963" s="119" t="s">
        <v>472</v>
      </c>
      <c r="I963" s="119" t="s">
        <v>170</v>
      </c>
      <c r="J963" s="119" t="s">
        <v>171</v>
      </c>
      <c r="K963" s="119" t="s">
        <v>172</v>
      </c>
      <c r="L963" s="119" t="s">
        <v>472</v>
      </c>
      <c r="M963" s="119" t="s">
        <v>46</v>
      </c>
      <c r="N963" s="136">
        <v>0.04</v>
      </c>
      <c r="O963" s="135" t="s">
        <v>51</v>
      </c>
      <c r="P963" s="135"/>
      <c r="Q963" s="137">
        <v>0</v>
      </c>
      <c r="R963" s="137">
        <v>0</v>
      </c>
      <c r="S963" s="137">
        <v>10000</v>
      </c>
      <c r="T963" s="137">
        <f t="shared" si="208"/>
        <v>400</v>
      </c>
      <c r="U963" s="137">
        <f t="shared" ref="U963:U1026" si="212">R963+S963+T963</f>
        <v>10400</v>
      </c>
      <c r="V963" s="137">
        <v>9779.4</v>
      </c>
      <c r="W963" s="137">
        <f t="shared" ref="W963:W1026" si="213">U963-V963</f>
        <v>620.60000000000036</v>
      </c>
      <c r="X963" s="137">
        <f t="shared" si="209"/>
        <v>596.73076923076951</v>
      </c>
      <c r="Y963" s="137">
        <f t="shared" ref="Y963:Y1026" si="214">W963-X963</f>
        <v>23.869230769230853</v>
      </c>
      <c r="Z963" s="137">
        <v>9779.4</v>
      </c>
      <c r="AA963" s="137">
        <f t="shared" si="210"/>
        <v>0</v>
      </c>
      <c r="AB963" s="146">
        <f t="shared" ref="AB963:AB970" si="215">IF(O963="返货",Z963/(1+N963),IF(O963="返现",Z963,IF(O963="折扣",Z963*N963,IF(O963="无",Z963))))</f>
        <v>9403.2692307692305</v>
      </c>
      <c r="AC963" s="147">
        <f t="shared" si="211"/>
        <v>376.13076923076915</v>
      </c>
      <c r="AD963" s="137">
        <f t="shared" si="207"/>
        <v>8782.6483939897735</v>
      </c>
      <c r="AE963" s="138">
        <v>0.11269173273981201</v>
      </c>
      <c r="AF963" s="137">
        <f t="shared" si="202"/>
        <v>989.73186556323469</v>
      </c>
      <c r="AG963" s="137">
        <v>498.82934655919797</v>
      </c>
      <c r="AH963" s="154"/>
      <c r="AI963" s="154"/>
      <c r="AJ963" s="135" t="s">
        <v>186</v>
      </c>
      <c r="AK963" s="119" t="s">
        <v>186</v>
      </c>
    </row>
    <row r="964" spans="1:39" s="119" customFormat="1" ht="15" customHeight="1" x14ac:dyDescent="0.3">
      <c r="A964" s="119">
        <v>2017</v>
      </c>
      <c r="B964" s="119" t="s">
        <v>38</v>
      </c>
      <c r="C964" s="119" t="s">
        <v>59</v>
      </c>
      <c r="D964" s="119" t="s">
        <v>181</v>
      </c>
      <c r="E964" s="119" t="s">
        <v>131</v>
      </c>
      <c r="F964" s="119" t="s">
        <v>974</v>
      </c>
      <c r="G964" s="119" t="s">
        <v>974</v>
      </c>
      <c r="H964" s="119" t="s">
        <v>974</v>
      </c>
      <c r="I964" s="119" t="s">
        <v>170</v>
      </c>
      <c r="J964" s="119" t="s">
        <v>865</v>
      </c>
      <c r="K964" s="119" t="s">
        <v>866</v>
      </c>
      <c r="L964" s="119" t="s">
        <v>974</v>
      </c>
      <c r="M964" s="119" t="s">
        <v>46</v>
      </c>
      <c r="N964" s="135">
        <v>0</v>
      </c>
      <c r="O964" s="135" t="s">
        <v>47</v>
      </c>
      <c r="P964" s="135"/>
      <c r="Q964" s="137">
        <v>0</v>
      </c>
      <c r="R964" s="137">
        <v>0</v>
      </c>
      <c r="S964" s="137">
        <v>180000</v>
      </c>
      <c r="T964" s="137">
        <f t="shared" si="208"/>
        <v>0</v>
      </c>
      <c r="U964" s="137">
        <f t="shared" si="212"/>
        <v>180000</v>
      </c>
      <c r="V964" s="137">
        <v>180600</v>
      </c>
      <c r="W964" s="137">
        <f t="shared" si="213"/>
        <v>-600</v>
      </c>
      <c r="X964" s="137">
        <f t="shared" si="209"/>
        <v>-600</v>
      </c>
      <c r="Y964" s="137">
        <f t="shared" si="214"/>
        <v>0</v>
      </c>
      <c r="Z964" s="137">
        <v>180594.2</v>
      </c>
      <c r="AA964" s="137">
        <f t="shared" si="210"/>
        <v>5.7999999999883585</v>
      </c>
      <c r="AB964" s="146">
        <f t="shared" si="215"/>
        <v>180594.2</v>
      </c>
      <c r="AC964" s="147">
        <f t="shared" si="211"/>
        <v>0</v>
      </c>
      <c r="AD964" s="137">
        <f>Z964*0.972201473425119-Q964</f>
        <v>175573.94733203063</v>
      </c>
      <c r="AE964" s="138">
        <v>0.1</v>
      </c>
      <c r="AF964" s="137">
        <f t="shared" si="202"/>
        <v>17557.394733203062</v>
      </c>
      <c r="AG964" s="137">
        <v>18059.419999999998</v>
      </c>
      <c r="AH964" s="154"/>
      <c r="AI964" s="154"/>
      <c r="AJ964" s="155">
        <v>0</v>
      </c>
      <c r="AK964" s="119">
        <v>0</v>
      </c>
    </row>
    <row r="965" spans="1:39" s="119" customFormat="1" ht="15" customHeight="1" x14ac:dyDescent="0.3">
      <c r="A965" s="119">
        <v>2017</v>
      </c>
      <c r="B965" s="119" t="s">
        <v>38</v>
      </c>
      <c r="C965" s="119" t="s">
        <v>59</v>
      </c>
      <c r="D965" s="119" t="s">
        <v>181</v>
      </c>
      <c r="E965" s="119" t="s">
        <v>192</v>
      </c>
      <c r="F965" s="119" t="s">
        <v>975</v>
      </c>
      <c r="G965" s="119" t="s">
        <v>975</v>
      </c>
      <c r="H965" s="119" t="s">
        <v>975</v>
      </c>
      <c r="I965" s="119" t="s">
        <v>170</v>
      </c>
      <c r="J965" s="119" t="s">
        <v>171</v>
      </c>
      <c r="K965" s="119" t="s">
        <v>172</v>
      </c>
      <c r="L965" s="119" t="s">
        <v>975</v>
      </c>
      <c r="M965" s="119" t="s">
        <v>185</v>
      </c>
      <c r="N965" s="136">
        <v>0.04</v>
      </c>
      <c r="O965" s="135" t="s">
        <v>51</v>
      </c>
      <c r="P965" s="135"/>
      <c r="Q965" s="137">
        <v>0</v>
      </c>
      <c r="R965" s="137">
        <v>0</v>
      </c>
      <c r="S965" s="137">
        <v>30994.400000000001</v>
      </c>
      <c r="T965" s="137">
        <f t="shared" si="208"/>
        <v>1239.7760000000001</v>
      </c>
      <c r="U965" s="137">
        <f t="shared" si="212"/>
        <v>32234.176000000003</v>
      </c>
      <c r="V965" s="137">
        <v>70000</v>
      </c>
      <c r="W965" s="137">
        <f t="shared" si="213"/>
        <v>-37765.823999999993</v>
      </c>
      <c r="X965" s="137">
        <f t="shared" si="209"/>
        <v>-36313.292307692303</v>
      </c>
      <c r="Y965" s="137">
        <f t="shared" si="214"/>
        <v>-1452.5316923076898</v>
      </c>
      <c r="Z965" s="137">
        <v>45404.7</v>
      </c>
      <c r="AA965" s="137">
        <f t="shared" si="210"/>
        <v>24595.300000000003</v>
      </c>
      <c r="AB965" s="146">
        <f t="shared" si="215"/>
        <v>43658.365384615383</v>
      </c>
      <c r="AC965" s="147">
        <f t="shared" si="211"/>
        <v>1746.3346153846142</v>
      </c>
      <c r="AD965" s="137">
        <f>(Z965-Q965)*0.91072157793815</f>
        <v>41351.040029808319</v>
      </c>
      <c r="AE965" s="138">
        <v>0.11269173273981201</v>
      </c>
      <c r="AF965" s="137">
        <f t="shared" si="202"/>
        <v>4659.9203515524268</v>
      </c>
      <c r="AG965" s="137">
        <v>2316.0108832562801</v>
      </c>
      <c r="AH965" s="154"/>
      <c r="AI965" s="154"/>
      <c r="AJ965" s="136">
        <v>0.04</v>
      </c>
      <c r="AK965" s="156">
        <v>0.04</v>
      </c>
    </row>
    <row r="966" spans="1:39" s="119" customFormat="1" ht="15" customHeight="1" x14ac:dyDescent="0.3">
      <c r="A966" s="119">
        <v>2017</v>
      </c>
      <c r="B966" s="119" t="s">
        <v>38</v>
      </c>
      <c r="C966" s="119" t="s">
        <v>59</v>
      </c>
      <c r="D966" s="119" t="s">
        <v>181</v>
      </c>
      <c r="E966" s="119" t="s">
        <v>192</v>
      </c>
      <c r="F966" s="119" t="s">
        <v>970</v>
      </c>
      <c r="G966" s="119" t="s">
        <v>970</v>
      </c>
      <c r="H966" s="119" t="s">
        <v>970</v>
      </c>
      <c r="I966" s="119" t="s">
        <v>170</v>
      </c>
      <c r="J966" s="119" t="s">
        <v>865</v>
      </c>
      <c r="K966" s="119" t="s">
        <v>866</v>
      </c>
      <c r="L966" s="119" t="s">
        <v>970</v>
      </c>
      <c r="M966" s="119" t="s">
        <v>46</v>
      </c>
      <c r="N966" s="136">
        <v>0.02</v>
      </c>
      <c r="O966" s="135" t="s">
        <v>51</v>
      </c>
      <c r="P966" s="135"/>
      <c r="Q966" s="137">
        <v>0</v>
      </c>
      <c r="R966" s="137">
        <v>0</v>
      </c>
      <c r="S966" s="137">
        <v>10000</v>
      </c>
      <c r="T966" s="137">
        <f t="shared" si="208"/>
        <v>200</v>
      </c>
      <c r="U966" s="137">
        <f t="shared" si="212"/>
        <v>10200</v>
      </c>
      <c r="V966" s="137">
        <v>10200</v>
      </c>
      <c r="W966" s="137">
        <f t="shared" si="213"/>
        <v>0</v>
      </c>
      <c r="X966" s="137">
        <f t="shared" si="209"/>
        <v>0</v>
      </c>
      <c r="Y966" s="137">
        <f t="shared" si="214"/>
        <v>0</v>
      </c>
      <c r="Z966" s="137">
        <v>0</v>
      </c>
      <c r="AA966" s="137">
        <f t="shared" si="210"/>
        <v>10200</v>
      </c>
      <c r="AB966" s="146">
        <f t="shared" si="215"/>
        <v>0</v>
      </c>
      <c r="AC966" s="147">
        <f t="shared" si="211"/>
        <v>0</v>
      </c>
      <c r="AD966" s="137">
        <f>Z966*0.972201473425119-Q966</f>
        <v>0</v>
      </c>
      <c r="AE966" s="138">
        <v>0.1</v>
      </c>
      <c r="AF966" s="137">
        <f t="shared" si="202"/>
        <v>0</v>
      </c>
      <c r="AG966" s="137">
        <v>0</v>
      </c>
      <c r="AH966" s="154"/>
      <c r="AI966" s="154"/>
      <c r="AJ966" s="135" t="s">
        <v>173</v>
      </c>
      <c r="AK966" s="119" t="s">
        <v>173</v>
      </c>
    </row>
    <row r="967" spans="1:39" s="119" customFormat="1" ht="15" customHeight="1" x14ac:dyDescent="0.3">
      <c r="A967" s="119">
        <v>2017</v>
      </c>
      <c r="B967" s="119" t="s">
        <v>199</v>
      </c>
      <c r="C967" s="119" t="s">
        <v>59</v>
      </c>
      <c r="D967" s="119" t="s">
        <v>106</v>
      </c>
      <c r="E967" s="119" t="s">
        <v>107</v>
      </c>
      <c r="F967" s="119" t="s">
        <v>748</v>
      </c>
      <c r="G967" s="119" t="s">
        <v>749</v>
      </c>
      <c r="H967" s="119" t="s">
        <v>749</v>
      </c>
      <c r="I967" s="119" t="s">
        <v>170</v>
      </c>
      <c r="J967" s="119" t="s">
        <v>171</v>
      </c>
      <c r="K967" s="119" t="s">
        <v>172</v>
      </c>
      <c r="L967" s="119" t="s">
        <v>748</v>
      </c>
      <c r="M967" s="119" t="s">
        <v>46</v>
      </c>
      <c r="N967" s="136">
        <v>0.02</v>
      </c>
      <c r="O967" s="135" t="s">
        <v>51</v>
      </c>
      <c r="P967" s="135"/>
      <c r="Q967" s="137">
        <v>0</v>
      </c>
      <c r="R967" s="137">
        <v>0</v>
      </c>
      <c r="S967" s="137">
        <v>440000</v>
      </c>
      <c r="T967" s="137">
        <f t="shared" si="208"/>
        <v>8800</v>
      </c>
      <c r="U967" s="137">
        <f t="shared" si="212"/>
        <v>448800</v>
      </c>
      <c r="V967" s="137">
        <v>448800</v>
      </c>
      <c r="W967" s="137">
        <f t="shared" si="213"/>
        <v>0</v>
      </c>
      <c r="X967" s="137">
        <f t="shared" si="209"/>
        <v>0</v>
      </c>
      <c r="Y967" s="137">
        <f t="shared" si="214"/>
        <v>0</v>
      </c>
      <c r="Z967" s="137">
        <v>448798.7</v>
      </c>
      <c r="AA967" s="137">
        <f t="shared" si="210"/>
        <v>1.2999999999883585</v>
      </c>
      <c r="AB967" s="146">
        <f t="shared" si="215"/>
        <v>439998.72549019608</v>
      </c>
      <c r="AC967" s="147">
        <f t="shared" si="211"/>
        <v>8799.9745098039275</v>
      </c>
      <c r="AD967" s="137">
        <f t="shared" ref="AD967:AD968" si="216">(Z967-Q967)*0.89807640489087</f>
        <v>403055.52301569615</v>
      </c>
      <c r="AE967" s="138">
        <v>0.11269173273981201</v>
      </c>
      <c r="AF967" s="137">
        <f t="shared" si="202"/>
        <v>45421.025278989975</v>
      </c>
      <c r="AG967" s="137">
        <v>31353.916579463999</v>
      </c>
      <c r="AH967" s="154"/>
      <c r="AI967" s="154"/>
      <c r="AJ967" s="135" t="s">
        <v>173</v>
      </c>
      <c r="AK967" s="119" t="s">
        <v>173</v>
      </c>
    </row>
    <row r="968" spans="1:39" s="119" customFormat="1" ht="15" customHeight="1" x14ac:dyDescent="0.3">
      <c r="A968" s="119">
        <v>2017</v>
      </c>
      <c r="B968" s="119" t="s">
        <v>38</v>
      </c>
      <c r="C968" s="119" t="s">
        <v>59</v>
      </c>
      <c r="D968" s="119" t="s">
        <v>106</v>
      </c>
      <c r="E968" s="119" t="s">
        <v>107</v>
      </c>
      <c r="F968" s="119" t="s">
        <v>976</v>
      </c>
      <c r="G968" s="119" t="s">
        <v>976</v>
      </c>
      <c r="H968" s="119" t="s">
        <v>976</v>
      </c>
      <c r="I968" s="119" t="s">
        <v>170</v>
      </c>
      <c r="J968" s="119" t="s">
        <v>171</v>
      </c>
      <c r="K968" s="119" t="s">
        <v>172</v>
      </c>
      <c r="L968" s="119" t="s">
        <v>976</v>
      </c>
      <c r="M968" s="119" t="s">
        <v>46</v>
      </c>
      <c r="N968" s="136">
        <v>0.04</v>
      </c>
      <c r="O968" s="135" t="s">
        <v>51</v>
      </c>
      <c r="P968" s="135"/>
      <c r="Q968" s="137">
        <v>0</v>
      </c>
      <c r="R968" s="137">
        <v>0</v>
      </c>
      <c r="S968" s="137">
        <v>20000</v>
      </c>
      <c r="T968" s="137">
        <f t="shared" si="208"/>
        <v>800</v>
      </c>
      <c r="U968" s="137">
        <f t="shared" si="212"/>
        <v>20800</v>
      </c>
      <c r="V968" s="137">
        <v>20000</v>
      </c>
      <c r="W968" s="137">
        <f t="shared" si="213"/>
        <v>800</v>
      </c>
      <c r="X968" s="137">
        <f t="shared" si="209"/>
        <v>769.23076923076917</v>
      </c>
      <c r="Y968" s="137">
        <f t="shared" si="214"/>
        <v>30.76923076923083</v>
      </c>
      <c r="Z968" s="137">
        <v>0</v>
      </c>
      <c r="AA968" s="137">
        <f t="shared" si="210"/>
        <v>20000</v>
      </c>
      <c r="AB968" s="146">
        <f t="shared" si="215"/>
        <v>0</v>
      </c>
      <c r="AC968" s="147">
        <f t="shared" si="211"/>
        <v>0</v>
      </c>
      <c r="AD968" s="137">
        <f t="shared" si="216"/>
        <v>0</v>
      </c>
      <c r="AE968" s="138">
        <v>0.11269173273981201</v>
      </c>
      <c r="AF968" s="137">
        <f t="shared" si="202"/>
        <v>0</v>
      </c>
      <c r="AG968" s="137">
        <v>0</v>
      </c>
      <c r="AH968" s="154"/>
      <c r="AI968" s="154"/>
      <c r="AJ968" s="135" t="s">
        <v>186</v>
      </c>
      <c r="AK968" s="119" t="s">
        <v>186</v>
      </c>
    </row>
    <row r="969" spans="1:39" s="119" customFormat="1" ht="15" customHeight="1" x14ac:dyDescent="0.3">
      <c r="A969" s="119">
        <v>2017</v>
      </c>
      <c r="B969" s="119" t="s">
        <v>252</v>
      </c>
      <c r="C969" s="119" t="s">
        <v>75</v>
      </c>
      <c r="D969" s="119" t="s">
        <v>76</v>
      </c>
      <c r="E969" s="119" t="s">
        <v>150</v>
      </c>
      <c r="F969" s="119" t="s">
        <v>297</v>
      </c>
      <c r="G969" s="119" t="s">
        <v>298</v>
      </c>
      <c r="H969" s="119" t="s">
        <v>299</v>
      </c>
      <c r="I969" s="131" t="s">
        <v>243</v>
      </c>
      <c r="J969" s="119" t="s">
        <v>244</v>
      </c>
      <c r="K969" s="119" t="s">
        <v>245</v>
      </c>
      <c r="L969" s="119" t="s">
        <v>300</v>
      </c>
      <c r="M969" s="119" t="s">
        <v>46</v>
      </c>
      <c r="N969" s="135">
        <v>0</v>
      </c>
      <c r="O969" s="135" t="s">
        <v>47</v>
      </c>
      <c r="P969" s="135"/>
      <c r="Q969" s="137">
        <v>0</v>
      </c>
      <c r="R969" s="137">
        <v>0</v>
      </c>
      <c r="S969" s="137">
        <v>550008</v>
      </c>
      <c r="T969" s="137">
        <f t="shared" si="208"/>
        <v>0</v>
      </c>
      <c r="U969" s="137">
        <f t="shared" si="212"/>
        <v>550008</v>
      </c>
      <c r="V969" s="137">
        <v>317500</v>
      </c>
      <c r="W969" s="137">
        <f t="shared" si="213"/>
        <v>232508</v>
      </c>
      <c r="X969" s="137">
        <f t="shared" si="209"/>
        <v>232508</v>
      </c>
      <c r="Y969" s="137">
        <f t="shared" si="214"/>
        <v>0</v>
      </c>
      <c r="Z969" s="137">
        <v>334662.25</v>
      </c>
      <c r="AA969" s="137">
        <f t="shared" si="210"/>
        <v>-17162.25</v>
      </c>
      <c r="AB969" s="146">
        <f t="shared" si="215"/>
        <v>334662.25</v>
      </c>
      <c r="AC969" s="147">
        <f t="shared" si="211"/>
        <v>0</v>
      </c>
      <c r="AD969" s="137">
        <v>280536.50477993698</v>
      </c>
      <c r="AE969" s="138">
        <v>0.17647058823529399</v>
      </c>
      <c r="AF969" s="137">
        <f t="shared" si="202"/>
        <v>49506.442019988841</v>
      </c>
      <c r="AG969" s="137">
        <f>AB969-Z969+AF969</f>
        <v>49506.442019988841</v>
      </c>
      <c r="AH969" s="154"/>
      <c r="AI969" s="154"/>
      <c r="AJ969" s="135" t="s">
        <v>47</v>
      </c>
      <c r="AK969" s="119" t="s">
        <v>47</v>
      </c>
      <c r="AM969" s="131"/>
    </row>
    <row r="970" spans="1:39" s="119" customFormat="1" ht="15" customHeight="1" x14ac:dyDescent="0.3">
      <c r="A970" s="119">
        <v>2017</v>
      </c>
      <c r="B970" s="119" t="s">
        <v>38</v>
      </c>
      <c r="C970" s="119" t="s">
        <v>75</v>
      </c>
      <c r="D970" s="119" t="s">
        <v>518</v>
      </c>
      <c r="F970" s="131" t="s">
        <v>641</v>
      </c>
      <c r="G970" s="131" t="s">
        <v>641</v>
      </c>
      <c r="H970" s="131" t="s">
        <v>641</v>
      </c>
      <c r="I970" s="119" t="s">
        <v>170</v>
      </c>
      <c r="J970" s="119" t="s">
        <v>171</v>
      </c>
      <c r="K970" s="119" t="s">
        <v>172</v>
      </c>
      <c r="L970" s="119" t="s">
        <v>641</v>
      </c>
      <c r="M970" s="119" t="s">
        <v>185</v>
      </c>
      <c r="N970" s="136">
        <v>0.1</v>
      </c>
      <c r="O970" s="135" t="s">
        <v>51</v>
      </c>
      <c r="P970" s="135"/>
      <c r="Q970" s="137">
        <v>0</v>
      </c>
      <c r="R970" s="137">
        <v>0</v>
      </c>
      <c r="S970" s="137"/>
      <c r="T970" s="137">
        <f t="shared" si="208"/>
        <v>0</v>
      </c>
      <c r="U970" s="137">
        <f t="shared" si="212"/>
        <v>0</v>
      </c>
      <c r="V970" s="137">
        <v>590.76</v>
      </c>
      <c r="W970" s="137">
        <f t="shared" si="213"/>
        <v>-590.76</v>
      </c>
      <c r="X970" s="137">
        <f t="shared" si="209"/>
        <v>-537.0545454545454</v>
      </c>
      <c r="Y970" s="137">
        <f t="shared" si="214"/>
        <v>-53.705454545454586</v>
      </c>
      <c r="Z970" s="137">
        <v>15655.2</v>
      </c>
      <c r="AA970" s="137">
        <f t="shared" si="210"/>
        <v>-15064.44</v>
      </c>
      <c r="AB970" s="146">
        <f t="shared" si="215"/>
        <v>14232</v>
      </c>
      <c r="AC970" s="147">
        <f t="shared" si="211"/>
        <v>1423.2000000000007</v>
      </c>
      <c r="AD970" s="137">
        <f>(Z970-Q970)*0.91072157793815</f>
        <v>14257.528446937327</v>
      </c>
      <c r="AE970" s="138">
        <v>0.11269173273981201</v>
      </c>
      <c r="AF970" s="137">
        <f t="shared" si="202"/>
        <v>1606.7055852725282</v>
      </c>
      <c r="AG970" s="137">
        <v>-22.533741874236998</v>
      </c>
      <c r="AH970" s="154"/>
      <c r="AI970" s="154"/>
      <c r="AJ970" s="136">
        <v>0.1</v>
      </c>
      <c r="AK970" s="156">
        <v>0.1</v>
      </c>
      <c r="AM970" s="131" t="s">
        <v>208</v>
      </c>
    </row>
    <row r="971" spans="1:39" s="120" customFormat="1" ht="15" customHeight="1" x14ac:dyDescent="0.3">
      <c r="A971" s="119">
        <v>2017</v>
      </c>
      <c r="B971" s="119" t="s">
        <v>38</v>
      </c>
      <c r="C971" s="119" t="s">
        <v>59</v>
      </c>
      <c r="D971" s="119" t="s">
        <v>106</v>
      </c>
      <c r="E971" s="119" t="s">
        <v>107</v>
      </c>
      <c r="F971" s="119" t="s">
        <v>108</v>
      </c>
      <c r="G971" s="119" t="s">
        <v>108</v>
      </c>
      <c r="H971" s="119" t="s">
        <v>108</v>
      </c>
      <c r="I971" s="119" t="s">
        <v>165</v>
      </c>
      <c r="J971" s="119" t="s">
        <v>44</v>
      </c>
      <c r="K971" s="119" t="s">
        <v>166</v>
      </c>
      <c r="L971" s="119" t="s">
        <v>109</v>
      </c>
      <c r="M971" s="137" t="s">
        <v>185</v>
      </c>
      <c r="N971" s="135">
        <v>0</v>
      </c>
      <c r="O971" s="135" t="s">
        <v>47</v>
      </c>
      <c r="P971" s="135"/>
      <c r="Q971" s="137">
        <f>Z971-V971</f>
        <v>870828.37886792398</v>
      </c>
      <c r="R971" s="137">
        <v>0</v>
      </c>
      <c r="S971" s="137">
        <v>100000</v>
      </c>
      <c r="T971" s="137">
        <f t="shared" si="208"/>
        <v>0</v>
      </c>
      <c r="U971" s="137">
        <f t="shared" si="212"/>
        <v>100000</v>
      </c>
      <c r="V971" s="137">
        <v>100000</v>
      </c>
      <c r="W971" s="137">
        <f t="shared" si="213"/>
        <v>0</v>
      </c>
      <c r="X971" s="137">
        <f t="shared" si="209"/>
        <v>0</v>
      </c>
      <c r="Y971" s="137">
        <f t="shared" si="214"/>
        <v>0</v>
      </c>
      <c r="Z971" s="137">
        <v>970828.37886792398</v>
      </c>
      <c r="AA971" s="137">
        <f t="shared" si="210"/>
        <v>0</v>
      </c>
      <c r="AB971" s="146">
        <f>IF(O971="返货",(Z971-Q971)/(1+N971),IF(O971="返现",(Z971-Q971),IF(O971="折扣",(Z971-Q971)*N971,IF(O971="无",(Z971-Q971)))))</f>
        <v>100000</v>
      </c>
      <c r="AC971" s="147">
        <f t="shared" si="211"/>
        <v>870828.37886792398</v>
      </c>
      <c r="AD971" s="137">
        <f>970828.378867924-Q971</f>
        <v>100000</v>
      </c>
      <c r="AE971" s="135">
        <v>0</v>
      </c>
      <c r="AF971" s="137">
        <f t="shared" si="202"/>
        <v>0</v>
      </c>
      <c r="AG971" s="137">
        <v>38071.701132075497</v>
      </c>
      <c r="AH971" s="137"/>
      <c r="AI971" s="137"/>
      <c r="AJ971" s="135" t="s">
        <v>186</v>
      </c>
      <c r="AK971" s="153" t="s">
        <v>186</v>
      </c>
      <c r="AL971" s="119" t="s">
        <v>977</v>
      </c>
      <c r="AM971" s="119"/>
    </row>
    <row r="972" spans="1:39" s="119" customFormat="1" ht="15" customHeight="1" x14ac:dyDescent="0.3">
      <c r="A972" s="119">
        <v>2017</v>
      </c>
      <c r="B972" s="119" t="s">
        <v>38</v>
      </c>
      <c r="C972" s="119" t="s">
        <v>59</v>
      </c>
      <c r="D972" s="119" t="s">
        <v>154</v>
      </c>
      <c r="E972" s="119" t="s">
        <v>107</v>
      </c>
      <c r="F972" s="119" t="s">
        <v>338</v>
      </c>
      <c r="G972" s="119" t="s">
        <v>339</v>
      </c>
      <c r="H972" s="119" t="s">
        <v>339</v>
      </c>
      <c r="I972" s="163" t="s">
        <v>204</v>
      </c>
      <c r="J972" s="119" t="s">
        <v>205</v>
      </c>
      <c r="K972" s="119" t="s">
        <v>206</v>
      </c>
      <c r="L972" s="119" t="s">
        <v>338</v>
      </c>
      <c r="M972" s="119" t="s">
        <v>185</v>
      </c>
      <c r="N972" s="135">
        <v>0</v>
      </c>
      <c r="O972" s="135" t="s">
        <v>47</v>
      </c>
      <c r="P972" s="135"/>
      <c r="Q972" s="137">
        <v>0</v>
      </c>
      <c r="R972" s="137">
        <v>0</v>
      </c>
      <c r="S972" s="137">
        <v>23191.66</v>
      </c>
      <c r="T972" s="137">
        <f t="shared" si="208"/>
        <v>0</v>
      </c>
      <c r="U972" s="137">
        <f t="shared" si="212"/>
        <v>23191.66</v>
      </c>
      <c r="V972" s="137">
        <v>0</v>
      </c>
      <c r="W972" s="137">
        <f t="shared" si="213"/>
        <v>23191.66</v>
      </c>
      <c r="X972" s="137">
        <f t="shared" si="209"/>
        <v>23191.66</v>
      </c>
      <c r="Y972" s="137">
        <f t="shared" si="214"/>
        <v>0</v>
      </c>
      <c r="Z972" s="137">
        <v>14690</v>
      </c>
      <c r="AA972" s="137">
        <f t="shared" si="210"/>
        <v>-14690</v>
      </c>
      <c r="AB972" s="146">
        <f>IF(O972="返货",Z972/(1+N972),IF(O972="返现",Z972,IF(O972="折扣",Z972*N972,IF(O972="无",Z972))))</f>
        <v>14690</v>
      </c>
      <c r="AC972" s="147">
        <f t="shared" si="211"/>
        <v>0</v>
      </c>
      <c r="AD972" s="137">
        <v>14690</v>
      </c>
      <c r="AE972" s="138">
        <v>0.2</v>
      </c>
      <c r="AF972" s="137">
        <f t="shared" si="202"/>
        <v>2938</v>
      </c>
      <c r="AG972" s="137">
        <v>2938</v>
      </c>
      <c r="AH972" s="154"/>
      <c r="AI972" s="154"/>
      <c r="AJ972" s="135" t="s">
        <v>47</v>
      </c>
      <c r="AK972" s="119" t="s">
        <v>47</v>
      </c>
      <c r="AM972" s="131"/>
    </row>
    <row r="973" spans="1:39" s="119" customFormat="1" ht="15" customHeight="1" x14ac:dyDescent="0.3">
      <c r="A973" s="119">
        <v>2017</v>
      </c>
      <c r="B973" s="119" t="s">
        <v>38</v>
      </c>
      <c r="C973" s="119" t="s">
        <v>59</v>
      </c>
      <c r="D973" s="119" t="s">
        <v>106</v>
      </c>
      <c r="E973" s="119" t="s">
        <v>190</v>
      </c>
      <c r="F973" s="119" t="s">
        <v>191</v>
      </c>
      <c r="G973" s="119" t="s">
        <v>191</v>
      </c>
      <c r="H973" s="119" t="s">
        <v>191</v>
      </c>
      <c r="I973" s="119" t="s">
        <v>170</v>
      </c>
      <c r="J973" s="119" t="s">
        <v>171</v>
      </c>
      <c r="K973" s="119" t="s">
        <v>172</v>
      </c>
      <c r="L973" s="119" t="s">
        <v>191</v>
      </c>
      <c r="M973" s="119" t="s">
        <v>185</v>
      </c>
      <c r="N973" s="136">
        <v>0.04</v>
      </c>
      <c r="O973" s="135" t="s">
        <v>51</v>
      </c>
      <c r="P973" s="135"/>
      <c r="Q973" s="137">
        <v>0</v>
      </c>
      <c r="R973" s="137">
        <v>0</v>
      </c>
      <c r="S973" s="137">
        <v>300000</v>
      </c>
      <c r="T973" s="137">
        <f t="shared" si="208"/>
        <v>12000</v>
      </c>
      <c r="U973" s="137">
        <f t="shared" si="212"/>
        <v>312000</v>
      </c>
      <c r="V973" s="137">
        <v>312000</v>
      </c>
      <c r="W973" s="137">
        <f t="shared" si="213"/>
        <v>0</v>
      </c>
      <c r="X973" s="137">
        <f t="shared" si="209"/>
        <v>0</v>
      </c>
      <c r="Y973" s="137">
        <f t="shared" si="214"/>
        <v>0</v>
      </c>
      <c r="Z973" s="137">
        <v>52163.42</v>
      </c>
      <c r="AA973" s="137">
        <f t="shared" si="210"/>
        <v>259836.58000000002</v>
      </c>
      <c r="AB973" s="146">
        <f>IF(O973="返货",Z973/(1+N973),IF(O973="返现",Z973,IF(O973="折扣",Z973*N973,IF(O973="无",Z973))))</f>
        <v>50157.13461538461</v>
      </c>
      <c r="AC973" s="147">
        <f t="shared" si="211"/>
        <v>2006.2853846153885</v>
      </c>
      <c r="AD973" s="137">
        <f>(Z973-Q973)*0.91072157793815</f>
        <v>47506.352173050451</v>
      </c>
      <c r="AE973" s="138">
        <v>0.11269173273981201</v>
      </c>
      <c r="AF973" s="137">
        <f t="shared" si="202"/>
        <v>5353.5731425287886</v>
      </c>
      <c r="AG973" s="137">
        <v>2660.7608557675298</v>
      </c>
      <c r="AH973" s="154"/>
      <c r="AI973" s="154"/>
      <c r="AJ973" s="135" t="s">
        <v>186</v>
      </c>
      <c r="AK973" s="119" t="s">
        <v>186</v>
      </c>
    </row>
    <row r="974" spans="1:39" s="119" customFormat="1" ht="15" customHeight="1" x14ac:dyDescent="0.3">
      <c r="A974" s="119">
        <v>2017</v>
      </c>
      <c r="B974" s="119" t="s">
        <v>38</v>
      </c>
      <c r="C974" s="119" t="s">
        <v>59</v>
      </c>
      <c r="D974" s="119" t="s">
        <v>106</v>
      </c>
      <c r="E974" s="119" t="s">
        <v>190</v>
      </c>
      <c r="F974" s="119" t="s">
        <v>134</v>
      </c>
      <c r="G974" s="119" t="s">
        <v>134</v>
      </c>
      <c r="H974" s="119" t="s">
        <v>134</v>
      </c>
      <c r="I974" s="119" t="s">
        <v>170</v>
      </c>
      <c r="J974" s="119" t="s">
        <v>171</v>
      </c>
      <c r="K974" s="119" t="s">
        <v>172</v>
      </c>
      <c r="L974" s="119" t="s">
        <v>134</v>
      </c>
      <c r="M974" s="119" t="s">
        <v>46</v>
      </c>
      <c r="N974" s="135">
        <v>0</v>
      </c>
      <c r="O974" s="135" t="s">
        <v>47</v>
      </c>
      <c r="P974" s="135"/>
      <c r="Q974" s="137">
        <v>100000</v>
      </c>
      <c r="R974" s="137">
        <v>0</v>
      </c>
      <c r="S974" s="137">
        <v>32700</v>
      </c>
      <c r="T974" s="137">
        <f t="shared" si="208"/>
        <v>0</v>
      </c>
      <c r="U974" s="137">
        <f t="shared" si="212"/>
        <v>32700</v>
      </c>
      <c r="V974" s="137">
        <v>32700</v>
      </c>
      <c r="W974" s="137">
        <f t="shared" si="213"/>
        <v>0</v>
      </c>
      <c r="X974" s="137">
        <f t="shared" si="209"/>
        <v>0</v>
      </c>
      <c r="Y974" s="137">
        <f t="shared" si="214"/>
        <v>0</v>
      </c>
      <c r="Z974" s="137">
        <v>84742.8</v>
      </c>
      <c r="AA974" s="137">
        <f t="shared" si="210"/>
        <v>47957.2</v>
      </c>
      <c r="AB974" s="146">
        <f>IF(O974="返货",(Z974-Q974)/(1+N974),IF(O974="返现",(Z974-Q974),IF(O974="折扣",(Z974-Q974)*N974,IF(O974="无",(Z974-Q974)))))</f>
        <v>-15257.199999999997</v>
      </c>
      <c r="AC974" s="147">
        <f t="shared" si="211"/>
        <v>100000</v>
      </c>
      <c r="AD974" s="137">
        <f t="shared" ref="AD974:AD975" si="217">(Z974-Q974)*0.89807640489087</f>
        <v>-13702.13132470098</v>
      </c>
      <c r="AE974" s="138">
        <v>0.11269173273981201</v>
      </c>
      <c r="AF974" s="137">
        <f t="shared" si="202"/>
        <v>-1544.1169212090092</v>
      </c>
      <c r="AG974" s="137">
        <v>7581.9140336182199</v>
      </c>
      <c r="AH974" s="154"/>
      <c r="AI974" s="154"/>
      <c r="AJ974" s="135" t="s">
        <v>47</v>
      </c>
      <c r="AK974" s="119" t="s">
        <v>47</v>
      </c>
    </row>
    <row r="975" spans="1:39" s="119" customFormat="1" ht="15" customHeight="1" x14ac:dyDescent="0.3">
      <c r="A975" s="119">
        <v>2017</v>
      </c>
      <c r="B975" s="119" t="s">
        <v>38</v>
      </c>
      <c r="C975" s="119" t="s">
        <v>59</v>
      </c>
      <c r="D975" s="119" t="s">
        <v>154</v>
      </c>
      <c r="E975" s="119" t="s">
        <v>192</v>
      </c>
      <c r="F975" s="119" t="s">
        <v>967</v>
      </c>
      <c r="G975" s="119" t="s">
        <v>967</v>
      </c>
      <c r="H975" s="119" t="s">
        <v>967</v>
      </c>
      <c r="I975" s="119" t="s">
        <v>170</v>
      </c>
      <c r="J975" s="119" t="s">
        <v>171</v>
      </c>
      <c r="K975" s="119" t="s">
        <v>172</v>
      </c>
      <c r="L975" s="119" t="s">
        <v>967</v>
      </c>
      <c r="M975" s="119" t="s">
        <v>46</v>
      </c>
      <c r="N975" s="136">
        <v>0.04</v>
      </c>
      <c r="O975" s="135" t="s">
        <v>51</v>
      </c>
      <c r="P975" s="135"/>
      <c r="Q975" s="137">
        <v>0</v>
      </c>
      <c r="R975" s="137">
        <v>0</v>
      </c>
      <c r="S975" s="137">
        <v>19230.77</v>
      </c>
      <c r="T975" s="137">
        <f t="shared" si="208"/>
        <v>769.23080000000004</v>
      </c>
      <c r="U975" s="137">
        <f t="shared" si="212"/>
        <v>20000.000800000002</v>
      </c>
      <c r="V975" s="137">
        <v>20000</v>
      </c>
      <c r="W975" s="137">
        <f t="shared" si="213"/>
        <v>8.0000000161817297E-4</v>
      </c>
      <c r="X975" s="137">
        <f t="shared" si="209"/>
        <v>7.6923077078670473E-4</v>
      </c>
      <c r="Y975" s="137">
        <f t="shared" si="214"/>
        <v>3.0769230831468241E-5</v>
      </c>
      <c r="Z975" s="137">
        <v>34366.199999999997</v>
      </c>
      <c r="AA975" s="137">
        <f t="shared" si="210"/>
        <v>-14366.199999999997</v>
      </c>
      <c r="AB975" s="146">
        <f t="shared" ref="AB975:AB982" si="218">IF(O975="返货",Z975/(1+N975),IF(O975="返现",Z975,IF(O975="折扣",Z975*N975,IF(O975="无",Z975))))</f>
        <v>33044.423076923071</v>
      </c>
      <c r="AC975" s="147">
        <f t="shared" si="211"/>
        <v>1321.7769230769263</v>
      </c>
      <c r="AD975" s="137">
        <f t="shared" si="217"/>
        <v>30863.473345760616</v>
      </c>
      <c r="AE975" s="138">
        <v>0.11269173273981201</v>
      </c>
      <c r="AF975" s="137">
        <f t="shared" si="202"/>
        <v>3478.0582897027666</v>
      </c>
      <c r="AG975" s="137">
        <v>1752.9571435591799</v>
      </c>
      <c r="AH975" s="154"/>
      <c r="AI975" s="154"/>
      <c r="AJ975" s="136">
        <v>0.04</v>
      </c>
      <c r="AK975" s="156">
        <v>0.04</v>
      </c>
    </row>
    <row r="976" spans="1:39" s="119" customFormat="1" ht="15" customHeight="1" x14ac:dyDescent="0.3">
      <c r="A976" s="119">
        <v>2017</v>
      </c>
      <c r="B976" s="119" t="s">
        <v>38</v>
      </c>
      <c r="C976" s="119" t="s">
        <v>59</v>
      </c>
      <c r="D976" s="119" t="s">
        <v>106</v>
      </c>
      <c r="E976" s="119" t="s">
        <v>190</v>
      </c>
      <c r="F976" s="119" t="s">
        <v>197</v>
      </c>
      <c r="G976" s="119" t="s">
        <v>197</v>
      </c>
      <c r="H976" s="119" t="s">
        <v>197</v>
      </c>
      <c r="I976" s="119" t="s">
        <v>170</v>
      </c>
      <c r="J976" s="119" t="s">
        <v>171</v>
      </c>
      <c r="K976" s="119" t="s">
        <v>172</v>
      </c>
      <c r="L976" s="119" t="s">
        <v>197</v>
      </c>
      <c r="M976" s="119" t="s">
        <v>160</v>
      </c>
      <c r="N976" s="136">
        <v>0.02</v>
      </c>
      <c r="O976" s="135" t="s">
        <v>51</v>
      </c>
      <c r="P976" s="135"/>
      <c r="Q976" s="137">
        <v>0</v>
      </c>
      <c r="R976" s="137">
        <v>0</v>
      </c>
      <c r="S976" s="137">
        <v>34540</v>
      </c>
      <c r="T976" s="137">
        <f t="shared" si="208"/>
        <v>690.80000000000007</v>
      </c>
      <c r="U976" s="137">
        <f t="shared" si="212"/>
        <v>35230.800000000003</v>
      </c>
      <c r="V976" s="137">
        <v>34540</v>
      </c>
      <c r="W976" s="137">
        <f t="shared" si="213"/>
        <v>690.80000000000291</v>
      </c>
      <c r="X976" s="137">
        <f t="shared" si="209"/>
        <v>677.25490196078715</v>
      </c>
      <c r="Y976" s="137">
        <f t="shared" si="214"/>
        <v>13.545098039215759</v>
      </c>
      <c r="Z976" s="137">
        <v>34540</v>
      </c>
      <c r="AA976" s="137">
        <f t="shared" si="210"/>
        <v>0</v>
      </c>
      <c r="AB976" s="146">
        <f t="shared" si="218"/>
        <v>33862.745098039217</v>
      </c>
      <c r="AC976" s="147">
        <f t="shared" si="211"/>
        <v>677.25490196078317</v>
      </c>
      <c r="AD976" s="137">
        <f>(Z976-Q976)*0.826045217867759</f>
        <v>28531.601825152396</v>
      </c>
      <c r="AE976" s="138">
        <v>0.11269173273981201</v>
      </c>
      <c r="AF976" s="137">
        <f t="shared" si="202"/>
        <v>3215.2756475188062</v>
      </c>
      <c r="AG976" s="137">
        <v>2413.02900087431</v>
      </c>
      <c r="AH976" s="154"/>
      <c r="AI976" s="154"/>
      <c r="AJ976" s="135" t="s">
        <v>173</v>
      </c>
      <c r="AK976" s="119" t="s">
        <v>173</v>
      </c>
    </row>
    <row r="977" spans="1:39" s="119" customFormat="1" ht="15" customHeight="1" x14ac:dyDescent="0.3">
      <c r="A977" s="119">
        <v>2017</v>
      </c>
      <c r="B977" s="119" t="s">
        <v>38</v>
      </c>
      <c r="C977" s="119" t="s">
        <v>59</v>
      </c>
      <c r="D977" s="119" t="s">
        <v>106</v>
      </c>
      <c r="E977" s="119" t="s">
        <v>190</v>
      </c>
      <c r="F977" s="119" t="s">
        <v>439</v>
      </c>
      <c r="G977" s="119" t="s">
        <v>439</v>
      </c>
      <c r="H977" s="119" t="s">
        <v>439</v>
      </c>
      <c r="I977" s="119" t="s">
        <v>170</v>
      </c>
      <c r="J977" s="119" t="s">
        <v>171</v>
      </c>
      <c r="K977" s="119" t="s">
        <v>172</v>
      </c>
      <c r="L977" s="119" t="s">
        <v>439</v>
      </c>
      <c r="M977" s="119" t="s">
        <v>185</v>
      </c>
      <c r="N977" s="136">
        <v>0.08</v>
      </c>
      <c r="O977" s="135" t="s">
        <v>51</v>
      </c>
      <c r="P977" s="135"/>
      <c r="Q977" s="137">
        <v>0</v>
      </c>
      <c r="R977" s="137">
        <v>0</v>
      </c>
      <c r="S977" s="137">
        <v>260000</v>
      </c>
      <c r="T977" s="137">
        <f t="shared" si="208"/>
        <v>20800</v>
      </c>
      <c r="U977" s="137">
        <f t="shared" si="212"/>
        <v>280800</v>
      </c>
      <c r="V977" s="137">
        <v>270400</v>
      </c>
      <c r="W977" s="137">
        <f t="shared" si="213"/>
        <v>10400</v>
      </c>
      <c r="X977" s="137">
        <f t="shared" si="209"/>
        <v>9629.6296296296296</v>
      </c>
      <c r="Y977" s="137">
        <f t="shared" si="214"/>
        <v>770.37037037037044</v>
      </c>
      <c r="Z977" s="137">
        <v>260115.62</v>
      </c>
      <c r="AA977" s="137">
        <f t="shared" si="210"/>
        <v>10284.380000000005</v>
      </c>
      <c r="AB977" s="146">
        <f t="shared" si="218"/>
        <v>240847.79629629626</v>
      </c>
      <c r="AC977" s="147">
        <f t="shared" si="211"/>
        <v>19267.823703703732</v>
      </c>
      <c r="AD977" s="137">
        <f>(Z977-Q977)*0.91072157793815</f>
        <v>236892.90789276021</v>
      </c>
      <c r="AE977" s="138">
        <v>0.11269173273981201</v>
      </c>
      <c r="AF977" s="137">
        <f t="shared" si="202"/>
        <v>26695.872264207836</v>
      </c>
      <c r="AG977" s="137">
        <v>4004.6462836144201</v>
      </c>
      <c r="AH977" s="154"/>
      <c r="AI977" s="154"/>
      <c r="AJ977" s="135" t="s">
        <v>53</v>
      </c>
      <c r="AK977" s="119" t="s">
        <v>53</v>
      </c>
    </row>
    <row r="978" spans="1:39" s="119" customFormat="1" ht="15" customHeight="1" x14ac:dyDescent="0.3">
      <c r="A978" s="119">
        <v>2017</v>
      </c>
      <c r="B978" s="119" t="s">
        <v>38</v>
      </c>
      <c r="C978" s="119" t="s">
        <v>59</v>
      </c>
      <c r="D978" s="119" t="s">
        <v>106</v>
      </c>
      <c r="E978" s="119" t="s">
        <v>190</v>
      </c>
      <c r="F978" s="119" t="s">
        <v>439</v>
      </c>
      <c r="G978" s="119" t="s">
        <v>978</v>
      </c>
      <c r="H978" s="119" t="s">
        <v>978</v>
      </c>
      <c r="I978" s="119" t="s">
        <v>170</v>
      </c>
      <c r="J978" s="119" t="s">
        <v>171</v>
      </c>
      <c r="K978" s="119" t="s">
        <v>172</v>
      </c>
      <c r="L978" s="119" t="s">
        <v>439</v>
      </c>
      <c r="M978" s="119" t="s">
        <v>46</v>
      </c>
      <c r="N978" s="136">
        <v>0.02</v>
      </c>
      <c r="O978" s="135" t="s">
        <v>51</v>
      </c>
      <c r="P978" s="135" t="s">
        <v>440</v>
      </c>
      <c r="Q978" s="137">
        <v>0</v>
      </c>
      <c r="R978" s="137">
        <v>0</v>
      </c>
      <c r="S978" s="137">
        <v>620000</v>
      </c>
      <c r="T978" s="137">
        <f t="shared" si="208"/>
        <v>12400</v>
      </c>
      <c r="U978" s="137">
        <f t="shared" si="212"/>
        <v>632400</v>
      </c>
      <c r="V978" s="137">
        <v>632400</v>
      </c>
      <c r="W978" s="137">
        <f t="shared" si="213"/>
        <v>0</v>
      </c>
      <c r="X978" s="137">
        <f t="shared" si="209"/>
        <v>0</v>
      </c>
      <c r="Y978" s="137">
        <f t="shared" si="214"/>
        <v>0</v>
      </c>
      <c r="Z978" s="137">
        <v>632400</v>
      </c>
      <c r="AA978" s="137">
        <f t="shared" si="210"/>
        <v>0</v>
      </c>
      <c r="AB978" s="146">
        <f t="shared" si="218"/>
        <v>620000</v>
      </c>
      <c r="AC978" s="147">
        <f t="shared" si="211"/>
        <v>12400</v>
      </c>
      <c r="AD978" s="137">
        <f t="shared" ref="AD978:AD980" si="219">(Z978-Q978)*0.89807640489087</f>
        <v>567943.51845298626</v>
      </c>
      <c r="AE978" s="138">
        <v>0.11269173273981201</v>
      </c>
      <c r="AF978" s="137">
        <f t="shared" si="202"/>
        <v>64002.539192812415</v>
      </c>
      <c r="AG978" s="137">
        <v>0</v>
      </c>
      <c r="AH978" s="154"/>
      <c r="AI978" s="154"/>
      <c r="AJ978" s="135" t="s">
        <v>173</v>
      </c>
      <c r="AK978" s="119" t="s">
        <v>173</v>
      </c>
    </row>
    <row r="979" spans="1:39" s="119" customFormat="1" ht="15" customHeight="1" x14ac:dyDescent="0.3">
      <c r="A979" s="119">
        <v>2017</v>
      </c>
      <c r="B979" s="119" t="s">
        <v>38</v>
      </c>
      <c r="C979" s="119" t="s">
        <v>59</v>
      </c>
      <c r="D979" s="119" t="s">
        <v>106</v>
      </c>
      <c r="E979" s="119" t="s">
        <v>190</v>
      </c>
      <c r="F979" s="119" t="s">
        <v>979</v>
      </c>
      <c r="G979" s="119" t="s">
        <v>979</v>
      </c>
      <c r="H979" s="119" t="s">
        <v>979</v>
      </c>
      <c r="I979" s="119" t="s">
        <v>170</v>
      </c>
      <c r="J979" s="119" t="s">
        <v>171</v>
      </c>
      <c r="K979" s="119" t="s">
        <v>172</v>
      </c>
      <c r="L979" s="119" t="s">
        <v>979</v>
      </c>
      <c r="M979" s="119" t="s">
        <v>46</v>
      </c>
      <c r="N979" s="136">
        <v>0.02</v>
      </c>
      <c r="O979" s="135" t="s">
        <v>51</v>
      </c>
      <c r="P979" s="135"/>
      <c r="Q979" s="137">
        <v>0</v>
      </c>
      <c r="R979" s="137">
        <v>0</v>
      </c>
      <c r="S979" s="137">
        <v>100000</v>
      </c>
      <c r="T979" s="137">
        <f t="shared" si="208"/>
        <v>2000</v>
      </c>
      <c r="U979" s="137">
        <f t="shared" si="212"/>
        <v>102000</v>
      </c>
      <c r="V979" s="137">
        <v>102000</v>
      </c>
      <c r="W979" s="137">
        <f t="shared" si="213"/>
        <v>0</v>
      </c>
      <c r="X979" s="137">
        <f t="shared" si="209"/>
        <v>0</v>
      </c>
      <c r="Y979" s="137">
        <f t="shared" si="214"/>
        <v>0</v>
      </c>
      <c r="Z979" s="137">
        <v>101996.9</v>
      </c>
      <c r="AA979" s="137">
        <f t="shared" si="210"/>
        <v>3.1000000000058208</v>
      </c>
      <c r="AB979" s="146">
        <f t="shared" si="218"/>
        <v>99996.96078431372</v>
      </c>
      <c r="AC979" s="147">
        <f t="shared" si="211"/>
        <v>1999.9392156862741</v>
      </c>
      <c r="AD979" s="137">
        <f t="shared" si="219"/>
        <v>91601.009262013584</v>
      </c>
      <c r="AE979" s="138">
        <v>0.11269173273981201</v>
      </c>
      <c r="AF979" s="137">
        <f t="shared" si="202"/>
        <v>10322.676454451879</v>
      </c>
      <c r="AG979" s="137">
        <v>7125.6942009055101</v>
      </c>
      <c r="AH979" s="154"/>
      <c r="AI979" s="154"/>
      <c r="AJ979" s="135" t="s">
        <v>173</v>
      </c>
      <c r="AK979" s="119" t="s">
        <v>173</v>
      </c>
    </row>
    <row r="980" spans="1:39" s="119" customFormat="1" ht="15" customHeight="1" x14ac:dyDescent="0.3">
      <c r="A980" s="119">
        <v>2017</v>
      </c>
      <c r="B980" s="119" t="s">
        <v>38</v>
      </c>
      <c r="C980" s="119" t="s">
        <v>59</v>
      </c>
      <c r="D980" s="119" t="s">
        <v>106</v>
      </c>
      <c r="E980" s="119" t="s">
        <v>61</v>
      </c>
      <c r="F980" s="119" t="s">
        <v>744</v>
      </c>
      <c r="G980" s="119" t="s">
        <v>744</v>
      </c>
      <c r="H980" s="119" t="s">
        <v>744</v>
      </c>
      <c r="I980" s="119" t="s">
        <v>170</v>
      </c>
      <c r="J980" s="119" t="s">
        <v>171</v>
      </c>
      <c r="K980" s="119" t="s">
        <v>172</v>
      </c>
      <c r="L980" s="119" t="s">
        <v>744</v>
      </c>
      <c r="M980" s="119" t="s">
        <v>46</v>
      </c>
      <c r="N980" s="136">
        <v>0.02</v>
      </c>
      <c r="O980" s="135" t="s">
        <v>51</v>
      </c>
      <c r="P980" s="135"/>
      <c r="Q980" s="137">
        <v>0</v>
      </c>
      <c r="R980" s="137">
        <v>0</v>
      </c>
      <c r="S980" s="137">
        <v>240000</v>
      </c>
      <c r="T980" s="137">
        <f t="shared" si="208"/>
        <v>4800</v>
      </c>
      <c r="U980" s="137">
        <f t="shared" si="212"/>
        <v>244800</v>
      </c>
      <c r="V980" s="137">
        <v>242800</v>
      </c>
      <c r="W980" s="137">
        <f t="shared" si="213"/>
        <v>2000</v>
      </c>
      <c r="X980" s="137">
        <f t="shared" si="209"/>
        <v>1960.7843137254902</v>
      </c>
      <c r="Y980" s="137">
        <f t="shared" si="214"/>
        <v>39.215686274509835</v>
      </c>
      <c r="Z980" s="137">
        <v>242799.7</v>
      </c>
      <c r="AA980" s="137">
        <f t="shared" si="210"/>
        <v>0.29999999998835847</v>
      </c>
      <c r="AB980" s="146">
        <f t="shared" si="218"/>
        <v>238038.92156862747</v>
      </c>
      <c r="AC980" s="147">
        <f t="shared" si="211"/>
        <v>4760.7784313725424</v>
      </c>
      <c r="AD980" s="137">
        <f t="shared" si="219"/>
        <v>218052.6816845818</v>
      </c>
      <c r="AE980" s="138">
        <v>0.11269173273981201</v>
      </c>
      <c r="AF980" s="137">
        <f t="shared" si="202"/>
        <v>24572.734527598193</v>
      </c>
      <c r="AG980" s="137">
        <v>16962.441155286098</v>
      </c>
      <c r="AH980" s="154"/>
      <c r="AI980" s="154"/>
      <c r="AJ980" s="135" t="s">
        <v>173</v>
      </c>
      <c r="AK980" s="119" t="s">
        <v>173</v>
      </c>
    </row>
    <row r="981" spans="1:39" s="119" customFormat="1" ht="15" customHeight="1" x14ac:dyDescent="0.3">
      <c r="A981" s="119">
        <v>2017</v>
      </c>
      <c r="B981" s="119" t="s">
        <v>38</v>
      </c>
      <c r="C981" s="119" t="s">
        <v>59</v>
      </c>
      <c r="D981" s="119" t="s">
        <v>106</v>
      </c>
      <c r="E981" s="119" t="s">
        <v>61</v>
      </c>
      <c r="F981" s="119" t="s">
        <v>197</v>
      </c>
      <c r="G981" s="119" t="s">
        <v>197</v>
      </c>
      <c r="H981" s="119" t="s">
        <v>197</v>
      </c>
      <c r="I981" s="119" t="s">
        <v>170</v>
      </c>
      <c r="J981" s="119" t="s">
        <v>171</v>
      </c>
      <c r="K981" s="119" t="s">
        <v>172</v>
      </c>
      <c r="L981" s="119" t="s">
        <v>197</v>
      </c>
      <c r="M981" s="119" t="s">
        <v>185</v>
      </c>
      <c r="N981" s="136">
        <v>0.04</v>
      </c>
      <c r="O981" s="135" t="s">
        <v>51</v>
      </c>
      <c r="P981" s="135"/>
      <c r="Q981" s="137">
        <v>0</v>
      </c>
      <c r="R981" s="137">
        <v>0</v>
      </c>
      <c r="S981" s="137">
        <v>10000</v>
      </c>
      <c r="T981" s="137">
        <f t="shared" si="208"/>
        <v>400</v>
      </c>
      <c r="U981" s="137">
        <f t="shared" si="212"/>
        <v>10400</v>
      </c>
      <c r="V981" s="137">
        <v>10000</v>
      </c>
      <c r="W981" s="137">
        <f t="shared" si="213"/>
        <v>400</v>
      </c>
      <c r="X981" s="137">
        <f t="shared" si="209"/>
        <v>384.61538461538458</v>
      </c>
      <c r="Y981" s="137">
        <f t="shared" si="214"/>
        <v>15.384615384615415</v>
      </c>
      <c r="Z981" s="137">
        <v>9507.85</v>
      </c>
      <c r="AA981" s="137">
        <f t="shared" si="210"/>
        <v>492.14999999999964</v>
      </c>
      <c r="AB981" s="146">
        <f t="shared" si="218"/>
        <v>9142.163461538461</v>
      </c>
      <c r="AC981" s="147">
        <f t="shared" si="211"/>
        <v>365.68653846153939</v>
      </c>
      <c r="AD981" s="137">
        <f>(Z981-Q981)*0.91072157793815</f>
        <v>8659.0041547992405</v>
      </c>
      <c r="AE981" s="138">
        <v>0.11269173273981201</v>
      </c>
      <c r="AF981" s="137">
        <f t="shared" si="202"/>
        <v>975.79818200555781</v>
      </c>
      <c r="AG981" s="137">
        <v>484.97807663894099</v>
      </c>
      <c r="AH981" s="154"/>
      <c r="AI981" s="154"/>
      <c r="AJ981" s="135" t="s">
        <v>186</v>
      </c>
      <c r="AK981" s="119" t="s">
        <v>186</v>
      </c>
    </row>
    <row r="982" spans="1:39" s="119" customFormat="1" ht="15" customHeight="1" x14ac:dyDescent="0.3">
      <c r="A982" s="119">
        <v>2017</v>
      </c>
      <c r="B982" s="119" t="s">
        <v>38</v>
      </c>
      <c r="C982" s="119" t="s">
        <v>59</v>
      </c>
      <c r="D982" s="119" t="s">
        <v>106</v>
      </c>
      <c r="E982" s="119" t="s">
        <v>131</v>
      </c>
      <c r="F982" s="119" t="s">
        <v>980</v>
      </c>
      <c r="G982" s="119" t="s">
        <v>980</v>
      </c>
      <c r="H982" s="119" t="s">
        <v>980</v>
      </c>
      <c r="I982" s="119" t="s">
        <v>170</v>
      </c>
      <c r="J982" s="119" t="s">
        <v>171</v>
      </c>
      <c r="K982" s="119" t="s">
        <v>172</v>
      </c>
      <c r="L982" s="119" t="s">
        <v>980</v>
      </c>
      <c r="M982" s="119" t="s">
        <v>46</v>
      </c>
      <c r="N982" s="136">
        <v>0.04</v>
      </c>
      <c r="O982" s="135" t="s">
        <v>51</v>
      </c>
      <c r="P982" s="135"/>
      <c r="Q982" s="137">
        <v>0</v>
      </c>
      <c r="R982" s="137">
        <v>0</v>
      </c>
      <c r="S982" s="137">
        <v>404330.9</v>
      </c>
      <c r="T982" s="137">
        <f t="shared" si="208"/>
        <v>16173.236000000001</v>
      </c>
      <c r="U982" s="137">
        <f t="shared" si="212"/>
        <v>420504.136</v>
      </c>
      <c r="V982" s="137">
        <v>420343</v>
      </c>
      <c r="W982" s="137">
        <f t="shared" si="213"/>
        <v>161.1359999999986</v>
      </c>
      <c r="X982" s="137">
        <f t="shared" si="209"/>
        <v>154.93846153846019</v>
      </c>
      <c r="Y982" s="137">
        <f t="shared" si="214"/>
        <v>6.1975384615384144</v>
      </c>
      <c r="Z982" s="137">
        <v>420343</v>
      </c>
      <c r="AA982" s="137">
        <f t="shared" si="210"/>
        <v>0</v>
      </c>
      <c r="AB982" s="146">
        <f t="shared" si="218"/>
        <v>404175.9615384615</v>
      </c>
      <c r="AC982" s="147">
        <f t="shared" si="211"/>
        <v>16167.038461538497</v>
      </c>
      <c r="AD982" s="137">
        <f t="shared" ref="AD982:AD983" si="220">(Z982-Q982)*0.89807640489087</f>
        <v>377500.13026104297</v>
      </c>
      <c r="AE982" s="138">
        <v>0.11269173273981201</v>
      </c>
      <c r="AF982" s="137">
        <f t="shared" si="202"/>
        <v>42541.143788621674</v>
      </c>
      <c r="AG982" s="137">
        <v>21440.9293024861</v>
      </c>
      <c r="AH982" s="154"/>
      <c r="AI982" s="154"/>
      <c r="AJ982" s="135" t="s">
        <v>186</v>
      </c>
      <c r="AK982" s="119" t="s">
        <v>186</v>
      </c>
    </row>
    <row r="983" spans="1:39" s="119" customFormat="1" ht="15" customHeight="1" x14ac:dyDescent="0.3">
      <c r="A983" s="119">
        <v>2017</v>
      </c>
      <c r="B983" s="119" t="s">
        <v>38</v>
      </c>
      <c r="C983" s="119" t="s">
        <v>59</v>
      </c>
      <c r="D983" s="119" t="s">
        <v>106</v>
      </c>
      <c r="E983" s="119" t="s">
        <v>131</v>
      </c>
      <c r="F983" s="165" t="s">
        <v>358</v>
      </c>
      <c r="G983" s="119" t="s">
        <v>358</v>
      </c>
      <c r="H983" s="119" t="s">
        <v>358</v>
      </c>
      <c r="I983" s="119" t="s">
        <v>170</v>
      </c>
      <c r="J983" s="119" t="s">
        <v>171</v>
      </c>
      <c r="K983" s="119" t="s">
        <v>172</v>
      </c>
      <c r="L983" s="119" t="s">
        <v>358</v>
      </c>
      <c r="M983" s="119" t="s">
        <v>46</v>
      </c>
      <c r="N983" s="136">
        <v>0.02</v>
      </c>
      <c r="O983" s="135" t="s">
        <v>51</v>
      </c>
      <c r="P983" s="135"/>
      <c r="Q983" s="137">
        <f>81667.1</f>
        <v>81667.100000000006</v>
      </c>
      <c r="R983" s="137">
        <v>0</v>
      </c>
      <c r="S983" s="137">
        <v>12262000</v>
      </c>
      <c r="T983" s="137">
        <f t="shared" si="208"/>
        <v>245240</v>
      </c>
      <c r="U983" s="137">
        <f t="shared" si="212"/>
        <v>12507240</v>
      </c>
      <c r="V983" s="137">
        <v>12380240</v>
      </c>
      <c r="W983" s="137">
        <f t="shared" si="213"/>
        <v>127000</v>
      </c>
      <c r="X983" s="137">
        <f t="shared" si="209"/>
        <v>124509.80392156863</v>
      </c>
      <c r="Y983" s="137">
        <f t="shared" si="214"/>
        <v>2490.1960784313706</v>
      </c>
      <c r="Z983" s="166">
        <f>12379818.1</f>
        <v>12379818.1</v>
      </c>
      <c r="AA983" s="137">
        <f t="shared" si="210"/>
        <v>82089</v>
      </c>
      <c r="AB983" s="146">
        <f>IF(O983="返货",(Z983-Q983)/(1+N983),IF(O983="返现",(Z983-Q983),IF(O983="折扣",(Z983-Q983)*N983,IF(O983="无",(Z983-Q983)))))</f>
        <v>12057010.784313725</v>
      </c>
      <c r="AC983" s="147">
        <f t="shared" si="211"/>
        <v>322807.31568627432</v>
      </c>
      <c r="AD983" s="137">
        <f t="shared" si="220"/>
        <v>11044679.236885058</v>
      </c>
      <c r="AE983" s="138">
        <v>0.11269173273981201</v>
      </c>
      <c r="AF983" s="137">
        <f t="shared" si="202"/>
        <v>1244644.0407600016</v>
      </c>
      <c r="AG983" s="137">
        <v>864877.24669509602</v>
      </c>
      <c r="AH983" s="154"/>
      <c r="AI983" s="154"/>
      <c r="AJ983" s="135" t="s">
        <v>173</v>
      </c>
      <c r="AK983" s="119" t="s">
        <v>173</v>
      </c>
    </row>
    <row r="984" spans="1:39" s="119" customFormat="1" ht="15" customHeight="1" x14ac:dyDescent="0.3">
      <c r="A984" s="119">
        <v>2017</v>
      </c>
      <c r="B984" s="119" t="s">
        <v>38</v>
      </c>
      <c r="C984" s="119" t="s">
        <v>59</v>
      </c>
      <c r="D984" s="119" t="s">
        <v>106</v>
      </c>
      <c r="E984" s="119" t="s">
        <v>131</v>
      </c>
      <c r="F984" s="165" t="s">
        <v>358</v>
      </c>
      <c r="G984" s="119" t="s">
        <v>358</v>
      </c>
      <c r="H984" s="119" t="s">
        <v>358</v>
      </c>
      <c r="I984" s="119" t="s">
        <v>170</v>
      </c>
      <c r="J984" s="119" t="s">
        <v>171</v>
      </c>
      <c r="K984" s="119" t="s">
        <v>172</v>
      </c>
      <c r="L984" s="119" t="s">
        <v>358</v>
      </c>
      <c r="M984" s="119" t="s">
        <v>185</v>
      </c>
      <c r="N984" s="136">
        <v>0.04</v>
      </c>
      <c r="O984" s="135" t="s">
        <v>51</v>
      </c>
      <c r="P984" s="135"/>
      <c r="Q984" s="137">
        <v>0</v>
      </c>
      <c r="R984" s="137">
        <v>0</v>
      </c>
      <c r="S984" s="137">
        <v>100000</v>
      </c>
      <c r="T984" s="137">
        <f t="shared" si="208"/>
        <v>4000</v>
      </c>
      <c r="U984" s="137">
        <f t="shared" si="212"/>
        <v>104000</v>
      </c>
      <c r="V984" s="137">
        <v>100000</v>
      </c>
      <c r="W984" s="137">
        <f t="shared" si="213"/>
        <v>4000</v>
      </c>
      <c r="X984" s="137">
        <f t="shared" si="209"/>
        <v>3846.1538461538462</v>
      </c>
      <c r="Y984" s="137">
        <f t="shared" si="214"/>
        <v>153.84615384615381</v>
      </c>
      <c r="Z984" s="166">
        <v>93714.79</v>
      </c>
      <c r="AA984" s="137">
        <f t="shared" si="210"/>
        <v>6285.2100000000064</v>
      </c>
      <c r="AB984" s="146">
        <f t="shared" ref="AB984:AB994" si="221">IF(O984="返货",Z984/(1+N984),IF(O984="返现",Z984,IF(O984="折扣",Z984*N984,IF(O984="无",Z984))))</f>
        <v>90110.374999999985</v>
      </c>
      <c r="AC984" s="147">
        <f t="shared" si="211"/>
        <v>3604.4150000000081</v>
      </c>
      <c r="AD984" s="137">
        <f t="shared" ref="AD984:AD985" si="222">(Z984-Q984)*0.91072157793815</f>
        <v>85348.081424942357</v>
      </c>
      <c r="AE984" s="138">
        <v>0.11269173273981201</v>
      </c>
      <c r="AF984" s="137">
        <f t="shared" si="202"/>
        <v>9618.0231817953172</v>
      </c>
      <c r="AG984" s="137">
        <v>4780.22040806516</v>
      </c>
      <c r="AH984" s="154"/>
      <c r="AI984" s="154"/>
      <c r="AJ984" s="135" t="s">
        <v>186</v>
      </c>
      <c r="AK984" s="119" t="s">
        <v>186</v>
      </c>
    </row>
    <row r="985" spans="1:39" s="119" customFormat="1" ht="15" customHeight="1" x14ac:dyDescent="0.3">
      <c r="A985" s="119">
        <v>2017</v>
      </c>
      <c r="B985" s="119" t="s">
        <v>38</v>
      </c>
      <c r="C985" s="119" t="s">
        <v>59</v>
      </c>
      <c r="D985" s="119" t="s">
        <v>60</v>
      </c>
      <c r="E985" s="119" t="s">
        <v>107</v>
      </c>
      <c r="F985" s="119" t="s">
        <v>981</v>
      </c>
      <c r="G985" s="119" t="s">
        <v>981</v>
      </c>
      <c r="H985" s="119" t="s">
        <v>981</v>
      </c>
      <c r="I985" s="119" t="s">
        <v>170</v>
      </c>
      <c r="J985" s="119" t="s">
        <v>171</v>
      </c>
      <c r="K985" s="119" t="s">
        <v>172</v>
      </c>
      <c r="L985" s="119" t="s">
        <v>982</v>
      </c>
      <c r="M985" s="119" t="s">
        <v>185</v>
      </c>
      <c r="N985" s="136">
        <v>0.04</v>
      </c>
      <c r="O985" s="135" t="s">
        <v>51</v>
      </c>
      <c r="P985" s="135"/>
      <c r="Q985" s="137">
        <v>0</v>
      </c>
      <c r="R985" s="137">
        <v>0</v>
      </c>
      <c r="S985" s="137">
        <v>40000</v>
      </c>
      <c r="T985" s="137">
        <f t="shared" si="208"/>
        <v>1600</v>
      </c>
      <c r="U985" s="137">
        <f t="shared" si="212"/>
        <v>41600</v>
      </c>
      <c r="V985" s="137">
        <v>41600</v>
      </c>
      <c r="W985" s="137">
        <f t="shared" si="213"/>
        <v>0</v>
      </c>
      <c r="X985" s="137">
        <f t="shared" si="209"/>
        <v>0</v>
      </c>
      <c r="Y985" s="137">
        <f t="shared" si="214"/>
        <v>0</v>
      </c>
      <c r="Z985" s="137">
        <v>7010.45</v>
      </c>
      <c r="AA985" s="137">
        <f t="shared" si="210"/>
        <v>34589.550000000003</v>
      </c>
      <c r="AB985" s="146">
        <f t="shared" si="221"/>
        <v>6740.8173076923076</v>
      </c>
      <c r="AC985" s="147">
        <f t="shared" si="211"/>
        <v>269.6326923076922</v>
      </c>
      <c r="AD985" s="137">
        <f t="shared" si="222"/>
        <v>6384.5680860565035</v>
      </c>
      <c r="AE985" s="138">
        <v>0.11269173273981201</v>
      </c>
      <c r="AF985" s="137">
        <f t="shared" si="202"/>
        <v>719.48804041301253</v>
      </c>
      <c r="AG985" s="137">
        <v>357.59026040308498</v>
      </c>
      <c r="AH985" s="154"/>
      <c r="AI985" s="154"/>
      <c r="AJ985" s="135" t="s">
        <v>186</v>
      </c>
      <c r="AK985" s="119" t="s">
        <v>186</v>
      </c>
    </row>
    <row r="986" spans="1:39" s="119" customFormat="1" ht="15" customHeight="1" x14ac:dyDescent="0.3">
      <c r="A986" s="119">
        <v>2017</v>
      </c>
      <c r="B986" s="119" t="s">
        <v>38</v>
      </c>
      <c r="C986" s="119" t="s">
        <v>59</v>
      </c>
      <c r="D986" s="119" t="s">
        <v>60</v>
      </c>
      <c r="E986" s="119" t="s">
        <v>190</v>
      </c>
      <c r="F986" s="119" t="s">
        <v>983</v>
      </c>
      <c r="G986" s="119" t="s">
        <v>983</v>
      </c>
      <c r="H986" s="119" t="s">
        <v>983</v>
      </c>
      <c r="I986" s="119" t="s">
        <v>170</v>
      </c>
      <c r="J986" s="119" t="s">
        <v>171</v>
      </c>
      <c r="K986" s="119" t="s">
        <v>172</v>
      </c>
      <c r="L986" s="119" t="s">
        <v>983</v>
      </c>
      <c r="M986" s="119" t="s">
        <v>46</v>
      </c>
      <c r="N986" s="136">
        <v>0.02</v>
      </c>
      <c r="O986" s="135" t="s">
        <v>51</v>
      </c>
      <c r="P986" s="135"/>
      <c r="Q986" s="137">
        <v>0</v>
      </c>
      <c r="R986" s="137">
        <v>0</v>
      </c>
      <c r="S986" s="137">
        <v>59501.9</v>
      </c>
      <c r="T986" s="137">
        <f t="shared" si="208"/>
        <v>1190.038</v>
      </c>
      <c r="U986" s="137">
        <f t="shared" si="212"/>
        <v>60691.938000000002</v>
      </c>
      <c r="V986" s="137">
        <v>60000</v>
      </c>
      <c r="W986" s="137">
        <f t="shared" si="213"/>
        <v>691.93800000000192</v>
      </c>
      <c r="X986" s="137">
        <f t="shared" si="209"/>
        <v>678.37058823529594</v>
      </c>
      <c r="Y986" s="137">
        <f t="shared" si="214"/>
        <v>13.56741176470598</v>
      </c>
      <c r="Z986" s="137">
        <v>30091.9</v>
      </c>
      <c r="AA986" s="137">
        <f t="shared" si="210"/>
        <v>29908.1</v>
      </c>
      <c r="AB986" s="146">
        <f t="shared" si="221"/>
        <v>29501.862745098038</v>
      </c>
      <c r="AC986" s="147">
        <f t="shared" si="211"/>
        <v>590.03725490196302</v>
      </c>
      <c r="AD986" s="137">
        <f t="shared" ref="AD986:AD990" si="223">(Z986-Q986)*0.89807640489087</f>
        <v>27024.825368335572</v>
      </c>
      <c r="AE986" s="138">
        <v>0.11269173273981201</v>
      </c>
      <c r="AF986" s="137">
        <f t="shared" si="202"/>
        <v>3045.4743977485637</v>
      </c>
      <c r="AG986" s="137">
        <v>2102.27641550114</v>
      </c>
      <c r="AH986" s="154"/>
      <c r="AI986" s="154"/>
      <c r="AJ986" s="135" t="s">
        <v>173</v>
      </c>
      <c r="AK986" s="119" t="s">
        <v>173</v>
      </c>
    </row>
    <row r="987" spans="1:39" s="119" customFormat="1" ht="15" customHeight="1" x14ac:dyDescent="0.3">
      <c r="A987" s="119">
        <v>2017</v>
      </c>
      <c r="B987" s="119" t="s">
        <v>38</v>
      </c>
      <c r="C987" s="119" t="s">
        <v>59</v>
      </c>
      <c r="D987" s="119" t="s">
        <v>60</v>
      </c>
      <c r="E987" s="119" t="s">
        <v>190</v>
      </c>
      <c r="F987" s="119" t="s">
        <v>751</v>
      </c>
      <c r="G987" s="119" t="s">
        <v>751</v>
      </c>
      <c r="H987" s="119" t="s">
        <v>751</v>
      </c>
      <c r="I987" s="119" t="s">
        <v>170</v>
      </c>
      <c r="J987" s="119" t="s">
        <v>171</v>
      </c>
      <c r="K987" s="119" t="s">
        <v>172</v>
      </c>
      <c r="L987" s="119" t="s">
        <v>751</v>
      </c>
      <c r="M987" s="119" t="s">
        <v>46</v>
      </c>
      <c r="N987" s="136">
        <v>0.04</v>
      </c>
      <c r="O987" s="135" t="s">
        <v>51</v>
      </c>
      <c r="P987" s="135"/>
      <c r="Q987" s="137">
        <v>0</v>
      </c>
      <c r="R987" s="137">
        <v>0</v>
      </c>
      <c r="S987" s="137">
        <v>1100000</v>
      </c>
      <c r="T987" s="137">
        <f t="shared" si="208"/>
        <v>44000</v>
      </c>
      <c r="U987" s="137">
        <f t="shared" si="212"/>
        <v>1144000</v>
      </c>
      <c r="V987" s="137">
        <v>978400</v>
      </c>
      <c r="W987" s="137">
        <f t="shared" si="213"/>
        <v>165600</v>
      </c>
      <c r="X987" s="137">
        <f t="shared" si="209"/>
        <v>159230.76923076922</v>
      </c>
      <c r="Y987" s="137">
        <f t="shared" si="214"/>
        <v>6369.2307692307804</v>
      </c>
      <c r="Z987" s="137">
        <v>967623.4</v>
      </c>
      <c r="AA987" s="137">
        <f t="shared" si="210"/>
        <v>10776.599999999977</v>
      </c>
      <c r="AB987" s="146">
        <f t="shared" si="221"/>
        <v>930407.11538461538</v>
      </c>
      <c r="AC987" s="147">
        <f t="shared" si="211"/>
        <v>37216.284615384648</v>
      </c>
      <c r="AD987" s="137">
        <f t="shared" si="223"/>
        <v>868999.74436028034</v>
      </c>
      <c r="AE987" s="138">
        <v>0.11269173273981201</v>
      </c>
      <c r="AF987" s="137">
        <f t="shared" si="202"/>
        <v>97929.086942413662</v>
      </c>
      <c r="AG987" s="137">
        <v>49189.090854714603</v>
      </c>
      <c r="AH987" s="154"/>
      <c r="AI987" s="154"/>
      <c r="AJ987" s="135" t="s">
        <v>186</v>
      </c>
      <c r="AK987" s="119" t="s">
        <v>186</v>
      </c>
      <c r="AM987" s="119" t="s">
        <v>174</v>
      </c>
    </row>
    <row r="988" spans="1:39" s="119" customFormat="1" ht="15" customHeight="1" x14ac:dyDescent="0.3">
      <c r="A988" s="119">
        <v>2017</v>
      </c>
      <c r="B988" s="119" t="s">
        <v>38</v>
      </c>
      <c r="C988" s="119" t="s">
        <v>59</v>
      </c>
      <c r="D988" s="119" t="s">
        <v>60</v>
      </c>
      <c r="E988" s="119" t="s">
        <v>190</v>
      </c>
      <c r="F988" s="119" t="s">
        <v>478</v>
      </c>
      <c r="G988" s="119" t="s">
        <v>478</v>
      </c>
      <c r="H988" s="119" t="s">
        <v>478</v>
      </c>
      <c r="I988" s="119" t="s">
        <v>170</v>
      </c>
      <c r="J988" s="119" t="s">
        <v>171</v>
      </c>
      <c r="K988" s="119" t="s">
        <v>172</v>
      </c>
      <c r="L988" s="119" t="s">
        <v>984</v>
      </c>
      <c r="M988" s="119" t="s">
        <v>46</v>
      </c>
      <c r="N988" s="136">
        <v>0.02</v>
      </c>
      <c r="O988" s="135" t="s">
        <v>51</v>
      </c>
      <c r="P988" s="135"/>
      <c r="Q988" s="137">
        <v>0</v>
      </c>
      <c r="R988" s="137">
        <v>0</v>
      </c>
      <c r="S988" s="137">
        <v>480174.8</v>
      </c>
      <c r="T988" s="137">
        <f t="shared" si="208"/>
        <v>9603.4959999999992</v>
      </c>
      <c r="U988" s="137">
        <f t="shared" si="212"/>
        <v>489778.29599999997</v>
      </c>
      <c r="V988" s="137">
        <v>492000</v>
      </c>
      <c r="W988" s="137">
        <f t="shared" si="213"/>
        <v>-2221.704000000027</v>
      </c>
      <c r="X988" s="137">
        <f t="shared" si="209"/>
        <v>-2178.1411764706145</v>
      </c>
      <c r="Y988" s="137">
        <f t="shared" si="214"/>
        <v>-43.562823529412526</v>
      </c>
      <c r="Z988" s="137">
        <v>0</v>
      </c>
      <c r="AA988" s="137">
        <f t="shared" si="210"/>
        <v>492000</v>
      </c>
      <c r="AB988" s="146">
        <f t="shared" si="221"/>
        <v>0</v>
      </c>
      <c r="AC988" s="147">
        <f t="shared" si="211"/>
        <v>0</v>
      </c>
      <c r="AD988" s="137">
        <f t="shared" si="223"/>
        <v>0</v>
      </c>
      <c r="AE988" s="138">
        <v>0.11269173273981201</v>
      </c>
      <c r="AF988" s="137">
        <f t="shared" si="202"/>
        <v>0</v>
      </c>
      <c r="AG988" s="137">
        <v>0</v>
      </c>
      <c r="AH988" s="154"/>
      <c r="AI988" s="154"/>
      <c r="AJ988" s="135" t="s">
        <v>173</v>
      </c>
      <c r="AK988" s="119" t="s">
        <v>173</v>
      </c>
    </row>
    <row r="989" spans="1:39" s="119" customFormat="1" ht="15" customHeight="1" x14ac:dyDescent="0.3">
      <c r="A989" s="119">
        <v>2017</v>
      </c>
      <c r="B989" s="119" t="s">
        <v>38</v>
      </c>
      <c r="C989" s="119" t="s">
        <v>59</v>
      </c>
      <c r="D989" s="119" t="s">
        <v>60</v>
      </c>
      <c r="E989" s="119" t="s">
        <v>190</v>
      </c>
      <c r="F989" s="119" t="s">
        <v>984</v>
      </c>
      <c r="G989" s="119" t="s">
        <v>984</v>
      </c>
      <c r="H989" s="119" t="s">
        <v>984</v>
      </c>
      <c r="I989" s="119" t="s">
        <v>170</v>
      </c>
      <c r="J989" s="119" t="s">
        <v>171</v>
      </c>
      <c r="K989" s="119" t="s">
        <v>172</v>
      </c>
      <c r="L989" s="119" t="s">
        <v>984</v>
      </c>
      <c r="M989" s="119" t="s">
        <v>46</v>
      </c>
      <c r="N989" s="136">
        <v>0.02</v>
      </c>
      <c r="O989" s="135" t="s">
        <v>51</v>
      </c>
      <c r="P989" s="135"/>
      <c r="Q989" s="137">
        <v>0</v>
      </c>
      <c r="R989" s="137">
        <v>0</v>
      </c>
      <c r="S989" s="137">
        <v>2690000</v>
      </c>
      <c r="T989" s="137">
        <f t="shared" si="208"/>
        <v>53800</v>
      </c>
      <c r="U989" s="137">
        <f t="shared" si="212"/>
        <v>2743800</v>
      </c>
      <c r="V989" s="137">
        <v>2804800</v>
      </c>
      <c r="W989" s="137">
        <f t="shared" si="213"/>
        <v>-61000</v>
      </c>
      <c r="X989" s="137">
        <f t="shared" si="209"/>
        <v>-59803.921568627447</v>
      </c>
      <c r="Y989" s="137">
        <f t="shared" si="214"/>
        <v>-1196.0784313725526</v>
      </c>
      <c r="Z989" s="137">
        <v>3243525.2</v>
      </c>
      <c r="AA989" s="137">
        <f t="shared" si="210"/>
        <v>-438725.20000000019</v>
      </c>
      <c r="AB989" s="146">
        <f t="shared" si="221"/>
        <v>3179926.666666667</v>
      </c>
      <c r="AC989" s="147">
        <f t="shared" si="211"/>
        <v>63598.533333333209</v>
      </c>
      <c r="AD989" s="137">
        <f t="shared" si="223"/>
        <v>2912933.4507889403</v>
      </c>
      <c r="AE989" s="138">
        <v>0.11269173273981201</v>
      </c>
      <c r="AF989" s="137">
        <f t="shared" si="202"/>
        <v>328263.51792516559</v>
      </c>
      <c r="AG989" s="137">
        <v>226598.73690407199</v>
      </c>
      <c r="AH989" s="154"/>
      <c r="AI989" s="154"/>
      <c r="AJ989" s="135" t="s">
        <v>173</v>
      </c>
      <c r="AK989" s="119" t="s">
        <v>173</v>
      </c>
    </row>
    <row r="990" spans="1:39" s="119" customFormat="1" ht="15" customHeight="1" x14ac:dyDescent="0.3">
      <c r="A990" s="119">
        <v>2017</v>
      </c>
      <c r="B990" s="119" t="s">
        <v>38</v>
      </c>
      <c r="C990" s="119" t="s">
        <v>59</v>
      </c>
      <c r="D990" s="119" t="s">
        <v>60</v>
      </c>
      <c r="E990" s="119" t="s">
        <v>61</v>
      </c>
      <c r="F990" s="119" t="s">
        <v>360</v>
      </c>
      <c r="G990" s="119" t="s">
        <v>360</v>
      </c>
      <c r="H990" s="119" t="s">
        <v>360</v>
      </c>
      <c r="I990" s="119" t="s">
        <v>170</v>
      </c>
      <c r="J990" s="119" t="s">
        <v>171</v>
      </c>
      <c r="K990" s="119" t="s">
        <v>172</v>
      </c>
      <c r="L990" s="119" t="s">
        <v>361</v>
      </c>
      <c r="M990" s="119" t="s">
        <v>46</v>
      </c>
      <c r="N990" s="135">
        <v>0.05</v>
      </c>
      <c r="O990" s="135" t="s">
        <v>51</v>
      </c>
      <c r="P990" s="135"/>
      <c r="Q990" s="137">
        <v>0</v>
      </c>
      <c r="R990" s="137">
        <v>0</v>
      </c>
      <c r="S990" s="137">
        <v>1110000</v>
      </c>
      <c r="T990" s="137">
        <f t="shared" si="208"/>
        <v>55500</v>
      </c>
      <c r="U990" s="137">
        <f t="shared" si="212"/>
        <v>1165500</v>
      </c>
      <c r="V990" s="137">
        <v>976540.16000000003</v>
      </c>
      <c r="W990" s="137">
        <f t="shared" si="213"/>
        <v>188959.83999999997</v>
      </c>
      <c r="X990" s="137">
        <f t="shared" si="209"/>
        <v>179961.75238095236</v>
      </c>
      <c r="Y990" s="137">
        <f t="shared" si="214"/>
        <v>8998.087619047612</v>
      </c>
      <c r="Z990" s="137">
        <v>923351</v>
      </c>
      <c r="AA990" s="137">
        <f t="shared" si="210"/>
        <v>53189.160000000033</v>
      </c>
      <c r="AB990" s="146">
        <f t="shared" si="221"/>
        <v>879381.90476190473</v>
      </c>
      <c r="AC990" s="147">
        <f t="shared" si="211"/>
        <v>43969.095238095266</v>
      </c>
      <c r="AD990" s="137">
        <f t="shared" si="223"/>
        <v>829239.74653238978</v>
      </c>
      <c r="AE990" s="138">
        <v>0.11269173273981201</v>
      </c>
      <c r="AF990" s="137">
        <f t="shared" si="202"/>
        <v>93448.46389345752</v>
      </c>
      <c r="AG990" s="137">
        <v>38642.854152949403</v>
      </c>
      <c r="AH990" s="154"/>
      <c r="AI990" s="154"/>
      <c r="AJ990" s="135" t="s">
        <v>63</v>
      </c>
      <c r="AK990" s="119" t="s">
        <v>63</v>
      </c>
    </row>
    <row r="991" spans="1:39" s="119" customFormat="1" ht="15" customHeight="1" x14ac:dyDescent="0.3">
      <c r="A991" s="119">
        <v>2017</v>
      </c>
      <c r="B991" s="119" t="s">
        <v>38</v>
      </c>
      <c r="C991" s="119" t="s">
        <v>59</v>
      </c>
      <c r="D991" s="119" t="s">
        <v>60</v>
      </c>
      <c r="E991" s="119" t="s">
        <v>61</v>
      </c>
      <c r="F991" s="119" t="s">
        <v>360</v>
      </c>
      <c r="G991" s="119" t="s">
        <v>360</v>
      </c>
      <c r="H991" s="119" t="s">
        <v>360</v>
      </c>
      <c r="I991" s="119" t="s">
        <v>170</v>
      </c>
      <c r="J991" s="119" t="s">
        <v>171</v>
      </c>
      <c r="K991" s="119" t="s">
        <v>172</v>
      </c>
      <c r="L991" s="119" t="s">
        <v>361</v>
      </c>
      <c r="M991" s="119" t="s">
        <v>185</v>
      </c>
      <c r="N991" s="136">
        <v>0.08</v>
      </c>
      <c r="O991" s="135" t="s">
        <v>51</v>
      </c>
      <c r="P991" s="135"/>
      <c r="Q991" s="137">
        <v>0</v>
      </c>
      <c r="R991" s="137">
        <v>0</v>
      </c>
      <c r="S991" s="137">
        <v>80000</v>
      </c>
      <c r="T991" s="137">
        <f t="shared" si="208"/>
        <v>6400</v>
      </c>
      <c r="U991" s="137">
        <f t="shared" si="212"/>
        <v>86400</v>
      </c>
      <c r="V991" s="137">
        <v>86400</v>
      </c>
      <c r="W991" s="137">
        <f t="shared" si="213"/>
        <v>0</v>
      </c>
      <c r="X991" s="137">
        <f t="shared" si="209"/>
        <v>0</v>
      </c>
      <c r="Y991" s="137">
        <f t="shared" si="214"/>
        <v>0</v>
      </c>
      <c r="Z991" s="137">
        <v>42544.06</v>
      </c>
      <c r="AA991" s="137">
        <f t="shared" si="210"/>
        <v>43855.94</v>
      </c>
      <c r="AB991" s="146">
        <f t="shared" si="221"/>
        <v>39392.648148148146</v>
      </c>
      <c r="AC991" s="147">
        <f t="shared" si="211"/>
        <v>3151.4118518518517</v>
      </c>
      <c r="AD991" s="137">
        <f>(Z991-Q991)*0.91072157793815</f>
        <v>38745.793455095329</v>
      </c>
      <c r="AE991" s="138">
        <v>0.11269173273981201</v>
      </c>
      <c r="AF991" s="137">
        <f t="shared" si="202"/>
        <v>4366.3306008335603</v>
      </c>
      <c r="AG991" s="137">
        <v>654.99300568289596</v>
      </c>
      <c r="AH991" s="154"/>
      <c r="AI991" s="154"/>
      <c r="AJ991" s="135" t="s">
        <v>53</v>
      </c>
      <c r="AK991" s="119" t="s">
        <v>53</v>
      </c>
    </row>
    <row r="992" spans="1:39" s="119" customFormat="1" ht="15" customHeight="1" x14ac:dyDescent="0.3">
      <c r="A992" s="119">
        <v>2017</v>
      </c>
      <c r="B992" s="119" t="s">
        <v>38</v>
      </c>
      <c r="C992" s="119" t="s">
        <v>59</v>
      </c>
      <c r="D992" s="119" t="s">
        <v>60</v>
      </c>
      <c r="E992" s="119" t="s">
        <v>61</v>
      </c>
      <c r="F992" s="119" t="s">
        <v>985</v>
      </c>
      <c r="G992" s="119" t="s">
        <v>985</v>
      </c>
      <c r="H992" s="119" t="s">
        <v>985</v>
      </c>
      <c r="I992" s="119" t="s">
        <v>170</v>
      </c>
      <c r="J992" s="119" t="s">
        <v>171</v>
      </c>
      <c r="K992" s="119" t="s">
        <v>172</v>
      </c>
      <c r="L992" s="119" t="s">
        <v>985</v>
      </c>
      <c r="M992" s="119" t="s">
        <v>46</v>
      </c>
      <c r="N992" s="135">
        <v>0</v>
      </c>
      <c r="O992" s="135" t="s">
        <v>47</v>
      </c>
      <c r="P992" s="135"/>
      <c r="Q992" s="137">
        <v>0</v>
      </c>
      <c r="R992" s="137">
        <v>0</v>
      </c>
      <c r="S992" s="137">
        <v>200000</v>
      </c>
      <c r="T992" s="137">
        <f t="shared" si="208"/>
        <v>0</v>
      </c>
      <c r="U992" s="137">
        <f t="shared" si="212"/>
        <v>200000</v>
      </c>
      <c r="V992" s="137">
        <v>200000</v>
      </c>
      <c r="W992" s="137">
        <f t="shared" si="213"/>
        <v>0</v>
      </c>
      <c r="X992" s="137">
        <f t="shared" si="209"/>
        <v>0</v>
      </c>
      <c r="Y992" s="137">
        <f t="shared" si="214"/>
        <v>0</v>
      </c>
      <c r="Z992" s="137">
        <v>158462.70000000001</v>
      </c>
      <c r="AA992" s="137">
        <f t="shared" si="210"/>
        <v>41537.299999999988</v>
      </c>
      <c r="AB992" s="146">
        <f t="shared" si="221"/>
        <v>158462.70000000001</v>
      </c>
      <c r="AC992" s="147">
        <f t="shared" si="211"/>
        <v>0</v>
      </c>
      <c r="AD992" s="137">
        <f t="shared" ref="AD992:AD995" si="224">(Z992-Q992)*0.89807640489087</f>
        <v>142311.61192530047</v>
      </c>
      <c r="AE992" s="138">
        <v>0.11269173273981201</v>
      </c>
      <c r="AF992" s="137">
        <f t="shared" si="202"/>
        <v>16037.342136857804</v>
      </c>
      <c r="AG992" s="137">
        <v>14177.6123627616</v>
      </c>
      <c r="AH992" s="154"/>
      <c r="AI992" s="154"/>
      <c r="AJ992" s="135" t="s">
        <v>47</v>
      </c>
      <c r="AK992" s="119" t="s">
        <v>47</v>
      </c>
    </row>
    <row r="993" spans="1:39" s="119" customFormat="1" ht="15" customHeight="1" x14ac:dyDescent="0.3">
      <c r="A993" s="119">
        <v>2017</v>
      </c>
      <c r="B993" s="119" t="s">
        <v>38</v>
      </c>
      <c r="C993" s="119" t="s">
        <v>59</v>
      </c>
      <c r="D993" s="119" t="s">
        <v>60</v>
      </c>
      <c r="E993" s="119" t="s">
        <v>61</v>
      </c>
      <c r="F993" s="119" t="s">
        <v>274</v>
      </c>
      <c r="G993" s="119" t="s">
        <v>274</v>
      </c>
      <c r="H993" s="119" t="s">
        <v>274</v>
      </c>
      <c r="I993" s="119" t="s">
        <v>170</v>
      </c>
      <c r="J993" s="119" t="s">
        <v>171</v>
      </c>
      <c r="K993" s="119" t="s">
        <v>172</v>
      </c>
      <c r="L993" s="119" t="s">
        <v>274</v>
      </c>
      <c r="M993" s="119" t="s">
        <v>46</v>
      </c>
      <c r="N993" s="136">
        <v>0.02</v>
      </c>
      <c r="O993" s="135" t="s">
        <v>51</v>
      </c>
      <c r="P993" s="135"/>
      <c r="Q993" s="137">
        <v>0</v>
      </c>
      <c r="R993" s="137">
        <v>0</v>
      </c>
      <c r="S993" s="137">
        <v>95000</v>
      </c>
      <c r="T993" s="137">
        <f t="shared" si="208"/>
        <v>1900</v>
      </c>
      <c r="U993" s="137">
        <f t="shared" si="212"/>
        <v>96900</v>
      </c>
      <c r="V993" s="137">
        <v>96900</v>
      </c>
      <c r="W993" s="137">
        <f t="shared" si="213"/>
        <v>0</v>
      </c>
      <c r="X993" s="137">
        <f t="shared" si="209"/>
        <v>0</v>
      </c>
      <c r="Y993" s="137">
        <f t="shared" si="214"/>
        <v>0</v>
      </c>
      <c r="Z993" s="137">
        <v>92644.800000000003</v>
      </c>
      <c r="AA993" s="137">
        <f t="shared" si="210"/>
        <v>4255.1999999999971</v>
      </c>
      <c r="AB993" s="146">
        <f t="shared" si="221"/>
        <v>90828.23529411765</v>
      </c>
      <c r="AC993" s="147">
        <f t="shared" si="211"/>
        <v>1816.5647058823524</v>
      </c>
      <c r="AD993" s="137">
        <f t="shared" si="224"/>
        <v>83202.108915833684</v>
      </c>
      <c r="AE993" s="138">
        <v>0.11269173273981201</v>
      </c>
      <c r="AF993" s="137">
        <f t="shared" si="202"/>
        <v>9376.18982133186</v>
      </c>
      <c r="AG993" s="137">
        <v>6472.3390034800204</v>
      </c>
      <c r="AH993" s="154"/>
      <c r="AI993" s="154"/>
      <c r="AJ993" s="135" t="s">
        <v>173</v>
      </c>
      <c r="AK993" s="119" t="s">
        <v>173</v>
      </c>
      <c r="AM993" s="119" t="s">
        <v>174</v>
      </c>
    </row>
    <row r="994" spans="1:39" s="119" customFormat="1" ht="15" customHeight="1" x14ac:dyDescent="0.3">
      <c r="A994" s="119">
        <v>2017</v>
      </c>
      <c r="B994" s="119" t="s">
        <v>38</v>
      </c>
      <c r="C994" s="119" t="s">
        <v>59</v>
      </c>
      <c r="D994" s="119" t="s">
        <v>60</v>
      </c>
      <c r="E994" s="119" t="s">
        <v>67</v>
      </c>
      <c r="F994" s="119" t="s">
        <v>986</v>
      </c>
      <c r="G994" s="119" t="s">
        <v>987</v>
      </c>
      <c r="H994" s="119" t="s">
        <v>987</v>
      </c>
      <c r="I994" s="119" t="s">
        <v>170</v>
      </c>
      <c r="J994" s="119" t="s">
        <v>171</v>
      </c>
      <c r="K994" s="119" t="s">
        <v>172</v>
      </c>
      <c r="L994" s="119" t="s">
        <v>988</v>
      </c>
      <c r="M994" s="119" t="s">
        <v>46</v>
      </c>
      <c r="N994" s="136">
        <v>0.02</v>
      </c>
      <c r="O994" s="135" t="s">
        <v>51</v>
      </c>
      <c r="P994" s="135"/>
      <c r="Q994" s="137">
        <v>0</v>
      </c>
      <c r="R994" s="137">
        <v>0</v>
      </c>
      <c r="S994" s="137">
        <v>10000</v>
      </c>
      <c r="T994" s="137">
        <f t="shared" si="208"/>
        <v>200</v>
      </c>
      <c r="U994" s="137">
        <f t="shared" si="212"/>
        <v>10200</v>
      </c>
      <c r="V994" s="137">
        <v>10200</v>
      </c>
      <c r="W994" s="137">
        <f t="shared" si="213"/>
        <v>0</v>
      </c>
      <c r="X994" s="137">
        <f t="shared" si="209"/>
        <v>0</v>
      </c>
      <c r="Y994" s="137">
        <f t="shared" si="214"/>
        <v>0</v>
      </c>
      <c r="Z994" s="137">
        <v>10197.5</v>
      </c>
      <c r="AA994" s="137">
        <f t="shared" si="210"/>
        <v>2.5</v>
      </c>
      <c r="AB994" s="146">
        <f t="shared" si="221"/>
        <v>9997.5490196078426</v>
      </c>
      <c r="AC994" s="147">
        <f t="shared" si="211"/>
        <v>199.95098039215736</v>
      </c>
      <c r="AD994" s="137">
        <f t="shared" si="224"/>
        <v>9158.1341388746478</v>
      </c>
      <c r="AE994" s="138">
        <v>0.11269173273981201</v>
      </c>
      <c r="AF994" s="137">
        <f t="shared" si="202"/>
        <v>1032.0460047734102</v>
      </c>
      <c r="AG994" s="137">
        <v>712.41642259454795</v>
      </c>
      <c r="AH994" s="154"/>
      <c r="AI994" s="154"/>
      <c r="AJ994" s="135" t="s">
        <v>173</v>
      </c>
      <c r="AK994" s="119" t="s">
        <v>173</v>
      </c>
    </row>
    <row r="995" spans="1:39" s="119" customFormat="1" ht="15" customHeight="1" x14ac:dyDescent="0.3">
      <c r="A995" s="119">
        <v>2017</v>
      </c>
      <c r="B995" s="119" t="s">
        <v>252</v>
      </c>
      <c r="C995" s="119" t="s">
        <v>59</v>
      </c>
      <c r="D995" s="119" t="s">
        <v>210</v>
      </c>
      <c r="E995" s="119" t="s">
        <v>239</v>
      </c>
      <c r="F995" s="119" t="s">
        <v>755</v>
      </c>
      <c r="G995" s="119" t="s">
        <v>756</v>
      </c>
      <c r="H995" s="119" t="s">
        <v>756</v>
      </c>
      <c r="I995" s="119" t="s">
        <v>170</v>
      </c>
      <c r="J995" s="119" t="s">
        <v>171</v>
      </c>
      <c r="K995" s="119" t="s">
        <v>172</v>
      </c>
      <c r="L995" s="119" t="s">
        <v>755</v>
      </c>
      <c r="M995" s="119" t="s">
        <v>46</v>
      </c>
      <c r="N995" s="135">
        <v>0</v>
      </c>
      <c r="O995" s="135" t="s">
        <v>47</v>
      </c>
      <c r="P995" s="135"/>
      <c r="Q995" s="137">
        <v>266870.05</v>
      </c>
      <c r="R995" s="137">
        <v>0</v>
      </c>
      <c r="S995" s="137">
        <v>1829000</v>
      </c>
      <c r="T995" s="137">
        <f t="shared" si="208"/>
        <v>0</v>
      </c>
      <c r="U995" s="137">
        <f t="shared" si="212"/>
        <v>1829000</v>
      </c>
      <c r="V995" s="137">
        <v>1379983.8</v>
      </c>
      <c r="W995" s="137">
        <f t="shared" si="213"/>
        <v>449016.19999999995</v>
      </c>
      <c r="X995" s="137">
        <f t="shared" si="209"/>
        <v>449016.19999999995</v>
      </c>
      <c r="Y995" s="137">
        <f t="shared" si="214"/>
        <v>0</v>
      </c>
      <c r="Z995" s="137">
        <v>1501010.8</v>
      </c>
      <c r="AA995" s="137">
        <f t="shared" si="210"/>
        <v>145843.05000000005</v>
      </c>
      <c r="AB995" s="146">
        <f>IF(O995="返货",(Z995-Q995)/(1+N995),IF(O995="返现",(Z995-Q995),IF(O995="折扣",(Z995-Q995)*N995,IF(O995="无",(Z995-Q995)))))</f>
        <v>1234140.75</v>
      </c>
      <c r="AC995" s="147">
        <f t="shared" si="211"/>
        <v>266870.05000000005</v>
      </c>
      <c r="AD995" s="137">
        <f t="shared" si="224"/>
        <v>1108352.6878893219</v>
      </c>
      <c r="AE995" s="138">
        <v>0.11269173273981201</v>
      </c>
      <c r="AF995" s="137">
        <f t="shared" si="202"/>
        <v>124902.18488507574</v>
      </c>
      <c r="AG995" s="137">
        <v>90576.245008130805</v>
      </c>
      <c r="AH995" s="154"/>
      <c r="AI995" s="154"/>
      <c r="AJ995" s="135" t="s">
        <v>47</v>
      </c>
      <c r="AK995" s="119" t="s">
        <v>189</v>
      </c>
    </row>
    <row r="996" spans="1:39" s="119" customFormat="1" ht="15" customHeight="1" x14ac:dyDescent="0.3">
      <c r="A996" s="119">
        <v>2017</v>
      </c>
      <c r="B996" s="119" t="s">
        <v>252</v>
      </c>
      <c r="C996" s="119" t="s">
        <v>59</v>
      </c>
      <c r="D996" s="119" t="s">
        <v>210</v>
      </c>
      <c r="E996" s="119" t="s">
        <v>239</v>
      </c>
      <c r="F996" s="119" t="s">
        <v>755</v>
      </c>
      <c r="G996" s="119" t="s">
        <v>756</v>
      </c>
      <c r="H996" s="119" t="s">
        <v>756</v>
      </c>
      <c r="I996" s="119" t="s">
        <v>170</v>
      </c>
      <c r="J996" s="119" t="s">
        <v>171</v>
      </c>
      <c r="K996" s="119" t="s">
        <v>172</v>
      </c>
      <c r="L996" s="119" t="s">
        <v>755</v>
      </c>
      <c r="M996" s="119" t="s">
        <v>160</v>
      </c>
      <c r="N996" s="135">
        <v>0</v>
      </c>
      <c r="O996" s="135" t="s">
        <v>47</v>
      </c>
      <c r="P996" s="135"/>
      <c r="Q996" s="137">
        <v>0</v>
      </c>
      <c r="R996" s="137">
        <v>0</v>
      </c>
      <c r="S996" s="137">
        <v>313160</v>
      </c>
      <c r="T996" s="137">
        <f t="shared" si="208"/>
        <v>0</v>
      </c>
      <c r="U996" s="137">
        <f t="shared" si="212"/>
        <v>313160</v>
      </c>
      <c r="V996" s="137">
        <v>313160</v>
      </c>
      <c r="W996" s="137">
        <f t="shared" si="213"/>
        <v>0</v>
      </c>
      <c r="X996" s="137">
        <f t="shared" si="209"/>
        <v>0</v>
      </c>
      <c r="Y996" s="137">
        <f t="shared" si="214"/>
        <v>0</v>
      </c>
      <c r="Z996" s="137">
        <v>313160</v>
      </c>
      <c r="AA996" s="137">
        <f t="shared" si="210"/>
        <v>0</v>
      </c>
      <c r="AB996" s="146">
        <f t="shared" ref="AB996:AB1001" si="225">IF(O996="返货",Z996/(1+N996),IF(O996="返现",Z996,IF(O996="折扣",Z996*N996,IF(O996="无",Z996))))</f>
        <v>313160</v>
      </c>
      <c r="AC996" s="147">
        <f t="shared" si="211"/>
        <v>0</v>
      </c>
      <c r="AD996" s="137">
        <f>(Z996-Q996)*0.826045217867759</f>
        <v>258684.32042746741</v>
      </c>
      <c r="AE996" s="138">
        <v>0.11269173273981201</v>
      </c>
      <c r="AF996" s="137">
        <f t="shared" si="202"/>
        <v>29151.584301592047</v>
      </c>
      <c r="AG996" s="137">
        <v>28018.3354664689</v>
      </c>
      <c r="AH996" s="154"/>
      <c r="AI996" s="154"/>
      <c r="AJ996" s="135" t="s">
        <v>47</v>
      </c>
      <c r="AK996" s="119" t="s">
        <v>47</v>
      </c>
    </row>
    <row r="997" spans="1:39" s="119" customFormat="1" ht="15" customHeight="1" x14ac:dyDescent="0.3">
      <c r="A997" s="119">
        <v>2017</v>
      </c>
      <c r="B997" s="119" t="s">
        <v>38</v>
      </c>
      <c r="C997" s="119" t="s">
        <v>59</v>
      </c>
      <c r="D997" s="119" t="s">
        <v>210</v>
      </c>
      <c r="E997" s="119" t="s">
        <v>239</v>
      </c>
      <c r="F997" s="119" t="s">
        <v>719</v>
      </c>
      <c r="G997" s="119" t="s">
        <v>719</v>
      </c>
      <c r="H997" s="119" t="s">
        <v>719</v>
      </c>
      <c r="I997" s="119" t="s">
        <v>170</v>
      </c>
      <c r="J997" s="119" t="s">
        <v>171</v>
      </c>
      <c r="K997" s="119" t="s">
        <v>172</v>
      </c>
      <c r="L997" s="119" t="s">
        <v>719</v>
      </c>
      <c r="M997" s="119" t="s">
        <v>46</v>
      </c>
      <c r="N997" s="135">
        <v>0.06</v>
      </c>
      <c r="O997" s="135" t="s">
        <v>51</v>
      </c>
      <c r="P997" s="135"/>
      <c r="Q997" s="137">
        <v>0</v>
      </c>
      <c r="R997" s="137">
        <v>0</v>
      </c>
      <c r="S997" s="137">
        <v>1448248.93</v>
      </c>
      <c r="T997" s="137">
        <f t="shared" si="208"/>
        <v>86894.935799999992</v>
      </c>
      <c r="U997" s="137">
        <f t="shared" si="212"/>
        <v>1535143.8658</v>
      </c>
      <c r="V997" s="137">
        <v>1524651.11</v>
      </c>
      <c r="W997" s="137">
        <f t="shared" si="213"/>
        <v>10492.755799999926</v>
      </c>
      <c r="X997" s="137">
        <f t="shared" si="209"/>
        <v>9898.8262264150235</v>
      </c>
      <c r="Y997" s="137">
        <f t="shared" si="214"/>
        <v>593.92957358490276</v>
      </c>
      <c r="Z997" s="137">
        <v>1322085.8</v>
      </c>
      <c r="AA997" s="137">
        <f t="shared" si="210"/>
        <v>202565.31000000006</v>
      </c>
      <c r="AB997" s="146">
        <f t="shared" si="225"/>
        <v>1247250.7547169812</v>
      </c>
      <c r="AC997" s="147">
        <f t="shared" si="211"/>
        <v>74835.045283018844</v>
      </c>
      <c r="AD997" s="137">
        <f t="shared" ref="AD997:AD998" si="226">(Z997-Q997)*0.89807640489087</f>
        <v>1187334.0622212698</v>
      </c>
      <c r="AE997" s="138">
        <v>0.11269173273981201</v>
      </c>
      <c r="AF997" s="137">
        <f t="shared" si="202"/>
        <v>133802.73281271465</v>
      </c>
      <c r="AG997" s="137">
        <v>43451.592409709898</v>
      </c>
      <c r="AH997" s="154"/>
      <c r="AI997" s="154"/>
      <c r="AJ997" s="135" t="s">
        <v>193</v>
      </c>
      <c r="AK997" s="119" t="s">
        <v>193</v>
      </c>
    </row>
    <row r="998" spans="1:39" s="119" customFormat="1" ht="15" customHeight="1" x14ac:dyDescent="0.3">
      <c r="A998" s="119">
        <v>2017</v>
      </c>
      <c r="B998" s="119" t="s">
        <v>38</v>
      </c>
      <c r="C998" s="119" t="s">
        <v>59</v>
      </c>
      <c r="D998" s="119" t="s">
        <v>210</v>
      </c>
      <c r="E998" s="119" t="s">
        <v>239</v>
      </c>
      <c r="F998" s="119" t="s">
        <v>240</v>
      </c>
      <c r="G998" s="119" t="s">
        <v>760</v>
      </c>
      <c r="H998" s="119" t="s">
        <v>760</v>
      </c>
      <c r="I998" s="119" t="s">
        <v>170</v>
      </c>
      <c r="J998" s="119" t="s">
        <v>171</v>
      </c>
      <c r="K998" s="119" t="s">
        <v>172</v>
      </c>
      <c r="L998" s="119" t="s">
        <v>240</v>
      </c>
      <c r="M998" s="119" t="s">
        <v>46</v>
      </c>
      <c r="N998" s="136">
        <v>0.02</v>
      </c>
      <c r="O998" s="135" t="s">
        <v>495</v>
      </c>
      <c r="P998" s="135"/>
      <c r="Q998" s="137">
        <v>0</v>
      </c>
      <c r="R998" s="137">
        <v>0</v>
      </c>
      <c r="S998" s="137">
        <v>328102.65000000002</v>
      </c>
      <c r="T998" s="137">
        <f t="shared" si="208"/>
        <v>6562.0530000000008</v>
      </c>
      <c r="U998" s="137">
        <f t="shared" si="212"/>
        <v>334664.70300000004</v>
      </c>
      <c r="V998" s="137">
        <v>580000</v>
      </c>
      <c r="W998" s="137">
        <f t="shared" si="213"/>
        <v>-245335.29699999996</v>
      </c>
      <c r="X998" s="137">
        <f t="shared" si="209"/>
        <v>-240524.80098039212</v>
      </c>
      <c r="Y998" s="137">
        <f t="shared" si="214"/>
        <v>-4810.4960196078464</v>
      </c>
      <c r="Z998" s="137">
        <v>352840.3</v>
      </c>
      <c r="AA998" s="137">
        <f t="shared" si="210"/>
        <v>227159.7</v>
      </c>
      <c r="AB998" s="146">
        <f t="shared" si="225"/>
        <v>352840.3</v>
      </c>
      <c r="AC998" s="147">
        <f t="shared" si="211"/>
        <v>7056.8059999999996</v>
      </c>
      <c r="AD998" s="137">
        <f t="shared" si="226"/>
        <v>316877.54812461603</v>
      </c>
      <c r="AE998" s="138">
        <v>0.11269173273981201</v>
      </c>
      <c r="AF998" s="137">
        <f t="shared" si="202"/>
        <v>35709.47996450615</v>
      </c>
      <c r="AG998" s="137">
        <v>24650.083282489599</v>
      </c>
      <c r="AH998" s="154"/>
      <c r="AI998" s="154"/>
      <c r="AJ998" s="135" t="s">
        <v>173</v>
      </c>
      <c r="AK998" s="119" t="s">
        <v>173</v>
      </c>
    </row>
    <row r="999" spans="1:39" s="119" customFormat="1" ht="15" customHeight="1" x14ac:dyDescent="0.3">
      <c r="A999" s="119">
        <v>2017</v>
      </c>
      <c r="B999" s="119" t="s">
        <v>38</v>
      </c>
      <c r="C999" s="119" t="s">
        <v>59</v>
      </c>
      <c r="D999" s="119" t="s">
        <v>210</v>
      </c>
      <c r="E999" s="119" t="s">
        <v>239</v>
      </c>
      <c r="F999" s="119" t="s">
        <v>240</v>
      </c>
      <c r="G999" s="119" t="s">
        <v>760</v>
      </c>
      <c r="H999" s="119" t="s">
        <v>760</v>
      </c>
      <c r="I999" s="119" t="s">
        <v>170</v>
      </c>
      <c r="J999" s="119" t="s">
        <v>171</v>
      </c>
      <c r="K999" s="119" t="s">
        <v>172</v>
      </c>
      <c r="L999" s="119" t="s">
        <v>240</v>
      </c>
      <c r="M999" s="119" t="s">
        <v>185</v>
      </c>
      <c r="N999" s="136">
        <v>0.04</v>
      </c>
      <c r="O999" s="135" t="s">
        <v>495</v>
      </c>
      <c r="P999" s="135"/>
      <c r="Q999" s="137">
        <v>0</v>
      </c>
      <c r="R999" s="137">
        <v>0</v>
      </c>
      <c r="S999" s="137">
        <v>50139.519999999997</v>
      </c>
      <c r="T999" s="137">
        <f t="shared" si="208"/>
        <v>2005.5808</v>
      </c>
      <c r="U999" s="137">
        <f t="shared" si="212"/>
        <v>52145.1008</v>
      </c>
      <c r="V999" s="137">
        <v>220000</v>
      </c>
      <c r="W999" s="137">
        <f t="shared" si="213"/>
        <v>-167854.89919999999</v>
      </c>
      <c r="X999" s="137">
        <f t="shared" si="209"/>
        <v>-161398.94153846151</v>
      </c>
      <c r="Y999" s="137">
        <f t="shared" si="214"/>
        <v>-6455.9576615384722</v>
      </c>
      <c r="Z999" s="137">
        <v>52145.1</v>
      </c>
      <c r="AA999" s="137">
        <f t="shared" si="210"/>
        <v>167854.9</v>
      </c>
      <c r="AB999" s="146">
        <f t="shared" si="225"/>
        <v>52145.1</v>
      </c>
      <c r="AC999" s="147">
        <f t="shared" si="211"/>
        <v>2085.8040000000001</v>
      </c>
      <c r="AD999" s="137">
        <f>(Z999-Q999)*0.91072157793815</f>
        <v>47489.667753742622</v>
      </c>
      <c r="AE999" s="138">
        <v>0.11269173273981201</v>
      </c>
      <c r="AF999" s="137">
        <f t="shared" si="202"/>
        <v>5351.6929464072318</v>
      </c>
      <c r="AG999" s="137">
        <v>2659.8263860016</v>
      </c>
      <c r="AH999" s="154"/>
      <c r="AI999" s="154"/>
      <c r="AJ999" s="135" t="s">
        <v>186</v>
      </c>
      <c r="AK999" s="119" t="s">
        <v>186</v>
      </c>
    </row>
    <row r="1000" spans="1:39" s="119" customFormat="1" ht="15" customHeight="1" x14ac:dyDescent="0.3">
      <c r="A1000" s="119">
        <v>2017</v>
      </c>
      <c r="B1000" s="119" t="s">
        <v>38</v>
      </c>
      <c r="C1000" s="119" t="s">
        <v>59</v>
      </c>
      <c r="D1000" s="119" t="s">
        <v>210</v>
      </c>
      <c r="E1000" s="119" t="s">
        <v>239</v>
      </c>
      <c r="F1000" s="119" t="s">
        <v>761</v>
      </c>
      <c r="G1000" s="119" t="s">
        <v>761</v>
      </c>
      <c r="H1000" s="119" t="s">
        <v>761</v>
      </c>
      <c r="I1000" s="119" t="s">
        <v>170</v>
      </c>
      <c r="J1000" s="119" t="s">
        <v>171</v>
      </c>
      <c r="K1000" s="119" t="s">
        <v>172</v>
      </c>
      <c r="L1000" s="119" t="s">
        <v>761</v>
      </c>
      <c r="M1000" s="119" t="s">
        <v>46</v>
      </c>
      <c r="N1000" s="135">
        <v>0</v>
      </c>
      <c r="O1000" s="135" t="s">
        <v>47</v>
      </c>
      <c r="P1000" s="135"/>
      <c r="Q1000" s="137">
        <v>0</v>
      </c>
      <c r="R1000" s="137">
        <v>0</v>
      </c>
      <c r="S1000" s="137">
        <v>2801251.39</v>
      </c>
      <c r="T1000" s="137">
        <f t="shared" si="208"/>
        <v>0</v>
      </c>
      <c r="U1000" s="137">
        <f t="shared" si="212"/>
        <v>2801251.39</v>
      </c>
      <c r="V1000" s="137">
        <v>2856310.1</v>
      </c>
      <c r="W1000" s="137">
        <f t="shared" si="213"/>
        <v>-55058.709999999963</v>
      </c>
      <c r="X1000" s="137">
        <f t="shared" si="209"/>
        <v>-55058.709999999963</v>
      </c>
      <c r="Y1000" s="137">
        <f t="shared" si="214"/>
        <v>0</v>
      </c>
      <c r="Z1000" s="137">
        <v>2801251.4</v>
      </c>
      <c r="AA1000" s="137">
        <f t="shared" si="210"/>
        <v>55058.700000000186</v>
      </c>
      <c r="AB1000" s="146">
        <f t="shared" si="225"/>
        <v>2801251.4</v>
      </c>
      <c r="AC1000" s="147">
        <f t="shared" si="211"/>
        <v>0</v>
      </c>
      <c r="AD1000" s="137">
        <f>(Z1000-Q1000)*0.89807640489087</f>
        <v>2515737.7865075166</v>
      </c>
      <c r="AE1000" s="138">
        <v>0.11269173273981201</v>
      </c>
      <c r="AF1000" s="137">
        <f t="shared" si="202"/>
        <v>283502.8502805513</v>
      </c>
      <c r="AG1000" s="137">
        <v>250627.16008147801</v>
      </c>
      <c r="AH1000" s="154"/>
      <c r="AI1000" s="154"/>
      <c r="AJ1000" s="135" t="s">
        <v>47</v>
      </c>
      <c r="AK1000" s="119" t="s">
        <v>120</v>
      </c>
    </row>
    <row r="1001" spans="1:39" s="119" customFormat="1" ht="15" customHeight="1" x14ac:dyDescent="0.3">
      <c r="A1001" s="119">
        <v>2017</v>
      </c>
      <c r="B1001" s="119" t="s">
        <v>38</v>
      </c>
      <c r="C1001" s="119" t="s">
        <v>59</v>
      </c>
      <c r="D1001" s="119" t="s">
        <v>210</v>
      </c>
      <c r="E1001" s="119" t="s">
        <v>239</v>
      </c>
      <c r="F1001" s="119" t="s">
        <v>761</v>
      </c>
      <c r="G1001" s="119" t="s">
        <v>761</v>
      </c>
      <c r="H1001" s="119" t="s">
        <v>761</v>
      </c>
      <c r="I1001" s="119" t="s">
        <v>170</v>
      </c>
      <c r="J1001" s="119" t="s">
        <v>171</v>
      </c>
      <c r="K1001" s="119" t="s">
        <v>172</v>
      </c>
      <c r="L1001" s="119" t="s">
        <v>761</v>
      </c>
      <c r="M1001" s="119" t="s">
        <v>185</v>
      </c>
      <c r="N1001" s="135">
        <v>0</v>
      </c>
      <c r="O1001" s="135" t="s">
        <v>47</v>
      </c>
      <c r="P1001" s="135"/>
      <c r="Q1001" s="137">
        <v>0</v>
      </c>
      <c r="R1001" s="137">
        <v>0</v>
      </c>
      <c r="S1001" s="137">
        <v>44871.34</v>
      </c>
      <c r="T1001" s="137">
        <f t="shared" si="208"/>
        <v>0</v>
      </c>
      <c r="U1001" s="137">
        <f t="shared" si="212"/>
        <v>44871.34</v>
      </c>
      <c r="V1001" s="137">
        <v>100000</v>
      </c>
      <c r="W1001" s="137">
        <f t="shared" si="213"/>
        <v>-55128.66</v>
      </c>
      <c r="X1001" s="137">
        <f t="shared" si="209"/>
        <v>-55128.66</v>
      </c>
      <c r="Y1001" s="137">
        <f t="shared" si="214"/>
        <v>0</v>
      </c>
      <c r="Z1001" s="137">
        <v>44871.33</v>
      </c>
      <c r="AA1001" s="137">
        <f t="shared" si="210"/>
        <v>55128.67</v>
      </c>
      <c r="AB1001" s="146">
        <f t="shared" si="225"/>
        <v>44871.33</v>
      </c>
      <c r="AC1001" s="147">
        <f t="shared" si="211"/>
        <v>0</v>
      </c>
      <c r="AD1001" s="137">
        <f>(Z1001-Q1001)*0.91072157793815</f>
        <v>40865.28846178345</v>
      </c>
      <c r="AE1001" s="138">
        <v>0.11269173273981201</v>
      </c>
      <c r="AF1001" s="137">
        <f t="shared" si="202"/>
        <v>4605.1801656706239</v>
      </c>
      <c r="AG1001" s="137">
        <v>4014.62503757386</v>
      </c>
      <c r="AH1001" s="154"/>
      <c r="AI1001" s="154"/>
      <c r="AJ1001" s="135" t="s">
        <v>47</v>
      </c>
      <c r="AK1001" s="119" t="s">
        <v>47</v>
      </c>
    </row>
    <row r="1002" spans="1:39" s="119" customFormat="1" ht="15" customHeight="1" x14ac:dyDescent="0.3">
      <c r="A1002" s="119">
        <v>2017</v>
      </c>
      <c r="B1002" s="119" t="s">
        <v>38</v>
      </c>
      <c r="C1002" s="119" t="s">
        <v>59</v>
      </c>
      <c r="D1002" s="119" t="s">
        <v>210</v>
      </c>
      <c r="E1002" s="119" t="s">
        <v>239</v>
      </c>
      <c r="F1002" s="119" t="s">
        <v>761</v>
      </c>
      <c r="G1002" s="119" t="s">
        <v>761</v>
      </c>
      <c r="H1002" s="119" t="s">
        <v>761</v>
      </c>
      <c r="I1002" s="119" t="s">
        <v>170</v>
      </c>
      <c r="J1002" s="119" t="s">
        <v>171</v>
      </c>
      <c r="K1002" s="119" t="s">
        <v>172</v>
      </c>
      <c r="L1002" s="119" t="s">
        <v>761</v>
      </c>
      <c r="M1002" s="119" t="s">
        <v>160</v>
      </c>
      <c r="N1002" s="135">
        <v>0</v>
      </c>
      <c r="O1002" s="135" t="s">
        <v>47</v>
      </c>
      <c r="P1002" s="135" t="s">
        <v>762</v>
      </c>
      <c r="Q1002" s="137">
        <v>0</v>
      </c>
      <c r="R1002" s="137">
        <v>0</v>
      </c>
      <c r="S1002" s="137">
        <v>883845</v>
      </c>
      <c r="T1002" s="137">
        <f t="shared" si="208"/>
        <v>0</v>
      </c>
      <c r="U1002" s="137">
        <f t="shared" si="212"/>
        <v>883845</v>
      </c>
      <c r="V1002" s="137">
        <v>121845</v>
      </c>
      <c r="W1002" s="137">
        <f t="shared" si="213"/>
        <v>762000</v>
      </c>
      <c r="X1002" s="137">
        <f t="shared" si="209"/>
        <v>762000</v>
      </c>
      <c r="Y1002" s="137">
        <f t="shared" si="214"/>
        <v>0</v>
      </c>
      <c r="Z1002" s="137">
        <v>121845</v>
      </c>
      <c r="AA1002" s="137">
        <f t="shared" si="210"/>
        <v>0</v>
      </c>
      <c r="AB1002" s="146">
        <f>AD1002*2</f>
        <v>201298.95914219419</v>
      </c>
      <c r="AC1002" s="147">
        <f t="shared" si="211"/>
        <v>-79453.959142194188</v>
      </c>
      <c r="AD1002" s="137">
        <f>(Z1002-Q1002)*0.826045217867759</f>
        <v>100649.47957109709</v>
      </c>
      <c r="AE1002" s="138">
        <v>0.11269173273981201</v>
      </c>
      <c r="AF1002" s="137">
        <f t="shared" si="202"/>
        <v>11342.364252227242</v>
      </c>
      <c r="AG1002" s="137">
        <v>10901.4372362751</v>
      </c>
      <c r="AH1002" s="154"/>
      <c r="AI1002" s="154"/>
      <c r="AJ1002" s="135" t="s">
        <v>47</v>
      </c>
      <c r="AK1002" s="119" t="s">
        <v>47</v>
      </c>
    </row>
    <row r="1003" spans="1:39" s="119" customFormat="1" ht="15" customHeight="1" x14ac:dyDescent="0.3">
      <c r="A1003" s="119">
        <v>2017</v>
      </c>
      <c r="B1003" s="119" t="s">
        <v>38</v>
      </c>
      <c r="C1003" s="119" t="s">
        <v>59</v>
      </c>
      <c r="D1003" s="119" t="s">
        <v>210</v>
      </c>
      <c r="E1003" s="119" t="s">
        <v>239</v>
      </c>
      <c r="F1003" s="119" t="s">
        <v>763</v>
      </c>
      <c r="G1003" s="119" t="s">
        <v>763</v>
      </c>
      <c r="H1003" s="119" t="s">
        <v>763</v>
      </c>
      <c r="I1003" s="119" t="s">
        <v>170</v>
      </c>
      <c r="J1003" s="119" t="s">
        <v>171</v>
      </c>
      <c r="K1003" s="119" t="s">
        <v>172</v>
      </c>
      <c r="L1003" s="119" t="s">
        <v>763</v>
      </c>
      <c r="M1003" s="119" t="s">
        <v>46</v>
      </c>
      <c r="N1003" s="136">
        <v>0.02</v>
      </c>
      <c r="O1003" s="135" t="s">
        <v>51</v>
      </c>
      <c r="P1003" s="135"/>
      <c r="Q1003" s="137">
        <v>0</v>
      </c>
      <c r="R1003" s="137">
        <v>0</v>
      </c>
      <c r="S1003" s="137">
        <v>13400000</v>
      </c>
      <c r="T1003" s="137">
        <f t="shared" si="208"/>
        <v>268000</v>
      </c>
      <c r="U1003" s="137">
        <f t="shared" si="212"/>
        <v>13668000</v>
      </c>
      <c r="V1003" s="137">
        <v>13652000</v>
      </c>
      <c r="W1003" s="137">
        <f t="shared" si="213"/>
        <v>16000</v>
      </c>
      <c r="X1003" s="137">
        <f t="shared" si="209"/>
        <v>15686.274509803921</v>
      </c>
      <c r="Y1003" s="137">
        <f t="shared" si="214"/>
        <v>313.72549019607868</v>
      </c>
      <c r="Z1003" s="137">
        <v>11626114</v>
      </c>
      <c r="AA1003" s="137">
        <f t="shared" si="210"/>
        <v>2025886</v>
      </c>
      <c r="AB1003" s="146">
        <f>IF(O1003="返货",Z1003/(1+N1003),IF(O1003="返现",Z1003,IF(O1003="折扣",Z1003*N1003,IF(O1003="无",Z1003))))</f>
        <v>11398150.980392156</v>
      </c>
      <c r="AC1003" s="147">
        <f t="shared" si="211"/>
        <v>227963.01960784383</v>
      </c>
      <c r="AD1003" s="137">
        <f>(Z1003-Q1003)*0.89807640489087</f>
        <v>10441138.663971413</v>
      </c>
      <c r="AE1003" s="138">
        <v>0.11269173273981201</v>
      </c>
      <c r="AF1003" s="137">
        <f t="shared" si="202"/>
        <v>1176630.0078195843</v>
      </c>
      <c r="AG1003" s="137">
        <v>812222.06860077404</v>
      </c>
      <c r="AH1003" s="154"/>
      <c r="AI1003" s="154"/>
      <c r="AJ1003" s="135" t="s">
        <v>173</v>
      </c>
      <c r="AK1003" s="119" t="s">
        <v>173</v>
      </c>
    </row>
    <row r="1004" spans="1:39" s="119" customFormat="1" ht="15" customHeight="1" x14ac:dyDescent="0.3">
      <c r="A1004" s="119">
        <v>2017</v>
      </c>
      <c r="B1004" s="119" t="s">
        <v>38</v>
      </c>
      <c r="C1004" s="119" t="s">
        <v>59</v>
      </c>
      <c r="D1004" s="119" t="s">
        <v>210</v>
      </c>
      <c r="E1004" s="119" t="s">
        <v>239</v>
      </c>
      <c r="F1004" s="119" t="s">
        <v>763</v>
      </c>
      <c r="G1004" s="119" t="s">
        <v>763</v>
      </c>
      <c r="H1004" s="119" t="s">
        <v>763</v>
      </c>
      <c r="I1004" s="119" t="s">
        <v>170</v>
      </c>
      <c r="J1004" s="119" t="s">
        <v>171</v>
      </c>
      <c r="K1004" s="119" t="s">
        <v>172</v>
      </c>
      <c r="L1004" s="119" t="s">
        <v>763</v>
      </c>
      <c r="M1004" s="119" t="s">
        <v>160</v>
      </c>
      <c r="N1004" s="136">
        <v>0.02</v>
      </c>
      <c r="O1004" s="135" t="s">
        <v>51</v>
      </c>
      <c r="P1004" s="135"/>
      <c r="Q1004" s="137">
        <v>0</v>
      </c>
      <c r="R1004" s="137">
        <v>0</v>
      </c>
      <c r="S1004" s="137">
        <v>329647.08</v>
      </c>
      <c r="T1004" s="137">
        <f t="shared" si="208"/>
        <v>6592.9416000000001</v>
      </c>
      <c r="U1004" s="137">
        <f t="shared" si="212"/>
        <v>336240.02160000004</v>
      </c>
      <c r="V1004" s="137">
        <v>336240.02159999998</v>
      </c>
      <c r="W1004" s="137">
        <f t="shared" si="213"/>
        <v>0</v>
      </c>
      <c r="X1004" s="137">
        <f t="shared" si="209"/>
        <v>0</v>
      </c>
      <c r="Y1004" s="137">
        <f t="shared" si="214"/>
        <v>0</v>
      </c>
      <c r="Z1004" s="137">
        <v>336240</v>
      </c>
      <c r="AA1004" s="137">
        <f t="shared" si="210"/>
        <v>2.1599999978207052E-2</v>
      </c>
      <c r="AB1004" s="146">
        <f>IF(O1004="返货",Z1004/(1+N1004),IF(O1004="返现",Z1004,IF(O1004="折扣",Z1004*N1004,IF(O1004="无",Z1004))))</f>
        <v>329647.0588235294</v>
      </c>
      <c r="AC1004" s="147">
        <f t="shared" si="211"/>
        <v>6592.9411764706019</v>
      </c>
      <c r="AD1004" s="137">
        <f>(Z1004-Q1004)*0.826045217867759</f>
        <v>277749.44405585527</v>
      </c>
      <c r="AE1004" s="138">
        <v>0.11269173273981201</v>
      </c>
      <c r="AF1004" s="137">
        <f t="shared" si="202"/>
        <v>31300.066118173811</v>
      </c>
      <c r="AG1004" s="137">
        <v>23490.3552766061</v>
      </c>
      <c r="AH1004" s="154"/>
      <c r="AI1004" s="154"/>
      <c r="AJ1004" s="135" t="s">
        <v>173</v>
      </c>
      <c r="AK1004" s="119" t="s">
        <v>173</v>
      </c>
    </row>
    <row r="1005" spans="1:39" s="119" customFormat="1" ht="15" customHeight="1" x14ac:dyDescent="0.3">
      <c r="A1005" s="119">
        <v>2017</v>
      </c>
      <c r="B1005" s="119" t="s">
        <v>38</v>
      </c>
      <c r="C1005" s="119" t="s">
        <v>59</v>
      </c>
      <c r="D1005" s="119" t="s">
        <v>210</v>
      </c>
      <c r="E1005" s="119" t="s">
        <v>239</v>
      </c>
      <c r="F1005" s="119" t="s">
        <v>763</v>
      </c>
      <c r="G1005" s="119" t="s">
        <v>763</v>
      </c>
      <c r="H1005" s="119" t="s">
        <v>763</v>
      </c>
      <c r="I1005" s="119" t="s">
        <v>170</v>
      </c>
      <c r="J1005" s="119" t="s">
        <v>171</v>
      </c>
      <c r="K1005" s="119" t="s">
        <v>172</v>
      </c>
      <c r="L1005" s="119" t="s">
        <v>763</v>
      </c>
      <c r="M1005" s="119" t="s">
        <v>185</v>
      </c>
      <c r="N1005" s="136">
        <v>0.04</v>
      </c>
      <c r="O1005" s="135" t="s">
        <v>51</v>
      </c>
      <c r="P1005" s="135"/>
      <c r="Q1005" s="137">
        <v>0</v>
      </c>
      <c r="R1005" s="137">
        <v>0</v>
      </c>
      <c r="S1005" s="137">
        <v>30000</v>
      </c>
      <c r="T1005" s="137">
        <f t="shared" si="208"/>
        <v>1200</v>
      </c>
      <c r="U1005" s="137">
        <f t="shared" si="212"/>
        <v>31200</v>
      </c>
      <c r="V1005" s="137">
        <v>31200</v>
      </c>
      <c r="W1005" s="137">
        <f t="shared" si="213"/>
        <v>0</v>
      </c>
      <c r="X1005" s="137">
        <f t="shared" si="209"/>
        <v>0</v>
      </c>
      <c r="Y1005" s="137">
        <f t="shared" si="214"/>
        <v>0</v>
      </c>
      <c r="Z1005" s="137">
        <v>30750.98</v>
      </c>
      <c r="AA1005" s="137">
        <f t="shared" si="210"/>
        <v>449.02000000000044</v>
      </c>
      <c r="AB1005" s="146">
        <f>IF(O1005="返货",Z1005/(1+N1005),IF(O1005="返现",Z1005,IF(O1005="折扣",Z1005*N1005,IF(O1005="无",Z1005))))</f>
        <v>29568.25</v>
      </c>
      <c r="AC1005" s="147">
        <f t="shared" si="211"/>
        <v>1182.7299999999996</v>
      </c>
      <c r="AD1005" s="137">
        <f>(Z1005-Q1005)*0.91072157793815</f>
        <v>28005.581028744491</v>
      </c>
      <c r="AE1005" s="138">
        <v>0.11269173273981201</v>
      </c>
      <c r="AF1005" s="137">
        <f t="shared" si="202"/>
        <v>3155.9974525144235</v>
      </c>
      <c r="AG1005" s="137">
        <v>1568.55136914892</v>
      </c>
      <c r="AH1005" s="154"/>
      <c r="AI1005" s="154"/>
      <c r="AJ1005" s="135" t="s">
        <v>186</v>
      </c>
      <c r="AK1005" s="119" t="s">
        <v>186</v>
      </c>
    </row>
    <row r="1006" spans="1:39" s="119" customFormat="1" ht="15" customHeight="1" x14ac:dyDescent="0.3">
      <c r="A1006" s="119">
        <v>2017</v>
      </c>
      <c r="B1006" s="119" t="s">
        <v>38</v>
      </c>
      <c r="C1006" s="119" t="s">
        <v>59</v>
      </c>
      <c r="D1006" s="119" t="s">
        <v>210</v>
      </c>
      <c r="E1006" s="119" t="s">
        <v>239</v>
      </c>
      <c r="F1006" s="119" t="s">
        <v>764</v>
      </c>
      <c r="G1006" s="119" t="s">
        <v>764</v>
      </c>
      <c r="H1006" s="119" t="s">
        <v>764</v>
      </c>
      <c r="I1006" s="119" t="s">
        <v>170</v>
      </c>
      <c r="J1006" s="119" t="s">
        <v>171</v>
      </c>
      <c r="K1006" s="119" t="s">
        <v>172</v>
      </c>
      <c r="L1006" s="119" t="s">
        <v>764</v>
      </c>
      <c r="M1006" s="119" t="s">
        <v>46</v>
      </c>
      <c r="N1006" s="136">
        <v>0.02</v>
      </c>
      <c r="O1006" s="135" t="s">
        <v>51</v>
      </c>
      <c r="P1006" s="135"/>
      <c r="Q1006" s="137">
        <v>0</v>
      </c>
      <c r="R1006" s="137">
        <v>0</v>
      </c>
      <c r="S1006" s="137">
        <v>4400000</v>
      </c>
      <c r="T1006" s="137">
        <f t="shared" si="208"/>
        <v>88000</v>
      </c>
      <c r="U1006" s="137">
        <f t="shared" si="212"/>
        <v>4488000</v>
      </c>
      <c r="V1006" s="137">
        <v>4393000</v>
      </c>
      <c r="W1006" s="137">
        <f t="shared" si="213"/>
        <v>95000</v>
      </c>
      <c r="X1006" s="137">
        <f t="shared" si="209"/>
        <v>93137.254901960783</v>
      </c>
      <c r="Y1006" s="137">
        <f t="shared" si="214"/>
        <v>1862.7450980392168</v>
      </c>
      <c r="Z1006" s="137">
        <v>4209402.5999999996</v>
      </c>
      <c r="AA1006" s="137">
        <f t="shared" si="210"/>
        <v>183597.40000000037</v>
      </c>
      <c r="AB1006" s="146">
        <f>IF(O1006="返货",Z1006/(1+N1006),IF(O1006="返现",Z1006,IF(O1006="折扣",Z1006*N1006,IF(O1006="无",Z1006))))</f>
        <v>4126865.2941176468</v>
      </c>
      <c r="AC1006" s="147">
        <f t="shared" si="211"/>
        <v>82537.30588235287</v>
      </c>
      <c r="AD1006" s="137">
        <f t="shared" ref="AD1006:AD1008" si="227">(Z1006-Q1006)*0.89807640489087</f>
        <v>3780365.1537462808</v>
      </c>
      <c r="AE1006" s="138">
        <v>0.11269173273981201</v>
      </c>
      <c r="AF1006" s="137">
        <f t="shared" si="202"/>
        <v>426015.89956487418</v>
      </c>
      <c r="AG1006" s="137">
        <v>294076.738568492</v>
      </c>
      <c r="AH1006" s="154"/>
      <c r="AI1006" s="154"/>
      <c r="AJ1006" s="135" t="s">
        <v>173</v>
      </c>
      <c r="AK1006" s="119" t="s">
        <v>173</v>
      </c>
    </row>
    <row r="1007" spans="1:39" s="119" customFormat="1" ht="15" customHeight="1" x14ac:dyDescent="0.3">
      <c r="A1007" s="119">
        <v>2017</v>
      </c>
      <c r="B1007" s="119" t="s">
        <v>199</v>
      </c>
      <c r="C1007" s="119" t="s">
        <v>59</v>
      </c>
      <c r="D1007" s="119" t="s">
        <v>210</v>
      </c>
      <c r="E1007" s="119" t="s">
        <v>190</v>
      </c>
      <c r="F1007" s="119" t="s">
        <v>765</v>
      </c>
      <c r="G1007" s="119" t="s">
        <v>989</v>
      </c>
      <c r="H1007" s="119" t="s">
        <v>989</v>
      </c>
      <c r="I1007" s="119" t="s">
        <v>170</v>
      </c>
      <c r="J1007" s="119" t="s">
        <v>171</v>
      </c>
      <c r="K1007" s="119" t="s">
        <v>172</v>
      </c>
      <c r="L1007" s="119" t="s">
        <v>363</v>
      </c>
      <c r="M1007" s="119" t="s">
        <v>46</v>
      </c>
      <c r="N1007" s="136">
        <v>0.02</v>
      </c>
      <c r="O1007" s="135" t="s">
        <v>51</v>
      </c>
      <c r="P1007" s="135"/>
      <c r="Q1007" s="137">
        <v>0</v>
      </c>
      <c r="R1007" s="137">
        <v>0</v>
      </c>
      <c r="S1007" s="137">
        <v>900000</v>
      </c>
      <c r="T1007" s="137">
        <f t="shared" si="208"/>
        <v>18000</v>
      </c>
      <c r="U1007" s="137">
        <f t="shared" si="212"/>
        <v>918000</v>
      </c>
      <c r="V1007" s="137">
        <v>2397000</v>
      </c>
      <c r="W1007" s="137">
        <f t="shared" si="213"/>
        <v>-1479000</v>
      </c>
      <c r="X1007" s="137">
        <f t="shared" si="209"/>
        <v>-1450000</v>
      </c>
      <c r="Y1007" s="137">
        <f t="shared" si="214"/>
        <v>-29000</v>
      </c>
      <c r="Z1007" s="137">
        <v>24477813.199999999</v>
      </c>
      <c r="AA1007" s="137">
        <f t="shared" si="210"/>
        <v>-22080813.199999999</v>
      </c>
      <c r="AB1007" s="146">
        <f>IF(O1007="返货",Z1007/(1+N1007),IF(O1007="返现",Z1007,IF(O1007="折扣",Z1007*N1007,IF(O1007="无",Z1007))))</f>
        <v>23997856.078431372</v>
      </c>
      <c r="AC1007" s="147">
        <f t="shared" si="211"/>
        <v>479957.12156862766</v>
      </c>
      <c r="AD1007" s="137">
        <f t="shared" si="227"/>
        <v>21982946.478246283</v>
      </c>
      <c r="AE1007" s="138">
        <v>0.11269173273981201</v>
      </c>
      <c r="AF1007" s="137">
        <f t="shared" ref="AF1007:AF1069" si="228">AD1007*AE1007</f>
        <v>2477296.3293601219</v>
      </c>
      <c r="AG1007" s="137">
        <v>1710065.8115108199</v>
      </c>
      <c r="AH1007" s="154"/>
      <c r="AI1007" s="154"/>
      <c r="AJ1007" s="135" t="s">
        <v>173</v>
      </c>
      <c r="AK1007" s="119" t="s">
        <v>173</v>
      </c>
    </row>
    <row r="1008" spans="1:39" s="119" customFormat="1" ht="15" customHeight="1" x14ac:dyDescent="0.3">
      <c r="A1008" s="119">
        <v>2017</v>
      </c>
      <c r="B1008" s="119" t="s">
        <v>38</v>
      </c>
      <c r="C1008" s="119" t="s">
        <v>59</v>
      </c>
      <c r="D1008" s="119" t="s">
        <v>210</v>
      </c>
      <c r="E1008" s="119" t="s">
        <v>190</v>
      </c>
      <c r="F1008" s="119" t="s">
        <v>363</v>
      </c>
      <c r="G1008" s="119" t="s">
        <v>363</v>
      </c>
      <c r="H1008" s="119" t="s">
        <v>363</v>
      </c>
      <c r="I1008" s="119" t="s">
        <v>170</v>
      </c>
      <c r="J1008" s="119" t="s">
        <v>171</v>
      </c>
      <c r="K1008" s="119" t="s">
        <v>172</v>
      </c>
      <c r="L1008" s="119" t="s">
        <v>363</v>
      </c>
      <c r="M1008" s="119" t="s">
        <v>46</v>
      </c>
      <c r="N1008" s="136">
        <v>0.02</v>
      </c>
      <c r="O1008" s="135" t="s">
        <v>51</v>
      </c>
      <c r="P1008" s="135"/>
      <c r="Q1008" s="137">
        <v>204388.2</v>
      </c>
      <c r="R1008" s="137">
        <v>0</v>
      </c>
      <c r="S1008" s="137">
        <v>23711762.73</v>
      </c>
      <c r="T1008" s="137">
        <f t="shared" si="208"/>
        <v>474235.25460000004</v>
      </c>
      <c r="U1008" s="137">
        <f t="shared" si="212"/>
        <v>24185997.9846</v>
      </c>
      <c r="V1008" s="137">
        <v>22293392.859999999</v>
      </c>
      <c r="W1008" s="137">
        <f t="shared" si="213"/>
        <v>1892605.1246000007</v>
      </c>
      <c r="X1008" s="137">
        <f t="shared" si="209"/>
        <v>1855495.220196079</v>
      </c>
      <c r="Y1008" s="137">
        <f t="shared" si="214"/>
        <v>37109.904403921682</v>
      </c>
      <c r="Z1008" s="137">
        <v>0</v>
      </c>
      <c r="AA1008" s="137">
        <f t="shared" si="210"/>
        <v>22497781.059999999</v>
      </c>
      <c r="AB1008" s="146">
        <f>IF(O1008="返货",(Z1008-Q1008)/(1+N1008),IF(O1008="返现",(Z1008-Q1008),IF(O1008="折扣",(Z1008-Q1008)*N1008,IF(O1008="无",(Z1008-Q1008)))))</f>
        <v>-200380.58823529413</v>
      </c>
      <c r="AC1008" s="147">
        <f t="shared" si="211"/>
        <v>200380.58823529413</v>
      </c>
      <c r="AD1008" s="137">
        <f t="shared" si="227"/>
        <v>-183556.21985811612</v>
      </c>
      <c r="AE1008" s="138">
        <v>0.11269173273981201</v>
      </c>
      <c r="AF1008" s="137">
        <f t="shared" si="228"/>
        <v>-20685.268470980995</v>
      </c>
      <c r="AG1008" s="137">
        <v>0</v>
      </c>
      <c r="AH1008" s="154"/>
      <c r="AI1008" s="154"/>
      <c r="AJ1008" s="135" t="s">
        <v>173</v>
      </c>
      <c r="AK1008" s="119" t="s">
        <v>173</v>
      </c>
    </row>
    <row r="1009" spans="1:39" s="119" customFormat="1" ht="15" customHeight="1" x14ac:dyDescent="0.3">
      <c r="A1009" s="119">
        <v>2017</v>
      </c>
      <c r="B1009" s="119" t="s">
        <v>38</v>
      </c>
      <c r="C1009" s="119" t="s">
        <v>59</v>
      </c>
      <c r="D1009" s="119" t="s">
        <v>210</v>
      </c>
      <c r="E1009" s="119" t="s">
        <v>190</v>
      </c>
      <c r="F1009" s="119" t="s">
        <v>363</v>
      </c>
      <c r="G1009" s="119" t="s">
        <v>363</v>
      </c>
      <c r="H1009" s="119" t="s">
        <v>363</v>
      </c>
      <c r="I1009" s="119" t="s">
        <v>170</v>
      </c>
      <c r="J1009" s="119" t="s">
        <v>171</v>
      </c>
      <c r="K1009" s="119" t="s">
        <v>172</v>
      </c>
      <c r="L1009" s="119" t="s">
        <v>765</v>
      </c>
      <c r="M1009" s="119" t="s">
        <v>160</v>
      </c>
      <c r="N1009" s="136">
        <v>0.02</v>
      </c>
      <c r="O1009" s="135" t="s">
        <v>51</v>
      </c>
      <c r="P1009" s="135"/>
      <c r="Q1009" s="137">
        <v>0</v>
      </c>
      <c r="R1009" s="137">
        <v>0</v>
      </c>
      <c r="S1009" s="137">
        <v>366603.44</v>
      </c>
      <c r="T1009" s="137">
        <f t="shared" si="208"/>
        <v>7332.0688</v>
      </c>
      <c r="U1009" s="137">
        <f t="shared" si="212"/>
        <v>373935.50880000001</v>
      </c>
      <c r="V1009" s="137">
        <v>372936.9</v>
      </c>
      <c r="W1009" s="137">
        <f t="shared" si="213"/>
        <v>998.60879999998724</v>
      </c>
      <c r="X1009" s="137">
        <f t="shared" si="209"/>
        <v>979.02823529410512</v>
      </c>
      <c r="Y1009" s="137">
        <f t="shared" si="214"/>
        <v>19.580564705882125</v>
      </c>
      <c r="Z1009" s="137">
        <v>372936.9</v>
      </c>
      <c r="AA1009" s="137">
        <f t="shared" si="210"/>
        <v>0</v>
      </c>
      <c r="AB1009" s="146">
        <f>IF(O1009="返货",Z1009/(1+N1009),IF(O1009="返现",Z1009,IF(O1009="折扣",Z1009*N1009,IF(O1009="无",Z1009))))</f>
        <v>365624.4117647059</v>
      </c>
      <c r="AC1009" s="147">
        <f t="shared" si="211"/>
        <v>7312.4882352941204</v>
      </c>
      <c r="AD1009" s="137">
        <f>(Z1009-Q1009)*0.826045217867759</f>
        <v>308062.74281142664</v>
      </c>
      <c r="AE1009" s="138">
        <v>0.11269173273981201</v>
      </c>
      <c r="AF1009" s="137">
        <f t="shared" si="228"/>
        <v>34716.12427999873</v>
      </c>
      <c r="AG1009" s="137">
        <v>26054.069345575001</v>
      </c>
      <c r="AH1009" s="154"/>
      <c r="AI1009" s="154"/>
      <c r="AJ1009" s="136">
        <v>0.02</v>
      </c>
      <c r="AK1009" s="119" t="s">
        <v>173</v>
      </c>
    </row>
    <row r="1010" spans="1:39" s="119" customFormat="1" ht="15" customHeight="1" x14ac:dyDescent="0.3">
      <c r="A1010" s="119">
        <v>2017</v>
      </c>
      <c r="B1010" s="119" t="s">
        <v>38</v>
      </c>
      <c r="C1010" s="119" t="s">
        <v>59</v>
      </c>
      <c r="D1010" s="119" t="s">
        <v>210</v>
      </c>
      <c r="E1010" s="119" t="s">
        <v>249</v>
      </c>
      <c r="F1010" s="119" t="s">
        <v>766</v>
      </c>
      <c r="G1010" s="119" t="s">
        <v>766</v>
      </c>
      <c r="H1010" s="119" t="s">
        <v>766</v>
      </c>
      <c r="I1010" s="119" t="s">
        <v>170</v>
      </c>
      <c r="J1010" s="119" t="s">
        <v>171</v>
      </c>
      <c r="K1010" s="119" t="s">
        <v>172</v>
      </c>
      <c r="L1010" s="119" t="s">
        <v>766</v>
      </c>
      <c r="M1010" s="119" t="s">
        <v>46</v>
      </c>
      <c r="N1010" s="136">
        <v>0.02</v>
      </c>
      <c r="O1010" s="135" t="s">
        <v>51</v>
      </c>
      <c r="P1010" s="135"/>
      <c r="Q1010" s="137">
        <v>0</v>
      </c>
      <c r="R1010" s="137">
        <v>0</v>
      </c>
      <c r="S1010" s="137">
        <v>20000</v>
      </c>
      <c r="T1010" s="137">
        <f t="shared" si="208"/>
        <v>400</v>
      </c>
      <c r="U1010" s="137">
        <f t="shared" si="212"/>
        <v>20400</v>
      </c>
      <c r="V1010" s="137">
        <v>20000</v>
      </c>
      <c r="W1010" s="137">
        <f t="shared" si="213"/>
        <v>400</v>
      </c>
      <c r="X1010" s="137">
        <f t="shared" si="209"/>
        <v>392.15686274509801</v>
      </c>
      <c r="Y1010" s="137">
        <f t="shared" si="214"/>
        <v>7.8431372549019898</v>
      </c>
      <c r="Z1010" s="137">
        <v>19998.5</v>
      </c>
      <c r="AA1010" s="137">
        <f t="shared" si="210"/>
        <v>1.5</v>
      </c>
      <c r="AB1010" s="146">
        <f>IF(O1010="返货",Z1010/(1+N1010),IF(O1010="返现",Z1010,IF(O1010="折扣",Z1010*N1010,IF(O1010="无",Z1010))))</f>
        <v>19606.372549019608</v>
      </c>
      <c r="AC1010" s="147">
        <f t="shared" si="211"/>
        <v>392.12745098039159</v>
      </c>
      <c r="AD1010" s="137">
        <f t="shared" ref="AD1010:AD1011" si="229">(Z1010-Q1010)*0.89807640489087</f>
        <v>17960.180983210066</v>
      </c>
      <c r="AE1010" s="138">
        <v>0.11269173273981201</v>
      </c>
      <c r="AF1010" s="137">
        <f t="shared" si="228"/>
        <v>2023.9639153185628</v>
      </c>
      <c r="AG1010" s="137">
        <v>1397.1326136069699</v>
      </c>
      <c r="AH1010" s="154"/>
      <c r="AI1010" s="154"/>
      <c r="AJ1010" s="136">
        <v>0.02</v>
      </c>
      <c r="AK1010" s="156">
        <v>0.02</v>
      </c>
    </row>
    <row r="1011" spans="1:39" s="119" customFormat="1" ht="15" customHeight="1" x14ac:dyDescent="0.3">
      <c r="A1011" s="119">
        <v>2017</v>
      </c>
      <c r="B1011" s="119" t="s">
        <v>38</v>
      </c>
      <c r="C1011" s="119" t="s">
        <v>59</v>
      </c>
      <c r="D1011" s="119" t="s">
        <v>210</v>
      </c>
      <c r="E1011" s="119" t="s">
        <v>249</v>
      </c>
      <c r="F1011" s="119" t="s">
        <v>767</v>
      </c>
      <c r="G1011" s="119" t="s">
        <v>767</v>
      </c>
      <c r="H1011" s="119" t="s">
        <v>767</v>
      </c>
      <c r="I1011" s="119" t="s">
        <v>170</v>
      </c>
      <c r="J1011" s="119" t="s">
        <v>171</v>
      </c>
      <c r="K1011" s="119" t="s">
        <v>172</v>
      </c>
      <c r="L1011" s="119" t="s">
        <v>767</v>
      </c>
      <c r="M1011" s="119" t="s">
        <v>46</v>
      </c>
      <c r="N1011" s="136">
        <v>0.02</v>
      </c>
      <c r="O1011" s="135" t="s">
        <v>51</v>
      </c>
      <c r="P1011" s="135"/>
      <c r="Q1011" s="137">
        <v>0</v>
      </c>
      <c r="R1011" s="137">
        <v>0</v>
      </c>
      <c r="S1011" s="137">
        <v>3188235.29</v>
      </c>
      <c r="T1011" s="137">
        <f t="shared" si="208"/>
        <v>63764.705800000003</v>
      </c>
      <c r="U1011" s="137">
        <f t="shared" si="212"/>
        <v>3251999.9958000001</v>
      </c>
      <c r="V1011" s="137">
        <v>3080000</v>
      </c>
      <c r="W1011" s="137">
        <f t="shared" si="213"/>
        <v>171999.99580000015</v>
      </c>
      <c r="X1011" s="137">
        <f t="shared" si="209"/>
        <v>168627.44686274524</v>
      </c>
      <c r="Y1011" s="137">
        <f t="shared" si="214"/>
        <v>3372.5489372549055</v>
      </c>
      <c r="Z1011" s="137">
        <v>2911329.2</v>
      </c>
      <c r="AA1011" s="137">
        <f t="shared" si="210"/>
        <v>168670.79999999981</v>
      </c>
      <c r="AB1011" s="146">
        <f>IF(O1011="返货",Z1011/(1+N1011),IF(O1011="返现",Z1011,IF(O1011="折扣",Z1011*N1011,IF(O1011="无",Z1011))))</f>
        <v>2854244.3137254901</v>
      </c>
      <c r="AC1011" s="147">
        <f t="shared" si="211"/>
        <v>57084.886274510063</v>
      </c>
      <c r="AD1011" s="137">
        <f t="shared" si="229"/>
        <v>2614596.0613898127</v>
      </c>
      <c r="AE1011" s="138">
        <v>0.11269173273981201</v>
      </c>
      <c r="AF1011" s="137">
        <f t="shared" si="228"/>
        <v>294643.36057270586</v>
      </c>
      <c r="AG1011" s="137">
        <v>203390.90303104199</v>
      </c>
      <c r="AH1011" s="154"/>
      <c r="AI1011" s="154"/>
      <c r="AJ1011" s="135" t="s">
        <v>173</v>
      </c>
      <c r="AK1011" s="119" t="s">
        <v>173</v>
      </c>
    </row>
    <row r="1012" spans="1:39" s="119" customFormat="1" ht="15" customHeight="1" x14ac:dyDescent="0.3">
      <c r="A1012" s="119">
        <v>2017</v>
      </c>
      <c r="B1012" s="119" t="s">
        <v>38</v>
      </c>
      <c r="C1012" s="119" t="s">
        <v>59</v>
      </c>
      <c r="D1012" s="119" t="s">
        <v>210</v>
      </c>
      <c r="E1012" s="119" t="s">
        <v>249</v>
      </c>
      <c r="F1012" s="119" t="s">
        <v>767</v>
      </c>
      <c r="G1012" s="119" t="s">
        <v>767</v>
      </c>
      <c r="H1012" s="119" t="s">
        <v>767</v>
      </c>
      <c r="I1012" s="119" t="s">
        <v>170</v>
      </c>
      <c r="J1012" s="119" t="s">
        <v>171</v>
      </c>
      <c r="K1012" s="119" t="s">
        <v>172</v>
      </c>
      <c r="L1012" s="119" t="s">
        <v>767</v>
      </c>
      <c r="M1012" s="119" t="s">
        <v>185</v>
      </c>
      <c r="N1012" s="136">
        <v>0.04</v>
      </c>
      <c r="O1012" s="135" t="s">
        <v>51</v>
      </c>
      <c r="P1012" s="135"/>
      <c r="Q1012" s="137">
        <v>0</v>
      </c>
      <c r="R1012" s="137">
        <v>0</v>
      </c>
      <c r="S1012" s="137">
        <v>5319230.76</v>
      </c>
      <c r="T1012" s="137">
        <f t="shared" si="208"/>
        <v>212769.2304</v>
      </c>
      <c r="U1012" s="137">
        <f t="shared" si="212"/>
        <v>5531999.9903999995</v>
      </c>
      <c r="V1012" s="137">
        <v>4330000</v>
      </c>
      <c r="W1012" s="137">
        <f t="shared" si="213"/>
        <v>1201999.9903999995</v>
      </c>
      <c r="X1012" s="137">
        <f t="shared" si="209"/>
        <v>1155769.221538461</v>
      </c>
      <c r="Y1012" s="137">
        <f t="shared" si="214"/>
        <v>46230.768861538498</v>
      </c>
      <c r="Z1012" s="137">
        <v>4242661.3499999996</v>
      </c>
      <c r="AA1012" s="137">
        <f t="shared" si="210"/>
        <v>87338.650000000373</v>
      </c>
      <c r="AB1012" s="146">
        <f>IF(O1012="返货",Z1012/(1+N1012),IF(O1012="返现",Z1012,IF(O1012="折扣",Z1012*N1012,IF(O1012="无",Z1012))))</f>
        <v>4079482.067307692</v>
      </c>
      <c r="AC1012" s="147">
        <f t="shared" si="211"/>
        <v>163179.28269230761</v>
      </c>
      <c r="AD1012" s="137">
        <f>(Z1012-Q1012)*0.91072157793815</f>
        <v>3863883.2393292012</v>
      </c>
      <c r="AE1012" s="138">
        <v>0.11269173273981201</v>
      </c>
      <c r="AF1012" s="137">
        <f t="shared" si="228"/>
        <v>435427.69734432542</v>
      </c>
      <c r="AG1012" s="137">
        <v>216387.304867567</v>
      </c>
      <c r="AH1012" s="154"/>
      <c r="AI1012" s="154"/>
      <c r="AJ1012" s="135" t="s">
        <v>186</v>
      </c>
      <c r="AK1012" s="119" t="s">
        <v>186</v>
      </c>
      <c r="AM1012" s="119" t="s">
        <v>174</v>
      </c>
    </row>
    <row r="1013" spans="1:39" s="119" customFormat="1" ht="15" customHeight="1" x14ac:dyDescent="0.3">
      <c r="A1013" s="119">
        <v>2017</v>
      </c>
      <c r="C1013" s="119" t="s">
        <v>59</v>
      </c>
      <c r="F1013" s="131" t="s">
        <v>133</v>
      </c>
      <c r="G1013" s="131"/>
      <c r="H1013" s="131"/>
      <c r="I1013" s="119" t="s">
        <v>170</v>
      </c>
      <c r="J1013" s="119" t="s">
        <v>171</v>
      </c>
      <c r="K1013" s="119" t="s">
        <v>172</v>
      </c>
      <c r="L1013" s="119" t="s">
        <v>133</v>
      </c>
      <c r="M1013" s="119" t="s">
        <v>46</v>
      </c>
      <c r="N1013" s="135">
        <v>0</v>
      </c>
      <c r="O1013" s="135" t="s">
        <v>47</v>
      </c>
      <c r="P1013" s="135" t="s">
        <v>852</v>
      </c>
      <c r="Q1013" s="137">
        <v>127698.972092825</v>
      </c>
      <c r="R1013" s="137">
        <v>0</v>
      </c>
      <c r="S1013" s="137"/>
      <c r="T1013" s="137">
        <f t="shared" si="208"/>
        <v>0</v>
      </c>
      <c r="U1013" s="137">
        <f t="shared" si="212"/>
        <v>0</v>
      </c>
      <c r="V1013" s="137">
        <v>0</v>
      </c>
      <c r="W1013" s="137">
        <f t="shared" si="213"/>
        <v>0</v>
      </c>
      <c r="X1013" s="137">
        <f t="shared" si="209"/>
        <v>0</v>
      </c>
      <c r="Y1013" s="137">
        <f t="shared" si="214"/>
        <v>0</v>
      </c>
      <c r="Z1013" s="137">
        <v>139244.4</v>
      </c>
      <c r="AA1013" s="137">
        <f t="shared" si="210"/>
        <v>-11545.427907174992</v>
      </c>
      <c r="AB1013" s="146">
        <v>0</v>
      </c>
      <c r="AC1013" s="147">
        <f t="shared" si="211"/>
        <v>139244.4</v>
      </c>
      <c r="AD1013" s="137">
        <f>(Z1013-Q1013)*0.89807640489087</f>
        <v>10368.676387802438</v>
      </c>
      <c r="AE1013" s="138">
        <v>0.11269173273981201</v>
      </c>
      <c r="AF1013" s="137">
        <f t="shared" si="228"/>
        <v>1168.4641083598317</v>
      </c>
      <c r="AG1013" s="137">
        <v>12458.1565686141</v>
      </c>
      <c r="AH1013" s="154"/>
      <c r="AI1013" s="154"/>
      <c r="AJ1013" s="135" t="e">
        <v>#N/A</v>
      </c>
      <c r="AK1013" s="119" t="s">
        <v>47</v>
      </c>
      <c r="AM1013" s="131" t="s">
        <v>208</v>
      </c>
    </row>
    <row r="1014" spans="1:39" s="119" customFormat="1" ht="15" customHeight="1" x14ac:dyDescent="0.3">
      <c r="A1014" s="119">
        <v>2017</v>
      </c>
      <c r="B1014" s="119" t="s">
        <v>38</v>
      </c>
      <c r="C1014" s="119" t="s">
        <v>59</v>
      </c>
      <c r="D1014" s="119" t="s">
        <v>210</v>
      </c>
      <c r="E1014" s="119" t="s">
        <v>61</v>
      </c>
      <c r="F1014" s="119" t="s">
        <v>768</v>
      </c>
      <c r="G1014" s="119" t="s">
        <v>768</v>
      </c>
      <c r="H1014" s="119" t="s">
        <v>768</v>
      </c>
      <c r="I1014" s="119" t="s">
        <v>170</v>
      </c>
      <c r="J1014" s="119" t="s">
        <v>171</v>
      </c>
      <c r="K1014" s="119" t="s">
        <v>172</v>
      </c>
      <c r="L1014" s="119" t="s">
        <v>768</v>
      </c>
      <c r="M1014" s="119" t="s">
        <v>185</v>
      </c>
      <c r="N1014" s="136">
        <v>0.04</v>
      </c>
      <c r="O1014" s="135" t="s">
        <v>51</v>
      </c>
      <c r="P1014" s="135"/>
      <c r="Q1014" s="137">
        <v>0</v>
      </c>
      <c r="R1014" s="137">
        <v>0</v>
      </c>
      <c r="S1014" s="137">
        <v>9615</v>
      </c>
      <c r="T1014" s="137">
        <f t="shared" si="208"/>
        <v>384.6</v>
      </c>
      <c r="U1014" s="137">
        <f t="shared" si="212"/>
        <v>9999.6</v>
      </c>
      <c r="V1014" s="137">
        <v>10000</v>
      </c>
      <c r="W1014" s="137">
        <f t="shared" si="213"/>
        <v>-0.3999999999996362</v>
      </c>
      <c r="X1014" s="137">
        <f t="shared" si="209"/>
        <v>-0.38461538461503481</v>
      </c>
      <c r="Y1014" s="137">
        <f t="shared" si="214"/>
        <v>-1.5384615384601397E-2</v>
      </c>
      <c r="Z1014" s="137">
        <v>9525.7999999999993</v>
      </c>
      <c r="AA1014" s="137">
        <f t="shared" si="210"/>
        <v>474.20000000000073</v>
      </c>
      <c r="AB1014" s="146">
        <f>IF(O1014="返货",Z1014/(1+N1014),IF(O1014="返现",Z1014,IF(O1014="折扣",Z1014*N1014,IF(O1014="无",Z1014))))</f>
        <v>9159.4230769230762</v>
      </c>
      <c r="AC1014" s="147">
        <f t="shared" si="211"/>
        <v>366.37692307692305</v>
      </c>
      <c r="AD1014" s="137">
        <f>(Z1014-Q1014)*0.91072157793815</f>
        <v>8675.351607123228</v>
      </c>
      <c r="AE1014" s="138">
        <v>0.11269173273981201</v>
      </c>
      <c r="AF1014" s="137">
        <f t="shared" si="228"/>
        <v>977.64040473382943</v>
      </c>
      <c r="AG1014" s="137">
        <v>485.89367338012602</v>
      </c>
      <c r="AH1014" s="154"/>
      <c r="AI1014" s="154"/>
      <c r="AJ1014" s="136">
        <v>0.04</v>
      </c>
      <c r="AK1014" s="156">
        <v>0.04</v>
      </c>
    </row>
    <row r="1015" spans="1:39" s="119" customFormat="1" ht="15" customHeight="1" x14ac:dyDescent="0.3">
      <c r="A1015" s="119">
        <v>2017</v>
      </c>
      <c r="B1015" s="119" t="s">
        <v>38</v>
      </c>
      <c r="C1015" s="119" t="s">
        <v>59</v>
      </c>
      <c r="D1015" s="119" t="s">
        <v>210</v>
      </c>
      <c r="E1015" s="119" t="s">
        <v>67</v>
      </c>
      <c r="F1015" s="119" t="s">
        <v>775</v>
      </c>
      <c r="G1015" s="119" t="s">
        <v>775</v>
      </c>
      <c r="H1015" s="119" t="s">
        <v>775</v>
      </c>
      <c r="I1015" s="119" t="s">
        <v>170</v>
      </c>
      <c r="J1015" s="119" t="s">
        <v>865</v>
      </c>
      <c r="K1015" s="119" t="s">
        <v>866</v>
      </c>
      <c r="L1015" s="119" t="s">
        <v>775</v>
      </c>
      <c r="M1015" s="119" t="s">
        <v>46</v>
      </c>
      <c r="N1015" s="136">
        <v>0.02</v>
      </c>
      <c r="O1015" s="135" t="s">
        <v>51</v>
      </c>
      <c r="P1015" s="135"/>
      <c r="Q1015" s="137">
        <v>0</v>
      </c>
      <c r="R1015" s="137">
        <v>0</v>
      </c>
      <c r="S1015" s="137">
        <v>20000</v>
      </c>
      <c r="T1015" s="137">
        <f t="shared" si="208"/>
        <v>400</v>
      </c>
      <c r="U1015" s="137">
        <f t="shared" si="212"/>
        <v>20400</v>
      </c>
      <c r="V1015" s="137">
        <v>20000</v>
      </c>
      <c r="W1015" s="137">
        <f t="shared" si="213"/>
        <v>400</v>
      </c>
      <c r="X1015" s="137">
        <f t="shared" si="209"/>
        <v>392.15686274509801</v>
      </c>
      <c r="Y1015" s="137">
        <f t="shared" si="214"/>
        <v>7.8431372549019898</v>
      </c>
      <c r="Z1015" s="137">
        <v>0</v>
      </c>
      <c r="AA1015" s="137">
        <f t="shared" si="210"/>
        <v>20000</v>
      </c>
      <c r="AB1015" s="146">
        <f>IF(O1015="返货",Z1015/(1+N1015),IF(O1015="返现",Z1015,IF(O1015="折扣",Z1015*N1015,IF(O1015="无",Z1015))))</f>
        <v>0</v>
      </c>
      <c r="AC1015" s="147">
        <f t="shared" si="211"/>
        <v>0</v>
      </c>
      <c r="AD1015" s="137">
        <f>Z1015*0.972201473425119-Q1015</f>
        <v>0</v>
      </c>
      <c r="AE1015" s="138">
        <v>0.1</v>
      </c>
      <c r="AF1015" s="137">
        <f t="shared" si="228"/>
        <v>0</v>
      </c>
      <c r="AG1015" s="137">
        <v>0</v>
      </c>
      <c r="AH1015" s="154"/>
      <c r="AI1015" s="154"/>
      <c r="AJ1015" s="136">
        <v>0.02</v>
      </c>
      <c r="AK1015" s="119" t="s">
        <v>173</v>
      </c>
    </row>
    <row r="1016" spans="1:39" s="119" customFormat="1" ht="15" customHeight="1" x14ac:dyDescent="0.3">
      <c r="A1016" s="119">
        <v>2017</v>
      </c>
      <c r="B1016" s="119" t="s">
        <v>38</v>
      </c>
      <c r="C1016" s="119" t="s">
        <v>59</v>
      </c>
      <c r="D1016" s="119" t="s">
        <v>210</v>
      </c>
      <c r="E1016" s="119" t="s">
        <v>67</v>
      </c>
      <c r="F1016" s="165" t="s">
        <v>770</v>
      </c>
      <c r="G1016" s="119" t="s">
        <v>770</v>
      </c>
      <c r="H1016" s="119" t="s">
        <v>770</v>
      </c>
      <c r="I1016" s="119" t="s">
        <v>170</v>
      </c>
      <c r="J1016" s="119" t="s">
        <v>171</v>
      </c>
      <c r="K1016" s="119" t="s">
        <v>172</v>
      </c>
      <c r="L1016" s="119" t="s">
        <v>770</v>
      </c>
      <c r="M1016" s="119" t="s">
        <v>46</v>
      </c>
      <c r="N1016" s="136">
        <v>0.04</v>
      </c>
      <c r="O1016" s="135" t="s">
        <v>51</v>
      </c>
      <c r="P1016" s="135" t="s">
        <v>440</v>
      </c>
      <c r="Q1016" s="137">
        <v>0</v>
      </c>
      <c r="R1016" s="137">
        <v>0</v>
      </c>
      <c r="S1016" s="137">
        <v>939645.3</v>
      </c>
      <c r="T1016" s="137">
        <f t="shared" si="208"/>
        <v>37585.812000000005</v>
      </c>
      <c r="U1016" s="137">
        <f t="shared" si="212"/>
        <v>977231.11200000008</v>
      </c>
      <c r="V1016" s="137">
        <v>891468.22</v>
      </c>
      <c r="W1016" s="137">
        <f t="shared" si="213"/>
        <v>85762.892000000109</v>
      </c>
      <c r="X1016" s="137">
        <f t="shared" si="209"/>
        <v>82464.319230769339</v>
      </c>
      <c r="Y1016" s="137">
        <f t="shared" si="214"/>
        <v>3298.5727692307701</v>
      </c>
      <c r="Z1016" s="137">
        <v>308260.7</v>
      </c>
      <c r="AA1016" s="137">
        <f t="shared" si="210"/>
        <v>583207.52</v>
      </c>
      <c r="AB1016" s="146">
        <f>IF(O1016="返货",Z1016/(1+N1016),IF(O1016="返现",Z1016,IF(O1016="折扣",Z1016*N1016,IF(O1016="无",Z1016))))</f>
        <v>296404.51923076925</v>
      </c>
      <c r="AC1016" s="147">
        <f t="shared" si="211"/>
        <v>11856.180769230763</v>
      </c>
      <c r="AD1016" s="137">
        <f t="shared" ref="AD1016:AD1018" si="230">(Z1016-Q1016)*0.89807640489087</f>
        <v>276841.66122514301</v>
      </c>
      <c r="AE1016" s="138">
        <v>0.11269173273981201</v>
      </c>
      <c r="AF1016" s="137">
        <f t="shared" si="228"/>
        <v>31197.766498029392</v>
      </c>
      <c r="AG1016" s="137">
        <v>47359.781061571899</v>
      </c>
      <c r="AH1016" s="154"/>
      <c r="AI1016" s="154"/>
      <c r="AJ1016" s="135">
        <v>0.04</v>
      </c>
      <c r="AK1016" s="119" t="s">
        <v>173</v>
      </c>
    </row>
    <row r="1017" spans="1:39" s="119" customFormat="1" ht="15" customHeight="1" x14ac:dyDescent="0.3">
      <c r="A1017" s="119">
        <v>2017</v>
      </c>
      <c r="C1017" s="119" t="s">
        <v>75</v>
      </c>
      <c r="F1017" s="131" t="str">
        <f>L1017</f>
        <v>沪江教育科技（上海）股份有限公司</v>
      </c>
      <c r="G1017" s="131"/>
      <c r="H1017" s="131"/>
      <c r="I1017" s="119" t="s">
        <v>170</v>
      </c>
      <c r="J1017" s="119" t="s">
        <v>171</v>
      </c>
      <c r="K1017" s="119" t="s">
        <v>172</v>
      </c>
      <c r="L1017" s="119" t="s">
        <v>990</v>
      </c>
      <c r="M1017" s="119" t="s">
        <v>46</v>
      </c>
      <c r="N1017" s="135">
        <v>0</v>
      </c>
      <c r="O1017" s="135" t="s">
        <v>47</v>
      </c>
      <c r="P1017" s="135" t="s">
        <v>852</v>
      </c>
      <c r="Q1017" s="137">
        <v>112323.305808839</v>
      </c>
      <c r="R1017" s="137">
        <v>0</v>
      </c>
      <c r="S1017" s="137"/>
      <c r="T1017" s="137">
        <f t="shared" si="208"/>
        <v>0</v>
      </c>
      <c r="U1017" s="137">
        <f t="shared" si="212"/>
        <v>0</v>
      </c>
      <c r="V1017" s="137">
        <v>0</v>
      </c>
      <c r="W1017" s="137">
        <f t="shared" si="213"/>
        <v>0</v>
      </c>
      <c r="X1017" s="137">
        <f t="shared" si="209"/>
        <v>0</v>
      </c>
      <c r="Y1017" s="137">
        <f t="shared" si="214"/>
        <v>0</v>
      </c>
      <c r="Z1017" s="137">
        <v>122478.6</v>
      </c>
      <c r="AA1017" s="137">
        <f t="shared" si="210"/>
        <v>-10155.294191161011</v>
      </c>
      <c r="AB1017" s="146">
        <v>0</v>
      </c>
      <c r="AC1017" s="147">
        <f t="shared" si="211"/>
        <v>122478.6</v>
      </c>
      <c r="AD1017" s="137">
        <f t="shared" si="230"/>
        <v>9120.2300978070161</v>
      </c>
      <c r="AE1017" s="138">
        <v>0.11269173273981201</v>
      </c>
      <c r="AF1017" s="137">
        <f t="shared" si="228"/>
        <v>1027.7745327076577</v>
      </c>
      <c r="AG1017" s="137">
        <v>10958.125246722</v>
      </c>
      <c r="AH1017" s="154"/>
      <c r="AI1017" s="154"/>
      <c r="AJ1017" s="135" t="e">
        <v>#N/A</v>
      </c>
      <c r="AK1017" s="119" t="s">
        <v>47</v>
      </c>
      <c r="AM1017" s="131" t="s">
        <v>208</v>
      </c>
    </row>
    <row r="1018" spans="1:39" s="119" customFormat="1" ht="15" customHeight="1" x14ac:dyDescent="0.3">
      <c r="A1018" s="119">
        <v>2017</v>
      </c>
      <c r="B1018" s="119" t="s">
        <v>38</v>
      </c>
      <c r="C1018" s="119" t="s">
        <v>59</v>
      </c>
      <c r="D1018" s="119" t="s">
        <v>210</v>
      </c>
      <c r="E1018" s="119" t="s">
        <v>131</v>
      </c>
      <c r="F1018" s="119" t="s">
        <v>991</v>
      </c>
      <c r="G1018" s="119" t="s">
        <v>991</v>
      </c>
      <c r="H1018" s="119" t="s">
        <v>991</v>
      </c>
      <c r="I1018" s="119" t="s">
        <v>170</v>
      </c>
      <c r="J1018" s="119" t="s">
        <v>171</v>
      </c>
      <c r="K1018" s="119" t="s">
        <v>172</v>
      </c>
      <c r="L1018" s="119" t="s">
        <v>991</v>
      </c>
      <c r="M1018" s="119" t="s">
        <v>46</v>
      </c>
      <c r="N1018" s="135">
        <v>0</v>
      </c>
      <c r="O1018" s="135" t="s">
        <v>47</v>
      </c>
      <c r="P1018" s="135"/>
      <c r="Q1018" s="137">
        <v>0</v>
      </c>
      <c r="R1018" s="137">
        <v>0</v>
      </c>
      <c r="S1018" s="137">
        <v>70000</v>
      </c>
      <c r="T1018" s="137">
        <f t="shared" si="208"/>
        <v>0</v>
      </c>
      <c r="U1018" s="137">
        <f t="shared" si="212"/>
        <v>70000</v>
      </c>
      <c r="V1018" s="137">
        <v>70000</v>
      </c>
      <c r="W1018" s="137">
        <f t="shared" si="213"/>
        <v>0</v>
      </c>
      <c r="X1018" s="137">
        <f t="shared" si="209"/>
        <v>0</v>
      </c>
      <c r="Y1018" s="137">
        <f t="shared" si="214"/>
        <v>0</v>
      </c>
      <c r="Z1018" s="137">
        <v>69997.600000000006</v>
      </c>
      <c r="AA1018" s="137">
        <f t="shared" si="210"/>
        <v>2.3999999999941792</v>
      </c>
      <c r="AB1018" s="146">
        <f t="shared" ref="AB1018:AB1050" si="231">IF(O1018="返货",Z1018/(1+N1018),IF(O1018="返现",Z1018,IF(O1018="折扣",Z1018*N1018,IF(O1018="无",Z1018))))</f>
        <v>69997.600000000006</v>
      </c>
      <c r="AC1018" s="147">
        <f t="shared" si="211"/>
        <v>0</v>
      </c>
      <c r="AD1018" s="137">
        <f t="shared" si="230"/>
        <v>62863.192958989173</v>
      </c>
      <c r="AE1018" s="138">
        <v>0.11269173273981201</v>
      </c>
      <c r="AF1018" s="137">
        <f t="shared" si="228"/>
        <v>7084.16214010564</v>
      </c>
      <c r="AG1018" s="137">
        <v>6262.6652147391296</v>
      </c>
      <c r="AH1018" s="154"/>
      <c r="AI1018" s="154"/>
      <c r="AJ1018" s="135" t="s">
        <v>47</v>
      </c>
      <c r="AK1018" s="119" t="s">
        <v>120</v>
      </c>
    </row>
    <row r="1019" spans="1:39" s="119" customFormat="1" ht="15" customHeight="1" x14ac:dyDescent="0.3">
      <c r="A1019" s="119">
        <v>2017</v>
      </c>
      <c r="B1019" s="119" t="s">
        <v>38</v>
      </c>
      <c r="C1019" s="119" t="s">
        <v>59</v>
      </c>
      <c r="D1019" s="119" t="s">
        <v>210</v>
      </c>
      <c r="E1019" s="119" t="s">
        <v>131</v>
      </c>
      <c r="F1019" s="119" t="s">
        <v>775</v>
      </c>
      <c r="G1019" s="119" t="s">
        <v>775</v>
      </c>
      <c r="H1019" s="119" t="s">
        <v>775</v>
      </c>
      <c r="I1019" s="119" t="s">
        <v>170</v>
      </c>
      <c r="J1019" s="119" t="s">
        <v>603</v>
      </c>
      <c r="K1019" s="119" t="s">
        <v>883</v>
      </c>
      <c r="L1019" s="119" t="s">
        <v>775</v>
      </c>
      <c r="M1019" s="119" t="s">
        <v>46</v>
      </c>
      <c r="N1019" s="136">
        <v>0.02</v>
      </c>
      <c r="O1019" s="135" t="s">
        <v>51</v>
      </c>
      <c r="P1019" s="135"/>
      <c r="Q1019" s="137">
        <v>0</v>
      </c>
      <c r="R1019" s="137">
        <v>0</v>
      </c>
      <c r="S1019" s="137">
        <v>170000</v>
      </c>
      <c r="T1019" s="137">
        <f t="shared" si="208"/>
        <v>3400</v>
      </c>
      <c r="U1019" s="137">
        <f t="shared" si="212"/>
        <v>173400</v>
      </c>
      <c r="V1019" s="137">
        <v>130000</v>
      </c>
      <c r="W1019" s="137">
        <f t="shared" si="213"/>
        <v>43400</v>
      </c>
      <c r="X1019" s="137">
        <f t="shared" si="209"/>
        <v>42549.01960784314</v>
      </c>
      <c r="Y1019" s="137">
        <f t="shared" si="214"/>
        <v>850.98039215686003</v>
      </c>
      <c r="Z1019" s="137">
        <v>169998.2</v>
      </c>
      <c r="AA1019" s="137">
        <f t="shared" si="210"/>
        <v>-39998.200000000012</v>
      </c>
      <c r="AB1019" s="146">
        <f t="shared" si="231"/>
        <v>166664.90196078434</v>
      </c>
      <c r="AC1019" s="147">
        <f t="shared" si="211"/>
        <v>3333.2980392156751</v>
      </c>
      <c r="AD1019" s="137">
        <v>169998.2</v>
      </c>
      <c r="AE1019" s="138">
        <v>0.1</v>
      </c>
      <c r="AF1019" s="137">
        <f t="shared" si="228"/>
        <v>16999.820000000003</v>
      </c>
      <c r="AG1019" s="137">
        <v>13666.521960784299</v>
      </c>
      <c r="AH1019" s="154"/>
      <c r="AI1019" s="154"/>
      <c r="AJ1019" s="135" t="s">
        <v>173</v>
      </c>
      <c r="AK1019" s="119" t="s">
        <v>173</v>
      </c>
    </row>
    <row r="1020" spans="1:39" s="119" customFormat="1" ht="15" customHeight="1" x14ac:dyDescent="0.3">
      <c r="A1020" s="119">
        <v>2017</v>
      </c>
      <c r="B1020" s="119" t="s">
        <v>38</v>
      </c>
      <c r="C1020" s="119" t="s">
        <v>59</v>
      </c>
      <c r="D1020" s="119" t="s">
        <v>210</v>
      </c>
      <c r="E1020" s="119" t="s">
        <v>131</v>
      </c>
      <c r="F1020" s="119" t="s">
        <v>992</v>
      </c>
      <c r="G1020" s="119" t="s">
        <v>992</v>
      </c>
      <c r="H1020" s="119" t="s">
        <v>992</v>
      </c>
      <c r="I1020" s="119" t="s">
        <v>170</v>
      </c>
      <c r="J1020" s="119" t="s">
        <v>171</v>
      </c>
      <c r="K1020" s="119" t="s">
        <v>172</v>
      </c>
      <c r="L1020" s="119" t="s">
        <v>992</v>
      </c>
      <c r="M1020" s="119" t="s">
        <v>46</v>
      </c>
      <c r="N1020" s="135">
        <v>0</v>
      </c>
      <c r="O1020" s="135" t="s">
        <v>47</v>
      </c>
      <c r="P1020" s="135"/>
      <c r="Q1020" s="137">
        <v>0</v>
      </c>
      <c r="R1020" s="137">
        <v>0</v>
      </c>
      <c r="S1020" s="137">
        <v>50000</v>
      </c>
      <c r="T1020" s="137">
        <f t="shared" si="208"/>
        <v>0</v>
      </c>
      <c r="U1020" s="137">
        <f t="shared" si="212"/>
        <v>50000</v>
      </c>
      <c r="V1020" s="137">
        <v>50000</v>
      </c>
      <c r="W1020" s="137">
        <f t="shared" si="213"/>
        <v>0</v>
      </c>
      <c r="X1020" s="137">
        <f t="shared" si="209"/>
        <v>0</v>
      </c>
      <c r="Y1020" s="137">
        <f t="shared" si="214"/>
        <v>0</v>
      </c>
      <c r="Z1020" s="137">
        <v>49979.1</v>
      </c>
      <c r="AA1020" s="137">
        <f t="shared" si="210"/>
        <v>20.900000000001455</v>
      </c>
      <c r="AB1020" s="146">
        <f t="shared" si="231"/>
        <v>49979.1</v>
      </c>
      <c r="AC1020" s="147">
        <f t="shared" si="211"/>
        <v>0</v>
      </c>
      <c r="AD1020" s="137">
        <f t="shared" ref="AD1020:AD1024" si="232">(Z1020-Q1020)*0.89807640489087</f>
        <v>44885.050447681278</v>
      </c>
      <c r="AE1020" s="138">
        <v>0.11269173273981201</v>
      </c>
      <c r="AF1020" s="137">
        <f t="shared" si="228"/>
        <v>5058.1741090630776</v>
      </c>
      <c r="AG1020" s="137">
        <v>4471.6157558826098</v>
      </c>
      <c r="AH1020" s="154"/>
      <c r="AI1020" s="154"/>
      <c r="AJ1020" s="135" t="s">
        <v>47</v>
      </c>
      <c r="AK1020" s="119" t="s">
        <v>47</v>
      </c>
    </row>
    <row r="1021" spans="1:39" s="119" customFormat="1" ht="15" customHeight="1" x14ac:dyDescent="0.3">
      <c r="A1021" s="119">
        <v>2017</v>
      </c>
      <c r="B1021" s="119" t="s">
        <v>38</v>
      </c>
      <c r="C1021" s="119" t="s">
        <v>54</v>
      </c>
      <c r="D1021" s="119" t="s">
        <v>55</v>
      </c>
      <c r="E1021" s="119" t="s">
        <v>56</v>
      </c>
      <c r="F1021" s="119" t="s">
        <v>993</v>
      </c>
      <c r="G1021" s="119" t="s">
        <v>993</v>
      </c>
      <c r="H1021" s="119" t="s">
        <v>993</v>
      </c>
      <c r="I1021" s="119" t="s">
        <v>170</v>
      </c>
      <c r="J1021" s="119" t="s">
        <v>171</v>
      </c>
      <c r="K1021" s="119" t="s">
        <v>172</v>
      </c>
      <c r="L1021" s="119" t="s">
        <v>993</v>
      </c>
      <c r="M1021" s="119" t="s">
        <v>46</v>
      </c>
      <c r="N1021" s="136">
        <v>0.02</v>
      </c>
      <c r="O1021" s="135" t="s">
        <v>51</v>
      </c>
      <c r="P1021" s="135"/>
      <c r="Q1021" s="137">
        <v>0</v>
      </c>
      <c r="R1021" s="137">
        <v>0</v>
      </c>
      <c r="S1021" s="137">
        <v>120000</v>
      </c>
      <c r="T1021" s="137">
        <f t="shared" si="208"/>
        <v>2400</v>
      </c>
      <c r="U1021" s="137">
        <f t="shared" si="212"/>
        <v>122400</v>
      </c>
      <c r="V1021" s="137">
        <v>131172.12</v>
      </c>
      <c r="W1021" s="137">
        <f t="shared" si="213"/>
        <v>-8772.1199999999953</v>
      </c>
      <c r="X1021" s="137">
        <f t="shared" si="209"/>
        <v>-8600.117647058818</v>
      </c>
      <c r="Y1021" s="137">
        <f t="shared" si="214"/>
        <v>-172.00235294117738</v>
      </c>
      <c r="Z1021" s="137">
        <v>109129.2</v>
      </c>
      <c r="AA1021" s="137">
        <f t="shared" si="210"/>
        <v>22042.92</v>
      </c>
      <c r="AB1021" s="146">
        <f t="shared" si="231"/>
        <v>106989.41176470587</v>
      </c>
      <c r="AC1021" s="147">
        <f t="shared" si="211"/>
        <v>2139.7882352941233</v>
      </c>
      <c r="AD1021" s="137">
        <f t="shared" si="232"/>
        <v>98006.359604616737</v>
      </c>
      <c r="AE1021" s="138">
        <v>0.11269173273981201</v>
      </c>
      <c r="AF1021" s="137">
        <f t="shared" si="228"/>
        <v>11044.506483365376</v>
      </c>
      <c r="AG1021" s="137">
        <v>7623.9700185932797</v>
      </c>
      <c r="AH1021" s="154"/>
      <c r="AI1021" s="154"/>
      <c r="AJ1021" s="135" t="s">
        <v>173</v>
      </c>
      <c r="AK1021" s="119" t="s">
        <v>173</v>
      </c>
    </row>
    <row r="1022" spans="1:39" s="119" customFormat="1" ht="15" customHeight="1" x14ac:dyDescent="0.3">
      <c r="A1022" s="119">
        <v>2017</v>
      </c>
      <c r="B1022" s="119" t="s">
        <v>38</v>
      </c>
      <c r="C1022" s="119" t="s">
        <v>54</v>
      </c>
      <c r="D1022" s="119" t="s">
        <v>55</v>
      </c>
      <c r="E1022" s="119" t="s">
        <v>56</v>
      </c>
      <c r="F1022" s="119" t="s">
        <v>994</v>
      </c>
      <c r="G1022" s="119" t="s">
        <v>994</v>
      </c>
      <c r="H1022" s="119" t="s">
        <v>994</v>
      </c>
      <c r="I1022" s="119" t="s">
        <v>170</v>
      </c>
      <c r="J1022" s="119" t="s">
        <v>171</v>
      </c>
      <c r="K1022" s="119" t="s">
        <v>172</v>
      </c>
      <c r="L1022" s="119" t="s">
        <v>994</v>
      </c>
      <c r="M1022" s="119" t="s">
        <v>46</v>
      </c>
      <c r="N1022" s="136">
        <v>0.04</v>
      </c>
      <c r="O1022" s="135" t="s">
        <v>51</v>
      </c>
      <c r="P1022" s="135"/>
      <c r="Q1022" s="137">
        <v>0</v>
      </c>
      <c r="R1022" s="137">
        <v>0</v>
      </c>
      <c r="S1022" s="137">
        <v>19230.77</v>
      </c>
      <c r="T1022" s="137">
        <f t="shared" si="208"/>
        <v>769.23080000000004</v>
      </c>
      <c r="U1022" s="137">
        <f t="shared" si="212"/>
        <v>20000.000800000002</v>
      </c>
      <c r="V1022" s="137">
        <v>20000</v>
      </c>
      <c r="W1022" s="137">
        <f t="shared" si="213"/>
        <v>8.0000000161817297E-4</v>
      </c>
      <c r="X1022" s="137">
        <f t="shared" si="209"/>
        <v>7.6923077078670473E-4</v>
      </c>
      <c r="Y1022" s="137">
        <f t="shared" si="214"/>
        <v>3.0769230831468241E-5</v>
      </c>
      <c r="Z1022" s="137">
        <v>19997.599999999999</v>
      </c>
      <c r="AA1022" s="137">
        <f t="shared" si="210"/>
        <v>2.4000000000014552</v>
      </c>
      <c r="AB1022" s="146">
        <f t="shared" si="231"/>
        <v>19228.461538461535</v>
      </c>
      <c r="AC1022" s="147">
        <f t="shared" si="211"/>
        <v>769.13846153846316</v>
      </c>
      <c r="AD1022" s="137">
        <f t="shared" si="232"/>
        <v>17959.372714445661</v>
      </c>
      <c r="AE1022" s="138">
        <v>0.11269173273981201</v>
      </c>
      <c r="AF1022" s="137">
        <f t="shared" si="228"/>
        <v>2023.8728301109825</v>
      </c>
      <c r="AG1022" s="137">
        <v>1020.04108030679</v>
      </c>
      <c r="AH1022" s="154"/>
      <c r="AI1022" s="154"/>
      <c r="AJ1022" s="136">
        <v>0.04</v>
      </c>
      <c r="AK1022" s="156">
        <v>0.04</v>
      </c>
    </row>
    <row r="1023" spans="1:39" s="119" customFormat="1" ht="15" customHeight="1" x14ac:dyDescent="0.3">
      <c r="A1023" s="119">
        <v>2017</v>
      </c>
      <c r="B1023" s="119" t="s">
        <v>38</v>
      </c>
      <c r="C1023" s="119" t="s">
        <v>54</v>
      </c>
      <c r="D1023" s="119" t="s">
        <v>55</v>
      </c>
      <c r="E1023" s="119" t="s">
        <v>368</v>
      </c>
      <c r="F1023" s="119" t="s">
        <v>487</v>
      </c>
      <c r="G1023" s="119" t="s">
        <v>487</v>
      </c>
      <c r="H1023" s="119" t="s">
        <v>487</v>
      </c>
      <c r="I1023" s="119" t="s">
        <v>170</v>
      </c>
      <c r="J1023" s="119" t="s">
        <v>171</v>
      </c>
      <c r="K1023" s="119" t="s">
        <v>172</v>
      </c>
      <c r="L1023" s="119" t="s">
        <v>487</v>
      </c>
      <c r="M1023" s="119" t="s">
        <v>46</v>
      </c>
      <c r="N1023" s="135">
        <v>0</v>
      </c>
      <c r="O1023" s="135" t="s">
        <v>47</v>
      </c>
      <c r="P1023" s="135"/>
      <c r="Q1023" s="137">
        <v>0</v>
      </c>
      <c r="R1023" s="137">
        <v>0</v>
      </c>
      <c r="S1023" s="137">
        <v>10000</v>
      </c>
      <c r="T1023" s="137">
        <f t="shared" si="208"/>
        <v>0</v>
      </c>
      <c r="U1023" s="137">
        <f t="shared" si="212"/>
        <v>10000</v>
      </c>
      <c r="V1023" s="137">
        <v>10000</v>
      </c>
      <c r="W1023" s="137">
        <f t="shared" si="213"/>
        <v>0</v>
      </c>
      <c r="X1023" s="137">
        <f t="shared" si="209"/>
        <v>0</v>
      </c>
      <c r="Y1023" s="137">
        <f t="shared" si="214"/>
        <v>0</v>
      </c>
      <c r="Z1023" s="137">
        <v>2524.4</v>
      </c>
      <c r="AA1023" s="137">
        <f t="shared" si="210"/>
        <v>7475.6</v>
      </c>
      <c r="AB1023" s="146">
        <f t="shared" si="231"/>
        <v>2524.4</v>
      </c>
      <c r="AC1023" s="147">
        <f t="shared" si="211"/>
        <v>0</v>
      </c>
      <c r="AD1023" s="137">
        <f t="shared" si="232"/>
        <v>2267.1040765065122</v>
      </c>
      <c r="AE1023" s="138">
        <v>0.11269173273981201</v>
      </c>
      <c r="AF1023" s="137">
        <f t="shared" si="228"/>
        <v>255.48388668301018</v>
      </c>
      <c r="AG1023" s="137">
        <v>225.85734465306601</v>
      </c>
      <c r="AH1023" s="154"/>
      <c r="AI1023" s="154"/>
      <c r="AJ1023" s="155">
        <v>0</v>
      </c>
      <c r="AK1023" s="119">
        <v>0</v>
      </c>
    </row>
    <row r="1024" spans="1:39" s="119" customFormat="1" ht="15" customHeight="1" x14ac:dyDescent="0.3">
      <c r="A1024" s="119">
        <v>2017</v>
      </c>
      <c r="B1024" s="119" t="s">
        <v>38</v>
      </c>
      <c r="C1024" s="119" t="s">
        <v>54</v>
      </c>
      <c r="D1024" s="119" t="s">
        <v>55</v>
      </c>
      <c r="E1024" s="119" t="s">
        <v>368</v>
      </c>
      <c r="F1024" s="119" t="s">
        <v>995</v>
      </c>
      <c r="G1024" s="119" t="s">
        <v>995</v>
      </c>
      <c r="H1024" s="119" t="s">
        <v>995</v>
      </c>
      <c r="I1024" s="119" t="s">
        <v>170</v>
      </c>
      <c r="J1024" s="119" t="s">
        <v>171</v>
      </c>
      <c r="K1024" s="119" t="s">
        <v>172</v>
      </c>
      <c r="L1024" s="119" t="s">
        <v>996</v>
      </c>
      <c r="M1024" s="119" t="s">
        <v>46</v>
      </c>
      <c r="N1024" s="136">
        <v>0.02</v>
      </c>
      <c r="O1024" s="135" t="s">
        <v>51</v>
      </c>
      <c r="P1024" s="135"/>
      <c r="Q1024" s="137">
        <v>0</v>
      </c>
      <c r="R1024" s="137">
        <v>0</v>
      </c>
      <c r="S1024" s="137">
        <v>30000</v>
      </c>
      <c r="T1024" s="137">
        <f t="shared" si="208"/>
        <v>600</v>
      </c>
      <c r="U1024" s="137">
        <f t="shared" si="212"/>
        <v>30600</v>
      </c>
      <c r="V1024" s="137">
        <v>30000</v>
      </c>
      <c r="W1024" s="137">
        <f t="shared" si="213"/>
        <v>600</v>
      </c>
      <c r="X1024" s="137">
        <f t="shared" si="209"/>
        <v>588.23529411764707</v>
      </c>
      <c r="Y1024" s="137">
        <f t="shared" si="214"/>
        <v>11.764705882352928</v>
      </c>
      <c r="Z1024" s="137">
        <v>20588.800000000003</v>
      </c>
      <c r="AA1024" s="137">
        <f t="shared" si="210"/>
        <v>9411.1999999999971</v>
      </c>
      <c r="AB1024" s="146">
        <f t="shared" si="231"/>
        <v>20185.098039215689</v>
      </c>
      <c r="AC1024" s="147">
        <f t="shared" si="211"/>
        <v>403.701960784314</v>
      </c>
      <c r="AD1024" s="137">
        <f t="shared" si="232"/>
        <v>18490.315485017149</v>
      </c>
      <c r="AE1024" s="138">
        <v>0.11269173273981201</v>
      </c>
      <c r="AF1024" s="137">
        <f t="shared" si="228"/>
        <v>2083.7056909123598</v>
      </c>
      <c r="AG1024" s="137">
        <v>2141.2942700752101</v>
      </c>
      <c r="AH1024" s="154"/>
      <c r="AI1024" s="154"/>
      <c r="AJ1024" s="135" t="s">
        <v>173</v>
      </c>
      <c r="AK1024" s="119" t="s">
        <v>173</v>
      </c>
    </row>
    <row r="1025" spans="1:39" s="119" customFormat="1" ht="15" customHeight="1" x14ac:dyDescent="0.3">
      <c r="A1025" s="119">
        <v>2017</v>
      </c>
      <c r="B1025" s="119" t="s">
        <v>38</v>
      </c>
      <c r="C1025" s="119" t="s">
        <v>54</v>
      </c>
      <c r="D1025" s="119" t="s">
        <v>55</v>
      </c>
      <c r="E1025" s="119" t="s">
        <v>368</v>
      </c>
      <c r="F1025" s="119" t="s">
        <v>997</v>
      </c>
      <c r="G1025" s="119" t="s">
        <v>997</v>
      </c>
      <c r="H1025" s="119" t="s">
        <v>997</v>
      </c>
      <c r="I1025" s="119" t="s">
        <v>170</v>
      </c>
      <c r="J1025" s="119" t="s">
        <v>603</v>
      </c>
      <c r="K1025" s="119" t="s">
        <v>883</v>
      </c>
      <c r="L1025" s="119" t="s">
        <v>997</v>
      </c>
      <c r="M1025" s="119" t="s">
        <v>46</v>
      </c>
      <c r="N1025" s="136">
        <v>0.02</v>
      </c>
      <c r="O1025" s="135" t="s">
        <v>51</v>
      </c>
      <c r="P1025" s="135"/>
      <c r="Q1025" s="137">
        <v>0</v>
      </c>
      <c r="R1025" s="137">
        <v>0</v>
      </c>
      <c r="S1025" s="137">
        <v>50000</v>
      </c>
      <c r="T1025" s="137">
        <f t="shared" si="208"/>
        <v>1000</v>
      </c>
      <c r="U1025" s="137">
        <f t="shared" si="212"/>
        <v>51000</v>
      </c>
      <c r="V1025" s="137">
        <v>50000</v>
      </c>
      <c r="W1025" s="137">
        <f t="shared" si="213"/>
        <v>1000</v>
      </c>
      <c r="X1025" s="137">
        <f t="shared" si="209"/>
        <v>980.39215686274508</v>
      </c>
      <c r="Y1025" s="137">
        <f t="shared" si="214"/>
        <v>19.607843137254918</v>
      </c>
      <c r="Z1025" s="137">
        <v>19723.099999999999</v>
      </c>
      <c r="AA1025" s="137">
        <f t="shared" si="210"/>
        <v>30276.9</v>
      </c>
      <c r="AB1025" s="146">
        <f t="shared" si="231"/>
        <v>19336.372549019605</v>
      </c>
      <c r="AC1025" s="147">
        <f t="shared" si="211"/>
        <v>386.72745098039377</v>
      </c>
      <c r="AD1025" s="137">
        <v>19723.099999999999</v>
      </c>
      <c r="AE1025" s="138">
        <v>0.1</v>
      </c>
      <c r="AF1025" s="137">
        <f t="shared" si="228"/>
        <v>1972.31</v>
      </c>
      <c r="AG1025" s="137">
        <v>2389.2870588235301</v>
      </c>
      <c r="AH1025" s="154"/>
      <c r="AI1025" s="154"/>
      <c r="AJ1025" s="135" t="s">
        <v>173</v>
      </c>
      <c r="AK1025" s="119" t="s">
        <v>173</v>
      </c>
      <c r="AM1025" s="119" t="s">
        <v>174</v>
      </c>
    </row>
    <row r="1026" spans="1:39" s="119" customFormat="1" ht="15" customHeight="1" x14ac:dyDescent="0.3">
      <c r="A1026" s="119">
        <v>2017</v>
      </c>
      <c r="B1026" s="119" t="s">
        <v>38</v>
      </c>
      <c r="C1026" s="119" t="s">
        <v>54</v>
      </c>
      <c r="D1026" s="119" t="s">
        <v>55</v>
      </c>
      <c r="E1026" s="119" t="s">
        <v>368</v>
      </c>
      <c r="F1026" s="119" t="s">
        <v>997</v>
      </c>
      <c r="G1026" s="119" t="s">
        <v>997</v>
      </c>
      <c r="H1026" s="119" t="s">
        <v>997</v>
      </c>
      <c r="I1026" s="119" t="s">
        <v>170</v>
      </c>
      <c r="J1026" s="119" t="s">
        <v>865</v>
      </c>
      <c r="K1026" s="119" t="s">
        <v>866</v>
      </c>
      <c r="L1026" s="119" t="s">
        <v>997</v>
      </c>
      <c r="M1026" s="119" t="s">
        <v>46</v>
      </c>
      <c r="N1026" s="136">
        <v>0.02</v>
      </c>
      <c r="O1026" s="135" t="s">
        <v>51</v>
      </c>
      <c r="P1026" s="135"/>
      <c r="Q1026" s="137">
        <v>0</v>
      </c>
      <c r="R1026" s="137">
        <v>0</v>
      </c>
      <c r="S1026" s="137">
        <v>10000</v>
      </c>
      <c r="T1026" s="137">
        <f t="shared" ref="T1026:T1089" si="233">S1026*N1026</f>
        <v>200</v>
      </c>
      <c r="U1026" s="137">
        <f t="shared" si="212"/>
        <v>10200</v>
      </c>
      <c r="V1026" s="137">
        <v>10000</v>
      </c>
      <c r="W1026" s="137">
        <f t="shared" si="213"/>
        <v>200</v>
      </c>
      <c r="X1026" s="137">
        <f t="shared" ref="X1026:X1089" si="234">W1026/(1+N1026)</f>
        <v>196.07843137254901</v>
      </c>
      <c r="Y1026" s="137">
        <f t="shared" si="214"/>
        <v>3.9215686274509949</v>
      </c>
      <c r="Z1026" s="137">
        <v>9997.2999999999993</v>
      </c>
      <c r="AA1026" s="137">
        <f t="shared" ref="AA1026:AA1089" si="235">Q1026+V1026-Z1026</f>
        <v>2.7000000000007276</v>
      </c>
      <c r="AB1026" s="146">
        <f t="shared" si="231"/>
        <v>9801.2745098039213</v>
      </c>
      <c r="AC1026" s="147">
        <f t="shared" ref="AC1026:AC1089" si="236">IF(O1026="返现",Z1026*N1026,Z1026-AB1026)</f>
        <v>196.02549019607795</v>
      </c>
      <c r="AD1026" s="137">
        <f>Z1026*0.972201473425119-Q1026</f>
        <v>9719.3897902729404</v>
      </c>
      <c r="AE1026" s="138">
        <v>0.1</v>
      </c>
      <c r="AF1026" s="137">
        <f t="shared" si="228"/>
        <v>971.93897902729407</v>
      </c>
      <c r="AG1026" s="137">
        <v>0</v>
      </c>
      <c r="AH1026" s="154"/>
      <c r="AI1026" s="154"/>
      <c r="AJ1026" s="135" t="s">
        <v>173</v>
      </c>
      <c r="AK1026" s="119" t="s">
        <v>173</v>
      </c>
      <c r="AM1026" s="119" t="s">
        <v>174</v>
      </c>
    </row>
    <row r="1027" spans="1:39" s="119" customFormat="1" ht="15" customHeight="1" x14ac:dyDescent="0.3">
      <c r="A1027" s="119">
        <v>2017</v>
      </c>
      <c r="B1027" s="119" t="s">
        <v>38</v>
      </c>
      <c r="C1027" s="119" t="s">
        <v>54</v>
      </c>
      <c r="D1027" s="119" t="s">
        <v>55</v>
      </c>
      <c r="E1027" s="119" t="s">
        <v>368</v>
      </c>
      <c r="F1027" s="119" t="s">
        <v>998</v>
      </c>
      <c r="G1027" s="119" t="s">
        <v>998</v>
      </c>
      <c r="H1027" s="119" t="s">
        <v>998</v>
      </c>
      <c r="I1027" s="119" t="s">
        <v>170</v>
      </c>
      <c r="J1027" s="119" t="s">
        <v>171</v>
      </c>
      <c r="K1027" s="119" t="s">
        <v>172</v>
      </c>
      <c r="L1027" s="119" t="s">
        <v>999</v>
      </c>
      <c r="M1027" s="119" t="s">
        <v>46</v>
      </c>
      <c r="N1027" s="135">
        <v>0</v>
      </c>
      <c r="O1027" s="135" t="s">
        <v>47</v>
      </c>
      <c r="P1027" s="135"/>
      <c r="Q1027" s="137">
        <v>0</v>
      </c>
      <c r="R1027" s="137">
        <v>0</v>
      </c>
      <c r="S1027" s="137">
        <v>60000</v>
      </c>
      <c r="T1027" s="137">
        <f t="shared" si="233"/>
        <v>0</v>
      </c>
      <c r="U1027" s="137">
        <f t="shared" ref="U1027:U1090" si="237">R1027+S1027+T1027</f>
        <v>60000</v>
      </c>
      <c r="V1027" s="137">
        <v>60000</v>
      </c>
      <c r="W1027" s="137">
        <f t="shared" ref="W1027:W1090" si="238">U1027-V1027</f>
        <v>0</v>
      </c>
      <c r="X1027" s="137">
        <f t="shared" si="234"/>
        <v>0</v>
      </c>
      <c r="Y1027" s="137">
        <f t="shared" ref="Y1027:Y1090" si="239">W1027-X1027</f>
        <v>0</v>
      </c>
      <c r="Z1027" s="137">
        <v>59999.6</v>
      </c>
      <c r="AA1027" s="137">
        <f t="shared" si="235"/>
        <v>0.40000000000145519</v>
      </c>
      <c r="AB1027" s="146">
        <f t="shared" si="231"/>
        <v>59999.6</v>
      </c>
      <c r="AC1027" s="147">
        <f t="shared" si="236"/>
        <v>0</v>
      </c>
      <c r="AD1027" s="137">
        <f t="shared" ref="AD1027:AD1028" si="240">(Z1027-Q1027)*0.89807640489087</f>
        <v>53884.225062890248</v>
      </c>
      <c r="AE1027" s="138">
        <v>0.11269173273981201</v>
      </c>
      <c r="AF1027" s="137">
        <f t="shared" si="228"/>
        <v>6072.3066896791079</v>
      </c>
      <c r="AG1027" s="137">
        <v>5368.1470195872698</v>
      </c>
      <c r="AH1027" s="154"/>
      <c r="AI1027" s="154"/>
      <c r="AJ1027" s="136">
        <v>0</v>
      </c>
      <c r="AK1027" s="119" t="s">
        <v>120</v>
      </c>
    </row>
    <row r="1028" spans="1:39" s="119" customFormat="1" ht="15" customHeight="1" x14ac:dyDescent="0.3">
      <c r="A1028" s="119">
        <v>2017</v>
      </c>
      <c r="B1028" s="119" t="s">
        <v>38</v>
      </c>
      <c r="C1028" s="119" t="s">
        <v>54</v>
      </c>
      <c r="D1028" s="119" t="s">
        <v>55</v>
      </c>
      <c r="E1028" s="119" t="s">
        <v>368</v>
      </c>
      <c r="F1028" s="119" t="s">
        <v>489</v>
      </c>
      <c r="G1028" s="119" t="s">
        <v>489</v>
      </c>
      <c r="H1028" s="119" t="s">
        <v>489</v>
      </c>
      <c r="I1028" s="119" t="s">
        <v>170</v>
      </c>
      <c r="J1028" s="119" t="s">
        <v>171</v>
      </c>
      <c r="K1028" s="119" t="s">
        <v>172</v>
      </c>
      <c r="L1028" s="119" t="s">
        <v>489</v>
      </c>
      <c r="M1028" s="119" t="s">
        <v>46</v>
      </c>
      <c r="N1028" s="136">
        <v>7.0000000000000007E-2</v>
      </c>
      <c r="O1028" s="135" t="s">
        <v>51</v>
      </c>
      <c r="P1028" s="135" t="s">
        <v>440</v>
      </c>
      <c r="Q1028" s="137">
        <v>0</v>
      </c>
      <c r="R1028" s="137">
        <v>0</v>
      </c>
      <c r="S1028" s="137">
        <v>3071556.54</v>
      </c>
      <c r="T1028" s="137">
        <f t="shared" si="233"/>
        <v>215008.95780000003</v>
      </c>
      <c r="U1028" s="137">
        <f t="shared" si="237"/>
        <v>3286565.4978</v>
      </c>
      <c r="V1028" s="137">
        <v>3237400</v>
      </c>
      <c r="W1028" s="137">
        <f t="shared" si="238"/>
        <v>49165.497800000012</v>
      </c>
      <c r="X1028" s="137">
        <f t="shared" si="234"/>
        <v>45949.063364485992</v>
      </c>
      <c r="Y1028" s="137">
        <f t="shared" si="239"/>
        <v>3216.4344355140202</v>
      </c>
      <c r="Z1028" s="137">
        <f>2673935-Z1166</f>
        <v>969535</v>
      </c>
      <c r="AA1028" s="137">
        <f t="shared" si="235"/>
        <v>2267865</v>
      </c>
      <c r="AB1028" s="146">
        <f t="shared" si="231"/>
        <v>906107.47663551394</v>
      </c>
      <c r="AC1028" s="147">
        <f t="shared" si="236"/>
        <v>63427.523364486056</v>
      </c>
      <c r="AD1028" s="137">
        <f t="shared" si="240"/>
        <v>870716.50721586973</v>
      </c>
      <c r="AE1028" s="138">
        <v>0.11269173273981201</v>
      </c>
      <c r="AF1028" s="137">
        <f t="shared" si="228"/>
        <v>98122.551923313382</v>
      </c>
      <c r="AG1028" s="137">
        <v>136392.54440883599</v>
      </c>
      <c r="AH1028" s="154"/>
      <c r="AI1028" s="154"/>
      <c r="AJ1028" s="136">
        <v>7.0000000000000007E-2</v>
      </c>
      <c r="AK1028" s="119" t="s">
        <v>186</v>
      </c>
    </row>
    <row r="1029" spans="1:39" s="119" customFormat="1" ht="15" customHeight="1" x14ac:dyDescent="0.3">
      <c r="A1029" s="119">
        <v>2017</v>
      </c>
      <c r="B1029" s="119" t="s">
        <v>333</v>
      </c>
      <c r="C1029" s="119" t="s">
        <v>54</v>
      </c>
      <c r="D1029" s="119" t="s">
        <v>55</v>
      </c>
      <c r="E1029" s="119" t="s">
        <v>368</v>
      </c>
      <c r="F1029" s="119" t="s">
        <v>491</v>
      </c>
      <c r="G1029" s="119" t="s">
        <v>492</v>
      </c>
      <c r="H1029" s="119" t="s">
        <v>492</v>
      </c>
      <c r="I1029" s="119" t="s">
        <v>170</v>
      </c>
      <c r="J1029" s="119" t="s">
        <v>171</v>
      </c>
      <c r="K1029" s="119" t="s">
        <v>172</v>
      </c>
      <c r="L1029" s="119" t="s">
        <v>563</v>
      </c>
      <c r="M1029" s="119" t="s">
        <v>185</v>
      </c>
      <c r="N1029" s="136">
        <v>0.04</v>
      </c>
      <c r="O1029" s="135" t="s">
        <v>51</v>
      </c>
      <c r="P1029" s="135"/>
      <c r="Q1029" s="137">
        <v>0</v>
      </c>
      <c r="R1029" s="137">
        <v>0</v>
      </c>
      <c r="S1029" s="137">
        <v>9513.26</v>
      </c>
      <c r="T1029" s="137">
        <f t="shared" si="233"/>
        <v>380.53040000000004</v>
      </c>
      <c r="U1029" s="137">
        <f t="shared" si="237"/>
        <v>9893.7903999999999</v>
      </c>
      <c r="V1029" s="137">
        <v>9513.26</v>
      </c>
      <c r="W1029" s="137">
        <f t="shared" si="238"/>
        <v>380.53039999999964</v>
      </c>
      <c r="X1029" s="137">
        <f t="shared" si="234"/>
        <v>365.89461538461501</v>
      </c>
      <c r="Y1029" s="137">
        <f t="shared" si="239"/>
        <v>14.635784615384637</v>
      </c>
      <c r="Z1029" s="137">
        <v>9513.26</v>
      </c>
      <c r="AA1029" s="137">
        <f t="shared" si="235"/>
        <v>0</v>
      </c>
      <c r="AB1029" s="146">
        <f t="shared" si="231"/>
        <v>9147.3653846153848</v>
      </c>
      <c r="AC1029" s="147">
        <f t="shared" si="236"/>
        <v>365.89461538461546</v>
      </c>
      <c r="AD1029" s="137">
        <f>(Z1029-Q1029)*0.91072157793815</f>
        <v>8663.9311585358846</v>
      </c>
      <c r="AE1029" s="138">
        <v>0.11269173273981201</v>
      </c>
      <c r="AF1029" s="137">
        <f t="shared" si="228"/>
        <v>976.35341459385575</v>
      </c>
      <c r="AG1029" s="137">
        <v>485.25403086567201</v>
      </c>
      <c r="AH1029" s="154"/>
      <c r="AI1029" s="154"/>
      <c r="AJ1029" s="135" t="s">
        <v>186</v>
      </c>
      <c r="AK1029" s="119" t="s">
        <v>186</v>
      </c>
    </row>
    <row r="1030" spans="1:39" s="119" customFormat="1" ht="15" customHeight="1" x14ac:dyDescent="0.3">
      <c r="A1030" s="119">
        <v>2017</v>
      </c>
      <c r="B1030" s="119" t="s">
        <v>38</v>
      </c>
      <c r="C1030" s="119" t="s">
        <v>54</v>
      </c>
      <c r="D1030" s="119" t="s">
        <v>55</v>
      </c>
      <c r="E1030" s="119" t="s">
        <v>368</v>
      </c>
      <c r="F1030" s="119" t="s">
        <v>792</v>
      </c>
      <c r="G1030" s="119" t="s">
        <v>792</v>
      </c>
      <c r="H1030" s="119" t="s">
        <v>792</v>
      </c>
      <c r="I1030" s="119" t="s">
        <v>170</v>
      </c>
      <c r="J1030" s="119" t="s">
        <v>171</v>
      </c>
      <c r="K1030" s="119" t="s">
        <v>172</v>
      </c>
      <c r="L1030" s="119" t="s">
        <v>792</v>
      </c>
      <c r="M1030" s="119" t="s">
        <v>46</v>
      </c>
      <c r="N1030" s="136">
        <v>0.02</v>
      </c>
      <c r="O1030" s="135" t="s">
        <v>51</v>
      </c>
      <c r="P1030" s="135"/>
      <c r="Q1030" s="137">
        <v>0</v>
      </c>
      <c r="R1030" s="137">
        <v>0</v>
      </c>
      <c r="S1030" s="137">
        <v>30000</v>
      </c>
      <c r="T1030" s="137">
        <f t="shared" si="233"/>
        <v>600</v>
      </c>
      <c r="U1030" s="137">
        <f t="shared" si="237"/>
        <v>30600</v>
      </c>
      <c r="V1030" s="137">
        <v>30000</v>
      </c>
      <c r="W1030" s="137">
        <f t="shared" si="238"/>
        <v>600</v>
      </c>
      <c r="X1030" s="137">
        <f t="shared" si="234"/>
        <v>588.23529411764707</v>
      </c>
      <c r="Y1030" s="137">
        <f t="shared" si="239"/>
        <v>11.764705882352928</v>
      </c>
      <c r="Z1030" s="137">
        <v>833.5</v>
      </c>
      <c r="AA1030" s="137">
        <f t="shared" si="235"/>
        <v>29166.5</v>
      </c>
      <c r="AB1030" s="146">
        <f t="shared" si="231"/>
        <v>817.15686274509801</v>
      </c>
      <c r="AC1030" s="147">
        <f t="shared" si="236"/>
        <v>16.34313725490199</v>
      </c>
      <c r="AD1030" s="137">
        <f t="shared" ref="AD1030:AD1038" si="241">(Z1030-Q1030)*0.89807640489087</f>
        <v>748.54668347654012</v>
      </c>
      <c r="AE1030" s="138">
        <v>0.11269173273981201</v>
      </c>
      <c r="AF1030" s="137">
        <f t="shared" si="228"/>
        <v>84.355022797610914</v>
      </c>
      <c r="AG1030" s="137">
        <v>58.229868912238899</v>
      </c>
      <c r="AH1030" s="154"/>
      <c r="AI1030" s="154"/>
      <c r="AJ1030" s="135" t="s">
        <v>173</v>
      </c>
      <c r="AK1030" s="119" t="s">
        <v>173</v>
      </c>
    </row>
    <row r="1031" spans="1:39" s="119" customFormat="1" ht="15" customHeight="1" x14ac:dyDescent="0.3">
      <c r="A1031" s="119">
        <v>2017</v>
      </c>
      <c r="B1031" s="119" t="s">
        <v>38</v>
      </c>
      <c r="C1031" s="119" t="s">
        <v>54</v>
      </c>
      <c r="D1031" s="119" t="s">
        <v>55</v>
      </c>
      <c r="E1031" s="119" t="s">
        <v>368</v>
      </c>
      <c r="F1031" s="119" t="s">
        <v>1000</v>
      </c>
      <c r="G1031" s="119" t="s">
        <v>1000</v>
      </c>
      <c r="H1031" s="119" t="s">
        <v>1000</v>
      </c>
      <c r="I1031" s="119" t="s">
        <v>170</v>
      </c>
      <c r="J1031" s="119" t="s">
        <v>171</v>
      </c>
      <c r="K1031" s="119" t="s">
        <v>172</v>
      </c>
      <c r="L1031" s="119" t="s">
        <v>1000</v>
      </c>
      <c r="M1031" s="119" t="s">
        <v>46</v>
      </c>
      <c r="N1031" s="136">
        <v>0.02</v>
      </c>
      <c r="O1031" s="135" t="s">
        <v>51</v>
      </c>
      <c r="P1031" s="135"/>
      <c r="Q1031" s="137">
        <v>0</v>
      </c>
      <c r="R1031" s="137">
        <v>0</v>
      </c>
      <c r="S1031" s="137">
        <v>40000</v>
      </c>
      <c r="T1031" s="137">
        <f t="shared" si="233"/>
        <v>800</v>
      </c>
      <c r="U1031" s="137">
        <f t="shared" si="237"/>
        <v>40800</v>
      </c>
      <c r="V1031" s="137">
        <v>20000</v>
      </c>
      <c r="W1031" s="137">
        <f t="shared" si="238"/>
        <v>20800</v>
      </c>
      <c r="X1031" s="137">
        <f t="shared" si="234"/>
        <v>20392.156862745098</v>
      </c>
      <c r="Y1031" s="137">
        <f t="shared" si="239"/>
        <v>407.8431372549021</v>
      </c>
      <c r="Z1031" s="137">
        <v>17729.400000000001</v>
      </c>
      <c r="AA1031" s="137">
        <f t="shared" si="235"/>
        <v>2270.5999999999985</v>
      </c>
      <c r="AB1031" s="146">
        <f t="shared" si="231"/>
        <v>17381.764705882353</v>
      </c>
      <c r="AC1031" s="147">
        <f t="shared" si="236"/>
        <v>347.6352941176483</v>
      </c>
      <c r="AD1031" s="137">
        <f t="shared" si="241"/>
        <v>15922.355812872192</v>
      </c>
      <c r="AE1031" s="138">
        <v>0.11269173273981201</v>
      </c>
      <c r="AF1031" s="137">
        <f t="shared" si="228"/>
        <v>1794.3178658523852</v>
      </c>
      <c r="AG1031" s="137">
        <v>1238.6090436624499</v>
      </c>
      <c r="AH1031" s="154"/>
      <c r="AI1031" s="154"/>
      <c r="AJ1031" s="135" t="s">
        <v>173</v>
      </c>
      <c r="AK1031" s="119" t="s">
        <v>173</v>
      </c>
    </row>
    <row r="1032" spans="1:39" s="119" customFormat="1" ht="15" customHeight="1" x14ac:dyDescent="0.3">
      <c r="A1032" s="119">
        <v>2017</v>
      </c>
      <c r="B1032" s="119" t="s">
        <v>38</v>
      </c>
      <c r="C1032" s="119" t="s">
        <v>54</v>
      </c>
      <c r="D1032" s="119" t="s">
        <v>55</v>
      </c>
      <c r="E1032" s="119" t="s">
        <v>64</v>
      </c>
      <c r="F1032" s="119" t="s">
        <v>65</v>
      </c>
      <c r="G1032" s="119" t="s">
        <v>66</v>
      </c>
      <c r="H1032" s="119" t="s">
        <v>66</v>
      </c>
      <c r="I1032" s="119" t="s">
        <v>170</v>
      </c>
      <c r="J1032" s="119" t="s">
        <v>171</v>
      </c>
      <c r="K1032" s="119" t="s">
        <v>172</v>
      </c>
      <c r="L1032" s="119" t="s">
        <v>65</v>
      </c>
      <c r="M1032" s="119" t="s">
        <v>46</v>
      </c>
      <c r="N1032" s="136">
        <v>0.02</v>
      </c>
      <c r="O1032" s="135" t="s">
        <v>51</v>
      </c>
      <c r="P1032" s="135"/>
      <c r="Q1032" s="137">
        <v>0</v>
      </c>
      <c r="R1032" s="137">
        <v>0</v>
      </c>
      <c r="S1032" s="137">
        <v>335000</v>
      </c>
      <c r="T1032" s="137">
        <f t="shared" si="233"/>
        <v>6700</v>
      </c>
      <c r="U1032" s="137">
        <f t="shared" si="237"/>
        <v>341700</v>
      </c>
      <c r="V1032" s="137">
        <v>335000</v>
      </c>
      <c r="W1032" s="137">
        <f t="shared" si="238"/>
        <v>6700</v>
      </c>
      <c r="X1032" s="137">
        <f t="shared" si="234"/>
        <v>6568.6274509803925</v>
      </c>
      <c r="Y1032" s="137">
        <f t="shared" si="239"/>
        <v>131.3725490196075</v>
      </c>
      <c r="Z1032" s="137">
        <v>33461.099999999977</v>
      </c>
      <c r="AA1032" s="137">
        <f t="shared" si="235"/>
        <v>301538.90000000002</v>
      </c>
      <c r="AB1032" s="146">
        <f t="shared" si="231"/>
        <v>32804.999999999978</v>
      </c>
      <c r="AC1032" s="147">
        <f t="shared" si="236"/>
        <v>656.09999999999854</v>
      </c>
      <c r="AD1032" s="137">
        <f t="shared" si="241"/>
        <v>30050.624391693869</v>
      </c>
      <c r="AE1032" s="138">
        <v>0.11269173273981201</v>
      </c>
      <c r="AF1032" s="137">
        <f t="shared" si="228"/>
        <v>3386.4569326132414</v>
      </c>
      <c r="AG1032" s="137">
        <v>20152.431960744201</v>
      </c>
      <c r="AH1032" s="154"/>
      <c r="AI1032" s="154"/>
      <c r="AJ1032" s="135" t="s">
        <v>173</v>
      </c>
      <c r="AK1032" s="119" t="s">
        <v>173</v>
      </c>
    </row>
    <row r="1033" spans="1:39" s="119" customFormat="1" ht="15" customHeight="1" x14ac:dyDescent="0.3">
      <c r="A1033" s="119">
        <v>2017</v>
      </c>
      <c r="B1033" s="119" t="s">
        <v>333</v>
      </c>
      <c r="C1033" s="119" t="s">
        <v>54</v>
      </c>
      <c r="D1033" s="119" t="s">
        <v>55</v>
      </c>
      <c r="E1033" s="119" t="s">
        <v>64</v>
      </c>
      <c r="F1033" s="119" t="s">
        <v>376</v>
      </c>
      <c r="G1033" s="119" t="s">
        <v>794</v>
      </c>
      <c r="H1033" s="119" t="s">
        <v>794</v>
      </c>
      <c r="I1033" s="119" t="s">
        <v>170</v>
      </c>
      <c r="J1033" s="119" t="s">
        <v>171</v>
      </c>
      <c r="K1033" s="119" t="s">
        <v>172</v>
      </c>
      <c r="L1033" s="119" t="s">
        <v>1001</v>
      </c>
      <c r="M1033" s="119" t="s">
        <v>46</v>
      </c>
      <c r="N1033" s="136">
        <v>0.02</v>
      </c>
      <c r="O1033" s="135" t="s">
        <v>51</v>
      </c>
      <c r="P1033" s="135"/>
      <c r="Q1033" s="137">
        <v>0</v>
      </c>
      <c r="R1033" s="137">
        <v>0</v>
      </c>
      <c r="S1033" s="137">
        <v>145000</v>
      </c>
      <c r="T1033" s="137">
        <f t="shared" si="233"/>
        <v>2900</v>
      </c>
      <c r="U1033" s="137">
        <f t="shared" si="237"/>
        <v>147900</v>
      </c>
      <c r="V1033" s="137">
        <v>147600</v>
      </c>
      <c r="W1033" s="137">
        <f t="shared" si="238"/>
        <v>300</v>
      </c>
      <c r="X1033" s="137">
        <f t="shared" si="234"/>
        <v>294.11764705882354</v>
      </c>
      <c r="Y1033" s="137">
        <f t="shared" si="239"/>
        <v>5.8823529411764639</v>
      </c>
      <c r="Z1033" s="137">
        <v>138153.60000000001</v>
      </c>
      <c r="AA1033" s="137">
        <f t="shared" si="235"/>
        <v>9446.3999999999942</v>
      </c>
      <c r="AB1033" s="146">
        <f t="shared" si="231"/>
        <v>135444.70588235295</v>
      </c>
      <c r="AC1033" s="147">
        <f t="shared" si="236"/>
        <v>2708.8941176470544</v>
      </c>
      <c r="AD1033" s="137">
        <f t="shared" si="241"/>
        <v>124072.48841073131</v>
      </c>
      <c r="AE1033" s="138">
        <v>0.11269173273981201</v>
      </c>
      <c r="AF1033" s="137">
        <f t="shared" si="228"/>
        <v>13981.943704345555</v>
      </c>
      <c r="AG1033" s="137">
        <v>9651.6688875271702</v>
      </c>
      <c r="AH1033" s="154"/>
      <c r="AI1033" s="154"/>
      <c r="AJ1033" s="135" t="s">
        <v>173</v>
      </c>
      <c r="AK1033" s="119" t="s">
        <v>173</v>
      </c>
    </row>
    <row r="1034" spans="1:39" s="119" customFormat="1" ht="15" customHeight="1" x14ac:dyDescent="0.3">
      <c r="A1034" s="119">
        <v>2017</v>
      </c>
      <c r="B1034" s="119" t="s">
        <v>38</v>
      </c>
      <c r="C1034" s="119" t="s">
        <v>54</v>
      </c>
      <c r="D1034" s="119" t="s">
        <v>55</v>
      </c>
      <c r="E1034" s="119" t="s">
        <v>64</v>
      </c>
      <c r="F1034" s="119" t="s">
        <v>795</v>
      </c>
      <c r="G1034" s="119" t="s">
        <v>795</v>
      </c>
      <c r="H1034" s="119" t="s">
        <v>795</v>
      </c>
      <c r="I1034" s="119" t="s">
        <v>170</v>
      </c>
      <c r="J1034" s="119" t="s">
        <v>171</v>
      </c>
      <c r="K1034" s="119" t="s">
        <v>172</v>
      </c>
      <c r="L1034" s="119" t="s">
        <v>795</v>
      </c>
      <c r="M1034" s="119" t="s">
        <v>46</v>
      </c>
      <c r="N1034" s="136">
        <v>0.02</v>
      </c>
      <c r="O1034" s="135" t="s">
        <v>51</v>
      </c>
      <c r="P1034" s="135"/>
      <c r="Q1034" s="137">
        <v>0</v>
      </c>
      <c r="R1034" s="137">
        <v>0</v>
      </c>
      <c r="S1034" s="137">
        <v>50000</v>
      </c>
      <c r="T1034" s="137">
        <f t="shared" si="233"/>
        <v>1000</v>
      </c>
      <c r="U1034" s="137">
        <f t="shared" si="237"/>
        <v>51000</v>
      </c>
      <c r="V1034" s="137">
        <v>50341.48</v>
      </c>
      <c r="W1034" s="137">
        <f t="shared" si="238"/>
        <v>658.5199999999968</v>
      </c>
      <c r="X1034" s="137">
        <f t="shared" si="234"/>
        <v>645.60784313725173</v>
      </c>
      <c r="Y1034" s="137">
        <f t="shared" si="239"/>
        <v>12.912156862745064</v>
      </c>
      <c r="Z1034" s="137">
        <v>43350.7</v>
      </c>
      <c r="AA1034" s="137">
        <f t="shared" si="235"/>
        <v>6990.7800000000061</v>
      </c>
      <c r="AB1034" s="146">
        <f>Z1034/1.09/(1+N1034)</f>
        <v>38991.455297715409</v>
      </c>
      <c r="AC1034" s="147">
        <f t="shared" si="236"/>
        <v>4359.2447022845881</v>
      </c>
      <c r="AD1034" s="137">
        <f t="shared" si="241"/>
        <v>38932.240805502639</v>
      </c>
      <c r="AE1034" s="138">
        <v>0.11269173273981201</v>
      </c>
      <c r="AF1034" s="137">
        <f t="shared" si="228"/>
        <v>4387.3416758157064</v>
      </c>
      <c r="AG1034" s="137">
        <v>3028.56098170821</v>
      </c>
      <c r="AH1034" s="154"/>
      <c r="AI1034" s="154"/>
      <c r="AJ1034" s="135" t="s">
        <v>173</v>
      </c>
      <c r="AK1034" s="119" t="s">
        <v>173</v>
      </c>
    </row>
    <row r="1035" spans="1:39" s="119" customFormat="1" ht="15" customHeight="1" x14ac:dyDescent="0.3">
      <c r="A1035" s="119">
        <v>2017</v>
      </c>
      <c r="B1035" s="119" t="s">
        <v>38</v>
      </c>
      <c r="C1035" s="119" t="s">
        <v>54</v>
      </c>
      <c r="D1035" s="119" t="s">
        <v>102</v>
      </c>
      <c r="E1035" s="119" t="s">
        <v>115</v>
      </c>
      <c r="F1035" s="119" t="s">
        <v>1002</v>
      </c>
      <c r="G1035" s="119" t="s">
        <v>1002</v>
      </c>
      <c r="H1035" s="119" t="s">
        <v>1002</v>
      </c>
      <c r="I1035" s="119" t="s">
        <v>170</v>
      </c>
      <c r="J1035" s="119" t="s">
        <v>171</v>
      </c>
      <c r="K1035" s="119" t="s">
        <v>172</v>
      </c>
      <c r="L1035" s="119" t="s">
        <v>1002</v>
      </c>
      <c r="M1035" s="119" t="s">
        <v>46</v>
      </c>
      <c r="N1035" s="136">
        <v>0.02</v>
      </c>
      <c r="O1035" s="135" t="s">
        <v>51</v>
      </c>
      <c r="P1035" s="135"/>
      <c r="Q1035" s="137">
        <v>0</v>
      </c>
      <c r="R1035" s="137">
        <v>0</v>
      </c>
      <c r="S1035" s="137">
        <v>10000</v>
      </c>
      <c r="T1035" s="137">
        <f t="shared" si="233"/>
        <v>200</v>
      </c>
      <c r="U1035" s="137">
        <f t="shared" si="237"/>
        <v>10200</v>
      </c>
      <c r="V1035" s="137">
        <v>10200</v>
      </c>
      <c r="W1035" s="137">
        <f t="shared" si="238"/>
        <v>0</v>
      </c>
      <c r="X1035" s="137">
        <f t="shared" si="234"/>
        <v>0</v>
      </c>
      <c r="Y1035" s="137">
        <f t="shared" si="239"/>
        <v>0</v>
      </c>
      <c r="Z1035" s="137">
        <v>9995.6</v>
      </c>
      <c r="AA1035" s="137">
        <f t="shared" si="235"/>
        <v>204.39999999999964</v>
      </c>
      <c r="AB1035" s="146">
        <f t="shared" si="231"/>
        <v>9799.6078431372553</v>
      </c>
      <c r="AC1035" s="147">
        <f t="shared" si="236"/>
        <v>195.99215686274511</v>
      </c>
      <c r="AD1035" s="137">
        <f t="shared" si="241"/>
        <v>8976.8125127271815</v>
      </c>
      <c r="AE1035" s="138">
        <v>0.11269173273981201</v>
      </c>
      <c r="AF1035" s="137">
        <f t="shared" si="228"/>
        <v>1011.6125565396518</v>
      </c>
      <c r="AG1035" s="137">
        <v>698.31131097681498</v>
      </c>
      <c r="AH1035" s="154"/>
      <c r="AI1035" s="154"/>
      <c r="AJ1035" s="135" t="s">
        <v>173</v>
      </c>
      <c r="AK1035" s="119" t="s">
        <v>173</v>
      </c>
    </row>
    <row r="1036" spans="1:39" s="119" customFormat="1" ht="15" customHeight="1" x14ac:dyDescent="0.3">
      <c r="A1036" s="119">
        <v>2017</v>
      </c>
      <c r="B1036" s="119" t="s">
        <v>38</v>
      </c>
      <c r="C1036" s="119" t="s">
        <v>54</v>
      </c>
      <c r="D1036" s="119" t="s">
        <v>102</v>
      </c>
      <c r="E1036" s="119" t="s">
        <v>115</v>
      </c>
      <c r="F1036" s="119" t="s">
        <v>380</v>
      </c>
      <c r="G1036" s="119" t="s">
        <v>380</v>
      </c>
      <c r="H1036" s="119" t="s">
        <v>380</v>
      </c>
      <c r="I1036" s="119" t="s">
        <v>170</v>
      </c>
      <c r="J1036" s="119" t="s">
        <v>171</v>
      </c>
      <c r="K1036" s="119" t="s">
        <v>172</v>
      </c>
      <c r="L1036" s="119" t="s">
        <v>380</v>
      </c>
      <c r="M1036" s="119" t="s">
        <v>46</v>
      </c>
      <c r="N1036" s="136">
        <v>0.02</v>
      </c>
      <c r="O1036" s="135" t="s">
        <v>51</v>
      </c>
      <c r="P1036" s="135"/>
      <c r="Q1036" s="137">
        <v>0</v>
      </c>
      <c r="R1036" s="137">
        <v>0</v>
      </c>
      <c r="S1036" s="137">
        <v>20000</v>
      </c>
      <c r="T1036" s="137">
        <f t="shared" si="233"/>
        <v>400</v>
      </c>
      <c r="U1036" s="137">
        <f t="shared" si="237"/>
        <v>20400</v>
      </c>
      <c r="V1036" s="137">
        <v>22892.89</v>
      </c>
      <c r="W1036" s="137">
        <f t="shared" si="238"/>
        <v>-2492.8899999999994</v>
      </c>
      <c r="X1036" s="137">
        <f t="shared" si="234"/>
        <v>-2444.0098039215682</v>
      </c>
      <c r="Y1036" s="137">
        <f t="shared" si="239"/>
        <v>-48.880196078431254</v>
      </c>
      <c r="Z1036" s="137">
        <v>21495.3</v>
      </c>
      <c r="AA1036" s="137">
        <f t="shared" si="235"/>
        <v>1397.5900000000001</v>
      </c>
      <c r="AB1036" s="146">
        <f t="shared" si="231"/>
        <v>21073.823529411762</v>
      </c>
      <c r="AC1036" s="147">
        <f t="shared" si="236"/>
        <v>421.47647058823713</v>
      </c>
      <c r="AD1036" s="137">
        <f t="shared" si="241"/>
        <v>19304.421746050717</v>
      </c>
      <c r="AE1036" s="138">
        <v>0.11269173273981201</v>
      </c>
      <c r="AF1036" s="137">
        <f t="shared" si="228"/>
        <v>2175.4487361025626</v>
      </c>
      <c r="AG1036" s="137">
        <v>0</v>
      </c>
      <c r="AH1036" s="154"/>
      <c r="AI1036" s="154"/>
      <c r="AJ1036" s="135" t="s">
        <v>173</v>
      </c>
      <c r="AK1036" s="119" t="s">
        <v>173</v>
      </c>
    </row>
    <row r="1037" spans="1:39" s="119" customFormat="1" ht="15" customHeight="1" x14ac:dyDescent="0.3">
      <c r="A1037" s="119">
        <v>2017</v>
      </c>
      <c r="B1037" s="119" t="s">
        <v>38</v>
      </c>
      <c r="C1037" s="119" t="s">
        <v>54</v>
      </c>
      <c r="D1037" s="119" t="s">
        <v>102</v>
      </c>
      <c r="E1037" s="119" t="s">
        <v>115</v>
      </c>
      <c r="F1037" s="119" t="s">
        <v>1003</v>
      </c>
      <c r="G1037" s="119" t="s">
        <v>1003</v>
      </c>
      <c r="H1037" s="119" t="s">
        <v>1003</v>
      </c>
      <c r="I1037" s="119" t="s">
        <v>170</v>
      </c>
      <c r="J1037" s="119" t="s">
        <v>171</v>
      </c>
      <c r="K1037" s="119" t="s">
        <v>172</v>
      </c>
      <c r="L1037" s="119" t="s">
        <v>1004</v>
      </c>
      <c r="M1037" s="119" t="s">
        <v>46</v>
      </c>
      <c r="N1037" s="135">
        <v>0.06</v>
      </c>
      <c r="O1037" s="135" t="s">
        <v>51</v>
      </c>
      <c r="P1037" s="135"/>
      <c r="Q1037" s="137">
        <v>0</v>
      </c>
      <c r="R1037" s="137">
        <v>0</v>
      </c>
      <c r="S1037" s="137">
        <v>10000</v>
      </c>
      <c r="T1037" s="137">
        <f t="shared" si="233"/>
        <v>600</v>
      </c>
      <c r="U1037" s="137">
        <f t="shared" si="237"/>
        <v>10600</v>
      </c>
      <c r="V1037" s="137">
        <v>10000</v>
      </c>
      <c r="W1037" s="137">
        <f t="shared" si="238"/>
        <v>600</v>
      </c>
      <c r="X1037" s="137">
        <f t="shared" si="234"/>
        <v>566.03773584905662</v>
      </c>
      <c r="Y1037" s="137">
        <f t="shared" si="239"/>
        <v>33.962264150943383</v>
      </c>
      <c r="Z1037" s="137">
        <v>4651.8999999999996</v>
      </c>
      <c r="AA1037" s="137">
        <f t="shared" si="235"/>
        <v>5348.1</v>
      </c>
      <c r="AB1037" s="146">
        <f t="shared" si="231"/>
        <v>4388.5849056603765</v>
      </c>
      <c r="AC1037" s="147">
        <f t="shared" si="236"/>
        <v>263.3150943396231</v>
      </c>
      <c r="AD1037" s="137">
        <f t="shared" si="241"/>
        <v>4177.7616279118383</v>
      </c>
      <c r="AE1037" s="138">
        <v>0.11269173273981201</v>
      </c>
      <c r="AF1037" s="137">
        <f t="shared" si="228"/>
        <v>470.79919682328284</v>
      </c>
      <c r="AG1037" s="137">
        <v>152.88906569507699</v>
      </c>
      <c r="AH1037" s="154"/>
      <c r="AI1037" s="154"/>
      <c r="AJ1037" s="135" t="s">
        <v>193</v>
      </c>
      <c r="AK1037" s="119" t="s">
        <v>193</v>
      </c>
    </row>
    <row r="1038" spans="1:39" s="119" customFormat="1" ht="15" customHeight="1" x14ac:dyDescent="0.3">
      <c r="A1038" s="119">
        <v>2017</v>
      </c>
      <c r="B1038" s="119" t="s">
        <v>38</v>
      </c>
      <c r="C1038" s="119" t="s">
        <v>54</v>
      </c>
      <c r="D1038" s="119" t="s">
        <v>102</v>
      </c>
      <c r="E1038" s="119" t="s">
        <v>115</v>
      </c>
      <c r="F1038" s="119" t="s">
        <v>501</v>
      </c>
      <c r="G1038" s="119" t="s">
        <v>501</v>
      </c>
      <c r="H1038" s="119" t="s">
        <v>501</v>
      </c>
      <c r="I1038" s="119" t="s">
        <v>170</v>
      </c>
      <c r="J1038" s="119" t="s">
        <v>171</v>
      </c>
      <c r="K1038" s="119" t="s">
        <v>172</v>
      </c>
      <c r="L1038" s="119" t="s">
        <v>501</v>
      </c>
      <c r="M1038" s="119" t="s">
        <v>46</v>
      </c>
      <c r="N1038" s="136">
        <v>0.04</v>
      </c>
      <c r="O1038" s="135" t="s">
        <v>495</v>
      </c>
      <c r="P1038" s="135"/>
      <c r="Q1038" s="137">
        <v>0</v>
      </c>
      <c r="R1038" s="137">
        <v>0</v>
      </c>
      <c r="S1038" s="137">
        <v>1180800</v>
      </c>
      <c r="T1038" s="137">
        <f t="shared" si="233"/>
        <v>47232</v>
      </c>
      <c r="U1038" s="137">
        <f t="shared" si="237"/>
        <v>1228032</v>
      </c>
      <c r="V1038" s="137">
        <v>1230000</v>
      </c>
      <c r="W1038" s="137">
        <f t="shared" si="238"/>
        <v>-1968</v>
      </c>
      <c r="X1038" s="137">
        <f t="shared" si="234"/>
        <v>-1892.3076923076922</v>
      </c>
      <c r="Y1038" s="137">
        <f t="shared" si="239"/>
        <v>-75.69230769230785</v>
      </c>
      <c r="Z1038" s="137">
        <v>1158229.3</v>
      </c>
      <c r="AA1038" s="137">
        <f t="shared" si="235"/>
        <v>71770.699999999953</v>
      </c>
      <c r="AB1038" s="146">
        <f t="shared" si="231"/>
        <v>1158229.3</v>
      </c>
      <c r="AC1038" s="147">
        <f t="shared" si="236"/>
        <v>46329.172000000006</v>
      </c>
      <c r="AD1038" s="137">
        <f t="shared" si="241"/>
        <v>1040178.405783269</v>
      </c>
      <c r="AE1038" s="138">
        <v>0.11269173273981201</v>
      </c>
      <c r="AF1038" s="137">
        <f t="shared" si="228"/>
        <v>117219.50690625187</v>
      </c>
      <c r="AG1038" s="137">
        <v>85806.437997711095</v>
      </c>
      <c r="AH1038" s="154"/>
      <c r="AI1038" s="154"/>
      <c r="AJ1038" s="135" t="s">
        <v>186</v>
      </c>
      <c r="AK1038" s="119" t="s">
        <v>186</v>
      </c>
      <c r="AM1038" s="119" t="s">
        <v>174</v>
      </c>
    </row>
    <row r="1039" spans="1:39" s="119" customFormat="1" ht="15" customHeight="1" x14ac:dyDescent="0.3">
      <c r="A1039" s="119">
        <v>2017</v>
      </c>
      <c r="B1039" s="119" t="s">
        <v>38</v>
      </c>
      <c r="C1039" s="119" t="s">
        <v>54</v>
      </c>
      <c r="D1039" s="119" t="s">
        <v>55</v>
      </c>
      <c r="E1039" s="119" t="s">
        <v>368</v>
      </c>
      <c r="F1039" s="119" t="s">
        <v>526</v>
      </c>
      <c r="G1039" s="119" t="s">
        <v>526</v>
      </c>
      <c r="H1039" s="119" t="s">
        <v>526</v>
      </c>
      <c r="I1039" s="131" t="s">
        <v>243</v>
      </c>
      <c r="J1039" s="119" t="s">
        <v>244</v>
      </c>
      <c r="K1039" s="119" t="s">
        <v>245</v>
      </c>
      <c r="L1039" s="119" t="s">
        <v>526</v>
      </c>
      <c r="M1039" s="119" t="s">
        <v>46</v>
      </c>
      <c r="N1039" s="135">
        <v>0</v>
      </c>
      <c r="O1039" s="135" t="s">
        <v>47</v>
      </c>
      <c r="P1039" s="135"/>
      <c r="Q1039" s="137">
        <v>0</v>
      </c>
      <c r="R1039" s="137">
        <v>0</v>
      </c>
      <c r="S1039" s="137">
        <v>300000</v>
      </c>
      <c r="T1039" s="137">
        <f t="shared" si="233"/>
        <v>0</v>
      </c>
      <c r="U1039" s="137">
        <f t="shared" si="237"/>
        <v>300000</v>
      </c>
      <c r="V1039" s="137">
        <v>270000</v>
      </c>
      <c r="W1039" s="137">
        <f t="shared" si="238"/>
        <v>30000</v>
      </c>
      <c r="X1039" s="137">
        <f t="shared" si="234"/>
        <v>30000</v>
      </c>
      <c r="Y1039" s="137">
        <f t="shared" si="239"/>
        <v>0</v>
      </c>
      <c r="Z1039" s="137">
        <v>279569.34999999998</v>
      </c>
      <c r="AA1039" s="137">
        <f t="shared" si="235"/>
        <v>-9569.3499999999767</v>
      </c>
      <c r="AB1039" s="146">
        <f t="shared" si="231"/>
        <v>279569.34999999998</v>
      </c>
      <c r="AC1039" s="147">
        <f t="shared" si="236"/>
        <v>0</v>
      </c>
      <c r="AD1039" s="137">
        <v>234353.914409524</v>
      </c>
      <c r="AE1039" s="138">
        <v>0.17647058823529399</v>
      </c>
      <c r="AF1039" s="137">
        <f t="shared" si="228"/>
        <v>41356.573131092438</v>
      </c>
      <c r="AG1039" s="137">
        <f>AB1039-Z1039+AF1039</f>
        <v>41356.573131092438</v>
      </c>
      <c r="AH1039" s="154"/>
      <c r="AI1039" s="154"/>
      <c r="AJ1039" s="135" t="s">
        <v>47</v>
      </c>
      <c r="AK1039" s="119" t="s">
        <v>47</v>
      </c>
      <c r="AM1039" s="131"/>
    </row>
    <row r="1040" spans="1:39" s="119" customFormat="1" ht="15" customHeight="1" x14ac:dyDescent="0.3">
      <c r="A1040" s="119">
        <v>2017</v>
      </c>
      <c r="B1040" s="119" t="s">
        <v>38</v>
      </c>
      <c r="C1040" s="119" t="s">
        <v>54</v>
      </c>
      <c r="D1040" s="119" t="s">
        <v>102</v>
      </c>
      <c r="E1040" s="119" t="s">
        <v>115</v>
      </c>
      <c r="F1040" s="119" t="s">
        <v>571</v>
      </c>
      <c r="G1040" s="119" t="s">
        <v>571</v>
      </c>
      <c r="H1040" s="119" t="s">
        <v>571</v>
      </c>
      <c r="I1040" s="119" t="s">
        <v>170</v>
      </c>
      <c r="J1040" s="119" t="s">
        <v>171</v>
      </c>
      <c r="K1040" s="119" t="s">
        <v>172</v>
      </c>
      <c r="L1040" s="119" t="s">
        <v>571</v>
      </c>
      <c r="M1040" s="119" t="s">
        <v>185</v>
      </c>
      <c r="N1040" s="136">
        <v>0.04</v>
      </c>
      <c r="O1040" s="135" t="s">
        <v>51</v>
      </c>
      <c r="P1040" s="135"/>
      <c r="Q1040" s="137">
        <v>0</v>
      </c>
      <c r="R1040" s="137">
        <v>0</v>
      </c>
      <c r="S1040" s="137">
        <v>10000</v>
      </c>
      <c r="T1040" s="137">
        <f t="shared" si="233"/>
        <v>400</v>
      </c>
      <c r="U1040" s="137">
        <f t="shared" si="237"/>
        <v>10400</v>
      </c>
      <c r="V1040" s="137">
        <v>1995.4</v>
      </c>
      <c r="W1040" s="137">
        <f t="shared" si="238"/>
        <v>8404.6</v>
      </c>
      <c r="X1040" s="137">
        <f t="shared" si="234"/>
        <v>8081.3461538461543</v>
      </c>
      <c r="Y1040" s="137">
        <f t="shared" si="239"/>
        <v>323.2538461538461</v>
      </c>
      <c r="Z1040" s="137">
        <v>1995.4</v>
      </c>
      <c r="AA1040" s="137">
        <f t="shared" si="235"/>
        <v>0</v>
      </c>
      <c r="AB1040" s="146">
        <f t="shared" si="231"/>
        <v>1918.6538461538462</v>
      </c>
      <c r="AC1040" s="147">
        <f t="shared" si="236"/>
        <v>76.746153846153902</v>
      </c>
      <c r="AD1040" s="137">
        <f>(Z1040-Q1040)*0.91072157793815</f>
        <v>1817.2538366177846</v>
      </c>
      <c r="AE1040" s="138">
        <v>0.11269173273981201</v>
      </c>
      <c r="AF1040" s="137">
        <f t="shared" si="228"/>
        <v>204.78948367652939</v>
      </c>
      <c r="AG1040" s="137">
        <v>101.78171238769499</v>
      </c>
      <c r="AH1040" s="154"/>
      <c r="AI1040" s="154"/>
      <c r="AJ1040" s="135" t="s">
        <v>186</v>
      </c>
      <c r="AK1040" s="119" t="s">
        <v>186</v>
      </c>
    </row>
    <row r="1041" spans="1:39" s="119" customFormat="1" ht="15" customHeight="1" x14ac:dyDescent="0.3">
      <c r="A1041" s="119">
        <v>2017</v>
      </c>
      <c r="B1041" s="119" t="s">
        <v>38</v>
      </c>
      <c r="C1041" s="119" t="s">
        <v>54</v>
      </c>
      <c r="D1041" s="119" t="s">
        <v>102</v>
      </c>
      <c r="E1041" s="119" t="s">
        <v>115</v>
      </c>
      <c r="F1041" s="119" t="s">
        <v>116</v>
      </c>
      <c r="G1041" s="119" t="s">
        <v>116</v>
      </c>
      <c r="H1041" s="119" t="s">
        <v>116</v>
      </c>
      <c r="I1041" s="119" t="s">
        <v>170</v>
      </c>
      <c r="J1041" s="119" t="s">
        <v>171</v>
      </c>
      <c r="K1041" s="119" t="s">
        <v>172</v>
      </c>
      <c r="L1041" s="119" t="s">
        <v>116</v>
      </c>
      <c r="M1041" s="119" t="s">
        <v>46</v>
      </c>
      <c r="N1041" s="135">
        <v>0.06</v>
      </c>
      <c r="O1041" s="135" t="s">
        <v>51</v>
      </c>
      <c r="P1041" s="135"/>
      <c r="Q1041" s="137">
        <v>0</v>
      </c>
      <c r="R1041" s="137">
        <v>0</v>
      </c>
      <c r="S1041" s="137">
        <v>490103.91</v>
      </c>
      <c r="T1041" s="137">
        <f t="shared" si="233"/>
        <v>29406.234599999996</v>
      </c>
      <c r="U1041" s="137">
        <f t="shared" si="237"/>
        <v>519510.1446</v>
      </c>
      <c r="V1041" s="137">
        <v>510000</v>
      </c>
      <c r="W1041" s="137">
        <f t="shared" si="238"/>
        <v>9510.1445999999996</v>
      </c>
      <c r="X1041" s="137">
        <f t="shared" si="234"/>
        <v>8971.8345283018862</v>
      </c>
      <c r="Y1041" s="137">
        <f t="shared" si="239"/>
        <v>538.31007169811346</v>
      </c>
      <c r="Z1041" s="137">
        <v>419201.6</v>
      </c>
      <c r="AA1041" s="137">
        <f t="shared" si="235"/>
        <v>90798.400000000023</v>
      </c>
      <c r="AB1041" s="146">
        <f t="shared" si="231"/>
        <v>395473.20754716976</v>
      </c>
      <c r="AC1041" s="147">
        <f t="shared" si="236"/>
        <v>23728.392452830216</v>
      </c>
      <c r="AD1041" s="137">
        <f t="shared" ref="AD1041:AD1043" si="242">(Z1041-Q1041)*0.89807640489087</f>
        <v>376475.0658525005</v>
      </c>
      <c r="AE1041" s="138">
        <v>0.11269173273981201</v>
      </c>
      <c r="AF1041" s="137">
        <f t="shared" si="228"/>
        <v>42425.627504253112</v>
      </c>
      <c r="AG1041" s="137">
        <v>13777.454580253599</v>
      </c>
      <c r="AH1041" s="154"/>
      <c r="AI1041" s="154"/>
      <c r="AJ1041" s="135" t="s">
        <v>193</v>
      </c>
      <c r="AK1041" s="119" t="s">
        <v>193</v>
      </c>
    </row>
    <row r="1042" spans="1:39" s="119" customFormat="1" ht="15" customHeight="1" x14ac:dyDescent="0.3">
      <c r="A1042" s="119">
        <v>2017</v>
      </c>
      <c r="B1042" s="119" t="s">
        <v>38</v>
      </c>
      <c r="C1042" s="119" t="s">
        <v>54</v>
      </c>
      <c r="D1042" s="119" t="s">
        <v>102</v>
      </c>
      <c r="E1042" s="119" t="s">
        <v>115</v>
      </c>
      <c r="F1042" s="119" t="s">
        <v>382</v>
      </c>
      <c r="G1042" s="119" t="s">
        <v>382</v>
      </c>
      <c r="H1042" s="119" t="s">
        <v>382</v>
      </c>
      <c r="I1042" s="119" t="s">
        <v>170</v>
      </c>
      <c r="J1042" s="119" t="s">
        <v>171</v>
      </c>
      <c r="K1042" s="119" t="s">
        <v>172</v>
      </c>
      <c r="L1042" s="119" t="s">
        <v>380</v>
      </c>
      <c r="M1042" s="119" t="s">
        <v>46</v>
      </c>
      <c r="N1042" s="136">
        <v>0.02</v>
      </c>
      <c r="O1042" s="135" t="s">
        <v>51</v>
      </c>
      <c r="P1042" s="135"/>
      <c r="Q1042" s="137">
        <v>0</v>
      </c>
      <c r="R1042" s="137">
        <v>0</v>
      </c>
      <c r="S1042" s="137">
        <v>10000</v>
      </c>
      <c r="T1042" s="137">
        <f t="shared" si="233"/>
        <v>200</v>
      </c>
      <c r="U1042" s="137">
        <f t="shared" si="237"/>
        <v>10200</v>
      </c>
      <c r="V1042" s="137">
        <v>10000</v>
      </c>
      <c r="W1042" s="137">
        <f t="shared" si="238"/>
        <v>200</v>
      </c>
      <c r="X1042" s="137">
        <f t="shared" si="234"/>
        <v>196.07843137254901</v>
      </c>
      <c r="Y1042" s="137">
        <f t="shared" si="239"/>
        <v>3.9215686274509949</v>
      </c>
      <c r="Z1042" s="137"/>
      <c r="AA1042" s="137">
        <f t="shared" si="235"/>
        <v>10000</v>
      </c>
      <c r="AB1042" s="146">
        <f t="shared" si="231"/>
        <v>0</v>
      </c>
      <c r="AC1042" s="147">
        <f t="shared" si="236"/>
        <v>0</v>
      </c>
      <c r="AD1042" s="137">
        <f t="shared" si="242"/>
        <v>0</v>
      </c>
      <c r="AE1042" s="138">
        <v>0.11269173273981201</v>
      </c>
      <c r="AF1042" s="137">
        <f t="shared" si="228"/>
        <v>0</v>
      </c>
      <c r="AG1042" s="137">
        <v>1501.70186110288</v>
      </c>
      <c r="AH1042" s="154"/>
      <c r="AI1042" s="154"/>
      <c r="AJ1042" s="135" t="s">
        <v>173</v>
      </c>
      <c r="AK1042" s="119" t="s">
        <v>173</v>
      </c>
    </row>
    <row r="1043" spans="1:39" s="119" customFormat="1" ht="15" customHeight="1" x14ac:dyDescent="0.3">
      <c r="A1043" s="119">
        <v>2017</v>
      </c>
      <c r="B1043" s="119" t="s">
        <v>38</v>
      </c>
      <c r="C1043" s="119" t="s">
        <v>54</v>
      </c>
      <c r="D1043" s="119" t="s">
        <v>396</v>
      </c>
      <c r="E1043" s="119" t="s">
        <v>56</v>
      </c>
      <c r="F1043" s="119" t="s">
        <v>1005</v>
      </c>
      <c r="G1043" s="119" t="s">
        <v>1005</v>
      </c>
      <c r="H1043" s="119" t="s">
        <v>1005</v>
      </c>
      <c r="I1043" s="119" t="s">
        <v>170</v>
      </c>
      <c r="J1043" s="119" t="s">
        <v>171</v>
      </c>
      <c r="K1043" s="119" t="s">
        <v>172</v>
      </c>
      <c r="L1043" s="119" t="s">
        <v>996</v>
      </c>
      <c r="M1043" s="119" t="s">
        <v>46</v>
      </c>
      <c r="N1043" s="136">
        <v>0.02</v>
      </c>
      <c r="O1043" s="135" t="s">
        <v>51</v>
      </c>
      <c r="P1043" s="135"/>
      <c r="Q1043" s="137">
        <v>0</v>
      </c>
      <c r="R1043" s="137">
        <v>0</v>
      </c>
      <c r="S1043" s="137">
        <v>10000</v>
      </c>
      <c r="T1043" s="137">
        <f t="shared" si="233"/>
        <v>200</v>
      </c>
      <c r="U1043" s="137">
        <f t="shared" si="237"/>
        <v>10200</v>
      </c>
      <c r="V1043" s="137">
        <v>10061.6</v>
      </c>
      <c r="W1043" s="137">
        <f t="shared" si="238"/>
        <v>138.39999999999964</v>
      </c>
      <c r="X1043" s="137">
        <f t="shared" si="234"/>
        <v>135.68627450980355</v>
      </c>
      <c r="Y1043" s="137">
        <f t="shared" si="239"/>
        <v>2.713725490196083</v>
      </c>
      <c r="Z1043" s="137">
        <v>10061.6</v>
      </c>
      <c r="AA1043" s="137">
        <f t="shared" si="235"/>
        <v>0</v>
      </c>
      <c r="AB1043" s="146">
        <f>IF(O1043="返货",Z1043/(1+N1043),IF(O1043="返现",Z1043,IF(O1043="折扣",Z1043*N1043,IF(O1043="无",Z1043))))+138.4/1.02</f>
        <v>10000</v>
      </c>
      <c r="AC1043" s="147">
        <f t="shared" si="236"/>
        <v>61.600000000000364</v>
      </c>
      <c r="AD1043" s="137">
        <f t="shared" si="242"/>
        <v>9036.0855554499776</v>
      </c>
      <c r="AE1043" s="138">
        <v>0.11269173273981201</v>
      </c>
      <c r="AF1043" s="137">
        <f t="shared" si="228"/>
        <v>1018.2921384288446</v>
      </c>
      <c r="AG1043" s="137">
        <v>0</v>
      </c>
      <c r="AH1043" s="154"/>
      <c r="AI1043" s="154"/>
      <c r="AJ1043" s="135" t="s">
        <v>173</v>
      </c>
      <c r="AK1043" s="119" t="s">
        <v>173</v>
      </c>
    </row>
    <row r="1044" spans="1:39" s="119" customFormat="1" ht="15" customHeight="1" x14ac:dyDescent="0.3">
      <c r="A1044" s="119">
        <v>2017</v>
      </c>
      <c r="B1044" s="119" t="s">
        <v>38</v>
      </c>
      <c r="C1044" s="119" t="s">
        <v>39</v>
      </c>
      <c r="D1044" s="119" t="s">
        <v>81</v>
      </c>
      <c r="E1044" s="119" t="s">
        <v>82</v>
      </c>
      <c r="F1044" s="119" t="s">
        <v>83</v>
      </c>
      <c r="G1044" s="119" t="s">
        <v>83</v>
      </c>
      <c r="H1044" s="119" t="s">
        <v>83</v>
      </c>
      <c r="I1044" s="119" t="s">
        <v>170</v>
      </c>
      <c r="J1044" s="119" t="s">
        <v>171</v>
      </c>
      <c r="K1044" s="119" t="s">
        <v>172</v>
      </c>
      <c r="L1044" s="119" t="s">
        <v>83</v>
      </c>
      <c r="M1044" s="119" t="s">
        <v>185</v>
      </c>
      <c r="N1044" s="136">
        <v>0.1</v>
      </c>
      <c r="O1044" s="135" t="s">
        <v>51</v>
      </c>
      <c r="P1044" s="135"/>
      <c r="Q1044" s="137">
        <v>0</v>
      </c>
      <c r="R1044" s="137">
        <v>0</v>
      </c>
      <c r="S1044" s="137">
        <v>330000</v>
      </c>
      <c r="T1044" s="137">
        <f t="shared" si="233"/>
        <v>33000</v>
      </c>
      <c r="U1044" s="137">
        <f t="shared" si="237"/>
        <v>363000</v>
      </c>
      <c r="V1044" s="137">
        <v>310000</v>
      </c>
      <c r="W1044" s="137">
        <f t="shared" si="238"/>
        <v>53000</v>
      </c>
      <c r="X1044" s="137">
        <f t="shared" si="234"/>
        <v>48181.818181818177</v>
      </c>
      <c r="Y1044" s="137">
        <f t="shared" si="239"/>
        <v>4818.1818181818235</v>
      </c>
      <c r="Z1044" s="137">
        <v>317502.40000000002</v>
      </c>
      <c r="AA1044" s="137">
        <f t="shared" si="235"/>
        <v>-7502.4000000000233</v>
      </c>
      <c r="AB1044" s="146">
        <f t="shared" si="231"/>
        <v>288638.54545454547</v>
      </c>
      <c r="AC1044" s="147">
        <f t="shared" si="236"/>
        <v>28863.854545454553</v>
      </c>
      <c r="AD1044" s="137">
        <f>(Z1044-Q1044)*0.91072157793815</f>
        <v>289156.28672714968</v>
      </c>
      <c r="AE1044" s="138">
        <v>0.11269173273981201</v>
      </c>
      <c r="AF1044" s="137">
        <f t="shared" si="228"/>
        <v>32585.522983892402</v>
      </c>
      <c r="AG1044" s="137">
        <v>-457.00579526614501</v>
      </c>
      <c r="AH1044" s="154"/>
      <c r="AI1044" s="154"/>
      <c r="AJ1044" s="135" t="s">
        <v>69</v>
      </c>
      <c r="AK1044" s="119" t="s">
        <v>69</v>
      </c>
    </row>
    <row r="1045" spans="1:39" s="119" customFormat="1" ht="15" customHeight="1" x14ac:dyDescent="0.3">
      <c r="A1045" s="119">
        <v>2017</v>
      </c>
      <c r="B1045" s="119" t="s">
        <v>38</v>
      </c>
      <c r="C1045" s="119" t="s">
        <v>54</v>
      </c>
      <c r="D1045" s="119" t="s">
        <v>396</v>
      </c>
      <c r="E1045" s="119" t="s">
        <v>370</v>
      </c>
      <c r="F1045" s="119" t="s">
        <v>1006</v>
      </c>
      <c r="G1045" s="119" t="s">
        <v>1006</v>
      </c>
      <c r="H1045" s="119" t="s">
        <v>1006</v>
      </c>
      <c r="I1045" s="119" t="s">
        <v>170</v>
      </c>
      <c r="J1045" s="119" t="s">
        <v>171</v>
      </c>
      <c r="K1045" s="119" t="s">
        <v>172</v>
      </c>
      <c r="L1045" s="119" t="s">
        <v>1007</v>
      </c>
      <c r="M1045" s="119" t="s">
        <v>46</v>
      </c>
      <c r="N1045" s="136">
        <v>0.02</v>
      </c>
      <c r="O1045" s="135" t="s">
        <v>51</v>
      </c>
      <c r="P1045" s="135"/>
      <c r="Q1045" s="137">
        <v>0</v>
      </c>
      <c r="R1045" s="137">
        <v>0</v>
      </c>
      <c r="S1045" s="137">
        <v>19000000</v>
      </c>
      <c r="T1045" s="137">
        <f t="shared" si="233"/>
        <v>380000</v>
      </c>
      <c r="U1045" s="137">
        <f t="shared" si="237"/>
        <v>19380000</v>
      </c>
      <c r="V1045" s="137">
        <v>19368000</v>
      </c>
      <c r="W1045" s="137">
        <f t="shared" si="238"/>
        <v>12000</v>
      </c>
      <c r="X1045" s="137">
        <f t="shared" si="234"/>
        <v>11764.705882352941</v>
      </c>
      <c r="Y1045" s="137">
        <f t="shared" si="239"/>
        <v>235.29411764705947</v>
      </c>
      <c r="Z1045" s="137">
        <v>19006595.5</v>
      </c>
      <c r="AA1045" s="137">
        <f t="shared" si="235"/>
        <v>361404.5</v>
      </c>
      <c r="AB1045" s="146">
        <f t="shared" si="231"/>
        <v>18633917.156862743</v>
      </c>
      <c r="AC1045" s="147">
        <f t="shared" si="236"/>
        <v>372678.3431372568</v>
      </c>
      <c r="AD1045" s="137">
        <f>(Z1045-Q1045)*0.89807640489087</f>
        <v>17069374.95585499</v>
      </c>
      <c r="AE1045" s="138">
        <v>0.11269173273981201</v>
      </c>
      <c r="AF1045" s="137">
        <f t="shared" si="228"/>
        <v>1923577.4405608508</v>
      </c>
      <c r="AG1045" s="137">
        <v>1331826.6035184399</v>
      </c>
      <c r="AH1045" s="154"/>
      <c r="AI1045" s="154"/>
      <c r="AJ1045" s="135" t="s">
        <v>173</v>
      </c>
      <c r="AK1045" s="119" t="s">
        <v>173</v>
      </c>
      <c r="AM1045" s="119" t="s">
        <v>174</v>
      </c>
    </row>
    <row r="1046" spans="1:39" s="119" customFormat="1" ht="15" customHeight="1" x14ac:dyDescent="0.3">
      <c r="A1046" s="119">
        <v>2017</v>
      </c>
      <c r="B1046" s="119" t="s">
        <v>38</v>
      </c>
      <c r="C1046" s="119" t="s">
        <v>54</v>
      </c>
      <c r="D1046" s="119" t="s">
        <v>396</v>
      </c>
      <c r="E1046" s="119" t="s">
        <v>370</v>
      </c>
      <c r="F1046" s="119" t="s">
        <v>1006</v>
      </c>
      <c r="G1046" s="119" t="s">
        <v>1006</v>
      </c>
      <c r="H1046" s="119" t="s">
        <v>1006</v>
      </c>
      <c r="I1046" s="119" t="s">
        <v>170</v>
      </c>
      <c r="J1046" s="119" t="s">
        <v>171</v>
      </c>
      <c r="K1046" s="119" t="s">
        <v>172</v>
      </c>
      <c r="L1046" s="119" t="s">
        <v>1008</v>
      </c>
      <c r="M1046" s="119" t="s">
        <v>185</v>
      </c>
      <c r="N1046" s="136">
        <v>0.04</v>
      </c>
      <c r="O1046" s="135" t="s">
        <v>51</v>
      </c>
      <c r="P1046" s="135"/>
      <c r="Q1046" s="137">
        <v>0</v>
      </c>
      <c r="R1046" s="137">
        <v>0</v>
      </c>
      <c r="S1046" s="137">
        <v>30000</v>
      </c>
      <c r="T1046" s="137">
        <f t="shared" si="233"/>
        <v>1200</v>
      </c>
      <c r="U1046" s="137">
        <f t="shared" si="237"/>
        <v>31200</v>
      </c>
      <c r="V1046" s="137">
        <v>30000</v>
      </c>
      <c r="W1046" s="137">
        <f t="shared" si="238"/>
        <v>1200</v>
      </c>
      <c r="X1046" s="137">
        <f t="shared" si="234"/>
        <v>1153.8461538461538</v>
      </c>
      <c r="Y1046" s="137">
        <f t="shared" si="239"/>
        <v>46.153846153846189</v>
      </c>
      <c r="Z1046" s="137">
        <v>25722.400000000001</v>
      </c>
      <c r="AA1046" s="137">
        <f t="shared" si="235"/>
        <v>4277.5999999999985</v>
      </c>
      <c r="AB1046" s="146">
        <f t="shared" si="231"/>
        <v>24733.076923076922</v>
      </c>
      <c r="AC1046" s="147">
        <f t="shared" si="236"/>
        <v>989.3230769230795</v>
      </c>
      <c r="AD1046" s="137">
        <f>(Z1046-Q1046)*0.91072157793815</f>
        <v>23425.944716356273</v>
      </c>
      <c r="AE1046" s="138">
        <v>0.11269173273981201</v>
      </c>
      <c r="AF1046" s="137">
        <f t="shared" si="228"/>
        <v>2639.9103011532325</v>
      </c>
      <c r="AG1046" s="137">
        <v>1312.0526805258301</v>
      </c>
      <c r="AH1046" s="154"/>
      <c r="AI1046" s="154"/>
      <c r="AJ1046" s="135" t="s">
        <v>186</v>
      </c>
      <c r="AK1046" s="119" t="s">
        <v>186</v>
      </c>
    </row>
    <row r="1047" spans="1:39" s="119" customFormat="1" ht="15" customHeight="1" x14ac:dyDescent="0.3">
      <c r="A1047" s="119">
        <v>2017</v>
      </c>
      <c r="B1047" s="119" t="s">
        <v>38</v>
      </c>
      <c r="C1047" s="119" t="s">
        <v>110</v>
      </c>
      <c r="D1047" s="119" t="s">
        <v>111</v>
      </c>
      <c r="E1047" s="119" t="s">
        <v>112</v>
      </c>
      <c r="F1047" s="119" t="s">
        <v>1009</v>
      </c>
      <c r="G1047" s="119" t="s">
        <v>1009</v>
      </c>
      <c r="H1047" s="119" t="s">
        <v>1009</v>
      </c>
      <c r="I1047" s="119" t="s">
        <v>170</v>
      </c>
      <c r="J1047" s="119" t="s">
        <v>865</v>
      </c>
      <c r="K1047" s="119" t="s">
        <v>866</v>
      </c>
      <c r="L1047" s="119" t="s">
        <v>1010</v>
      </c>
      <c r="M1047" s="119" t="s">
        <v>46</v>
      </c>
      <c r="N1047" s="136">
        <v>0.04</v>
      </c>
      <c r="O1047" s="135" t="s">
        <v>495</v>
      </c>
      <c r="P1047" s="135"/>
      <c r="Q1047" s="137">
        <v>0</v>
      </c>
      <c r="R1047" s="137">
        <v>0</v>
      </c>
      <c r="S1047" s="137">
        <v>211050.2</v>
      </c>
      <c r="T1047" s="137">
        <f t="shared" si="233"/>
        <v>8442.0079999999998</v>
      </c>
      <c r="U1047" s="137">
        <f t="shared" si="237"/>
        <v>219492.20800000001</v>
      </c>
      <c r="V1047" s="137">
        <v>211050.2</v>
      </c>
      <c r="W1047" s="137">
        <f t="shared" si="238"/>
        <v>8442.0080000000016</v>
      </c>
      <c r="X1047" s="137">
        <f t="shared" si="234"/>
        <v>8117.3153846153855</v>
      </c>
      <c r="Y1047" s="137">
        <f t="shared" si="239"/>
        <v>324.69261538461615</v>
      </c>
      <c r="Z1047" s="137">
        <v>218395.2</v>
      </c>
      <c r="AA1047" s="137">
        <f t="shared" si="235"/>
        <v>-7345</v>
      </c>
      <c r="AB1047" s="146">
        <f t="shared" si="231"/>
        <v>218395.2</v>
      </c>
      <c r="AC1047" s="147">
        <f t="shared" si="236"/>
        <v>8735.8080000000009</v>
      </c>
      <c r="AD1047" s="137">
        <f>Z1047*0.972201473425119-Q1047</f>
        <v>212324.13522897355</v>
      </c>
      <c r="AE1047" s="138">
        <v>0.1</v>
      </c>
      <c r="AF1047" s="137">
        <f t="shared" si="228"/>
        <v>21232.413522897357</v>
      </c>
      <c r="AG1047" s="137">
        <v>6498.8430769230699</v>
      </c>
      <c r="AH1047" s="154"/>
      <c r="AI1047" s="154"/>
      <c r="AJ1047" s="136">
        <v>0.04</v>
      </c>
      <c r="AK1047" s="156">
        <v>0.04</v>
      </c>
      <c r="AM1047" s="119" t="s">
        <v>174</v>
      </c>
    </row>
    <row r="1048" spans="1:39" s="119" customFormat="1" ht="15" customHeight="1" x14ac:dyDescent="0.3">
      <c r="A1048" s="119">
        <v>2017</v>
      </c>
      <c r="B1048" s="119" t="s">
        <v>38</v>
      </c>
      <c r="C1048" s="119" t="s">
        <v>54</v>
      </c>
      <c r="D1048" s="119" t="s">
        <v>396</v>
      </c>
      <c r="E1048" s="119" t="s">
        <v>64</v>
      </c>
      <c r="F1048" s="119" t="s">
        <v>397</v>
      </c>
      <c r="G1048" s="119" t="s">
        <v>397</v>
      </c>
      <c r="H1048" s="119" t="s">
        <v>397</v>
      </c>
      <c r="I1048" s="119" t="s">
        <v>170</v>
      </c>
      <c r="J1048" s="119" t="s">
        <v>171</v>
      </c>
      <c r="K1048" s="119" t="s">
        <v>172</v>
      </c>
      <c r="L1048" s="119" t="s">
        <v>398</v>
      </c>
      <c r="M1048" s="119" t="s">
        <v>185</v>
      </c>
      <c r="N1048" s="135">
        <v>0.06</v>
      </c>
      <c r="O1048" s="135" t="s">
        <v>51</v>
      </c>
      <c r="P1048" s="135"/>
      <c r="Q1048" s="137">
        <v>0</v>
      </c>
      <c r="R1048" s="137">
        <v>0</v>
      </c>
      <c r="S1048" s="137">
        <v>3430000</v>
      </c>
      <c r="T1048" s="137">
        <f t="shared" si="233"/>
        <v>205800</v>
      </c>
      <c r="U1048" s="137">
        <f t="shared" si="237"/>
        <v>3635800</v>
      </c>
      <c r="V1048" s="137">
        <v>3727800</v>
      </c>
      <c r="W1048" s="137">
        <f t="shared" si="238"/>
        <v>-92000</v>
      </c>
      <c r="X1048" s="137">
        <f t="shared" si="234"/>
        <v>-86792.452830188675</v>
      </c>
      <c r="Y1048" s="137">
        <f t="shared" si="239"/>
        <v>-5207.5471698113251</v>
      </c>
      <c r="Z1048" s="137">
        <v>3567837.76</v>
      </c>
      <c r="AA1048" s="137">
        <f t="shared" si="235"/>
        <v>159962.24000000022</v>
      </c>
      <c r="AB1048" s="146">
        <f t="shared" si="231"/>
        <v>3365884.6792452824</v>
      </c>
      <c r="AC1048" s="147">
        <f t="shared" si="236"/>
        <v>201953.08075471735</v>
      </c>
      <c r="AD1048" s="137">
        <f>(Z1048-Q1048)*0.91072157793815</f>
        <v>3249306.8346145144</v>
      </c>
      <c r="AE1048" s="138">
        <v>0.11269173273981201</v>
      </c>
      <c r="AF1048" s="137">
        <f t="shared" si="228"/>
        <v>366170.01739602338</v>
      </c>
      <c r="AG1048" s="137">
        <v>117260.341296678</v>
      </c>
      <c r="AH1048" s="154"/>
      <c r="AI1048" s="154"/>
      <c r="AJ1048" s="135" t="s">
        <v>193</v>
      </c>
      <c r="AK1048" s="119" t="s">
        <v>193</v>
      </c>
    </row>
    <row r="1049" spans="1:39" s="119" customFormat="1" ht="15" customHeight="1" x14ac:dyDescent="0.3">
      <c r="A1049" s="119">
        <v>2017</v>
      </c>
      <c r="B1049" s="119" t="s">
        <v>199</v>
      </c>
      <c r="C1049" s="119" t="s">
        <v>200</v>
      </c>
      <c r="D1049" s="119" t="s">
        <v>201</v>
      </c>
      <c r="E1049" s="119" t="s">
        <v>812</v>
      </c>
      <c r="F1049" s="119" t="s">
        <v>202</v>
      </c>
      <c r="G1049" s="119" t="s">
        <v>203</v>
      </c>
      <c r="H1049" s="119" t="s">
        <v>203</v>
      </c>
      <c r="I1049" s="119" t="s">
        <v>170</v>
      </c>
      <c r="J1049" s="119" t="s">
        <v>171</v>
      </c>
      <c r="K1049" s="119" t="s">
        <v>172</v>
      </c>
      <c r="L1049" s="119" t="s">
        <v>1011</v>
      </c>
      <c r="M1049" s="119" t="s">
        <v>46</v>
      </c>
      <c r="N1049" s="136">
        <v>0.02</v>
      </c>
      <c r="O1049" s="135" t="s">
        <v>51</v>
      </c>
      <c r="P1049" s="135"/>
      <c r="Q1049" s="137">
        <v>0</v>
      </c>
      <c r="R1049" s="137">
        <v>0</v>
      </c>
      <c r="S1049" s="137">
        <v>920000</v>
      </c>
      <c r="T1049" s="137">
        <f t="shared" si="233"/>
        <v>18400</v>
      </c>
      <c r="U1049" s="137">
        <f t="shared" si="237"/>
        <v>938400</v>
      </c>
      <c r="V1049" s="137">
        <v>925031.9</v>
      </c>
      <c r="W1049" s="137">
        <f t="shared" si="238"/>
        <v>13368.099999999977</v>
      </c>
      <c r="X1049" s="137">
        <f t="shared" si="234"/>
        <v>13105.98039215684</v>
      </c>
      <c r="Y1049" s="137">
        <f t="shared" si="239"/>
        <v>262.11960784313669</v>
      </c>
      <c r="Z1049" s="137">
        <v>925031</v>
      </c>
      <c r="AA1049" s="137">
        <f t="shared" si="235"/>
        <v>0.90000000002328306</v>
      </c>
      <c r="AB1049" s="146">
        <f t="shared" si="231"/>
        <v>906893.13725490193</v>
      </c>
      <c r="AC1049" s="147">
        <f t="shared" si="236"/>
        <v>18137.862745098071</v>
      </c>
      <c r="AD1049" s="137">
        <f>(Z1049-Q1049)*0.89807640489087</f>
        <v>830748.51489260641</v>
      </c>
      <c r="AE1049" s="138">
        <v>0.11269173273981201</v>
      </c>
      <c r="AF1049" s="137">
        <f t="shared" si="228"/>
        <v>93618.489614273334</v>
      </c>
      <c r="AG1049" s="137">
        <v>64624.395764555797</v>
      </c>
      <c r="AH1049" s="154"/>
      <c r="AI1049" s="154"/>
      <c r="AJ1049" s="135" t="s">
        <v>173</v>
      </c>
      <c r="AK1049" s="119" t="s">
        <v>173</v>
      </c>
    </row>
    <row r="1050" spans="1:39" s="119" customFormat="1" ht="15" customHeight="1" x14ac:dyDescent="0.3">
      <c r="A1050" s="119">
        <v>2017</v>
      </c>
      <c r="B1050" s="119" t="s">
        <v>199</v>
      </c>
      <c r="C1050" s="119" t="s">
        <v>200</v>
      </c>
      <c r="D1050" s="119" t="s">
        <v>201</v>
      </c>
      <c r="E1050" s="119" t="s">
        <v>812</v>
      </c>
      <c r="F1050" s="119" t="s">
        <v>202</v>
      </c>
      <c r="G1050" s="119" t="s">
        <v>203</v>
      </c>
      <c r="H1050" s="119" t="s">
        <v>203</v>
      </c>
      <c r="I1050" s="119" t="s">
        <v>170</v>
      </c>
      <c r="J1050" s="119" t="s">
        <v>171</v>
      </c>
      <c r="K1050" s="119" t="s">
        <v>172</v>
      </c>
      <c r="L1050" s="119" t="s">
        <v>1011</v>
      </c>
      <c r="M1050" s="119" t="s">
        <v>185</v>
      </c>
      <c r="N1050" s="136">
        <v>0.03</v>
      </c>
      <c r="O1050" s="135" t="s">
        <v>51</v>
      </c>
      <c r="P1050" s="135"/>
      <c r="Q1050" s="137">
        <v>0</v>
      </c>
      <c r="R1050" s="137">
        <v>0</v>
      </c>
      <c r="S1050" s="137">
        <v>460000</v>
      </c>
      <c r="T1050" s="137">
        <f t="shared" si="233"/>
        <v>13800</v>
      </c>
      <c r="U1050" s="137">
        <f t="shared" si="237"/>
        <v>473800</v>
      </c>
      <c r="V1050" s="137">
        <v>463771.52</v>
      </c>
      <c r="W1050" s="137">
        <f t="shared" si="238"/>
        <v>10028.479999999981</v>
      </c>
      <c r="X1050" s="137">
        <f t="shared" si="234"/>
        <v>9736.3883495145456</v>
      </c>
      <c r="Y1050" s="137">
        <f t="shared" si="239"/>
        <v>292.09165048543582</v>
      </c>
      <c r="Z1050" s="137">
        <v>463761.89</v>
      </c>
      <c r="AA1050" s="137">
        <f t="shared" si="235"/>
        <v>9.6300000000046566</v>
      </c>
      <c r="AB1050" s="146">
        <f t="shared" si="231"/>
        <v>450254.26213592233</v>
      </c>
      <c r="AC1050" s="147">
        <f t="shared" si="236"/>
        <v>13507.627864077687</v>
      </c>
      <c r="AD1050" s="137">
        <f>(Z1050-Q1050)*0.91072157793815</f>
        <v>422357.96024837875</v>
      </c>
      <c r="AE1050" s="138">
        <v>0.11269173273981201</v>
      </c>
      <c r="AF1050" s="137">
        <f t="shared" si="228"/>
        <v>47596.250376842443</v>
      </c>
      <c r="AG1050" s="137">
        <v>27960.980730909501</v>
      </c>
      <c r="AH1050" s="154"/>
      <c r="AI1050" s="154"/>
      <c r="AJ1050" s="135" t="s">
        <v>189</v>
      </c>
      <c r="AK1050" s="119" t="s">
        <v>189</v>
      </c>
      <c r="AM1050" s="119" t="s">
        <v>174</v>
      </c>
    </row>
    <row r="1051" spans="1:39" s="119" customFormat="1" ht="15" customHeight="1" x14ac:dyDescent="0.3">
      <c r="A1051" s="119">
        <v>2017</v>
      </c>
      <c r="C1051" s="119" t="s">
        <v>54</v>
      </c>
      <c r="F1051" s="131" t="s">
        <v>1012</v>
      </c>
      <c r="G1051" s="131"/>
      <c r="H1051" s="131"/>
      <c r="I1051" s="119" t="s">
        <v>170</v>
      </c>
      <c r="J1051" s="119" t="s">
        <v>171</v>
      </c>
      <c r="K1051" s="119" t="s">
        <v>172</v>
      </c>
      <c r="L1051" s="119" t="s">
        <v>1013</v>
      </c>
      <c r="M1051" s="119" t="s">
        <v>46</v>
      </c>
      <c r="N1051" s="135">
        <v>0</v>
      </c>
      <c r="O1051" s="135" t="s">
        <v>47</v>
      </c>
      <c r="P1051" s="135" t="s">
        <v>852</v>
      </c>
      <c r="Q1051" s="137">
        <v>77846.6816346095</v>
      </c>
      <c r="R1051" s="137">
        <v>0</v>
      </c>
      <c r="S1051" s="137"/>
      <c r="T1051" s="137">
        <f t="shared" si="233"/>
        <v>0</v>
      </c>
      <c r="U1051" s="137">
        <f t="shared" si="237"/>
        <v>0</v>
      </c>
      <c r="V1051" s="137">
        <v>0</v>
      </c>
      <c r="W1051" s="137">
        <f t="shared" si="238"/>
        <v>0</v>
      </c>
      <c r="X1051" s="137">
        <f t="shared" si="234"/>
        <v>0</v>
      </c>
      <c r="Y1051" s="137">
        <f t="shared" si="239"/>
        <v>0</v>
      </c>
      <c r="Z1051" s="137">
        <v>84884.9</v>
      </c>
      <c r="AA1051" s="137">
        <f t="shared" si="235"/>
        <v>-7038.218365390494</v>
      </c>
      <c r="AB1051" s="146">
        <v>0</v>
      </c>
      <c r="AC1051" s="147">
        <f t="shared" si="236"/>
        <v>84884.9</v>
      </c>
      <c r="AD1051" s="137">
        <f>(Z1051-Q1051)*0.89807640489087</f>
        <v>6320.8578464267912</v>
      </c>
      <c r="AE1051" s="138">
        <v>0.11269173273981201</v>
      </c>
      <c r="AF1051" s="137">
        <f t="shared" si="228"/>
        <v>712.30842311587162</v>
      </c>
      <c r="AG1051" s="137">
        <v>7594.62767990059</v>
      </c>
      <c r="AH1051" s="154"/>
      <c r="AI1051" s="154"/>
      <c r="AJ1051" s="135" t="e">
        <v>#N/A</v>
      </c>
      <c r="AK1051" s="119" t="s">
        <v>47</v>
      </c>
      <c r="AM1051" s="131" t="s">
        <v>208</v>
      </c>
    </row>
    <row r="1052" spans="1:39" s="119" customFormat="1" ht="15" customHeight="1" x14ac:dyDescent="0.3">
      <c r="A1052" s="119">
        <v>2017</v>
      </c>
      <c r="B1052" s="119" t="s">
        <v>199</v>
      </c>
      <c r="C1052" s="119" t="s">
        <v>200</v>
      </c>
      <c r="D1052" s="119" t="s">
        <v>201</v>
      </c>
      <c r="E1052" s="119" t="s">
        <v>399</v>
      </c>
      <c r="F1052" s="119" t="s">
        <v>948</v>
      </c>
      <c r="G1052" s="119" t="s">
        <v>949</v>
      </c>
      <c r="H1052" s="119" t="s">
        <v>949</v>
      </c>
      <c r="I1052" s="119" t="s">
        <v>170</v>
      </c>
      <c r="J1052" s="119" t="s">
        <v>171</v>
      </c>
      <c r="K1052" s="119" t="s">
        <v>172</v>
      </c>
      <c r="L1052" s="119" t="s">
        <v>950</v>
      </c>
      <c r="M1052" s="119" t="s">
        <v>160</v>
      </c>
      <c r="N1052" s="136">
        <v>0.04</v>
      </c>
      <c r="O1052" s="135" t="s">
        <v>51</v>
      </c>
      <c r="P1052" s="135"/>
      <c r="Q1052" s="137">
        <v>0</v>
      </c>
      <c r="R1052" s="137">
        <v>0</v>
      </c>
      <c r="S1052" s="137">
        <v>70000</v>
      </c>
      <c r="T1052" s="137">
        <f t="shared" si="233"/>
        <v>2800</v>
      </c>
      <c r="U1052" s="137">
        <f t="shared" si="237"/>
        <v>72800</v>
      </c>
      <c r="V1052" s="137">
        <v>50000</v>
      </c>
      <c r="W1052" s="137">
        <f t="shared" si="238"/>
        <v>22800</v>
      </c>
      <c r="X1052" s="137">
        <f t="shared" si="234"/>
        <v>21923.076923076922</v>
      </c>
      <c r="Y1052" s="137">
        <f t="shared" si="239"/>
        <v>876.92307692307804</v>
      </c>
      <c r="Z1052" s="137">
        <v>50000</v>
      </c>
      <c r="AA1052" s="137">
        <f t="shared" si="235"/>
        <v>0</v>
      </c>
      <c r="AB1052" s="146">
        <f>IF(O1052="返货",Z1052/(1+N1052),IF(O1052="返现",Z1052,IF(O1052="折扣",Z1052*N1052,IF(O1052="无",Z1052))))</f>
        <v>48076.923076923078</v>
      </c>
      <c r="AC1052" s="147">
        <f t="shared" si="236"/>
        <v>1923.076923076922</v>
      </c>
      <c r="AD1052" s="137">
        <f t="shared" ref="AD1052:AD1053" si="243">(Z1052-Q1052)*0.826045217867759</f>
        <v>41302.260893387946</v>
      </c>
      <c r="AE1052" s="138">
        <v>0.11269173273981201</v>
      </c>
      <c r="AF1052" s="137">
        <f t="shared" si="228"/>
        <v>4654.4233461476633</v>
      </c>
      <c r="AG1052" s="137">
        <v>2550.4087498169501</v>
      </c>
      <c r="AH1052" s="154"/>
      <c r="AI1052" s="154"/>
      <c r="AJ1052" s="135" t="s">
        <v>186</v>
      </c>
      <c r="AK1052" s="119" t="s">
        <v>186</v>
      </c>
    </row>
    <row r="1053" spans="1:39" s="119" customFormat="1" ht="15" customHeight="1" x14ac:dyDescent="0.3">
      <c r="A1053" s="119">
        <v>2017</v>
      </c>
      <c r="B1053" s="119" t="s">
        <v>199</v>
      </c>
      <c r="C1053" s="119" t="s">
        <v>200</v>
      </c>
      <c r="D1053" s="119" t="s">
        <v>201</v>
      </c>
      <c r="E1053" s="119" t="s">
        <v>820</v>
      </c>
      <c r="F1053" s="119" t="s">
        <v>1014</v>
      </c>
      <c r="G1053" s="119" t="s">
        <v>1015</v>
      </c>
      <c r="H1053" s="119" t="s">
        <v>1015</v>
      </c>
      <c r="I1053" s="119" t="s">
        <v>170</v>
      </c>
      <c r="J1053" s="119" t="s">
        <v>171</v>
      </c>
      <c r="K1053" s="119" t="s">
        <v>172</v>
      </c>
      <c r="L1053" s="119" t="s">
        <v>1014</v>
      </c>
      <c r="M1053" s="119" t="s">
        <v>160</v>
      </c>
      <c r="N1053" s="135">
        <v>0</v>
      </c>
      <c r="O1053" s="135" t="s">
        <v>47</v>
      </c>
      <c r="P1053" s="135"/>
      <c r="Q1053" s="137">
        <v>0</v>
      </c>
      <c r="R1053" s="137">
        <v>0</v>
      </c>
      <c r="S1053" s="137">
        <v>15910</v>
      </c>
      <c r="T1053" s="137">
        <f t="shared" si="233"/>
        <v>0</v>
      </c>
      <c r="U1053" s="137">
        <f t="shared" si="237"/>
        <v>15910</v>
      </c>
      <c r="V1053" s="137">
        <v>15910</v>
      </c>
      <c r="W1053" s="137">
        <f t="shared" si="238"/>
        <v>0</v>
      </c>
      <c r="X1053" s="137">
        <f t="shared" si="234"/>
        <v>0</v>
      </c>
      <c r="Y1053" s="137">
        <f t="shared" si="239"/>
        <v>0</v>
      </c>
      <c r="Z1053" s="137">
        <v>15910</v>
      </c>
      <c r="AA1053" s="137">
        <f t="shared" si="235"/>
        <v>0</v>
      </c>
      <c r="AB1053" s="146">
        <f>IF(O1053="返货",Z1053/(1+N1053),IF(O1053="返现",Z1053,IF(O1053="折扣",Z1053*N1053,IF(O1053="无",Z1053))))</f>
        <v>15910</v>
      </c>
      <c r="AC1053" s="147">
        <f t="shared" si="236"/>
        <v>0</v>
      </c>
      <c r="AD1053" s="137">
        <f t="shared" si="243"/>
        <v>13142.379416276046</v>
      </c>
      <c r="AE1053" s="138">
        <v>0.11269173273981201</v>
      </c>
      <c r="AF1053" s="137">
        <f t="shared" si="228"/>
        <v>1481.0375087441867</v>
      </c>
      <c r="AG1053" s="137">
        <v>1423.46314111483</v>
      </c>
      <c r="AH1053" s="154"/>
      <c r="AI1053" s="154"/>
      <c r="AJ1053" s="135" t="s">
        <v>47</v>
      </c>
      <c r="AK1053" s="119" t="s">
        <v>47</v>
      </c>
    </row>
    <row r="1054" spans="1:39" s="120" customFormat="1" ht="15" customHeight="1" x14ac:dyDescent="0.3">
      <c r="A1054" s="119">
        <v>2017</v>
      </c>
      <c r="B1054" s="119" t="s">
        <v>38</v>
      </c>
      <c r="C1054" s="119" t="s">
        <v>59</v>
      </c>
      <c r="D1054" s="119" t="s">
        <v>106</v>
      </c>
      <c r="E1054" s="119" t="s">
        <v>107</v>
      </c>
      <c r="F1054" s="119" t="s">
        <v>196</v>
      </c>
      <c r="G1054" s="119" t="s">
        <v>196</v>
      </c>
      <c r="H1054" s="119" t="s">
        <v>196</v>
      </c>
      <c r="I1054" s="119" t="s">
        <v>165</v>
      </c>
      <c r="J1054" s="119" t="s">
        <v>44</v>
      </c>
      <c r="K1054" s="119" t="s">
        <v>166</v>
      </c>
      <c r="L1054" s="119" t="s">
        <v>197</v>
      </c>
      <c r="M1054" s="137" t="s">
        <v>46</v>
      </c>
      <c r="N1054" s="135">
        <v>0</v>
      </c>
      <c r="O1054" s="135" t="s">
        <v>47</v>
      </c>
      <c r="P1054" s="135"/>
      <c r="Q1054" s="137">
        <v>0</v>
      </c>
      <c r="R1054" s="137">
        <v>0</v>
      </c>
      <c r="S1054" s="137">
        <v>226734</v>
      </c>
      <c r="T1054" s="137">
        <f t="shared" si="233"/>
        <v>0</v>
      </c>
      <c r="U1054" s="137">
        <f t="shared" si="237"/>
        <v>226734</v>
      </c>
      <c r="V1054" s="137">
        <v>226734</v>
      </c>
      <c r="W1054" s="137">
        <f t="shared" si="238"/>
        <v>0</v>
      </c>
      <c r="X1054" s="137">
        <f t="shared" si="234"/>
        <v>0</v>
      </c>
      <c r="Y1054" s="137">
        <f t="shared" si="239"/>
        <v>0</v>
      </c>
      <c r="Z1054" s="137">
        <v>226734</v>
      </c>
      <c r="AA1054" s="137">
        <f t="shared" si="235"/>
        <v>0</v>
      </c>
      <c r="AB1054" s="146">
        <f>IF(O1054="返货",Z1054/(1+N1054),IF(O1054="返现",Z1054,IF(O1054="折扣",Z1054*N1054,IF(O1054="无",Z1054))))</f>
        <v>226734</v>
      </c>
      <c r="AC1054" s="147">
        <f t="shared" si="236"/>
        <v>0</v>
      </c>
      <c r="AD1054" s="137">
        <f>S1054</f>
        <v>226734</v>
      </c>
      <c r="AE1054" s="135">
        <v>0</v>
      </c>
      <c r="AF1054" s="137">
        <f t="shared" si="228"/>
        <v>0</v>
      </c>
      <c r="AG1054" s="137">
        <v>0</v>
      </c>
      <c r="AH1054" s="137"/>
      <c r="AI1054" s="137"/>
      <c r="AJ1054" s="135" t="s">
        <v>1016</v>
      </c>
      <c r="AK1054" s="153" t="s">
        <v>1016</v>
      </c>
      <c r="AL1054" s="119" t="s">
        <v>977</v>
      </c>
      <c r="AM1054" s="119"/>
    </row>
    <row r="1055" spans="1:39" s="119" customFormat="1" ht="15" customHeight="1" x14ac:dyDescent="0.3">
      <c r="A1055" s="119">
        <v>2017</v>
      </c>
      <c r="F1055" s="131" t="e">
        <v>#N/A</v>
      </c>
      <c r="G1055" s="131"/>
      <c r="H1055" s="131"/>
      <c r="I1055" s="119" t="s">
        <v>170</v>
      </c>
      <c r="J1055" s="119" t="s">
        <v>171</v>
      </c>
      <c r="K1055" s="119" t="s">
        <v>172</v>
      </c>
      <c r="L1055" s="119" t="s">
        <v>1017</v>
      </c>
      <c r="M1055" s="119" t="s">
        <v>46</v>
      </c>
      <c r="N1055" s="135">
        <v>0</v>
      </c>
      <c r="O1055" s="135" t="s">
        <v>47</v>
      </c>
      <c r="P1055" s="135" t="s">
        <v>852</v>
      </c>
      <c r="Q1055" s="137">
        <v>72049.8780812779</v>
      </c>
      <c r="R1055" s="137">
        <v>0</v>
      </c>
      <c r="S1055" s="137"/>
      <c r="T1055" s="137">
        <f t="shared" si="233"/>
        <v>0</v>
      </c>
      <c r="U1055" s="137">
        <f t="shared" si="237"/>
        <v>0</v>
      </c>
      <c r="V1055" s="137">
        <v>0</v>
      </c>
      <c r="W1055" s="137">
        <f t="shared" si="238"/>
        <v>0</v>
      </c>
      <c r="X1055" s="137">
        <f t="shared" si="234"/>
        <v>0</v>
      </c>
      <c r="Y1055" s="137">
        <f t="shared" si="239"/>
        <v>0</v>
      </c>
      <c r="Z1055" s="137">
        <v>78564</v>
      </c>
      <c r="AA1055" s="137">
        <f t="shared" si="235"/>
        <v>-6514.1219187220995</v>
      </c>
      <c r="AB1055" s="146">
        <v>0</v>
      </c>
      <c r="AC1055" s="147">
        <f t="shared" si="236"/>
        <v>78564</v>
      </c>
      <c r="AD1055" s="137">
        <f t="shared" ref="AD1055:AD1060" si="244">(Z1055-Q1055)*0.89807640489087</f>
        <v>5850.1791937867592</v>
      </c>
      <c r="AE1055" s="138">
        <v>0.11269173273981201</v>
      </c>
      <c r="AF1055" s="137">
        <f t="shared" si="228"/>
        <v>659.26683018622634</v>
      </c>
      <c r="AG1055" s="137">
        <v>7029.0985681046895</v>
      </c>
      <c r="AH1055" s="154"/>
      <c r="AI1055" s="154"/>
      <c r="AJ1055" s="135" t="e">
        <v>#N/A</v>
      </c>
      <c r="AK1055" s="119" t="s">
        <v>47</v>
      </c>
      <c r="AM1055" s="131" t="s">
        <v>208</v>
      </c>
    </row>
    <row r="1056" spans="1:39" s="119" customFormat="1" ht="15" customHeight="1" x14ac:dyDescent="0.3">
      <c r="A1056" s="119">
        <v>2017</v>
      </c>
      <c r="F1056" s="131" t="e">
        <v>#N/A</v>
      </c>
      <c r="G1056" s="131"/>
      <c r="H1056" s="131"/>
      <c r="I1056" s="119" t="s">
        <v>170</v>
      </c>
      <c r="J1056" s="119" t="s">
        <v>171</v>
      </c>
      <c r="K1056" s="119" t="s">
        <v>172</v>
      </c>
      <c r="L1056" s="119" t="s">
        <v>1018</v>
      </c>
      <c r="M1056" s="119" t="s">
        <v>46</v>
      </c>
      <c r="N1056" s="135">
        <v>0</v>
      </c>
      <c r="O1056" s="135" t="s">
        <v>47</v>
      </c>
      <c r="P1056" s="135" t="s">
        <v>852</v>
      </c>
      <c r="Q1056" s="137">
        <v>90000</v>
      </c>
      <c r="R1056" s="137">
        <v>0</v>
      </c>
      <c r="S1056" s="137"/>
      <c r="T1056" s="137">
        <f t="shared" si="233"/>
        <v>0</v>
      </c>
      <c r="U1056" s="137">
        <f t="shared" si="237"/>
        <v>0</v>
      </c>
      <c r="V1056" s="137">
        <v>0</v>
      </c>
      <c r="W1056" s="137">
        <f t="shared" si="238"/>
        <v>0</v>
      </c>
      <c r="X1056" s="137">
        <f t="shared" si="234"/>
        <v>0</v>
      </c>
      <c r="Y1056" s="137">
        <f t="shared" si="239"/>
        <v>0</v>
      </c>
      <c r="Z1056" s="137">
        <v>34310.9</v>
      </c>
      <c r="AA1056" s="137">
        <f t="shared" si="235"/>
        <v>55689.1</v>
      </c>
      <c r="AB1056" s="146">
        <v>0</v>
      </c>
      <c r="AC1056" s="147">
        <f t="shared" si="236"/>
        <v>34310.9</v>
      </c>
      <c r="AD1056" s="137">
        <f t="shared" si="244"/>
        <v>-50013.066719608149</v>
      </c>
      <c r="AE1056" s="138">
        <v>0.11269173273981201</v>
      </c>
      <c r="AF1056" s="137">
        <f t="shared" si="228"/>
        <v>-5636.0591482644677</v>
      </c>
      <c r="AG1056" s="137">
        <v>3069.78639148189</v>
      </c>
      <c r="AH1056" s="154"/>
      <c r="AI1056" s="154"/>
      <c r="AJ1056" s="135" t="e">
        <v>#N/A</v>
      </c>
      <c r="AK1056" s="119" t="s">
        <v>47</v>
      </c>
      <c r="AM1056" s="131" t="s">
        <v>208</v>
      </c>
    </row>
    <row r="1057" spans="1:39" s="119" customFormat="1" ht="15" customHeight="1" x14ac:dyDescent="0.3">
      <c r="A1057" s="119">
        <v>2017</v>
      </c>
      <c r="B1057" s="119" t="s">
        <v>38</v>
      </c>
      <c r="C1057" s="119" t="s">
        <v>54</v>
      </c>
      <c r="D1057" s="119" t="s">
        <v>396</v>
      </c>
      <c r="E1057" s="119" t="s">
        <v>368</v>
      </c>
      <c r="F1057" s="119" t="s">
        <v>1019</v>
      </c>
      <c r="G1057" s="119" t="s">
        <v>1019</v>
      </c>
      <c r="H1057" s="119" t="s">
        <v>1019</v>
      </c>
      <c r="I1057" s="119" t="s">
        <v>170</v>
      </c>
      <c r="J1057" s="119" t="s">
        <v>171</v>
      </c>
      <c r="K1057" s="119" t="s">
        <v>172</v>
      </c>
      <c r="L1057" s="119" t="s">
        <v>1019</v>
      </c>
      <c r="M1057" s="119" t="s">
        <v>46</v>
      </c>
      <c r="N1057" s="136">
        <v>0.04</v>
      </c>
      <c r="O1057" s="135" t="s">
        <v>495</v>
      </c>
      <c r="P1057" s="135"/>
      <c r="Q1057" s="137">
        <v>0</v>
      </c>
      <c r="R1057" s="137">
        <v>0</v>
      </c>
      <c r="S1057" s="137">
        <v>19615.38</v>
      </c>
      <c r="T1057" s="137">
        <f t="shared" si="233"/>
        <v>784.61520000000007</v>
      </c>
      <c r="U1057" s="137">
        <f t="shared" si="237"/>
        <v>20399.995200000001</v>
      </c>
      <c r="V1057" s="137">
        <v>10200</v>
      </c>
      <c r="W1057" s="137">
        <f t="shared" si="238"/>
        <v>10199.995200000001</v>
      </c>
      <c r="X1057" s="137">
        <f t="shared" si="234"/>
        <v>9807.6876923076925</v>
      </c>
      <c r="Y1057" s="137">
        <f t="shared" si="239"/>
        <v>392.30750769230872</v>
      </c>
      <c r="Z1057" s="137">
        <v>16103</v>
      </c>
      <c r="AA1057" s="137">
        <f t="shared" si="235"/>
        <v>-5903</v>
      </c>
      <c r="AB1057" s="146">
        <f>IF(O1057="返货",Z1057/(1+N1057),IF(O1057="返现",Z1057,IF(O1057="折扣",Z1057*N1057,IF(O1057="无",Z1057))))</f>
        <v>16103</v>
      </c>
      <c r="AC1057" s="147">
        <f t="shared" si="236"/>
        <v>644.12</v>
      </c>
      <c r="AD1057" s="137">
        <f t="shared" si="244"/>
        <v>14461.724347957681</v>
      </c>
      <c r="AE1057" s="138">
        <v>0.11269173273981201</v>
      </c>
      <c r="AF1057" s="137">
        <f t="shared" si="228"/>
        <v>1629.7167751768791</v>
      </c>
      <c r="AG1057" s="137">
        <v>821.38464196604696</v>
      </c>
      <c r="AH1057" s="154"/>
      <c r="AI1057" s="154"/>
      <c r="AJ1057" s="135" t="s">
        <v>186</v>
      </c>
      <c r="AK1057" s="119" t="s">
        <v>186</v>
      </c>
    </row>
    <row r="1058" spans="1:39" s="119" customFormat="1" ht="15" customHeight="1" x14ac:dyDescent="0.3">
      <c r="A1058" s="119">
        <v>2017</v>
      </c>
      <c r="F1058" s="131" t="e">
        <v>#N/A</v>
      </c>
      <c r="G1058" s="131"/>
      <c r="H1058" s="131"/>
      <c r="I1058" s="119" t="s">
        <v>170</v>
      </c>
      <c r="J1058" s="119" t="s">
        <v>171</v>
      </c>
      <c r="K1058" s="119" t="s">
        <v>172</v>
      </c>
      <c r="L1058" s="119" t="s">
        <v>1020</v>
      </c>
      <c r="M1058" s="119" t="s">
        <v>46</v>
      </c>
      <c r="N1058" s="135">
        <v>0</v>
      </c>
      <c r="O1058" s="135" t="s">
        <v>47</v>
      </c>
      <c r="P1058" s="135" t="s">
        <v>854</v>
      </c>
      <c r="Q1058" s="137">
        <v>97025.7</v>
      </c>
      <c r="R1058" s="137">
        <v>0</v>
      </c>
      <c r="S1058" s="137"/>
      <c r="T1058" s="137">
        <f t="shared" si="233"/>
        <v>0</v>
      </c>
      <c r="U1058" s="137">
        <f t="shared" si="237"/>
        <v>0</v>
      </c>
      <c r="V1058" s="137">
        <v>0</v>
      </c>
      <c r="W1058" s="137">
        <f t="shared" si="238"/>
        <v>0</v>
      </c>
      <c r="X1058" s="137">
        <f t="shared" si="234"/>
        <v>0</v>
      </c>
      <c r="Y1058" s="137">
        <f t="shared" si="239"/>
        <v>0</v>
      </c>
      <c r="Z1058" s="137">
        <v>97025.7</v>
      </c>
      <c r="AA1058" s="137">
        <f t="shared" si="235"/>
        <v>0</v>
      </c>
      <c r="AB1058" s="146">
        <f>IF(O1058="返货",(Z1058-Q1058)/(1+N1058),IF(O1058="返现",(Z1058-Q1058),IF(O1058="折扣",(Z1058-Q1058)*N1058,IF(O1058="无",(Z1058-Q1058)))))</f>
        <v>0</v>
      </c>
      <c r="AC1058" s="147">
        <f t="shared" si="236"/>
        <v>97025.7</v>
      </c>
      <c r="AD1058" s="137">
        <f t="shared" si="244"/>
        <v>0</v>
      </c>
      <c r="AE1058" s="138">
        <v>0.11269173273981201</v>
      </c>
      <c r="AF1058" s="137">
        <f t="shared" si="228"/>
        <v>0</v>
      </c>
      <c r="AG1058" s="137">
        <v>8680.8615770499891</v>
      </c>
      <c r="AH1058" s="154"/>
      <c r="AI1058" s="154"/>
      <c r="AJ1058" s="135" t="e">
        <v>#N/A</v>
      </c>
      <c r="AK1058" s="119" t="s">
        <v>47</v>
      </c>
      <c r="AM1058" s="131" t="s">
        <v>208</v>
      </c>
    </row>
    <row r="1059" spans="1:39" s="119" customFormat="1" ht="15" customHeight="1" x14ac:dyDescent="0.3">
      <c r="A1059" s="119">
        <v>2017</v>
      </c>
      <c r="B1059" s="119" t="s">
        <v>38</v>
      </c>
      <c r="C1059" s="119" t="s">
        <v>59</v>
      </c>
      <c r="F1059" s="167" t="s">
        <v>358</v>
      </c>
      <c r="G1059" s="131" t="s">
        <v>358</v>
      </c>
      <c r="H1059" s="131" t="s">
        <v>358</v>
      </c>
      <c r="I1059" s="119" t="s">
        <v>170</v>
      </c>
      <c r="J1059" s="119" t="s">
        <v>171</v>
      </c>
      <c r="K1059" s="119" t="s">
        <v>172</v>
      </c>
      <c r="L1059" s="119" t="s">
        <v>1021</v>
      </c>
      <c r="M1059" s="119" t="s">
        <v>46</v>
      </c>
      <c r="N1059" s="161">
        <v>0</v>
      </c>
      <c r="O1059" s="135" t="s">
        <v>47</v>
      </c>
      <c r="P1059" s="135" t="s">
        <v>852</v>
      </c>
      <c r="Q1059" s="168">
        <v>58258.109567697698</v>
      </c>
      <c r="R1059" s="137">
        <v>0</v>
      </c>
      <c r="S1059" s="137"/>
      <c r="T1059" s="137">
        <f t="shared" si="233"/>
        <v>0</v>
      </c>
      <c r="U1059" s="137">
        <f t="shared" si="237"/>
        <v>0</v>
      </c>
      <c r="V1059" s="137">
        <v>0</v>
      </c>
      <c r="W1059" s="137">
        <f t="shared" si="238"/>
        <v>0</v>
      </c>
      <c r="X1059" s="137">
        <f t="shared" si="234"/>
        <v>0</v>
      </c>
      <c r="Y1059" s="137">
        <f t="shared" si="239"/>
        <v>0</v>
      </c>
      <c r="Z1059" s="137">
        <v>63525.3</v>
      </c>
      <c r="AA1059" s="137">
        <f t="shared" si="235"/>
        <v>-5267.1904323023045</v>
      </c>
      <c r="AB1059" s="146">
        <v>0</v>
      </c>
      <c r="AC1059" s="147">
        <f t="shared" si="236"/>
        <v>63525.3</v>
      </c>
      <c r="AD1059" s="137">
        <f t="shared" si="244"/>
        <v>4730.3394473176413</v>
      </c>
      <c r="AE1059" s="138">
        <v>0.11269173273981201</v>
      </c>
      <c r="AF1059" s="137">
        <f t="shared" si="228"/>
        <v>533.07014876570963</v>
      </c>
      <c r="AG1059" s="137">
        <v>5683.5903883257097</v>
      </c>
      <c r="AH1059" s="154"/>
      <c r="AI1059" s="154"/>
      <c r="AJ1059" s="135" t="s">
        <v>173</v>
      </c>
      <c r="AK1059" s="119" t="s">
        <v>47</v>
      </c>
      <c r="AM1059" s="131" t="s">
        <v>208</v>
      </c>
    </row>
    <row r="1060" spans="1:39" s="119" customFormat="1" ht="15" customHeight="1" x14ac:dyDescent="0.3">
      <c r="A1060" s="119">
        <v>2017</v>
      </c>
      <c r="F1060" s="131" t="e">
        <v>#N/A</v>
      </c>
      <c r="G1060" s="131"/>
      <c r="H1060" s="131"/>
      <c r="I1060" s="119" t="s">
        <v>170</v>
      </c>
      <c r="J1060" s="119" t="s">
        <v>171</v>
      </c>
      <c r="K1060" s="119" t="s">
        <v>172</v>
      </c>
      <c r="L1060" s="119" t="s">
        <v>1022</v>
      </c>
      <c r="M1060" s="119" t="s">
        <v>46</v>
      </c>
      <c r="N1060" s="135">
        <v>0</v>
      </c>
      <c r="O1060" s="135" t="s">
        <v>47</v>
      </c>
      <c r="P1060" s="135" t="s">
        <v>852</v>
      </c>
      <c r="Q1060" s="137">
        <v>54211.7464488365</v>
      </c>
      <c r="R1060" s="137">
        <v>0</v>
      </c>
      <c r="S1060" s="137"/>
      <c r="T1060" s="137">
        <f t="shared" si="233"/>
        <v>0</v>
      </c>
      <c r="U1060" s="137">
        <f t="shared" si="237"/>
        <v>0</v>
      </c>
      <c r="V1060" s="137">
        <v>0</v>
      </c>
      <c r="W1060" s="137">
        <f t="shared" si="238"/>
        <v>0</v>
      </c>
      <c r="X1060" s="137">
        <f t="shared" si="234"/>
        <v>0</v>
      </c>
      <c r="Y1060" s="137">
        <f t="shared" si="239"/>
        <v>0</v>
      </c>
      <c r="Z1060" s="137">
        <v>59113.1</v>
      </c>
      <c r="AA1060" s="137">
        <f t="shared" si="235"/>
        <v>-4901.3535511634982</v>
      </c>
      <c r="AB1060" s="146">
        <v>0</v>
      </c>
      <c r="AC1060" s="147">
        <f t="shared" si="236"/>
        <v>59113.1</v>
      </c>
      <c r="AD1060" s="137">
        <f t="shared" si="244"/>
        <v>4401.7899763280138</v>
      </c>
      <c r="AE1060" s="138">
        <v>0.11269173273981201</v>
      </c>
      <c r="AF1060" s="137">
        <f t="shared" si="228"/>
        <v>496.04533958913993</v>
      </c>
      <c r="AG1060" s="137">
        <v>5288.8321186068597</v>
      </c>
      <c r="AH1060" s="154"/>
      <c r="AI1060" s="154"/>
      <c r="AJ1060" s="135" t="e">
        <v>#N/A</v>
      </c>
      <c r="AK1060" s="119" t="s">
        <v>47</v>
      </c>
      <c r="AM1060" s="131" t="s">
        <v>208</v>
      </c>
    </row>
    <row r="1061" spans="1:39" s="119" customFormat="1" ht="15" customHeight="1" x14ac:dyDescent="0.3">
      <c r="A1061" s="119">
        <v>2017</v>
      </c>
      <c r="B1061" s="119" t="s">
        <v>38</v>
      </c>
      <c r="C1061" s="119" t="s">
        <v>110</v>
      </c>
      <c r="D1061" s="119" t="s">
        <v>280</v>
      </c>
      <c r="F1061" s="131" t="s">
        <v>933</v>
      </c>
      <c r="G1061" s="131" t="s">
        <v>933</v>
      </c>
      <c r="H1061" s="131" t="s">
        <v>933</v>
      </c>
      <c r="I1061" s="119" t="s">
        <v>170</v>
      </c>
      <c r="J1061" s="119" t="s">
        <v>865</v>
      </c>
      <c r="K1061" s="119" t="s">
        <v>866</v>
      </c>
      <c r="L1061" s="119" t="s">
        <v>933</v>
      </c>
      <c r="M1061" s="119" t="s">
        <v>185</v>
      </c>
      <c r="N1061" s="138">
        <v>0</v>
      </c>
      <c r="O1061" s="135" t="s">
        <v>47</v>
      </c>
      <c r="P1061" s="135"/>
      <c r="Q1061" s="137">
        <v>0</v>
      </c>
      <c r="R1061" s="137">
        <v>0</v>
      </c>
      <c r="S1061" s="137"/>
      <c r="T1061" s="137">
        <f t="shared" si="233"/>
        <v>0</v>
      </c>
      <c r="U1061" s="137">
        <f t="shared" si="237"/>
        <v>0</v>
      </c>
      <c r="V1061" s="137">
        <v>0</v>
      </c>
      <c r="W1061" s="137">
        <f t="shared" si="238"/>
        <v>0</v>
      </c>
      <c r="X1061" s="137">
        <f t="shared" si="234"/>
        <v>0</v>
      </c>
      <c r="Y1061" s="137">
        <f t="shared" si="239"/>
        <v>0</v>
      </c>
      <c r="Z1061" s="137">
        <v>4553.6499999999996</v>
      </c>
      <c r="AA1061" s="137">
        <f t="shared" si="235"/>
        <v>-4553.6499999999996</v>
      </c>
      <c r="AB1061" s="146">
        <f>IF(O1061="返货",Z1061/(1+N1061),IF(O1061="返现",Z1061,IF(O1061="折扣",Z1061*N1061,IF(O1061="无",Z1061))))</f>
        <v>4553.6499999999996</v>
      </c>
      <c r="AC1061" s="147">
        <f t="shared" si="236"/>
        <v>0</v>
      </c>
      <c r="AD1061" s="137">
        <f>Z1061</f>
        <v>4553.6499999999996</v>
      </c>
      <c r="AE1061" s="138">
        <v>0.1</v>
      </c>
      <c r="AF1061" s="137">
        <f t="shared" si="228"/>
        <v>455.36500000000001</v>
      </c>
      <c r="AG1061" s="137">
        <v>455.36500000000001</v>
      </c>
      <c r="AH1061" s="154"/>
      <c r="AI1061" s="154"/>
      <c r="AJ1061" s="135" t="e">
        <v>#N/A</v>
      </c>
      <c r="AK1061" s="156">
        <v>1</v>
      </c>
      <c r="AM1061" s="131" t="s">
        <v>208</v>
      </c>
    </row>
    <row r="1062" spans="1:39" s="119" customFormat="1" ht="15" customHeight="1" x14ac:dyDescent="0.3">
      <c r="A1062" s="119">
        <v>2017</v>
      </c>
      <c r="B1062" s="119" t="s">
        <v>38</v>
      </c>
      <c r="C1062" s="119" t="s">
        <v>75</v>
      </c>
      <c r="D1062" s="119" t="s">
        <v>76</v>
      </c>
      <c r="E1062" s="119" t="s">
        <v>118</v>
      </c>
      <c r="F1062" s="119" t="s">
        <v>930</v>
      </c>
      <c r="G1062" s="119" t="s">
        <v>930</v>
      </c>
      <c r="H1062" s="119" t="s">
        <v>930</v>
      </c>
      <c r="I1062" s="119" t="s">
        <v>170</v>
      </c>
      <c r="J1062" s="119" t="s">
        <v>171</v>
      </c>
      <c r="K1062" s="119" t="s">
        <v>172</v>
      </c>
      <c r="L1062" s="119" t="s">
        <v>931</v>
      </c>
      <c r="M1062" s="119" t="s">
        <v>185</v>
      </c>
      <c r="N1062" s="136">
        <v>0.1</v>
      </c>
      <c r="O1062" s="135" t="s">
        <v>51</v>
      </c>
      <c r="P1062" s="135"/>
      <c r="Q1062" s="137">
        <v>0</v>
      </c>
      <c r="R1062" s="137">
        <v>0</v>
      </c>
      <c r="S1062" s="137">
        <v>114000</v>
      </c>
      <c r="T1062" s="137">
        <f t="shared" si="233"/>
        <v>11400</v>
      </c>
      <c r="U1062" s="137">
        <f t="shared" si="237"/>
        <v>125400</v>
      </c>
      <c r="V1062" s="137">
        <v>114000</v>
      </c>
      <c r="W1062" s="137">
        <f t="shared" si="238"/>
        <v>11400</v>
      </c>
      <c r="X1062" s="137">
        <f t="shared" si="234"/>
        <v>10363.636363636362</v>
      </c>
      <c r="Y1062" s="137">
        <f t="shared" si="239"/>
        <v>1036.3636363636379</v>
      </c>
      <c r="Z1062" s="137">
        <v>118470.3</v>
      </c>
      <c r="AA1062" s="137">
        <f t="shared" si="235"/>
        <v>-4470.3000000000029</v>
      </c>
      <c r="AB1062" s="146">
        <f>IF(O1062="返货",Z1062/(1+N1062),IF(O1062="返现",Z1062,IF(O1062="折扣",Z1062*N1062,IF(O1062="无",Z1062))))</f>
        <v>107700.27272727272</v>
      </c>
      <c r="AC1062" s="147">
        <f t="shared" si="236"/>
        <v>10770.027272727282</v>
      </c>
      <c r="AD1062" s="137">
        <f>(Z1062-Q1062)*0.91072157793815</f>
        <v>107893.45855480601</v>
      </c>
      <c r="AE1062" s="138">
        <v>0.11269173273981201</v>
      </c>
      <c r="AF1062" s="137">
        <f t="shared" si="228"/>
        <v>12158.700795832183</v>
      </c>
      <c r="AG1062" s="137">
        <v>-170.52347845849499</v>
      </c>
      <c r="AH1062" s="154"/>
      <c r="AI1062" s="154"/>
      <c r="AJ1062" s="135" t="s">
        <v>69</v>
      </c>
      <c r="AK1062" s="119" t="s">
        <v>69</v>
      </c>
    </row>
    <row r="1063" spans="1:39" s="120" customFormat="1" ht="15" customHeight="1" x14ac:dyDescent="0.3">
      <c r="A1063" s="119">
        <v>2017</v>
      </c>
      <c r="B1063" s="119" t="s">
        <v>252</v>
      </c>
      <c r="C1063" s="119" t="s">
        <v>88</v>
      </c>
      <c r="D1063" s="119" t="s">
        <v>128</v>
      </c>
      <c r="E1063" s="119" t="s">
        <v>194</v>
      </c>
      <c r="F1063" s="119" t="s">
        <v>609</v>
      </c>
      <c r="G1063" s="119" t="s">
        <v>1023</v>
      </c>
      <c r="H1063" s="119" t="s">
        <v>1023</v>
      </c>
      <c r="I1063" s="119" t="s">
        <v>170</v>
      </c>
      <c r="J1063" s="119" t="s">
        <v>171</v>
      </c>
      <c r="K1063" s="119" t="s">
        <v>172</v>
      </c>
      <c r="L1063" s="119" t="s">
        <v>609</v>
      </c>
      <c r="M1063" s="119" t="s">
        <v>46</v>
      </c>
      <c r="N1063" s="136">
        <v>0.02</v>
      </c>
      <c r="O1063" s="135" t="s">
        <v>51</v>
      </c>
      <c r="P1063" s="135"/>
      <c r="Q1063" s="137">
        <v>64145.5</v>
      </c>
      <c r="R1063" s="137">
        <v>0</v>
      </c>
      <c r="S1063" s="137">
        <v>200000</v>
      </c>
      <c r="T1063" s="137">
        <f t="shared" si="233"/>
        <v>4000</v>
      </c>
      <c r="U1063" s="137">
        <f t="shared" si="237"/>
        <v>204000</v>
      </c>
      <c r="V1063" s="137">
        <v>200000</v>
      </c>
      <c r="W1063" s="137">
        <f t="shared" si="238"/>
        <v>4000</v>
      </c>
      <c r="X1063" s="137">
        <f t="shared" si="234"/>
        <v>3921.5686274509803</v>
      </c>
      <c r="Y1063" s="137">
        <f t="shared" si="239"/>
        <v>78.43137254901967</v>
      </c>
      <c r="Z1063" s="137">
        <v>3092864.5</v>
      </c>
      <c r="AA1063" s="137">
        <f t="shared" si="235"/>
        <v>-2828719</v>
      </c>
      <c r="AB1063" s="146">
        <f>IF(O1063="返货",(Z1063-Q1063)/(1+N1063),IF(O1063="返现",(Z1063-Q1063),IF(O1063="折扣",(Z1063-Q1063)*N1063,IF(O1063="无",(Z1063-Q1063)))))</f>
        <v>2969332.3529411764</v>
      </c>
      <c r="AC1063" s="147">
        <f t="shared" si="236"/>
        <v>123532.14705882361</v>
      </c>
      <c r="AD1063" s="137">
        <f t="shared" ref="AD1063:AD1072" si="245">(Z1063-Q1063)*0.89807640489087</f>
        <v>2720021.0709446711</v>
      </c>
      <c r="AE1063" s="138">
        <v>0.11269173273981201</v>
      </c>
      <c r="AF1063" s="137">
        <f t="shared" si="228"/>
        <v>306523.88757355412</v>
      </c>
      <c r="AG1063" s="137">
        <v>216073.29861825699</v>
      </c>
      <c r="AH1063" s="154"/>
      <c r="AI1063" s="154"/>
      <c r="AJ1063" s="136">
        <v>0.02</v>
      </c>
      <c r="AK1063" s="156">
        <v>0.02</v>
      </c>
      <c r="AL1063" s="119"/>
      <c r="AM1063" s="119"/>
    </row>
    <row r="1064" spans="1:39" s="120" customFormat="1" ht="15" customHeight="1" x14ac:dyDescent="0.3">
      <c r="A1064" s="119">
        <v>2017</v>
      </c>
      <c r="B1064" s="119" t="s">
        <v>38</v>
      </c>
      <c r="C1064" s="119" t="s">
        <v>88</v>
      </c>
      <c r="D1064" s="119" t="s">
        <v>128</v>
      </c>
      <c r="E1064" s="119" t="s">
        <v>194</v>
      </c>
      <c r="F1064" s="119" t="s">
        <v>609</v>
      </c>
      <c r="G1064" s="119" t="s">
        <v>609</v>
      </c>
      <c r="H1064" s="119" t="s">
        <v>609</v>
      </c>
      <c r="I1064" s="119" t="s">
        <v>170</v>
      </c>
      <c r="J1064" s="119" t="s">
        <v>171</v>
      </c>
      <c r="K1064" s="119" t="s">
        <v>172</v>
      </c>
      <c r="L1064" s="119" t="s">
        <v>609</v>
      </c>
      <c r="M1064" s="119" t="s">
        <v>46</v>
      </c>
      <c r="N1064" s="136">
        <v>0.02</v>
      </c>
      <c r="O1064" s="135" t="s">
        <v>51</v>
      </c>
      <c r="P1064" s="135"/>
      <c r="Q1064" s="137">
        <v>0</v>
      </c>
      <c r="R1064" s="137">
        <v>0</v>
      </c>
      <c r="S1064" s="137">
        <v>3000000</v>
      </c>
      <c r="T1064" s="137">
        <f t="shared" si="233"/>
        <v>60000</v>
      </c>
      <c r="U1064" s="137">
        <f t="shared" si="237"/>
        <v>3060000</v>
      </c>
      <c r="V1064" s="137">
        <v>2800370.51</v>
      </c>
      <c r="W1064" s="137">
        <f t="shared" si="238"/>
        <v>259629.49000000022</v>
      </c>
      <c r="X1064" s="137">
        <f t="shared" si="234"/>
        <v>254538.71568627472</v>
      </c>
      <c r="Y1064" s="137">
        <f t="shared" si="239"/>
        <v>5090.774313725502</v>
      </c>
      <c r="Z1064" s="137">
        <v>0</v>
      </c>
      <c r="AA1064" s="137">
        <f t="shared" si="235"/>
        <v>2800370.51</v>
      </c>
      <c r="AB1064" s="146">
        <f>IF(O1064="返货",Z1064/(1+N1064),IF(O1064="返现",Z1064,IF(O1064="折扣",Z1064*N1064,IF(O1064="无",Z1064))))</f>
        <v>0</v>
      </c>
      <c r="AC1064" s="147">
        <f t="shared" si="236"/>
        <v>0</v>
      </c>
      <c r="AD1064" s="137">
        <f t="shared" si="245"/>
        <v>0</v>
      </c>
      <c r="AE1064" s="138">
        <v>0.11269173273981201</v>
      </c>
      <c r="AF1064" s="137">
        <f t="shared" si="228"/>
        <v>0</v>
      </c>
      <c r="AG1064" s="137">
        <v>0</v>
      </c>
      <c r="AH1064" s="154"/>
      <c r="AI1064" s="154"/>
      <c r="AJ1064" s="136">
        <v>0.02</v>
      </c>
      <c r="AK1064" s="156">
        <v>0.02</v>
      </c>
      <c r="AL1064" s="119"/>
      <c r="AM1064" s="119"/>
    </row>
    <row r="1065" spans="1:39" s="119" customFormat="1" ht="15" customHeight="1" x14ac:dyDescent="0.3">
      <c r="A1065" s="119">
        <v>2017</v>
      </c>
      <c r="F1065" s="131" t="e">
        <v>#N/A</v>
      </c>
      <c r="G1065" s="131"/>
      <c r="H1065" s="131"/>
      <c r="I1065" s="119" t="s">
        <v>170</v>
      </c>
      <c r="J1065" s="119" t="s">
        <v>171</v>
      </c>
      <c r="K1065" s="119" t="s">
        <v>172</v>
      </c>
      <c r="L1065" s="119" t="s">
        <v>1024</v>
      </c>
      <c r="M1065" s="119" t="s">
        <v>46</v>
      </c>
      <c r="N1065" s="135">
        <v>0</v>
      </c>
      <c r="O1065" s="135" t="s">
        <v>47</v>
      </c>
      <c r="P1065" s="135" t="s">
        <v>852</v>
      </c>
      <c r="Q1065" s="137">
        <v>333098.59999999998</v>
      </c>
      <c r="R1065" s="137">
        <v>0</v>
      </c>
      <c r="S1065" s="137"/>
      <c r="T1065" s="137">
        <f t="shared" si="233"/>
        <v>0</v>
      </c>
      <c r="U1065" s="137">
        <f t="shared" si="237"/>
        <v>0</v>
      </c>
      <c r="V1065" s="137">
        <v>0</v>
      </c>
      <c r="W1065" s="137">
        <f t="shared" si="238"/>
        <v>0</v>
      </c>
      <c r="X1065" s="137">
        <f t="shared" si="234"/>
        <v>0</v>
      </c>
      <c r="Y1065" s="137">
        <f t="shared" si="239"/>
        <v>0</v>
      </c>
      <c r="Z1065" s="137">
        <v>333130.5</v>
      </c>
      <c r="AA1065" s="137">
        <f t="shared" si="235"/>
        <v>-31.900000000023283</v>
      </c>
      <c r="AB1065" s="146">
        <v>0</v>
      </c>
      <c r="AC1065" s="147">
        <f t="shared" si="236"/>
        <v>333130.5</v>
      </c>
      <c r="AD1065" s="137">
        <f t="shared" si="245"/>
        <v>28.648637316039665</v>
      </c>
      <c r="AE1065" s="138">
        <v>0.11269173273981201</v>
      </c>
      <c r="AF1065" s="137">
        <f t="shared" si="228"/>
        <v>3.2284645797789469</v>
      </c>
      <c r="AG1065" s="137">
        <v>29805.090379079498</v>
      </c>
      <c r="AH1065" s="154"/>
      <c r="AI1065" s="154"/>
      <c r="AJ1065" s="135" t="e">
        <v>#N/A</v>
      </c>
      <c r="AK1065" s="119" t="s">
        <v>47</v>
      </c>
      <c r="AM1065" s="131" t="s">
        <v>208</v>
      </c>
    </row>
    <row r="1066" spans="1:39" s="119" customFormat="1" ht="15" customHeight="1" x14ac:dyDescent="0.3">
      <c r="A1066" s="119">
        <v>2017</v>
      </c>
      <c r="F1066" s="131" t="e">
        <v>#N/A</v>
      </c>
      <c r="G1066" s="131"/>
      <c r="H1066" s="131"/>
      <c r="I1066" s="119" t="s">
        <v>170</v>
      </c>
      <c r="J1066" s="119" t="s">
        <v>171</v>
      </c>
      <c r="K1066" s="119" t="s">
        <v>172</v>
      </c>
      <c r="L1066" s="119" t="s">
        <v>1025</v>
      </c>
      <c r="M1066" s="119" t="s">
        <v>46</v>
      </c>
      <c r="N1066" s="135">
        <v>0</v>
      </c>
      <c r="O1066" s="135" t="s">
        <v>47</v>
      </c>
      <c r="P1066" s="135" t="s">
        <v>852</v>
      </c>
      <c r="Q1066" s="137">
        <v>211.29641960600799</v>
      </c>
      <c r="R1066" s="137">
        <v>0</v>
      </c>
      <c r="S1066" s="137"/>
      <c r="T1066" s="137">
        <f t="shared" si="233"/>
        <v>0</v>
      </c>
      <c r="U1066" s="137">
        <f t="shared" si="237"/>
        <v>0</v>
      </c>
      <c r="V1066" s="137">
        <v>0</v>
      </c>
      <c r="W1066" s="137">
        <f t="shared" si="238"/>
        <v>0</v>
      </c>
      <c r="X1066" s="137">
        <f t="shared" si="234"/>
        <v>0</v>
      </c>
      <c r="Y1066" s="137">
        <f t="shared" si="239"/>
        <v>0</v>
      </c>
      <c r="Z1066" s="137">
        <v>230.4</v>
      </c>
      <c r="AA1066" s="137">
        <f t="shared" si="235"/>
        <v>-19.103580393992019</v>
      </c>
      <c r="AB1066" s="146">
        <v>0</v>
      </c>
      <c r="AC1066" s="147">
        <f t="shared" si="236"/>
        <v>230.4</v>
      </c>
      <c r="AD1066" s="137">
        <f t="shared" si="245"/>
        <v>17.156474800780064</v>
      </c>
      <c r="AE1066" s="138">
        <v>0.11269173273981201</v>
      </c>
      <c r="AF1066" s="137">
        <f t="shared" si="228"/>
        <v>1.9333928730068264</v>
      </c>
      <c r="AG1066" s="137">
        <v>20.613821980695</v>
      </c>
      <c r="AH1066" s="154"/>
      <c r="AI1066" s="154"/>
      <c r="AJ1066" s="135" t="e">
        <v>#N/A</v>
      </c>
      <c r="AK1066" s="119" t="s">
        <v>47</v>
      </c>
      <c r="AM1066" s="131" t="s">
        <v>208</v>
      </c>
    </row>
    <row r="1067" spans="1:39" s="119" customFormat="1" ht="15" customHeight="1" x14ac:dyDescent="0.3">
      <c r="A1067" s="119">
        <v>2017</v>
      </c>
      <c r="C1067" s="119" t="s">
        <v>75</v>
      </c>
      <c r="F1067" s="131" t="s">
        <v>79</v>
      </c>
      <c r="G1067" s="131"/>
      <c r="H1067" s="131"/>
      <c r="I1067" s="119" t="s">
        <v>170</v>
      </c>
      <c r="J1067" s="119" t="s">
        <v>171</v>
      </c>
      <c r="K1067" s="119" t="s">
        <v>172</v>
      </c>
      <c r="L1067" s="119" t="s">
        <v>79</v>
      </c>
      <c r="M1067" s="119" t="s">
        <v>46</v>
      </c>
      <c r="N1067" s="135">
        <v>0</v>
      </c>
      <c r="O1067" s="135" t="s">
        <v>47</v>
      </c>
      <c r="P1067" s="135" t="s">
        <v>852</v>
      </c>
      <c r="Q1067" s="137">
        <v>44629.398794594701</v>
      </c>
      <c r="R1067" s="137">
        <v>0</v>
      </c>
      <c r="S1067" s="137"/>
      <c r="T1067" s="137">
        <f t="shared" si="233"/>
        <v>0</v>
      </c>
      <c r="U1067" s="137">
        <f t="shared" si="237"/>
        <v>0</v>
      </c>
      <c r="V1067" s="137">
        <v>0</v>
      </c>
      <c r="W1067" s="137">
        <f t="shared" si="238"/>
        <v>0</v>
      </c>
      <c r="X1067" s="137">
        <f t="shared" si="234"/>
        <v>0</v>
      </c>
      <c r="Y1067" s="137">
        <f t="shared" si="239"/>
        <v>0</v>
      </c>
      <c r="Z1067" s="137">
        <v>48664.4</v>
      </c>
      <c r="AA1067" s="137">
        <f t="shared" si="235"/>
        <v>-4035.0012054053004</v>
      </c>
      <c r="AB1067" s="146">
        <v>0</v>
      </c>
      <c r="AC1067" s="147">
        <f t="shared" si="236"/>
        <v>48664.4</v>
      </c>
      <c r="AD1067" s="137">
        <f t="shared" si="245"/>
        <v>3623.7393762807192</v>
      </c>
      <c r="AE1067" s="138">
        <v>0.11269173273981201</v>
      </c>
      <c r="AF1067" s="137">
        <f t="shared" si="228"/>
        <v>408.36546931055983</v>
      </c>
      <c r="AG1067" s="137">
        <v>4353.9899235995299</v>
      </c>
      <c r="AH1067" s="154"/>
      <c r="AI1067" s="154"/>
      <c r="AJ1067" s="135" t="e">
        <v>#N/A</v>
      </c>
      <c r="AK1067" s="119" t="s">
        <v>47</v>
      </c>
      <c r="AM1067" s="131" t="s">
        <v>208</v>
      </c>
    </row>
    <row r="1068" spans="1:39" s="119" customFormat="1" ht="15" customHeight="1" x14ac:dyDescent="0.3">
      <c r="A1068" s="119">
        <v>2017</v>
      </c>
      <c r="F1068" s="131" t="str">
        <f>L1068</f>
        <v>上海陆家嘴国际金融资产交易市场股份有限公</v>
      </c>
      <c r="G1068" s="131"/>
      <c r="H1068" s="131"/>
      <c r="I1068" s="119" t="s">
        <v>170</v>
      </c>
      <c r="J1068" s="119" t="s">
        <v>171</v>
      </c>
      <c r="K1068" s="119" t="s">
        <v>172</v>
      </c>
      <c r="L1068" s="119" t="s">
        <v>1026</v>
      </c>
      <c r="M1068" s="119" t="s">
        <v>46</v>
      </c>
      <c r="N1068" s="135">
        <v>0</v>
      </c>
      <c r="O1068" s="135" t="s">
        <v>47</v>
      </c>
      <c r="P1068" s="135" t="s">
        <v>852</v>
      </c>
      <c r="Q1068" s="137">
        <v>27229.358740477001</v>
      </c>
      <c r="R1068" s="137">
        <v>0</v>
      </c>
      <c r="S1068" s="137"/>
      <c r="T1068" s="137">
        <f t="shared" si="233"/>
        <v>0</v>
      </c>
      <c r="U1068" s="137">
        <f t="shared" si="237"/>
        <v>0</v>
      </c>
      <c r="V1068" s="137">
        <v>0</v>
      </c>
      <c r="W1068" s="137">
        <f t="shared" si="238"/>
        <v>0</v>
      </c>
      <c r="X1068" s="137">
        <f t="shared" si="234"/>
        <v>0</v>
      </c>
      <c r="Y1068" s="137">
        <f t="shared" si="239"/>
        <v>0</v>
      </c>
      <c r="Z1068" s="137">
        <v>29691.200000000001</v>
      </c>
      <c r="AA1068" s="137">
        <f t="shared" si="235"/>
        <v>-2461.8412595230002</v>
      </c>
      <c r="AB1068" s="146">
        <v>0</v>
      </c>
      <c r="AC1068" s="147">
        <f t="shared" si="236"/>
        <v>29691.200000000001</v>
      </c>
      <c r="AD1068" s="137">
        <f t="shared" si="245"/>
        <v>2210.9215477644275</v>
      </c>
      <c r="AE1068" s="138">
        <v>0.11269173273981201</v>
      </c>
      <c r="AF1068" s="137">
        <f t="shared" si="228"/>
        <v>249.15258016936036</v>
      </c>
      <c r="AG1068" s="137">
        <v>2656.46315622053</v>
      </c>
      <c r="AH1068" s="154"/>
      <c r="AI1068" s="154"/>
      <c r="AJ1068" s="135" t="e">
        <v>#N/A</v>
      </c>
      <c r="AK1068" s="119" t="s">
        <v>47</v>
      </c>
      <c r="AM1068" s="131" t="s">
        <v>208</v>
      </c>
    </row>
    <row r="1069" spans="1:39" s="119" customFormat="1" ht="15" customHeight="1" x14ac:dyDescent="0.3">
      <c r="A1069" s="119">
        <v>2017</v>
      </c>
      <c r="B1069" s="119" t="s">
        <v>38</v>
      </c>
      <c r="C1069" s="119" t="s">
        <v>88</v>
      </c>
      <c r="D1069" s="119" t="s">
        <v>128</v>
      </c>
      <c r="E1069" s="119" t="s">
        <v>194</v>
      </c>
      <c r="F1069" s="119" t="s">
        <v>608</v>
      </c>
      <c r="G1069" s="119" t="s">
        <v>608</v>
      </c>
      <c r="H1069" s="119" t="s">
        <v>608</v>
      </c>
      <c r="I1069" s="119" t="s">
        <v>170</v>
      </c>
      <c r="J1069" s="119" t="s">
        <v>171</v>
      </c>
      <c r="K1069" s="119" t="s">
        <v>172</v>
      </c>
      <c r="L1069" s="119" t="s">
        <v>608</v>
      </c>
      <c r="M1069" s="119" t="s">
        <v>46</v>
      </c>
      <c r="N1069" s="136">
        <v>0.04</v>
      </c>
      <c r="O1069" s="135" t="s">
        <v>51</v>
      </c>
      <c r="P1069" s="135"/>
      <c r="Q1069" s="137">
        <v>0</v>
      </c>
      <c r="R1069" s="137">
        <v>0</v>
      </c>
      <c r="S1069" s="137">
        <v>152020</v>
      </c>
      <c r="T1069" s="137">
        <f t="shared" si="233"/>
        <v>6080.8</v>
      </c>
      <c r="U1069" s="137">
        <f t="shared" si="237"/>
        <v>158100.79999999999</v>
      </c>
      <c r="V1069" s="137">
        <v>155885.5</v>
      </c>
      <c r="W1069" s="137">
        <f t="shared" si="238"/>
        <v>2215.2999999999884</v>
      </c>
      <c r="X1069" s="137">
        <f t="shared" si="234"/>
        <v>2130.0961538461424</v>
      </c>
      <c r="Y1069" s="137">
        <f t="shared" si="239"/>
        <v>85.203846153845916</v>
      </c>
      <c r="Z1069" s="137">
        <v>158098.9</v>
      </c>
      <c r="AA1069" s="137">
        <f t="shared" si="235"/>
        <v>-2213.3999999999942</v>
      </c>
      <c r="AB1069" s="146">
        <f>IF(O1069="返货",Z1069/(1+N1069),IF(O1069="返现",Z1069,IF(O1069="折扣",Z1069*N1069,IF(O1069="无",Z1069))))</f>
        <v>152018.17307692306</v>
      </c>
      <c r="AC1069" s="147">
        <f t="shared" si="236"/>
        <v>6080.7269230769307</v>
      </c>
      <c r="AD1069" s="137">
        <f t="shared" si="245"/>
        <v>141984.89172920116</v>
      </c>
      <c r="AE1069" s="138">
        <v>0.11269173273981201</v>
      </c>
      <c r="AF1069" s="137">
        <f t="shared" si="228"/>
        <v>16000.523471838282</v>
      </c>
      <c r="AG1069" s="137">
        <v>8064.3363579286997</v>
      </c>
      <c r="AH1069" s="154"/>
      <c r="AI1069" s="154"/>
      <c r="AJ1069" s="136">
        <v>0.04</v>
      </c>
      <c r="AK1069" s="156">
        <v>0.04</v>
      </c>
    </row>
    <row r="1070" spans="1:39" s="119" customFormat="1" ht="15" customHeight="1" x14ac:dyDescent="0.3">
      <c r="A1070" s="119">
        <v>2017</v>
      </c>
      <c r="C1070" s="119" t="s">
        <v>75</v>
      </c>
      <c r="D1070" s="119" t="s">
        <v>518</v>
      </c>
      <c r="F1070" s="131" t="e">
        <v>#N/A</v>
      </c>
      <c r="G1070" s="131"/>
      <c r="H1070" s="131"/>
      <c r="I1070" s="119" t="s">
        <v>170</v>
      </c>
      <c r="J1070" s="119" t="s">
        <v>171</v>
      </c>
      <c r="K1070" s="119" t="s">
        <v>172</v>
      </c>
      <c r="L1070" s="119" t="s">
        <v>1027</v>
      </c>
      <c r="M1070" s="119" t="s">
        <v>46</v>
      </c>
      <c r="N1070" s="135">
        <v>0</v>
      </c>
      <c r="O1070" s="135" t="s">
        <v>47</v>
      </c>
      <c r="P1070" s="135" t="s">
        <v>852</v>
      </c>
      <c r="Q1070" s="137">
        <v>1198325</v>
      </c>
      <c r="R1070" s="137">
        <v>0</v>
      </c>
      <c r="S1070" s="137"/>
      <c r="T1070" s="137">
        <f t="shared" si="233"/>
        <v>0</v>
      </c>
      <c r="U1070" s="137">
        <f t="shared" si="237"/>
        <v>0</v>
      </c>
      <c r="V1070" s="137">
        <v>0</v>
      </c>
      <c r="W1070" s="137">
        <f t="shared" si="238"/>
        <v>0</v>
      </c>
      <c r="X1070" s="137">
        <f t="shared" si="234"/>
        <v>0</v>
      </c>
      <c r="Y1070" s="137">
        <f t="shared" si="239"/>
        <v>0</v>
      </c>
      <c r="Z1070" s="137">
        <v>321708.7</v>
      </c>
      <c r="AA1070" s="137">
        <f t="shared" si="235"/>
        <v>876616.3</v>
      </c>
      <c r="AB1070" s="146">
        <v>0</v>
      </c>
      <c r="AC1070" s="147">
        <f t="shared" si="236"/>
        <v>321708.7</v>
      </c>
      <c r="AD1070" s="137">
        <f t="shared" si="245"/>
        <v>-787268.41517273639</v>
      </c>
      <c r="AE1070" s="138">
        <v>0.11269173273981201</v>
      </c>
      <c r="AF1070" s="137">
        <f t="shared" ref="AF1070:AF1097" si="246">AD1070*AE1070</f>
        <v>-88718.641837141375</v>
      </c>
      <c r="AG1070" s="137">
        <v>28783.185205906299</v>
      </c>
      <c r="AH1070" s="154"/>
      <c r="AI1070" s="154"/>
      <c r="AJ1070" s="135" t="e">
        <v>#N/A</v>
      </c>
      <c r="AK1070" s="119" t="s">
        <v>47</v>
      </c>
      <c r="AM1070" s="131" t="s">
        <v>208</v>
      </c>
    </row>
    <row r="1071" spans="1:39" s="119" customFormat="1" ht="15" customHeight="1" x14ac:dyDescent="0.3">
      <c r="A1071" s="119">
        <v>2017</v>
      </c>
      <c r="B1071" s="119" t="s">
        <v>38</v>
      </c>
      <c r="C1071" s="119" t="s">
        <v>75</v>
      </c>
      <c r="D1071" s="119" t="s">
        <v>256</v>
      </c>
      <c r="F1071" s="131" t="s">
        <v>933</v>
      </c>
      <c r="G1071" s="131" t="s">
        <v>933</v>
      </c>
      <c r="H1071" s="131" t="s">
        <v>933</v>
      </c>
      <c r="I1071" s="119" t="s">
        <v>170</v>
      </c>
      <c r="J1071" s="119" t="s">
        <v>171</v>
      </c>
      <c r="K1071" s="119" t="s">
        <v>172</v>
      </c>
      <c r="L1071" s="119" t="s">
        <v>933</v>
      </c>
      <c r="M1071" s="119" t="s">
        <v>46</v>
      </c>
      <c r="N1071" s="135">
        <v>0</v>
      </c>
      <c r="O1071" s="135" t="s">
        <v>47</v>
      </c>
      <c r="P1071" s="135"/>
      <c r="Q1071" s="137">
        <v>24446.738964571901</v>
      </c>
      <c r="R1071" s="137">
        <v>0</v>
      </c>
      <c r="S1071" s="137"/>
      <c r="T1071" s="137">
        <f t="shared" si="233"/>
        <v>0</v>
      </c>
      <c r="U1071" s="137">
        <f t="shared" si="237"/>
        <v>0</v>
      </c>
      <c r="V1071" s="137">
        <v>0</v>
      </c>
      <c r="W1071" s="137">
        <f t="shared" si="238"/>
        <v>0</v>
      </c>
      <c r="X1071" s="137">
        <f t="shared" si="234"/>
        <v>0</v>
      </c>
      <c r="Y1071" s="137">
        <f t="shared" si="239"/>
        <v>0</v>
      </c>
      <c r="Z1071" s="137">
        <v>26657</v>
      </c>
      <c r="AA1071" s="137">
        <f t="shared" si="235"/>
        <v>-2210.2610354280987</v>
      </c>
      <c r="AB1071" s="146">
        <f>IF(O1071="返货",(Z1071-Q1071)/(1+N1071),IF(O1071="返现",(Z1071-Q1071),IF(O1071="折扣",(Z1071-Q1071)*N1071,IF(O1071="无",(Z1071-Q1071)))))</f>
        <v>2210.2610354280987</v>
      </c>
      <c r="AC1071" s="147">
        <f t="shared" si="236"/>
        <v>24446.738964571901</v>
      </c>
      <c r="AD1071" s="137">
        <f t="shared" si="245"/>
        <v>1984.9832845676387</v>
      </c>
      <c r="AE1071" s="138">
        <v>0.11269173273981201</v>
      </c>
      <c r="AF1071" s="137">
        <f t="shared" si="246"/>
        <v>223.69120579749054</v>
      </c>
      <c r="AG1071" s="137">
        <v>2384.9941516466401</v>
      </c>
      <c r="AH1071" s="154"/>
      <c r="AI1071" s="154"/>
      <c r="AJ1071" s="135" t="e">
        <v>#N/A</v>
      </c>
      <c r="AK1071" s="156">
        <v>1</v>
      </c>
      <c r="AM1071" s="131" t="s">
        <v>208</v>
      </c>
    </row>
    <row r="1072" spans="1:39" s="119" customFormat="1" ht="15" customHeight="1" x14ac:dyDescent="0.3">
      <c r="A1072" s="119">
        <v>2017</v>
      </c>
      <c r="C1072" s="119" t="s">
        <v>59</v>
      </c>
      <c r="F1072" s="165"/>
      <c r="G1072" s="131"/>
      <c r="H1072" s="131"/>
      <c r="I1072" s="119" t="s">
        <v>170</v>
      </c>
      <c r="J1072" s="119" t="s">
        <v>171</v>
      </c>
      <c r="K1072" s="119" t="s">
        <v>172</v>
      </c>
      <c r="L1072" s="119" t="s">
        <v>1028</v>
      </c>
      <c r="M1072" s="119" t="s">
        <v>46</v>
      </c>
      <c r="N1072" s="135">
        <v>0</v>
      </c>
      <c r="O1072" s="135" t="s">
        <v>47</v>
      </c>
      <c r="P1072" s="135" t="s">
        <v>852</v>
      </c>
      <c r="Q1072" s="137">
        <v>24100.722735763899</v>
      </c>
      <c r="R1072" s="137">
        <v>0</v>
      </c>
      <c r="S1072" s="137"/>
      <c r="T1072" s="137">
        <f t="shared" si="233"/>
        <v>0</v>
      </c>
      <c r="U1072" s="137">
        <f t="shared" si="237"/>
        <v>0</v>
      </c>
      <c r="V1072" s="137">
        <v>0</v>
      </c>
      <c r="W1072" s="137">
        <f t="shared" si="238"/>
        <v>0</v>
      </c>
      <c r="X1072" s="137">
        <f t="shared" si="234"/>
        <v>0</v>
      </c>
      <c r="Y1072" s="137">
        <f t="shared" si="239"/>
        <v>0</v>
      </c>
      <c r="Z1072" s="166">
        <v>26279.7</v>
      </c>
      <c r="AA1072" s="137">
        <f t="shared" si="235"/>
        <v>-2178.9772642361022</v>
      </c>
      <c r="AB1072" s="146">
        <v>0</v>
      </c>
      <c r="AC1072" s="147">
        <f t="shared" si="236"/>
        <v>26279.7</v>
      </c>
      <c r="AD1072" s="137">
        <f t="shared" si="245"/>
        <v>1956.8880678041021</v>
      </c>
      <c r="AE1072" s="138">
        <v>0.11269173273981201</v>
      </c>
      <c r="AF1072" s="137">
        <f t="shared" si="246"/>
        <v>220.525107138707</v>
      </c>
      <c r="AG1072" s="137">
        <v>2351.2372287589801</v>
      </c>
      <c r="AH1072" s="154"/>
      <c r="AI1072" s="154"/>
      <c r="AJ1072" s="135" t="s">
        <v>173</v>
      </c>
      <c r="AK1072" s="119" t="s">
        <v>47</v>
      </c>
      <c r="AM1072" s="131" t="s">
        <v>208</v>
      </c>
    </row>
    <row r="1073" spans="1:40" s="119" customFormat="1" ht="15" customHeight="1" x14ac:dyDescent="0.3">
      <c r="A1073" s="119">
        <v>2017</v>
      </c>
      <c r="B1073" s="119" t="s">
        <v>38</v>
      </c>
      <c r="C1073" s="119" t="s">
        <v>110</v>
      </c>
      <c r="D1073" s="119" t="s">
        <v>280</v>
      </c>
      <c r="F1073" s="131" t="s">
        <v>630</v>
      </c>
      <c r="G1073" s="131" t="s">
        <v>630</v>
      </c>
      <c r="H1073" s="131" t="s">
        <v>630</v>
      </c>
      <c r="I1073" s="119" t="s">
        <v>170</v>
      </c>
      <c r="J1073" s="119" t="s">
        <v>171</v>
      </c>
      <c r="K1073" s="119" t="s">
        <v>172</v>
      </c>
      <c r="L1073" s="119" t="s">
        <v>630</v>
      </c>
      <c r="M1073" s="119" t="s">
        <v>185</v>
      </c>
      <c r="N1073" s="136">
        <v>0.08</v>
      </c>
      <c r="O1073" s="135" t="s">
        <v>51</v>
      </c>
      <c r="P1073" s="135"/>
      <c r="Q1073" s="137">
        <v>0</v>
      </c>
      <c r="R1073" s="137">
        <v>0</v>
      </c>
      <c r="S1073" s="137"/>
      <c r="T1073" s="137">
        <f t="shared" si="233"/>
        <v>0</v>
      </c>
      <c r="U1073" s="137">
        <f t="shared" si="237"/>
        <v>0</v>
      </c>
      <c r="V1073" s="137">
        <v>0</v>
      </c>
      <c r="W1073" s="137">
        <f t="shared" si="238"/>
        <v>0</v>
      </c>
      <c r="X1073" s="137">
        <f t="shared" si="234"/>
        <v>0</v>
      </c>
      <c r="Y1073" s="137">
        <f t="shared" si="239"/>
        <v>0</v>
      </c>
      <c r="Z1073" s="137">
        <v>1741.57</v>
      </c>
      <c r="AA1073" s="137">
        <f t="shared" si="235"/>
        <v>-1741.57</v>
      </c>
      <c r="AB1073" s="146">
        <f>IF(O1073="返货",Z1073/(1+N1073),IF(O1073="返现",Z1073,IF(O1073="折扣",Z1073*N1073,IF(O1073="无",Z1073))))</f>
        <v>1612.5648148148146</v>
      </c>
      <c r="AC1073" s="147">
        <f t="shared" si="236"/>
        <v>129.00518518518538</v>
      </c>
      <c r="AD1073" s="137">
        <f>(Z1073-Q1073)*0.91072157793815</f>
        <v>1586.0853784897438</v>
      </c>
      <c r="AE1073" s="138">
        <v>0.11269173273981201</v>
      </c>
      <c r="AF1073" s="137">
        <f t="shared" si="246"/>
        <v>178.73870957528979</v>
      </c>
      <c r="AG1073" s="137">
        <v>26.812583681650398</v>
      </c>
      <c r="AH1073" s="154"/>
      <c r="AI1073" s="154"/>
      <c r="AJ1073" s="136">
        <v>0.08</v>
      </c>
      <c r="AK1073" s="119" t="s">
        <v>47</v>
      </c>
      <c r="AM1073" s="131" t="s">
        <v>208</v>
      </c>
    </row>
    <row r="1074" spans="1:40" s="119" customFormat="1" ht="15" customHeight="1" x14ac:dyDescent="0.3">
      <c r="A1074" s="119">
        <v>2017</v>
      </c>
      <c r="B1074" s="119" t="s">
        <v>38</v>
      </c>
      <c r="C1074" s="119" t="s">
        <v>59</v>
      </c>
      <c r="D1074" s="119" t="s">
        <v>106</v>
      </c>
      <c r="E1074" s="119" t="s">
        <v>107</v>
      </c>
      <c r="F1074" s="119" t="s">
        <v>1029</v>
      </c>
      <c r="G1074" s="119" t="s">
        <v>1029</v>
      </c>
      <c r="H1074" s="119" t="s">
        <v>1029</v>
      </c>
      <c r="I1074" s="119" t="s">
        <v>170</v>
      </c>
      <c r="J1074" s="119" t="s">
        <v>171</v>
      </c>
      <c r="K1074" s="119" t="s">
        <v>172</v>
      </c>
      <c r="L1074" s="119" t="s">
        <v>1029</v>
      </c>
      <c r="M1074" s="119" t="s">
        <v>46</v>
      </c>
      <c r="N1074" s="136">
        <v>0.04</v>
      </c>
      <c r="O1074" s="135" t="s">
        <v>51</v>
      </c>
      <c r="P1074" s="135"/>
      <c r="Q1074" s="137">
        <v>0</v>
      </c>
      <c r="R1074" s="137">
        <v>0</v>
      </c>
      <c r="S1074" s="137">
        <v>70000</v>
      </c>
      <c r="T1074" s="137">
        <f t="shared" si="233"/>
        <v>2800</v>
      </c>
      <c r="U1074" s="137">
        <f t="shared" si="237"/>
        <v>72800</v>
      </c>
      <c r="V1074" s="137">
        <v>71400</v>
      </c>
      <c r="W1074" s="137">
        <f t="shared" si="238"/>
        <v>1400</v>
      </c>
      <c r="X1074" s="137">
        <f t="shared" si="234"/>
        <v>1346.1538461538462</v>
      </c>
      <c r="Y1074" s="137">
        <f t="shared" si="239"/>
        <v>53.846153846153811</v>
      </c>
      <c r="Z1074" s="137">
        <v>72915.7</v>
      </c>
      <c r="AA1074" s="137">
        <f t="shared" si="235"/>
        <v>-1515.6999999999971</v>
      </c>
      <c r="AB1074" s="146">
        <f>IF(O1074="返货",Z1074/(1+N1074),IF(O1074="返现",Z1074,IF(O1074="折扣",Z1074*N1074,IF(O1074="无",Z1074))))</f>
        <v>70111.25</v>
      </c>
      <c r="AC1074" s="147">
        <f t="shared" si="236"/>
        <v>2804.4499999999971</v>
      </c>
      <c r="AD1074" s="137">
        <f>(Z1074-Q1074)*0.89807640489087</f>
        <v>65483.86971610121</v>
      </c>
      <c r="AE1074" s="138">
        <v>0.11269173273981201</v>
      </c>
      <c r="AF1074" s="137">
        <f t="shared" si="246"/>
        <v>7379.4907448155463</v>
      </c>
      <c r="AG1074" s="137">
        <v>3719.29678558056</v>
      </c>
      <c r="AH1074" s="154"/>
      <c r="AI1074" s="154"/>
      <c r="AJ1074" s="135" t="s">
        <v>186</v>
      </c>
      <c r="AK1074" s="119" t="s">
        <v>186</v>
      </c>
    </row>
    <row r="1075" spans="1:40" s="119" customFormat="1" ht="15" customHeight="1" x14ac:dyDescent="0.3">
      <c r="A1075" s="119">
        <v>2017</v>
      </c>
      <c r="B1075" s="119" t="s">
        <v>38</v>
      </c>
      <c r="C1075" s="119" t="s">
        <v>110</v>
      </c>
      <c r="D1075" s="119" t="s">
        <v>111</v>
      </c>
      <c r="E1075" s="119" t="s">
        <v>281</v>
      </c>
      <c r="F1075" s="119" t="s">
        <v>623</v>
      </c>
      <c r="G1075" s="119" t="s">
        <v>623</v>
      </c>
      <c r="H1075" s="119" t="s">
        <v>623</v>
      </c>
      <c r="I1075" s="163" t="s">
        <v>204</v>
      </c>
      <c r="J1075" s="119" t="s">
        <v>624</v>
      </c>
      <c r="K1075" s="119" t="s">
        <v>625</v>
      </c>
      <c r="L1075" s="119" t="s">
        <v>623</v>
      </c>
      <c r="M1075" s="119" t="s">
        <v>185</v>
      </c>
      <c r="N1075" s="136">
        <v>0.08</v>
      </c>
      <c r="O1075" s="135" t="s">
        <v>51</v>
      </c>
      <c r="P1075" s="135"/>
      <c r="Q1075" s="137">
        <v>0</v>
      </c>
      <c r="R1075" s="137">
        <v>0</v>
      </c>
      <c r="S1075" s="137">
        <v>1470.59</v>
      </c>
      <c r="T1075" s="137">
        <f t="shared" si="233"/>
        <v>117.6472</v>
      </c>
      <c r="U1075" s="137">
        <f t="shared" si="237"/>
        <v>1588.2372</v>
      </c>
      <c r="V1075" s="137">
        <v>0</v>
      </c>
      <c r="W1075" s="137">
        <f t="shared" si="238"/>
        <v>1588.2372</v>
      </c>
      <c r="X1075" s="137">
        <f t="shared" si="234"/>
        <v>1470.59</v>
      </c>
      <c r="Y1075" s="137">
        <f t="shared" si="239"/>
        <v>117.64720000000011</v>
      </c>
      <c r="Z1075" s="137">
        <v>1500</v>
      </c>
      <c r="AA1075" s="137">
        <f t="shared" si="235"/>
        <v>-1500</v>
      </c>
      <c r="AB1075" s="146">
        <f>IF(O1075="返货",Z1075/(1+N1075),IF(O1075="返现",Z1075,IF(O1075="折扣",Z1075*N1075,IF(O1075="无",Z1075))))</f>
        <v>1388.8888888888887</v>
      </c>
      <c r="AC1075" s="147">
        <f t="shared" si="236"/>
        <v>111.11111111111131</v>
      </c>
      <c r="AD1075" s="137">
        <f>Z1075*0.734226585667168</f>
        <v>1101.3398785007521</v>
      </c>
      <c r="AE1075" s="138">
        <v>0.2</v>
      </c>
      <c r="AF1075" s="137">
        <f t="shared" si="246"/>
        <v>220.26797570015043</v>
      </c>
      <c r="AG1075" s="137">
        <v>188.888888888889</v>
      </c>
      <c r="AH1075" s="154"/>
      <c r="AI1075" s="154"/>
      <c r="AJ1075" s="135" t="s">
        <v>53</v>
      </c>
      <c r="AK1075" s="119" t="s">
        <v>53</v>
      </c>
      <c r="AM1075" s="131"/>
    </row>
    <row r="1076" spans="1:40" s="119" customFormat="1" ht="15" customHeight="1" x14ac:dyDescent="0.3">
      <c r="A1076" s="119">
        <v>2017</v>
      </c>
      <c r="F1076" s="131" t="e">
        <v>#N/A</v>
      </c>
      <c r="G1076" s="131"/>
      <c r="H1076" s="131"/>
      <c r="I1076" s="119" t="s">
        <v>170</v>
      </c>
      <c r="J1076" s="119" t="s">
        <v>171</v>
      </c>
      <c r="K1076" s="119" t="s">
        <v>172</v>
      </c>
      <c r="L1076" s="119" t="s">
        <v>1030</v>
      </c>
      <c r="M1076" s="119" t="s">
        <v>46</v>
      </c>
      <c r="N1076" s="135">
        <v>0</v>
      </c>
      <c r="O1076" s="135" t="s">
        <v>47</v>
      </c>
      <c r="P1076" s="135" t="s">
        <v>852</v>
      </c>
      <c r="Q1076" s="137">
        <v>8839.9672216416402</v>
      </c>
      <c r="R1076" s="137">
        <v>0</v>
      </c>
      <c r="S1076" s="137"/>
      <c r="T1076" s="137">
        <f t="shared" si="233"/>
        <v>0</v>
      </c>
      <c r="U1076" s="137">
        <f t="shared" si="237"/>
        <v>0</v>
      </c>
      <c r="V1076" s="137">
        <v>0</v>
      </c>
      <c r="W1076" s="137">
        <f t="shared" si="238"/>
        <v>0</v>
      </c>
      <c r="X1076" s="137">
        <f t="shared" si="234"/>
        <v>0</v>
      </c>
      <c r="Y1076" s="137">
        <f t="shared" si="239"/>
        <v>0</v>
      </c>
      <c r="Z1076" s="137">
        <v>9639.2000000000007</v>
      </c>
      <c r="AA1076" s="137">
        <f t="shared" si="235"/>
        <v>-799.23277835836052</v>
      </c>
      <c r="AB1076" s="146">
        <v>0</v>
      </c>
      <c r="AC1076" s="147">
        <f t="shared" si="236"/>
        <v>9639.2000000000007</v>
      </c>
      <c r="AD1076" s="137">
        <f t="shared" ref="AD1076:AD1077" si="247">(Z1076-Q1076)*0.89807640489087</f>
        <v>717.77210025901798</v>
      </c>
      <c r="AE1076" s="138">
        <v>0.11269173273981201</v>
      </c>
      <c r="AF1076" s="137">
        <f t="shared" si="246"/>
        <v>80.886981690482799</v>
      </c>
      <c r="AG1076" s="137">
        <v>862.41646196317299</v>
      </c>
      <c r="AH1076" s="154"/>
      <c r="AI1076" s="154"/>
      <c r="AJ1076" s="135" t="e">
        <v>#N/A</v>
      </c>
      <c r="AK1076" s="119" t="s">
        <v>47</v>
      </c>
      <c r="AM1076" s="131" t="s">
        <v>208</v>
      </c>
    </row>
    <row r="1077" spans="1:40" s="119" customFormat="1" ht="15" customHeight="1" x14ac:dyDescent="0.3">
      <c r="A1077" s="119">
        <v>2017</v>
      </c>
      <c r="F1077" s="131" t="e">
        <v>#N/A</v>
      </c>
      <c r="G1077" s="131"/>
      <c r="H1077" s="131"/>
      <c r="I1077" s="119" t="s">
        <v>170</v>
      </c>
      <c r="J1077" s="119" t="s">
        <v>171</v>
      </c>
      <c r="K1077" s="119" t="s">
        <v>172</v>
      </c>
      <c r="L1077" s="119" t="s">
        <v>1031</v>
      </c>
      <c r="M1077" s="119" t="s">
        <v>46</v>
      </c>
      <c r="N1077" s="135">
        <v>0</v>
      </c>
      <c r="O1077" s="135" t="s">
        <v>47</v>
      </c>
      <c r="P1077" s="135" t="s">
        <v>852</v>
      </c>
      <c r="Q1077" s="137">
        <v>8823.9182314371901</v>
      </c>
      <c r="R1077" s="137">
        <v>0</v>
      </c>
      <c r="S1077" s="137"/>
      <c r="T1077" s="137">
        <f t="shared" si="233"/>
        <v>0</v>
      </c>
      <c r="U1077" s="137">
        <f t="shared" si="237"/>
        <v>0</v>
      </c>
      <c r="V1077" s="137">
        <v>0</v>
      </c>
      <c r="W1077" s="137">
        <f t="shared" si="238"/>
        <v>0</v>
      </c>
      <c r="X1077" s="137">
        <f t="shared" si="234"/>
        <v>0</v>
      </c>
      <c r="Y1077" s="137">
        <f t="shared" si="239"/>
        <v>0</v>
      </c>
      <c r="Z1077" s="137">
        <v>9621.7000000000007</v>
      </c>
      <c r="AA1077" s="137">
        <f t="shared" si="235"/>
        <v>-797.78176856281061</v>
      </c>
      <c r="AB1077" s="146">
        <v>0</v>
      </c>
      <c r="AC1077" s="147">
        <f t="shared" si="236"/>
        <v>9621.7000000000007</v>
      </c>
      <c r="AD1077" s="137">
        <f t="shared" si="247"/>
        <v>716.46898259836905</v>
      </c>
      <c r="AE1077" s="138">
        <v>0.11269173273981201</v>
      </c>
      <c r="AF1077" s="137">
        <f t="shared" si="246"/>
        <v>80.740131103340431</v>
      </c>
      <c r="AG1077" s="137">
        <v>860.85074197766005</v>
      </c>
      <c r="AH1077" s="154"/>
      <c r="AI1077" s="154"/>
      <c r="AJ1077" s="135" t="e">
        <v>#N/A</v>
      </c>
      <c r="AK1077" s="119" t="s">
        <v>47</v>
      </c>
      <c r="AM1077" s="131" t="s">
        <v>208</v>
      </c>
    </row>
    <row r="1078" spans="1:40" s="119" customFormat="1" ht="15" customHeight="1" x14ac:dyDescent="0.3">
      <c r="A1078" s="119">
        <v>2017</v>
      </c>
      <c r="F1078" s="131" t="e">
        <v>#N/A</v>
      </c>
      <c r="G1078" s="131"/>
      <c r="H1078" s="131"/>
      <c r="I1078" s="119" t="s">
        <v>170</v>
      </c>
      <c r="J1078" s="119" t="s">
        <v>171</v>
      </c>
      <c r="K1078" s="119" t="s">
        <v>172</v>
      </c>
      <c r="L1078" s="119" t="s">
        <v>1032</v>
      </c>
      <c r="M1078" s="119" t="s">
        <v>185</v>
      </c>
      <c r="N1078" s="135">
        <v>0</v>
      </c>
      <c r="O1078" s="135" t="s">
        <v>47</v>
      </c>
      <c r="P1078" s="135" t="s">
        <v>852</v>
      </c>
      <c r="Q1078" s="137">
        <v>2753.2638801083399</v>
      </c>
      <c r="R1078" s="137">
        <v>0</v>
      </c>
      <c r="S1078" s="137"/>
      <c r="T1078" s="137">
        <f t="shared" si="233"/>
        <v>0</v>
      </c>
      <c r="U1078" s="137">
        <f t="shared" si="237"/>
        <v>0</v>
      </c>
      <c r="V1078" s="137">
        <v>0</v>
      </c>
      <c r="W1078" s="137">
        <f t="shared" si="238"/>
        <v>0</v>
      </c>
      <c r="X1078" s="137">
        <f t="shared" si="234"/>
        <v>0</v>
      </c>
      <c r="Y1078" s="137">
        <f t="shared" si="239"/>
        <v>0</v>
      </c>
      <c r="Z1078" s="137">
        <v>2610.6</v>
      </c>
      <c r="AA1078" s="137">
        <f t="shared" si="235"/>
        <v>142.66388010833998</v>
      </c>
      <c r="AB1078" s="146">
        <v>0</v>
      </c>
      <c r="AC1078" s="147">
        <f t="shared" si="236"/>
        <v>2610.6</v>
      </c>
      <c r="AD1078" s="137">
        <f t="shared" ref="AD1078:AD1079" si="248">(Z1078-Q1078)*0.91072157793815</f>
        <v>-129.92707400704643</v>
      </c>
      <c r="AE1078" s="138">
        <v>0.11269173273981201</v>
      </c>
      <c r="AF1078" s="137">
        <f t="shared" si="246"/>
        <v>-14.641707099667851</v>
      </c>
      <c r="AG1078" s="137">
        <v>233.569633953135</v>
      </c>
      <c r="AH1078" s="154"/>
      <c r="AI1078" s="154"/>
      <c r="AJ1078" s="135" t="e">
        <v>#N/A</v>
      </c>
      <c r="AK1078" s="119" t="s">
        <v>47</v>
      </c>
      <c r="AM1078" s="131" t="s">
        <v>208</v>
      </c>
    </row>
    <row r="1079" spans="1:40" s="119" customFormat="1" ht="15" customHeight="1" x14ac:dyDescent="0.3">
      <c r="A1079" s="119">
        <v>2017</v>
      </c>
      <c r="F1079" s="131" t="e">
        <v>#N/A</v>
      </c>
      <c r="G1079" s="131"/>
      <c r="H1079" s="131"/>
      <c r="I1079" s="119" t="s">
        <v>170</v>
      </c>
      <c r="J1079" s="119" t="s">
        <v>171</v>
      </c>
      <c r="K1079" s="119" t="s">
        <v>172</v>
      </c>
      <c r="L1079" s="119" t="s">
        <v>1033</v>
      </c>
      <c r="M1079" s="119" t="s">
        <v>185</v>
      </c>
      <c r="N1079" s="135">
        <v>0</v>
      </c>
      <c r="O1079" s="135" t="s">
        <v>47</v>
      </c>
      <c r="P1079" s="135" t="s">
        <v>852</v>
      </c>
      <c r="Q1079" s="137">
        <v>10450.9281749581</v>
      </c>
      <c r="R1079" s="137">
        <v>0</v>
      </c>
      <c r="S1079" s="137"/>
      <c r="T1079" s="137">
        <f t="shared" si="233"/>
        <v>0</v>
      </c>
      <c r="U1079" s="137">
        <f t="shared" si="237"/>
        <v>0</v>
      </c>
      <c r="V1079" s="137">
        <v>0</v>
      </c>
      <c r="W1079" s="137">
        <f t="shared" si="238"/>
        <v>0</v>
      </c>
      <c r="X1079" s="137">
        <f t="shared" si="234"/>
        <v>0</v>
      </c>
      <c r="Y1079" s="137">
        <f t="shared" si="239"/>
        <v>0</v>
      </c>
      <c r="Z1079" s="137">
        <v>9909.4</v>
      </c>
      <c r="AA1079" s="137">
        <f t="shared" si="235"/>
        <v>541.52817495810086</v>
      </c>
      <c r="AB1079" s="146">
        <v>0</v>
      </c>
      <c r="AC1079" s="147">
        <f t="shared" si="236"/>
        <v>9909.4</v>
      </c>
      <c r="AD1079" s="137">
        <f t="shared" si="248"/>
        <v>-493.18139399580821</v>
      </c>
      <c r="AE1079" s="138">
        <v>0.11269173273981201</v>
      </c>
      <c r="AF1079" s="137">
        <f t="shared" si="246"/>
        <v>-55.577465844423543</v>
      </c>
      <c r="AG1079" s="137">
        <v>886.59117853949101</v>
      </c>
      <c r="AH1079" s="154"/>
      <c r="AI1079" s="154"/>
      <c r="AJ1079" s="135" t="e">
        <v>#N/A</v>
      </c>
      <c r="AK1079" s="119" t="s">
        <v>47</v>
      </c>
      <c r="AM1079" s="131" t="s">
        <v>208</v>
      </c>
    </row>
    <row r="1080" spans="1:40" s="119" customFormat="1" ht="15" customHeight="1" x14ac:dyDescent="0.3">
      <c r="A1080" s="119">
        <v>2017</v>
      </c>
      <c r="C1080" s="119" t="s">
        <v>75</v>
      </c>
      <c r="D1080" s="119" t="s">
        <v>518</v>
      </c>
      <c r="F1080" s="131" t="e">
        <v>#N/A</v>
      </c>
      <c r="G1080" s="131"/>
      <c r="H1080" s="131"/>
      <c r="I1080" s="119" t="s">
        <v>170</v>
      </c>
      <c r="J1080" s="119" t="s">
        <v>865</v>
      </c>
      <c r="K1080" s="119" t="s">
        <v>866</v>
      </c>
      <c r="L1080" s="119" t="s">
        <v>1034</v>
      </c>
      <c r="M1080" s="119" t="s">
        <v>46</v>
      </c>
      <c r="N1080" s="135">
        <v>0</v>
      </c>
      <c r="O1080" s="135" t="s">
        <v>47</v>
      </c>
      <c r="P1080" s="135" t="s">
        <v>854</v>
      </c>
      <c r="Q1080" s="137">
        <v>290</v>
      </c>
      <c r="R1080" s="137">
        <v>0</v>
      </c>
      <c r="S1080" s="137"/>
      <c r="T1080" s="137">
        <f t="shared" si="233"/>
        <v>0</v>
      </c>
      <c r="U1080" s="137">
        <f t="shared" si="237"/>
        <v>0</v>
      </c>
      <c r="V1080" s="137">
        <v>0</v>
      </c>
      <c r="W1080" s="137">
        <f t="shared" si="238"/>
        <v>0</v>
      </c>
      <c r="X1080" s="137">
        <f t="shared" si="234"/>
        <v>0</v>
      </c>
      <c r="Y1080" s="137">
        <f t="shared" si="239"/>
        <v>0</v>
      </c>
      <c r="Z1080" s="137">
        <v>290</v>
      </c>
      <c r="AA1080" s="137">
        <f t="shared" si="235"/>
        <v>0</v>
      </c>
      <c r="AB1080" s="146">
        <f t="shared" ref="AB1080:AB1085" si="249">IF(O1080="返货",(Z1080-Q1080)/(1+N1080),IF(O1080="返现",(Z1080-Q1080),IF(O1080="折扣",(Z1080-Q1080)*N1080,IF(O1080="无",(Z1080-Q1080)))))</f>
        <v>0</v>
      </c>
      <c r="AC1080" s="147">
        <f t="shared" si="236"/>
        <v>290</v>
      </c>
      <c r="AD1080" s="137">
        <f t="shared" ref="AD1080:AD1085" si="250">Z1080*0.972201473425119-Q1080</f>
        <v>-8.0615727067154808</v>
      </c>
      <c r="AE1080" s="138">
        <v>0.1</v>
      </c>
      <c r="AF1080" s="137">
        <f t="shared" si="246"/>
        <v>-0.80615727067154808</v>
      </c>
      <c r="AG1080" s="137">
        <v>29</v>
      </c>
      <c r="AH1080" s="154"/>
      <c r="AI1080" s="154"/>
      <c r="AJ1080" s="135" t="e">
        <v>#N/A</v>
      </c>
      <c r="AM1080" s="131" t="s">
        <v>208</v>
      </c>
    </row>
    <row r="1081" spans="1:40" s="119" customFormat="1" ht="15" customHeight="1" x14ac:dyDescent="0.3">
      <c r="A1081" s="119">
        <v>2017</v>
      </c>
      <c r="B1081" s="119" t="s">
        <v>1638</v>
      </c>
      <c r="C1081" s="119" t="s">
        <v>110</v>
      </c>
      <c r="D1081" s="119" t="s">
        <v>111</v>
      </c>
      <c r="E1081" s="119" t="s">
        <v>281</v>
      </c>
      <c r="F1081" s="131" t="s">
        <v>895</v>
      </c>
      <c r="G1081" s="131" t="s">
        <v>1639</v>
      </c>
      <c r="H1081" s="131"/>
      <c r="I1081" s="119" t="s">
        <v>170</v>
      </c>
      <c r="J1081" s="119" t="s">
        <v>865</v>
      </c>
      <c r="K1081" s="119" t="s">
        <v>866</v>
      </c>
      <c r="L1081" s="119" t="s">
        <v>895</v>
      </c>
      <c r="M1081" s="119" t="s">
        <v>46</v>
      </c>
      <c r="N1081" s="135">
        <v>0</v>
      </c>
      <c r="O1081" s="135" t="s">
        <v>47</v>
      </c>
      <c r="P1081" s="135" t="s">
        <v>854</v>
      </c>
      <c r="Q1081" s="137">
        <v>81740.399999999994</v>
      </c>
      <c r="R1081" s="137">
        <v>0</v>
      </c>
      <c r="S1081" s="137"/>
      <c r="T1081" s="137">
        <f t="shared" si="233"/>
        <v>0</v>
      </c>
      <c r="U1081" s="137">
        <f t="shared" si="237"/>
        <v>0</v>
      </c>
      <c r="V1081" s="137">
        <v>30000</v>
      </c>
      <c r="W1081" s="137">
        <f t="shared" si="238"/>
        <v>-30000</v>
      </c>
      <c r="X1081" s="137">
        <f t="shared" si="234"/>
        <v>-30000</v>
      </c>
      <c r="Y1081" s="137">
        <f t="shared" si="239"/>
        <v>0</v>
      </c>
      <c r="Z1081" s="137">
        <v>40940.399999999994</v>
      </c>
      <c r="AA1081" s="137">
        <f t="shared" si="235"/>
        <v>70800</v>
      </c>
      <c r="AB1081" s="146">
        <v>0</v>
      </c>
      <c r="AC1081" s="147">
        <f t="shared" si="236"/>
        <v>40940.399999999994</v>
      </c>
      <c r="AD1081" s="137">
        <f t="shared" si="250"/>
        <v>-41938.082797386262</v>
      </c>
      <c r="AE1081" s="138">
        <v>0.1</v>
      </c>
      <c r="AF1081" s="137">
        <f t="shared" si="246"/>
        <v>-4193.808279738626</v>
      </c>
      <c r="AG1081" s="137">
        <v>8174.04</v>
      </c>
      <c r="AH1081" s="154"/>
      <c r="AI1081" s="154"/>
      <c r="AJ1081" s="135" t="e">
        <v>#N/A</v>
      </c>
      <c r="AM1081" s="131" t="s">
        <v>208</v>
      </c>
    </row>
    <row r="1082" spans="1:40" s="119" customFormat="1" ht="15" customHeight="1" x14ac:dyDescent="0.3">
      <c r="A1082" s="119">
        <v>2017</v>
      </c>
      <c r="C1082" s="119" t="s">
        <v>75</v>
      </c>
      <c r="D1082" s="119" t="s">
        <v>518</v>
      </c>
      <c r="F1082" s="131" t="s">
        <v>1035</v>
      </c>
      <c r="G1082" s="131"/>
      <c r="H1082" s="131"/>
      <c r="I1082" s="119" t="s">
        <v>170</v>
      </c>
      <c r="J1082" s="119" t="s">
        <v>865</v>
      </c>
      <c r="K1082" s="119" t="s">
        <v>866</v>
      </c>
      <c r="L1082" s="119" t="s">
        <v>1035</v>
      </c>
      <c r="M1082" s="119" t="s">
        <v>46</v>
      </c>
      <c r="N1082" s="135">
        <v>0</v>
      </c>
      <c r="O1082" s="135" t="s">
        <v>47</v>
      </c>
      <c r="P1082" s="135" t="s">
        <v>854</v>
      </c>
      <c r="Q1082" s="137">
        <v>26733.5</v>
      </c>
      <c r="R1082" s="137">
        <v>0</v>
      </c>
      <c r="S1082" s="137"/>
      <c r="T1082" s="137">
        <f t="shared" si="233"/>
        <v>0</v>
      </c>
      <c r="U1082" s="137">
        <f t="shared" si="237"/>
        <v>0</v>
      </c>
      <c r="V1082" s="137">
        <v>0</v>
      </c>
      <c r="W1082" s="137">
        <f t="shared" si="238"/>
        <v>0</v>
      </c>
      <c r="X1082" s="137">
        <f t="shared" si="234"/>
        <v>0</v>
      </c>
      <c r="Y1082" s="137">
        <f t="shared" si="239"/>
        <v>0</v>
      </c>
      <c r="Z1082" s="137">
        <v>26733.5</v>
      </c>
      <c r="AA1082" s="137">
        <f t="shared" si="235"/>
        <v>0</v>
      </c>
      <c r="AB1082" s="146">
        <f t="shared" si="249"/>
        <v>0</v>
      </c>
      <c r="AC1082" s="147">
        <f t="shared" si="236"/>
        <v>26733.5</v>
      </c>
      <c r="AD1082" s="137">
        <f t="shared" si="250"/>
        <v>-743.15191018958285</v>
      </c>
      <c r="AE1082" s="138">
        <v>0.1</v>
      </c>
      <c r="AF1082" s="137">
        <f t="shared" si="246"/>
        <v>-74.315191018958288</v>
      </c>
      <c r="AG1082" s="137">
        <v>2673.35</v>
      </c>
      <c r="AH1082" s="154"/>
      <c r="AI1082" s="154"/>
      <c r="AJ1082" s="135" t="e">
        <v>#N/A</v>
      </c>
      <c r="AM1082" s="131" t="s">
        <v>208</v>
      </c>
    </row>
    <row r="1083" spans="1:40" s="119" customFormat="1" ht="15" customHeight="1" x14ac:dyDescent="0.3">
      <c r="A1083" s="119">
        <v>2017</v>
      </c>
      <c r="C1083" s="119" t="s">
        <v>137</v>
      </c>
      <c r="F1083" s="131" t="s">
        <v>273</v>
      </c>
      <c r="G1083" s="131"/>
      <c r="H1083" s="131"/>
      <c r="I1083" s="119" t="s">
        <v>170</v>
      </c>
      <c r="J1083" s="119" t="s">
        <v>865</v>
      </c>
      <c r="K1083" s="119" t="s">
        <v>866</v>
      </c>
      <c r="L1083" s="119" t="s">
        <v>1036</v>
      </c>
      <c r="M1083" s="119" t="s">
        <v>46</v>
      </c>
      <c r="N1083" s="135">
        <v>0</v>
      </c>
      <c r="O1083" s="135" t="s">
        <v>47</v>
      </c>
      <c r="P1083" s="135" t="s">
        <v>854</v>
      </c>
      <c r="Q1083" s="137">
        <v>1950</v>
      </c>
      <c r="R1083" s="137">
        <v>0</v>
      </c>
      <c r="S1083" s="137"/>
      <c r="T1083" s="137">
        <f t="shared" si="233"/>
        <v>0</v>
      </c>
      <c r="U1083" s="137">
        <f t="shared" si="237"/>
        <v>0</v>
      </c>
      <c r="V1083" s="137">
        <v>0</v>
      </c>
      <c r="W1083" s="137">
        <f t="shared" si="238"/>
        <v>0</v>
      </c>
      <c r="X1083" s="137">
        <f t="shared" si="234"/>
        <v>0</v>
      </c>
      <c r="Y1083" s="137">
        <f t="shared" si="239"/>
        <v>0</v>
      </c>
      <c r="Z1083" s="137">
        <v>1950</v>
      </c>
      <c r="AA1083" s="137">
        <f t="shared" si="235"/>
        <v>0</v>
      </c>
      <c r="AB1083" s="146">
        <f t="shared" si="249"/>
        <v>0</v>
      </c>
      <c r="AC1083" s="147">
        <f t="shared" si="236"/>
        <v>1950</v>
      </c>
      <c r="AD1083" s="137">
        <f t="shared" si="250"/>
        <v>-54.207126821017937</v>
      </c>
      <c r="AE1083" s="138">
        <v>0.1</v>
      </c>
      <c r="AF1083" s="137">
        <f t="shared" si="246"/>
        <v>-5.4207126821017937</v>
      </c>
      <c r="AG1083" s="137">
        <v>195</v>
      </c>
      <c r="AH1083" s="154"/>
      <c r="AI1083" s="154"/>
      <c r="AJ1083" s="135" t="e">
        <v>#N/A</v>
      </c>
      <c r="AM1083" s="131" t="s">
        <v>208</v>
      </c>
    </row>
    <row r="1084" spans="1:40" s="119" customFormat="1" ht="15" customHeight="1" x14ac:dyDescent="0.3">
      <c r="A1084" s="119">
        <v>2017</v>
      </c>
      <c r="B1084" s="119" t="s">
        <v>38</v>
      </c>
      <c r="C1084" s="119" t="s">
        <v>54</v>
      </c>
      <c r="D1084" s="119" t="s">
        <v>396</v>
      </c>
      <c r="F1084" s="131" t="s">
        <v>1037</v>
      </c>
      <c r="G1084" s="131" t="s">
        <v>1037</v>
      </c>
      <c r="H1084" s="131" t="s">
        <v>1037</v>
      </c>
      <c r="I1084" s="119" t="s">
        <v>170</v>
      </c>
      <c r="J1084" s="119" t="s">
        <v>865</v>
      </c>
      <c r="K1084" s="119" t="s">
        <v>866</v>
      </c>
      <c r="L1084" s="119" t="s">
        <v>1037</v>
      </c>
      <c r="M1084" s="119" t="s">
        <v>46</v>
      </c>
      <c r="N1084" s="136">
        <v>0.02</v>
      </c>
      <c r="O1084" s="135" t="s">
        <v>51</v>
      </c>
      <c r="P1084" s="135"/>
      <c r="Q1084" s="137">
        <v>153105.29999999999</v>
      </c>
      <c r="R1084" s="137">
        <v>0</v>
      </c>
      <c r="S1084" s="137"/>
      <c r="T1084" s="137">
        <f t="shared" si="233"/>
        <v>0</v>
      </c>
      <c r="U1084" s="137">
        <f t="shared" si="237"/>
        <v>0</v>
      </c>
      <c r="V1084" s="137">
        <v>49440.9</v>
      </c>
      <c r="W1084" s="137">
        <f t="shared" si="238"/>
        <v>-49440.9</v>
      </c>
      <c r="X1084" s="137">
        <f t="shared" si="234"/>
        <v>-48471.470588235294</v>
      </c>
      <c r="Y1084" s="137">
        <f t="shared" si="239"/>
        <v>-969.42941176470777</v>
      </c>
      <c r="Z1084" s="137">
        <v>141153.70000000001</v>
      </c>
      <c r="AA1084" s="137">
        <f t="shared" si="235"/>
        <v>61392.499999999971</v>
      </c>
      <c r="AB1084" s="146">
        <f t="shared" si="249"/>
        <v>-11717.254901960761</v>
      </c>
      <c r="AC1084" s="147">
        <f t="shared" si="236"/>
        <v>152870.95490196077</v>
      </c>
      <c r="AD1084" s="137">
        <f t="shared" si="250"/>
        <v>-15875.464880592772</v>
      </c>
      <c r="AE1084" s="138">
        <v>0.1</v>
      </c>
      <c r="AF1084" s="137">
        <f t="shared" si="246"/>
        <v>-1587.5464880592772</v>
      </c>
      <c r="AG1084" s="137">
        <v>21546.67</v>
      </c>
      <c r="AH1084" s="154"/>
      <c r="AI1084" s="154"/>
      <c r="AJ1084" s="136">
        <v>0.02</v>
      </c>
      <c r="AL1084" s="119" t="s">
        <v>174</v>
      </c>
      <c r="AM1084" s="131" t="s">
        <v>208</v>
      </c>
    </row>
    <row r="1085" spans="1:40" s="119" customFormat="1" ht="15" customHeight="1" x14ac:dyDescent="0.3">
      <c r="A1085" s="119">
        <v>2017</v>
      </c>
      <c r="C1085" s="119" t="s">
        <v>39</v>
      </c>
      <c r="F1085" s="131" t="s">
        <v>979</v>
      </c>
      <c r="G1085" s="131"/>
      <c r="H1085" s="131"/>
      <c r="I1085" s="119" t="s">
        <v>170</v>
      </c>
      <c r="J1085" s="119" t="s">
        <v>865</v>
      </c>
      <c r="K1085" s="119" t="s">
        <v>866</v>
      </c>
      <c r="L1085" s="119" t="s">
        <v>979</v>
      </c>
      <c r="M1085" s="119" t="s">
        <v>46</v>
      </c>
      <c r="N1085" s="135">
        <v>0</v>
      </c>
      <c r="O1085" s="135" t="s">
        <v>47</v>
      </c>
      <c r="P1085" s="135" t="s">
        <v>854</v>
      </c>
      <c r="Q1085" s="137">
        <v>3062</v>
      </c>
      <c r="R1085" s="137">
        <v>0</v>
      </c>
      <c r="S1085" s="137"/>
      <c r="T1085" s="137">
        <f t="shared" si="233"/>
        <v>0</v>
      </c>
      <c r="U1085" s="137">
        <f t="shared" si="237"/>
        <v>0</v>
      </c>
      <c r="V1085" s="137">
        <v>0</v>
      </c>
      <c r="W1085" s="137">
        <f t="shared" si="238"/>
        <v>0</v>
      </c>
      <c r="X1085" s="137">
        <f t="shared" si="234"/>
        <v>0</v>
      </c>
      <c r="Y1085" s="137">
        <f t="shared" si="239"/>
        <v>0</v>
      </c>
      <c r="Z1085" s="137">
        <v>3062</v>
      </c>
      <c r="AA1085" s="137">
        <f t="shared" si="235"/>
        <v>0</v>
      </c>
      <c r="AB1085" s="146">
        <f t="shared" si="249"/>
        <v>0</v>
      </c>
      <c r="AC1085" s="147">
        <f t="shared" si="236"/>
        <v>3062</v>
      </c>
      <c r="AD1085" s="137">
        <f t="shared" si="250"/>
        <v>-85.11908837228566</v>
      </c>
      <c r="AE1085" s="138">
        <v>0.1</v>
      </c>
      <c r="AF1085" s="137">
        <f t="shared" si="246"/>
        <v>-8.5119088372285656</v>
      </c>
      <c r="AG1085" s="137">
        <v>306.2</v>
      </c>
      <c r="AH1085" s="154"/>
      <c r="AI1085" s="154"/>
      <c r="AJ1085" s="135" t="e">
        <v>#N/A</v>
      </c>
      <c r="AM1085" s="131" t="s">
        <v>208</v>
      </c>
    </row>
    <row r="1086" spans="1:40" s="119" customFormat="1" ht="15" customHeight="1" x14ac:dyDescent="0.3">
      <c r="A1086" s="119">
        <v>2017</v>
      </c>
      <c r="F1086" s="131" t="e">
        <v>#N/A</v>
      </c>
      <c r="G1086" s="131"/>
      <c r="H1086" s="131"/>
      <c r="I1086" s="119" t="s">
        <v>170</v>
      </c>
      <c r="J1086" s="119" t="s">
        <v>171</v>
      </c>
      <c r="K1086" s="119" t="s">
        <v>172</v>
      </c>
      <c r="L1086" s="119" t="s">
        <v>1038</v>
      </c>
      <c r="M1086" s="119" t="s">
        <v>46</v>
      </c>
      <c r="N1086" s="135">
        <v>0</v>
      </c>
      <c r="O1086" s="135" t="s">
        <v>47</v>
      </c>
      <c r="P1086" s="135" t="s">
        <v>852</v>
      </c>
      <c r="Q1086" s="137">
        <v>8149.85</v>
      </c>
      <c r="R1086" s="137">
        <v>0</v>
      </c>
      <c r="S1086" s="137"/>
      <c r="T1086" s="137">
        <f t="shared" si="233"/>
        <v>0</v>
      </c>
      <c r="U1086" s="137">
        <f t="shared" si="237"/>
        <v>0</v>
      </c>
      <c r="V1086" s="137">
        <v>0</v>
      </c>
      <c r="W1086" s="137">
        <f t="shared" si="238"/>
        <v>0</v>
      </c>
      <c r="X1086" s="137">
        <f t="shared" si="234"/>
        <v>0</v>
      </c>
      <c r="Y1086" s="137">
        <f t="shared" si="239"/>
        <v>0</v>
      </c>
      <c r="Z1086" s="137">
        <v>8884.5</v>
      </c>
      <c r="AA1086" s="137">
        <f t="shared" si="235"/>
        <v>-734.64999999999964</v>
      </c>
      <c r="AB1086" s="146">
        <v>0</v>
      </c>
      <c r="AC1086" s="147">
        <f t="shared" si="236"/>
        <v>8884.5</v>
      </c>
      <c r="AD1086" s="137">
        <f t="shared" ref="AD1086:AD1088" si="251">(Z1086-Q1086)*0.89807640489087</f>
        <v>659.7718308530774</v>
      </c>
      <c r="AE1086" s="138">
        <v>0.11269173273981201</v>
      </c>
      <c r="AF1086" s="137">
        <f t="shared" si="246"/>
        <v>74.350830831751452</v>
      </c>
      <c r="AG1086" s="137">
        <v>794.89366921651299</v>
      </c>
      <c r="AH1086" s="154"/>
      <c r="AI1086" s="154"/>
      <c r="AJ1086" s="135" t="e">
        <v>#N/A</v>
      </c>
      <c r="AK1086" s="119" t="s">
        <v>47</v>
      </c>
      <c r="AL1086" s="119" t="s">
        <v>611</v>
      </c>
      <c r="AM1086" s="131" t="s">
        <v>208</v>
      </c>
    </row>
    <row r="1087" spans="1:40" s="119" customFormat="1" ht="15" customHeight="1" x14ac:dyDescent="0.3">
      <c r="A1087" s="119">
        <v>2017</v>
      </c>
      <c r="C1087" s="119" t="s">
        <v>59</v>
      </c>
      <c r="F1087" s="131" t="s">
        <v>136</v>
      </c>
      <c r="G1087" s="131"/>
      <c r="H1087" s="131"/>
      <c r="I1087" s="119" t="s">
        <v>170</v>
      </c>
      <c r="J1087" s="119" t="s">
        <v>171</v>
      </c>
      <c r="K1087" s="119" t="s">
        <v>172</v>
      </c>
      <c r="L1087" s="119" t="s">
        <v>136</v>
      </c>
      <c r="M1087" s="119" t="s">
        <v>46</v>
      </c>
      <c r="N1087" s="161">
        <v>0</v>
      </c>
      <c r="O1087" s="135" t="s">
        <v>47</v>
      </c>
      <c r="P1087" s="135"/>
      <c r="Q1087" s="137">
        <v>10000</v>
      </c>
      <c r="R1087" s="137">
        <v>0</v>
      </c>
      <c r="S1087" s="137"/>
      <c r="T1087" s="137">
        <f t="shared" si="233"/>
        <v>0</v>
      </c>
      <c r="U1087" s="137">
        <f t="shared" si="237"/>
        <v>0</v>
      </c>
      <c r="V1087" s="137">
        <v>10000</v>
      </c>
      <c r="W1087" s="137">
        <f t="shared" si="238"/>
        <v>-10000</v>
      </c>
      <c r="X1087" s="137">
        <f t="shared" si="234"/>
        <v>-10000</v>
      </c>
      <c r="Y1087" s="137">
        <f t="shared" si="239"/>
        <v>0</v>
      </c>
      <c r="Z1087" s="137">
        <v>20639.099999999999</v>
      </c>
      <c r="AA1087" s="137">
        <f t="shared" si="235"/>
        <v>-639.09999999999854</v>
      </c>
      <c r="AB1087" s="146">
        <v>0</v>
      </c>
      <c r="AC1087" s="147">
        <f t="shared" si="236"/>
        <v>20639.099999999999</v>
      </c>
      <c r="AD1087" s="137">
        <f t="shared" si="251"/>
        <v>9554.7246792744536</v>
      </c>
      <c r="AE1087" s="138">
        <v>0.11269173273981201</v>
      </c>
      <c r="AF1087" s="137">
        <f t="shared" si="246"/>
        <v>1076.7384799592828</v>
      </c>
      <c r="AG1087" s="137">
        <v>1846.5743630284801</v>
      </c>
      <c r="AH1087" s="154"/>
      <c r="AI1087" s="154"/>
      <c r="AJ1087" s="135" t="e">
        <v>#N/A</v>
      </c>
      <c r="AK1087" s="119" t="s">
        <v>47</v>
      </c>
      <c r="AM1087" s="131" t="s">
        <v>208</v>
      </c>
      <c r="AN1087" s="119" t="s">
        <v>838</v>
      </c>
    </row>
    <row r="1088" spans="1:40" s="119" customFormat="1" ht="15" customHeight="1" x14ac:dyDescent="0.3">
      <c r="A1088" s="119">
        <v>2017</v>
      </c>
      <c r="F1088" s="131" t="e">
        <v>#N/A</v>
      </c>
      <c r="G1088" s="131"/>
      <c r="H1088" s="131"/>
      <c r="I1088" s="119" t="s">
        <v>170</v>
      </c>
      <c r="J1088" s="119" t="s">
        <v>171</v>
      </c>
      <c r="K1088" s="119" t="s">
        <v>172</v>
      </c>
      <c r="L1088" s="119" t="s">
        <v>1039</v>
      </c>
      <c r="M1088" s="119" t="s">
        <v>46</v>
      </c>
      <c r="N1088" s="135">
        <v>0</v>
      </c>
      <c r="O1088" s="135" t="s">
        <v>47</v>
      </c>
      <c r="P1088" s="135" t="s">
        <v>852</v>
      </c>
      <c r="Q1088" s="137">
        <v>5566.5234710266895</v>
      </c>
      <c r="R1088" s="137">
        <v>0</v>
      </c>
      <c r="S1088" s="137"/>
      <c r="T1088" s="137">
        <f t="shared" si="233"/>
        <v>0</v>
      </c>
      <c r="U1088" s="137">
        <f t="shared" si="237"/>
        <v>0</v>
      </c>
      <c r="V1088" s="137">
        <v>0</v>
      </c>
      <c r="W1088" s="137">
        <f t="shared" si="238"/>
        <v>0</v>
      </c>
      <c r="X1088" s="137">
        <f t="shared" si="234"/>
        <v>0</v>
      </c>
      <c r="Y1088" s="137">
        <f t="shared" si="239"/>
        <v>0</v>
      </c>
      <c r="Z1088" s="137">
        <v>6069.8</v>
      </c>
      <c r="AA1088" s="137">
        <f t="shared" si="235"/>
        <v>-503.27652897331063</v>
      </c>
      <c r="AB1088" s="146">
        <v>0</v>
      </c>
      <c r="AC1088" s="147">
        <f t="shared" si="236"/>
        <v>6069.8</v>
      </c>
      <c r="AD1088" s="137">
        <f t="shared" si="251"/>
        <v>451.98077580630661</v>
      </c>
      <c r="AE1088" s="138">
        <v>0.11269173273981201</v>
      </c>
      <c r="AF1088" s="137">
        <f t="shared" si="246"/>
        <v>50.934496790697196</v>
      </c>
      <c r="AG1088" s="137">
        <v>543.063266746625</v>
      </c>
      <c r="AH1088" s="154"/>
      <c r="AI1088" s="154"/>
      <c r="AJ1088" s="135" t="e">
        <v>#N/A</v>
      </c>
      <c r="AK1088" s="119" t="s">
        <v>47</v>
      </c>
      <c r="AM1088" s="131" t="s">
        <v>208</v>
      </c>
    </row>
    <row r="1089" spans="1:39" s="119" customFormat="1" ht="15" customHeight="1" x14ac:dyDescent="0.3">
      <c r="A1089" s="119">
        <v>2017</v>
      </c>
      <c r="B1089" s="119" t="s">
        <v>38</v>
      </c>
      <c r="C1089" s="119" t="s">
        <v>110</v>
      </c>
      <c r="D1089" s="119" t="s">
        <v>111</v>
      </c>
      <c r="F1089" s="131" t="s">
        <v>147</v>
      </c>
      <c r="G1089" s="131" t="s">
        <v>147</v>
      </c>
      <c r="H1089" s="131" t="s">
        <v>147</v>
      </c>
      <c r="I1089" s="119" t="s">
        <v>170</v>
      </c>
      <c r="J1089" s="119" t="s">
        <v>171</v>
      </c>
      <c r="K1089" s="119" t="s">
        <v>172</v>
      </c>
      <c r="L1089" s="119" t="s">
        <v>892</v>
      </c>
      <c r="M1089" s="119" t="s">
        <v>185</v>
      </c>
      <c r="N1089" s="135">
        <v>0.06</v>
      </c>
      <c r="O1089" s="135" t="s">
        <v>51</v>
      </c>
      <c r="P1089" s="135"/>
      <c r="Q1089" s="137">
        <v>0</v>
      </c>
      <c r="R1089" s="137">
        <v>0</v>
      </c>
      <c r="S1089" s="137"/>
      <c r="T1089" s="137">
        <f t="shared" si="233"/>
        <v>0</v>
      </c>
      <c r="U1089" s="137">
        <f t="shared" si="237"/>
        <v>0</v>
      </c>
      <c r="V1089" s="137">
        <v>20200</v>
      </c>
      <c r="W1089" s="137">
        <f t="shared" si="238"/>
        <v>-20200</v>
      </c>
      <c r="X1089" s="137">
        <f t="shared" si="234"/>
        <v>-19056.603773584906</v>
      </c>
      <c r="Y1089" s="137">
        <f t="shared" si="239"/>
        <v>-1143.3962264150941</v>
      </c>
      <c r="Z1089" s="137">
        <v>19792.25</v>
      </c>
      <c r="AA1089" s="137">
        <f t="shared" si="235"/>
        <v>407.75</v>
      </c>
      <c r="AB1089" s="146">
        <f t="shared" ref="AB1089:AB1094" si="252">IF(O1089="返货",Z1089/(1+N1089),IF(O1089="返现",Z1089,IF(O1089="折扣",Z1089*N1089,IF(O1089="无",Z1089))))</f>
        <v>18671.933962264149</v>
      </c>
      <c r="AC1089" s="147">
        <f t="shared" si="236"/>
        <v>1120.3160377358508</v>
      </c>
      <c r="AD1089" s="137">
        <f t="shared" ref="AD1089:AD1091" si="253">(Z1089-Q1089)*0.91072157793815</f>
        <v>18025.22915094635</v>
      </c>
      <c r="AE1089" s="138">
        <v>0.11269173273981201</v>
      </c>
      <c r="AF1089" s="137">
        <f t="shared" si="246"/>
        <v>2031.2943060523146</v>
      </c>
      <c r="AG1089" s="137">
        <v>650.49089845082494</v>
      </c>
      <c r="AH1089" s="154"/>
      <c r="AI1089" s="154"/>
      <c r="AJ1089" s="135" t="s">
        <v>193</v>
      </c>
      <c r="AK1089" s="119" t="s">
        <v>193</v>
      </c>
      <c r="AM1089" s="131" t="s">
        <v>208</v>
      </c>
    </row>
    <row r="1090" spans="1:39" s="119" customFormat="1" ht="15" customHeight="1" x14ac:dyDescent="0.3">
      <c r="A1090" s="119">
        <v>2017</v>
      </c>
      <c r="B1090" s="119" t="s">
        <v>38</v>
      </c>
      <c r="C1090" s="119" t="s">
        <v>75</v>
      </c>
      <c r="D1090" s="119" t="s">
        <v>518</v>
      </c>
      <c r="F1090" s="131" t="s">
        <v>263</v>
      </c>
      <c r="G1090" s="131" t="s">
        <v>263</v>
      </c>
      <c r="H1090" s="131" t="s">
        <v>263</v>
      </c>
      <c r="I1090" s="119" t="s">
        <v>170</v>
      </c>
      <c r="J1090" s="119" t="s">
        <v>171</v>
      </c>
      <c r="K1090" s="119" t="s">
        <v>172</v>
      </c>
      <c r="L1090" s="119" t="s">
        <v>263</v>
      </c>
      <c r="M1090" s="119" t="s">
        <v>185</v>
      </c>
      <c r="N1090" s="136">
        <v>0.1</v>
      </c>
      <c r="O1090" s="135" t="s">
        <v>51</v>
      </c>
      <c r="P1090" s="135"/>
      <c r="Q1090" s="137">
        <v>0</v>
      </c>
      <c r="R1090" s="137">
        <v>0</v>
      </c>
      <c r="S1090" s="137"/>
      <c r="T1090" s="137">
        <f t="shared" ref="T1090:T1153" si="254">S1090*N1090</f>
        <v>0</v>
      </c>
      <c r="U1090" s="137">
        <f t="shared" si="237"/>
        <v>0</v>
      </c>
      <c r="V1090" s="137">
        <v>30000</v>
      </c>
      <c r="W1090" s="137">
        <f t="shared" si="238"/>
        <v>-30000</v>
      </c>
      <c r="X1090" s="137">
        <f t="shared" ref="X1090:X1153" si="255">W1090/(1+N1090)</f>
        <v>-27272.727272727272</v>
      </c>
      <c r="Y1090" s="137">
        <f t="shared" si="239"/>
        <v>-2727.2727272727279</v>
      </c>
      <c r="Z1090" s="137">
        <v>29992.7</v>
      </c>
      <c r="AA1090" s="137">
        <f t="shared" ref="AA1090:AA1153" si="256">Q1090+V1090-Z1090</f>
        <v>7.2999999999992724</v>
      </c>
      <c r="AB1090" s="146">
        <f t="shared" si="252"/>
        <v>27266.090909090908</v>
      </c>
      <c r="AC1090" s="147">
        <f t="shared" ref="AC1090:AC1153" si="257">IF(O1090="返现",Z1090*N1090,Z1090-AB1090)</f>
        <v>2726.6090909090926</v>
      </c>
      <c r="AD1090" s="137">
        <f t="shared" si="253"/>
        <v>27314.999070625552</v>
      </c>
      <c r="AE1090" s="138">
        <v>0.11269173273981201</v>
      </c>
      <c r="AF1090" s="137">
        <f t="shared" si="246"/>
        <v>3078.1745750551481</v>
      </c>
      <c r="AG1090" s="137">
        <v>-43.170816081009903</v>
      </c>
      <c r="AH1090" s="154"/>
      <c r="AI1090" s="154"/>
      <c r="AJ1090" s="136">
        <v>0.1</v>
      </c>
      <c r="AK1090" s="119" t="s">
        <v>69</v>
      </c>
      <c r="AM1090" s="131" t="s">
        <v>208</v>
      </c>
    </row>
    <row r="1091" spans="1:39" s="119" customFormat="1" ht="15" customHeight="1" x14ac:dyDescent="0.3">
      <c r="A1091" s="119">
        <v>2017</v>
      </c>
      <c r="B1091" s="119" t="s">
        <v>199</v>
      </c>
      <c r="C1091" s="119" t="s">
        <v>200</v>
      </c>
      <c r="D1091" s="119" t="s">
        <v>201</v>
      </c>
      <c r="F1091" s="131" t="s">
        <v>948</v>
      </c>
      <c r="G1091" s="131" t="s">
        <v>949</v>
      </c>
      <c r="H1091" s="131" t="s">
        <v>949</v>
      </c>
      <c r="I1091" s="119" t="s">
        <v>170</v>
      </c>
      <c r="J1091" s="119" t="s">
        <v>171</v>
      </c>
      <c r="K1091" s="119" t="s">
        <v>172</v>
      </c>
      <c r="L1091" s="119" t="s">
        <v>950</v>
      </c>
      <c r="M1091" s="119" t="s">
        <v>185</v>
      </c>
      <c r="N1091" s="136">
        <v>0.08</v>
      </c>
      <c r="O1091" s="135" t="s">
        <v>51</v>
      </c>
      <c r="P1091" s="135"/>
      <c r="Q1091" s="137">
        <v>0</v>
      </c>
      <c r="R1091" s="137">
        <v>0</v>
      </c>
      <c r="S1091" s="137"/>
      <c r="T1091" s="137">
        <f t="shared" si="254"/>
        <v>0</v>
      </c>
      <c r="U1091" s="137">
        <f t="shared" ref="U1091:U1154" si="258">R1091+S1091+T1091</f>
        <v>0</v>
      </c>
      <c r="V1091" s="137">
        <v>20502.759999999998</v>
      </c>
      <c r="W1091" s="137">
        <f t="shared" ref="W1091:W1154" si="259">U1091-V1091</f>
        <v>-20502.759999999998</v>
      </c>
      <c r="X1091" s="137">
        <f t="shared" si="255"/>
        <v>-18984.037037037033</v>
      </c>
      <c r="Y1091" s="137">
        <f t="shared" ref="Y1091:Y1154" si="260">W1091-X1091</f>
        <v>-1518.7229629629655</v>
      </c>
      <c r="Z1091" s="137">
        <v>6284.5</v>
      </c>
      <c r="AA1091" s="137">
        <f t="shared" si="256"/>
        <v>14218.259999999998</v>
      </c>
      <c r="AB1091" s="146">
        <f t="shared" si="252"/>
        <v>5818.9814814814808</v>
      </c>
      <c r="AC1091" s="147">
        <f t="shared" si="257"/>
        <v>465.51851851851916</v>
      </c>
      <c r="AD1091" s="137">
        <f t="shared" si="253"/>
        <v>5723.4297565523038</v>
      </c>
      <c r="AE1091" s="138">
        <v>0.11269173273981201</v>
      </c>
      <c r="AF1091" s="137">
        <f t="shared" si="246"/>
        <v>644.98321648047954</v>
      </c>
      <c r="AG1091" s="137">
        <v>320.56087576449198</v>
      </c>
      <c r="AH1091" s="154"/>
      <c r="AI1091" s="154"/>
      <c r="AJ1091" s="136">
        <v>0.08</v>
      </c>
      <c r="AK1091" s="119" t="s">
        <v>186</v>
      </c>
      <c r="AM1091" s="131" t="s">
        <v>208</v>
      </c>
    </row>
    <row r="1092" spans="1:39" s="119" customFormat="1" ht="15" customHeight="1" x14ac:dyDescent="0.3">
      <c r="A1092" s="119">
        <v>2017</v>
      </c>
      <c r="B1092" s="131" t="s">
        <v>38</v>
      </c>
      <c r="C1092" s="119" t="s">
        <v>39</v>
      </c>
      <c r="D1092" s="119" t="s">
        <v>81</v>
      </c>
      <c r="F1092" s="131" t="s">
        <v>944</v>
      </c>
      <c r="G1092" s="131" t="s">
        <v>944</v>
      </c>
      <c r="H1092" s="131" t="s">
        <v>944</v>
      </c>
      <c r="I1092" s="119" t="s">
        <v>170</v>
      </c>
      <c r="J1092" s="119" t="s">
        <v>865</v>
      </c>
      <c r="K1092" s="119" t="s">
        <v>866</v>
      </c>
      <c r="L1092" s="119" t="s">
        <v>1040</v>
      </c>
      <c r="M1092" s="119" t="s">
        <v>46</v>
      </c>
      <c r="N1092" s="160">
        <v>0.02</v>
      </c>
      <c r="O1092" s="169" t="s">
        <v>51</v>
      </c>
      <c r="P1092" s="135"/>
      <c r="Q1092" s="137">
        <v>0</v>
      </c>
      <c r="R1092" s="137">
        <v>0</v>
      </c>
      <c r="S1092" s="137"/>
      <c r="T1092" s="137">
        <f t="shared" si="254"/>
        <v>0</v>
      </c>
      <c r="U1092" s="137">
        <f t="shared" si="258"/>
        <v>0</v>
      </c>
      <c r="V1092" s="137">
        <v>49955</v>
      </c>
      <c r="W1092" s="137">
        <f t="shared" si="259"/>
        <v>-49955</v>
      </c>
      <c r="X1092" s="137">
        <f t="shared" si="255"/>
        <v>-48975.490196078434</v>
      </c>
      <c r="Y1092" s="137">
        <f t="shared" si="260"/>
        <v>-979.50980392156634</v>
      </c>
      <c r="Z1092" s="137">
        <v>49954.1</v>
      </c>
      <c r="AA1092" s="137">
        <f t="shared" si="256"/>
        <v>0.90000000000145519</v>
      </c>
      <c r="AB1092" s="146">
        <f t="shared" si="252"/>
        <v>48974.607843137252</v>
      </c>
      <c r="AC1092" s="147">
        <f t="shared" si="257"/>
        <v>979.49215686274692</v>
      </c>
      <c r="AD1092" s="137">
        <f>Z1092*0.972201473425119-Q1092</f>
        <v>48565.449623625733</v>
      </c>
      <c r="AE1092" s="138">
        <v>0.1</v>
      </c>
      <c r="AF1092" s="137">
        <f t="shared" si="246"/>
        <v>4856.5449623625736</v>
      </c>
      <c r="AG1092" s="137">
        <v>7083.6365048543703</v>
      </c>
      <c r="AH1092" s="154"/>
      <c r="AI1092" s="154"/>
      <c r="AJ1092" s="170">
        <v>0.02</v>
      </c>
      <c r="AK1092" s="119" t="s">
        <v>189</v>
      </c>
      <c r="AL1092" s="119" t="s">
        <v>174</v>
      </c>
      <c r="AM1092" s="131" t="s">
        <v>208</v>
      </c>
    </row>
    <row r="1093" spans="1:39" s="119" customFormat="1" ht="15" customHeight="1" x14ac:dyDescent="0.3">
      <c r="A1093" s="119">
        <v>2017</v>
      </c>
      <c r="B1093" s="119" t="s">
        <v>38</v>
      </c>
      <c r="C1093" s="119" t="s">
        <v>39</v>
      </c>
      <c r="D1093" s="119" t="s">
        <v>81</v>
      </c>
      <c r="F1093" s="131" t="s">
        <v>944</v>
      </c>
      <c r="G1093" s="131" t="s">
        <v>944</v>
      </c>
      <c r="H1093" s="131" t="s">
        <v>944</v>
      </c>
      <c r="I1093" s="119" t="s">
        <v>170</v>
      </c>
      <c r="J1093" s="119" t="s">
        <v>865</v>
      </c>
      <c r="K1093" s="119" t="s">
        <v>866</v>
      </c>
      <c r="L1093" s="119" t="s">
        <v>1041</v>
      </c>
      <c r="M1093" s="119" t="s">
        <v>46</v>
      </c>
      <c r="N1093" s="136">
        <v>0.02</v>
      </c>
      <c r="O1093" s="135" t="s">
        <v>51</v>
      </c>
      <c r="P1093" s="135"/>
      <c r="Q1093" s="137">
        <v>0</v>
      </c>
      <c r="R1093" s="137">
        <v>0</v>
      </c>
      <c r="S1093" s="137"/>
      <c r="T1093" s="137">
        <f t="shared" si="254"/>
        <v>0</v>
      </c>
      <c r="U1093" s="137">
        <f t="shared" si="258"/>
        <v>0</v>
      </c>
      <c r="V1093" s="137">
        <v>50000</v>
      </c>
      <c r="W1093" s="137">
        <f t="shared" si="259"/>
        <v>-50000</v>
      </c>
      <c r="X1093" s="137">
        <f t="shared" si="255"/>
        <v>-49019.607843137252</v>
      </c>
      <c r="Y1093" s="137">
        <f t="shared" si="260"/>
        <v>-980.39215686274838</v>
      </c>
      <c r="Z1093" s="137">
        <v>0</v>
      </c>
      <c r="AA1093" s="137">
        <f t="shared" si="256"/>
        <v>50000</v>
      </c>
      <c r="AB1093" s="146">
        <f t="shared" si="252"/>
        <v>0</v>
      </c>
      <c r="AC1093" s="147">
        <f t="shared" si="257"/>
        <v>0</v>
      </c>
      <c r="AD1093" s="137">
        <f>Z1093*0.972201473425119-Q1093</f>
        <v>0</v>
      </c>
      <c r="AE1093" s="138">
        <v>0.1</v>
      </c>
      <c r="AF1093" s="137">
        <f t="shared" si="246"/>
        <v>0</v>
      </c>
      <c r="AG1093" s="137">
        <v>3543.6538834951498</v>
      </c>
      <c r="AH1093" s="154"/>
      <c r="AI1093" s="154"/>
      <c r="AJ1093" s="136">
        <v>0.02</v>
      </c>
      <c r="AK1093" s="119" t="s">
        <v>189</v>
      </c>
      <c r="AL1093" s="119" t="s">
        <v>174</v>
      </c>
      <c r="AM1093" s="131" t="s">
        <v>208</v>
      </c>
    </row>
    <row r="1094" spans="1:39" s="119" customFormat="1" ht="15" customHeight="1" x14ac:dyDescent="0.3">
      <c r="A1094" s="119">
        <v>2017</v>
      </c>
      <c r="B1094" s="119" t="s">
        <v>38</v>
      </c>
      <c r="C1094" s="119" t="s">
        <v>59</v>
      </c>
      <c r="D1094" s="119" t="s">
        <v>210</v>
      </c>
      <c r="E1094" s="119" t="s">
        <v>61</v>
      </c>
      <c r="F1094" s="119" t="s">
        <v>768</v>
      </c>
      <c r="G1094" s="119" t="s">
        <v>768</v>
      </c>
      <c r="H1094" s="119" t="s">
        <v>768</v>
      </c>
      <c r="I1094" s="119" t="s">
        <v>170</v>
      </c>
      <c r="J1094" s="119" t="s">
        <v>171</v>
      </c>
      <c r="K1094" s="119" t="s">
        <v>172</v>
      </c>
      <c r="L1094" s="119" t="s">
        <v>768</v>
      </c>
      <c r="M1094" s="119" t="s">
        <v>46</v>
      </c>
      <c r="N1094" s="136">
        <v>0.02</v>
      </c>
      <c r="O1094" s="135" t="s">
        <v>51</v>
      </c>
      <c r="P1094" s="135"/>
      <c r="Q1094" s="137">
        <v>0</v>
      </c>
      <c r="R1094" s="137">
        <v>0</v>
      </c>
      <c r="S1094" s="137">
        <v>235295</v>
      </c>
      <c r="T1094" s="137">
        <f t="shared" si="254"/>
        <v>4705.9000000000005</v>
      </c>
      <c r="U1094" s="137">
        <f t="shared" si="258"/>
        <v>240000.9</v>
      </c>
      <c r="V1094" s="137">
        <v>240000</v>
      </c>
      <c r="W1094" s="137">
        <f t="shared" si="259"/>
        <v>0.89999999999417923</v>
      </c>
      <c r="X1094" s="137">
        <f t="shared" si="255"/>
        <v>0.8823529411707639</v>
      </c>
      <c r="Y1094" s="137">
        <f t="shared" si="260"/>
        <v>1.7647058823415329E-2</v>
      </c>
      <c r="Z1094" s="137">
        <v>240473.60000000001</v>
      </c>
      <c r="AA1094" s="137">
        <f t="shared" si="256"/>
        <v>-473.60000000000582</v>
      </c>
      <c r="AB1094" s="146">
        <f t="shared" si="252"/>
        <v>235758.43137254904</v>
      </c>
      <c r="AC1094" s="147">
        <f t="shared" si="257"/>
        <v>4715.1686274509702</v>
      </c>
      <c r="AD1094" s="137">
        <f t="shared" ref="AD1094:AD1095" si="261">(Z1094-Q1094)*0.89807640489087</f>
        <v>215963.66615916512</v>
      </c>
      <c r="AE1094" s="138">
        <v>0.11269173273981201</v>
      </c>
      <c r="AF1094" s="137">
        <f t="shared" si="246"/>
        <v>24337.31974831862</v>
      </c>
      <c r="AG1094" s="137">
        <v>16799.9354587333</v>
      </c>
      <c r="AH1094" s="154"/>
      <c r="AI1094" s="154"/>
      <c r="AJ1094" s="136">
        <v>0.02</v>
      </c>
      <c r="AK1094" s="156">
        <v>0.02</v>
      </c>
    </row>
    <row r="1095" spans="1:39" s="119" customFormat="1" ht="15" customHeight="1" x14ac:dyDescent="0.3">
      <c r="A1095" s="119">
        <v>2017</v>
      </c>
      <c r="F1095" s="131" t="e">
        <v>#N/A</v>
      </c>
      <c r="G1095" s="131"/>
      <c r="H1095" s="131"/>
      <c r="I1095" s="119" t="s">
        <v>170</v>
      </c>
      <c r="J1095" s="119" t="s">
        <v>171</v>
      </c>
      <c r="K1095" s="119" t="s">
        <v>172</v>
      </c>
      <c r="L1095" s="119" t="s">
        <v>1042</v>
      </c>
      <c r="M1095" s="119" t="s">
        <v>46</v>
      </c>
      <c r="N1095" s="135">
        <v>0</v>
      </c>
      <c r="O1095" s="135" t="s">
        <v>47</v>
      </c>
      <c r="P1095" s="135" t="s">
        <v>852</v>
      </c>
      <c r="Q1095" s="137">
        <v>4854.2234314954903</v>
      </c>
      <c r="R1095" s="137">
        <v>0</v>
      </c>
      <c r="S1095" s="137"/>
      <c r="T1095" s="137">
        <f t="shared" si="254"/>
        <v>0</v>
      </c>
      <c r="U1095" s="137">
        <f t="shared" si="258"/>
        <v>0</v>
      </c>
      <c r="V1095" s="137">
        <v>0</v>
      </c>
      <c r="W1095" s="137">
        <f t="shared" si="259"/>
        <v>0</v>
      </c>
      <c r="X1095" s="137">
        <f t="shared" si="255"/>
        <v>0</v>
      </c>
      <c r="Y1095" s="137">
        <f t="shared" si="260"/>
        <v>0</v>
      </c>
      <c r="Z1095" s="137">
        <v>5293.1</v>
      </c>
      <c r="AA1095" s="137">
        <f t="shared" si="256"/>
        <v>-438.87656850451003</v>
      </c>
      <c r="AB1095" s="146">
        <v>0</v>
      </c>
      <c r="AC1095" s="147">
        <f t="shared" si="257"/>
        <v>5293.1</v>
      </c>
      <c r="AD1095" s="137">
        <f t="shared" si="261"/>
        <v>394.14469083337201</v>
      </c>
      <c r="AE1095" s="138">
        <v>0.11269173273981201</v>
      </c>
      <c r="AF1095" s="137">
        <f t="shared" si="246"/>
        <v>44.416848160210186</v>
      </c>
      <c r="AG1095" s="137">
        <v>473.57214030389099</v>
      </c>
      <c r="AH1095" s="154"/>
      <c r="AI1095" s="154"/>
      <c r="AJ1095" s="135" t="e">
        <v>#N/A</v>
      </c>
      <c r="AK1095" s="119" t="s">
        <v>47</v>
      </c>
      <c r="AM1095" s="131" t="s">
        <v>208</v>
      </c>
    </row>
    <row r="1096" spans="1:39" s="119" customFormat="1" ht="15" customHeight="1" x14ac:dyDescent="0.3">
      <c r="A1096" s="119">
        <v>2017</v>
      </c>
      <c r="B1096" s="131" t="s">
        <v>38</v>
      </c>
      <c r="C1096" s="119" t="s">
        <v>433</v>
      </c>
      <c r="D1096" s="131"/>
      <c r="E1096" s="131"/>
      <c r="F1096" s="131" t="s">
        <v>798</v>
      </c>
      <c r="G1096" s="131" t="s">
        <v>798</v>
      </c>
      <c r="H1096" s="131" t="s">
        <v>798</v>
      </c>
      <c r="I1096" s="131" t="s">
        <v>243</v>
      </c>
      <c r="J1096" s="119" t="s">
        <v>244</v>
      </c>
      <c r="K1096" s="119" t="s">
        <v>245</v>
      </c>
      <c r="L1096" s="119" t="s">
        <v>798</v>
      </c>
      <c r="M1096" s="119" t="s">
        <v>46</v>
      </c>
      <c r="N1096" s="135">
        <v>0</v>
      </c>
      <c r="O1096" s="135" t="s">
        <v>47</v>
      </c>
      <c r="P1096" s="135"/>
      <c r="Q1096" s="137"/>
      <c r="T1096" s="137">
        <f t="shared" si="254"/>
        <v>0</v>
      </c>
      <c r="U1096" s="137">
        <f t="shared" si="258"/>
        <v>0</v>
      </c>
      <c r="V1096" s="137">
        <v>18000</v>
      </c>
      <c r="W1096" s="137">
        <f t="shared" si="259"/>
        <v>-18000</v>
      </c>
      <c r="X1096" s="137">
        <f t="shared" si="255"/>
        <v>-18000</v>
      </c>
      <c r="Y1096" s="137">
        <f t="shared" si="260"/>
        <v>0</v>
      </c>
      <c r="Z1096" s="137">
        <v>18408.599999999999</v>
      </c>
      <c r="AA1096" s="137">
        <f t="shared" si="256"/>
        <v>-408.59999999999854</v>
      </c>
      <c r="AB1096" s="146">
        <f>IF(O1096="返货",Z1096/(1+N1096),IF(O1096="返现",Z1096,IF(O1096="折扣",Z1096*N1096,IF(O1096="无",Z1096))))</f>
        <v>18408.599999999999</v>
      </c>
      <c r="AC1096" s="147">
        <f t="shared" si="257"/>
        <v>0</v>
      </c>
      <c r="AD1096" s="137">
        <v>15431.3320426548</v>
      </c>
      <c r="AE1096" s="138">
        <v>0.17647058823529399</v>
      </c>
      <c r="AF1096" s="137">
        <f t="shared" si="246"/>
        <v>2723.1762428214333</v>
      </c>
      <c r="AG1096" s="131"/>
      <c r="AH1096" s="131"/>
      <c r="AI1096" s="131"/>
      <c r="AJ1096" s="136">
        <v>0</v>
      </c>
      <c r="AK1096" s="131"/>
      <c r="AL1096" s="131"/>
      <c r="AM1096" s="131" t="s">
        <v>208</v>
      </c>
    </row>
    <row r="1097" spans="1:39" s="119" customFormat="1" ht="15" customHeight="1" x14ac:dyDescent="0.3">
      <c r="A1097" s="119">
        <v>2017</v>
      </c>
      <c r="C1097" s="119" t="s">
        <v>75</v>
      </c>
      <c r="F1097" s="131" t="str">
        <f>L1097</f>
        <v>深圳进门财经科技有限公司</v>
      </c>
      <c r="G1097" s="131"/>
      <c r="H1097" s="131"/>
      <c r="I1097" s="119" t="s">
        <v>170</v>
      </c>
      <c r="J1097" s="119" t="s">
        <v>171</v>
      </c>
      <c r="K1097" s="119" t="s">
        <v>172</v>
      </c>
      <c r="L1097" s="119" t="s">
        <v>1043</v>
      </c>
      <c r="M1097" s="119" t="s">
        <v>46</v>
      </c>
      <c r="N1097" s="135">
        <v>0</v>
      </c>
      <c r="O1097" s="135" t="s">
        <v>47</v>
      </c>
      <c r="P1097" s="135" t="s">
        <v>852</v>
      </c>
      <c r="Q1097" s="137">
        <v>2249.5181755710801</v>
      </c>
      <c r="R1097" s="137">
        <v>0</v>
      </c>
      <c r="S1097" s="137"/>
      <c r="T1097" s="137">
        <f t="shared" si="254"/>
        <v>0</v>
      </c>
      <c r="U1097" s="137">
        <f t="shared" si="258"/>
        <v>0</v>
      </c>
      <c r="V1097" s="137">
        <v>0</v>
      </c>
      <c r="W1097" s="137">
        <f t="shared" si="259"/>
        <v>0</v>
      </c>
      <c r="X1097" s="137">
        <f t="shared" si="255"/>
        <v>0</v>
      </c>
      <c r="Y1097" s="137">
        <f t="shared" si="260"/>
        <v>0</v>
      </c>
      <c r="Z1097" s="137">
        <v>2452.9</v>
      </c>
      <c r="AA1097" s="137">
        <f t="shared" si="256"/>
        <v>-203.38182442892003</v>
      </c>
      <c r="AB1097" s="146">
        <v>0</v>
      </c>
      <c r="AC1097" s="147">
        <f t="shared" si="257"/>
        <v>2452.9</v>
      </c>
      <c r="AD1097" s="137">
        <f>(Z1097-Q1097)*0.89807640489087</f>
        <v>182.65241770327063</v>
      </c>
      <c r="AE1097" s="138">
        <v>0.11269173273981201</v>
      </c>
      <c r="AF1097" s="137">
        <f t="shared" si="246"/>
        <v>20.583417440097481</v>
      </c>
      <c r="AG1097" s="137">
        <v>219.46026014082801</v>
      </c>
      <c r="AH1097" s="154"/>
      <c r="AI1097" s="154"/>
      <c r="AJ1097" s="135" t="e">
        <v>#N/A</v>
      </c>
      <c r="AK1097" s="119" t="s">
        <v>47</v>
      </c>
      <c r="AM1097" s="131" t="s">
        <v>208</v>
      </c>
    </row>
    <row r="1098" spans="1:39" s="119" customFormat="1" ht="15" customHeight="1" x14ac:dyDescent="0.3">
      <c r="A1098" s="119">
        <v>2017</v>
      </c>
      <c r="B1098" s="119" t="s">
        <v>252</v>
      </c>
      <c r="C1098" s="119" t="s">
        <v>137</v>
      </c>
      <c r="D1098" s="119" t="s">
        <v>139</v>
      </c>
      <c r="E1098" s="119" t="s">
        <v>1044</v>
      </c>
      <c r="F1098" s="119" t="s">
        <v>1045</v>
      </c>
      <c r="G1098" s="119" t="s">
        <v>1046</v>
      </c>
      <c r="H1098" s="119" t="s">
        <v>1047</v>
      </c>
      <c r="I1098" s="119" t="s">
        <v>170</v>
      </c>
      <c r="J1098" s="119" t="s">
        <v>573</v>
      </c>
      <c r="K1098" s="119" t="s">
        <v>1048</v>
      </c>
      <c r="L1098" s="119" t="s">
        <v>1045</v>
      </c>
      <c r="M1098" s="119" t="s">
        <v>46</v>
      </c>
      <c r="N1098" s="136">
        <v>0.02</v>
      </c>
      <c r="O1098" s="135" t="s">
        <v>51</v>
      </c>
      <c r="P1098" s="135"/>
      <c r="Q1098" s="137">
        <v>0</v>
      </c>
      <c r="R1098" s="137">
        <v>0</v>
      </c>
      <c r="S1098" s="137">
        <v>60000</v>
      </c>
      <c r="T1098" s="137">
        <f t="shared" si="254"/>
        <v>1200</v>
      </c>
      <c r="U1098" s="137">
        <f t="shared" si="258"/>
        <v>61200</v>
      </c>
      <c r="V1098" s="137">
        <v>61200</v>
      </c>
      <c r="W1098" s="137">
        <f t="shared" si="259"/>
        <v>0</v>
      </c>
      <c r="X1098" s="137">
        <f t="shared" si="255"/>
        <v>0</v>
      </c>
      <c r="Y1098" s="137">
        <f t="shared" si="260"/>
        <v>0</v>
      </c>
      <c r="Z1098" s="137">
        <v>0</v>
      </c>
      <c r="AA1098" s="137">
        <f t="shared" si="256"/>
        <v>61200</v>
      </c>
      <c r="AB1098" s="146">
        <f>IF(O1098="返货",Z1098/(1+N1098),IF(O1098="返现",Z1098,IF(O1098="折扣",Z1098*N1098,IF(O1098="无",Z1098))))</f>
        <v>0</v>
      </c>
      <c r="AC1098" s="147">
        <f t="shared" si="257"/>
        <v>0</v>
      </c>
      <c r="AD1098" s="137">
        <f>Z1098*0.981034800313914-Q1098</f>
        <v>0</v>
      </c>
      <c r="AE1098" s="138">
        <v>0.04</v>
      </c>
      <c r="AF1098" s="137">
        <f t="shared" ref="AF1098:AF1115" si="262">AD1098*AE1098</f>
        <v>0</v>
      </c>
      <c r="AG1098" s="137">
        <v>0</v>
      </c>
      <c r="AH1098" s="154"/>
      <c r="AI1098" s="154"/>
      <c r="AJ1098" s="135" t="s">
        <v>173</v>
      </c>
      <c r="AK1098" s="119" t="s">
        <v>173</v>
      </c>
    </row>
    <row r="1099" spans="1:39" s="119" customFormat="1" ht="15" customHeight="1" x14ac:dyDescent="0.3">
      <c r="A1099" s="119">
        <v>2017</v>
      </c>
      <c r="B1099" s="119" t="s">
        <v>199</v>
      </c>
      <c r="C1099" s="119" t="s">
        <v>137</v>
      </c>
      <c r="D1099" s="119" t="s">
        <v>270</v>
      </c>
      <c r="E1099" s="119" t="s">
        <v>270</v>
      </c>
      <c r="F1099" s="119" t="s">
        <v>590</v>
      </c>
      <c r="G1099" s="119" t="s">
        <v>1049</v>
      </c>
      <c r="H1099" s="119" t="s">
        <v>1049</v>
      </c>
      <c r="I1099" s="119" t="s">
        <v>170</v>
      </c>
      <c r="J1099" s="119" t="s">
        <v>573</v>
      </c>
      <c r="K1099" s="119" t="s">
        <v>1048</v>
      </c>
      <c r="L1099" s="119" t="s">
        <v>590</v>
      </c>
      <c r="M1099" s="119" t="s">
        <v>46</v>
      </c>
      <c r="N1099" s="136">
        <v>0.02</v>
      </c>
      <c r="O1099" s="135" t="s">
        <v>51</v>
      </c>
      <c r="P1099" s="135"/>
      <c r="Q1099" s="137">
        <v>0</v>
      </c>
      <c r="R1099" s="137">
        <v>0</v>
      </c>
      <c r="S1099" s="137">
        <v>120000</v>
      </c>
      <c r="T1099" s="137">
        <f t="shared" si="254"/>
        <v>2400</v>
      </c>
      <c r="U1099" s="137">
        <f t="shared" si="258"/>
        <v>122400</v>
      </c>
      <c r="V1099" s="137">
        <v>120000</v>
      </c>
      <c r="W1099" s="137">
        <f t="shared" si="259"/>
        <v>2400</v>
      </c>
      <c r="X1099" s="137">
        <f t="shared" si="255"/>
        <v>2352.9411764705883</v>
      </c>
      <c r="Y1099" s="137">
        <f t="shared" si="260"/>
        <v>47.058823529411711</v>
      </c>
      <c r="Z1099" s="137">
        <v>0</v>
      </c>
      <c r="AA1099" s="137">
        <f t="shared" si="256"/>
        <v>120000</v>
      </c>
      <c r="AB1099" s="146">
        <f>IF(O1099="返货",Z1099/(1+N1099),IF(O1099="返现",Z1099,IF(O1099="折扣",Z1099*N1099,IF(O1099="无",Z1099))))</f>
        <v>0</v>
      </c>
      <c r="AC1099" s="147">
        <f t="shared" si="257"/>
        <v>0</v>
      </c>
      <c r="AD1099" s="137">
        <f>Z1099*0.981034800313914-Q1099</f>
        <v>0</v>
      </c>
      <c r="AE1099" s="138">
        <v>0.04</v>
      </c>
      <c r="AF1099" s="137">
        <f t="shared" si="262"/>
        <v>0</v>
      </c>
      <c r="AG1099" s="137">
        <v>30.567843137254801</v>
      </c>
      <c r="AH1099" s="154"/>
      <c r="AI1099" s="154"/>
      <c r="AJ1099" s="135" t="s">
        <v>173</v>
      </c>
      <c r="AK1099" s="119" t="s">
        <v>173</v>
      </c>
      <c r="AM1099" s="119" t="s">
        <v>174</v>
      </c>
    </row>
    <row r="1100" spans="1:39" s="119" customFormat="1" ht="15" customHeight="1" x14ac:dyDescent="0.3">
      <c r="A1100" s="119">
        <v>2017</v>
      </c>
      <c r="B1100" s="119" t="s">
        <v>38</v>
      </c>
      <c r="C1100" s="119" t="s">
        <v>88</v>
      </c>
      <c r="D1100" s="119" t="s">
        <v>128</v>
      </c>
      <c r="E1100" s="119" t="s">
        <v>98</v>
      </c>
      <c r="F1100" s="119" t="s">
        <v>855</v>
      </c>
      <c r="G1100" s="119" t="s">
        <v>855</v>
      </c>
      <c r="H1100" s="119" t="s">
        <v>855</v>
      </c>
      <c r="I1100" s="119" t="s">
        <v>170</v>
      </c>
      <c r="J1100" s="119" t="s">
        <v>573</v>
      </c>
      <c r="K1100" s="119" t="s">
        <v>1048</v>
      </c>
      <c r="L1100" s="119" t="s">
        <v>855</v>
      </c>
      <c r="M1100" s="119" t="s">
        <v>46</v>
      </c>
      <c r="N1100" s="136">
        <v>0.04</v>
      </c>
      <c r="O1100" s="135" t="s">
        <v>51</v>
      </c>
      <c r="P1100" s="135"/>
      <c r="Q1100" s="137">
        <v>0</v>
      </c>
      <c r="R1100" s="137">
        <v>0</v>
      </c>
      <c r="S1100" s="137">
        <v>1224095.18</v>
      </c>
      <c r="T1100" s="137">
        <f t="shared" si="254"/>
        <v>48963.807199999996</v>
      </c>
      <c r="U1100" s="137">
        <f t="shared" si="258"/>
        <v>1273058.9871999999</v>
      </c>
      <c r="V1100" s="137">
        <v>1284000</v>
      </c>
      <c r="W1100" s="137">
        <f t="shared" si="259"/>
        <v>-10941.012800000142</v>
      </c>
      <c r="X1100" s="137">
        <f t="shared" si="255"/>
        <v>-10520.204615384751</v>
      </c>
      <c r="Y1100" s="137">
        <f t="shared" si="260"/>
        <v>-420.80818461539093</v>
      </c>
      <c r="Z1100" s="137">
        <v>829052.4</v>
      </c>
      <c r="AA1100" s="137">
        <f t="shared" si="256"/>
        <v>454947.6</v>
      </c>
      <c r="AB1100" s="146">
        <f>IF(O1100="返货",Z1100/(1+N1100),IF(O1100="返现",Z1100,IF(O1100="折扣",Z1100*N1100,IF(O1100="无",Z1100))))</f>
        <v>797165.76923076925</v>
      </c>
      <c r="AC1100" s="147">
        <f t="shared" si="257"/>
        <v>31886.630769230775</v>
      </c>
      <c r="AD1100" s="137">
        <f>Z1100*0.981034800313914-Q1100</f>
        <v>813329.25568377122</v>
      </c>
      <c r="AE1100" s="138">
        <v>0.04</v>
      </c>
      <c r="AF1100" s="137">
        <f t="shared" si="262"/>
        <v>32533.170227350849</v>
      </c>
      <c r="AG1100" s="137">
        <v>1275.4652307692299</v>
      </c>
      <c r="AH1100" s="154"/>
      <c r="AI1100" s="154"/>
      <c r="AJ1100" s="136">
        <v>0.04</v>
      </c>
      <c r="AK1100" s="156">
        <v>0.04</v>
      </c>
      <c r="AM1100" s="131"/>
    </row>
    <row r="1101" spans="1:39" s="119" customFormat="1" ht="15" customHeight="1" x14ac:dyDescent="0.3">
      <c r="A1101" s="119">
        <v>2017</v>
      </c>
      <c r="B1101" s="119" t="s">
        <v>38</v>
      </c>
      <c r="C1101" s="119" t="s">
        <v>110</v>
      </c>
      <c r="D1101" s="119" t="s">
        <v>111</v>
      </c>
      <c r="E1101" s="119" t="s">
        <v>112</v>
      </c>
      <c r="F1101" s="119" t="s">
        <v>113</v>
      </c>
      <c r="G1101" s="119" t="s">
        <v>113</v>
      </c>
      <c r="H1101" s="119" t="s">
        <v>113</v>
      </c>
      <c r="I1101" s="119" t="s">
        <v>170</v>
      </c>
      <c r="J1101" s="119" t="s">
        <v>573</v>
      </c>
      <c r="K1101" s="119" t="s">
        <v>1048</v>
      </c>
      <c r="L1101" s="119" t="s">
        <v>248</v>
      </c>
      <c r="M1101" s="119" t="s">
        <v>185</v>
      </c>
      <c r="N1101" s="136">
        <v>0.04</v>
      </c>
      <c r="O1101" s="135" t="s">
        <v>51</v>
      </c>
      <c r="P1101" s="135"/>
      <c r="Q1101" s="137">
        <v>0</v>
      </c>
      <c r="R1101" s="137">
        <v>0</v>
      </c>
      <c r="S1101" s="137">
        <v>60000</v>
      </c>
      <c r="T1101" s="137">
        <f t="shared" si="254"/>
        <v>2400</v>
      </c>
      <c r="U1101" s="137">
        <f t="shared" si="258"/>
        <v>62400</v>
      </c>
      <c r="V1101" s="137">
        <v>60000</v>
      </c>
      <c r="W1101" s="137">
        <f t="shared" si="259"/>
        <v>2400</v>
      </c>
      <c r="X1101" s="137">
        <f t="shared" si="255"/>
        <v>2307.6923076923076</v>
      </c>
      <c r="Y1101" s="137">
        <f t="shared" si="260"/>
        <v>92.307692307692378</v>
      </c>
      <c r="Z1101" s="137">
        <v>32000.2</v>
      </c>
      <c r="AA1101" s="137">
        <f t="shared" si="256"/>
        <v>27999.8</v>
      </c>
      <c r="AB1101" s="146">
        <f>IF(O1101="返货",Z1101/(1+N1101),IF(O1101="返现",Z1101,IF(O1101="折扣",Z1101*N1101,IF(O1101="无",Z1101))))</f>
        <v>30769.423076923078</v>
      </c>
      <c r="AC1101" s="147">
        <f t="shared" si="257"/>
        <v>1230.7769230769227</v>
      </c>
      <c r="AD1101" s="137">
        <f>Z1101*0.98051375-Q1101</f>
        <v>31376.636102749999</v>
      </c>
      <c r="AE1101" s="138">
        <v>0.08</v>
      </c>
      <c r="AF1101" s="137">
        <f t="shared" si="262"/>
        <v>2510.1308882200001</v>
      </c>
      <c r="AG1101" s="137">
        <v>1329.2390769230799</v>
      </c>
      <c r="AH1101" s="154"/>
      <c r="AI1101" s="154"/>
      <c r="AJ1101" s="135" t="s">
        <v>186</v>
      </c>
      <c r="AK1101" s="119" t="s">
        <v>186</v>
      </c>
      <c r="AM1101" s="131"/>
    </row>
    <row r="1102" spans="1:39" s="119" customFormat="1" ht="15" customHeight="1" x14ac:dyDescent="0.3">
      <c r="A1102" s="119">
        <v>2017</v>
      </c>
      <c r="B1102" s="119" t="s">
        <v>38</v>
      </c>
      <c r="C1102" s="119" t="s">
        <v>110</v>
      </c>
      <c r="D1102" s="119" t="s">
        <v>111</v>
      </c>
      <c r="E1102" s="119" t="s">
        <v>112</v>
      </c>
      <c r="F1102" s="119" t="s">
        <v>113</v>
      </c>
      <c r="G1102" s="119" t="s">
        <v>113</v>
      </c>
      <c r="H1102" s="119" t="s">
        <v>113</v>
      </c>
      <c r="I1102" s="119" t="s">
        <v>170</v>
      </c>
      <c r="J1102" s="119" t="s">
        <v>573</v>
      </c>
      <c r="K1102" s="119" t="s">
        <v>1048</v>
      </c>
      <c r="L1102" s="119" t="s">
        <v>248</v>
      </c>
      <c r="M1102" s="119" t="s">
        <v>46</v>
      </c>
      <c r="N1102" s="136">
        <v>0.02</v>
      </c>
      <c r="O1102" s="135" t="s">
        <v>51</v>
      </c>
      <c r="P1102" s="135"/>
      <c r="Q1102" s="137">
        <v>100000</v>
      </c>
      <c r="R1102" s="137">
        <v>0</v>
      </c>
      <c r="S1102" s="137">
        <v>1050000</v>
      </c>
      <c r="T1102" s="137">
        <f t="shared" si="254"/>
        <v>21000</v>
      </c>
      <c r="U1102" s="137">
        <f t="shared" si="258"/>
        <v>1071000</v>
      </c>
      <c r="V1102" s="137">
        <v>1050000</v>
      </c>
      <c r="W1102" s="137">
        <f t="shared" si="259"/>
        <v>21000</v>
      </c>
      <c r="X1102" s="137">
        <f t="shared" si="255"/>
        <v>20588.235294117647</v>
      </c>
      <c r="Y1102" s="137">
        <f t="shared" si="260"/>
        <v>411.76470588235316</v>
      </c>
      <c r="Z1102" s="137">
        <v>1117215.1000000001</v>
      </c>
      <c r="AA1102" s="137">
        <f t="shared" si="256"/>
        <v>32784.899999999907</v>
      </c>
      <c r="AB1102" s="146">
        <f>IF(O1102="返货",(Z1102-Q1102)/(1+N1102),IF(O1102="返现",(Z1102-Q1102),IF(O1102="折扣",(Z1102-Q1102)*N1102,IF(O1102="无",(Z1102-Q1102)))))</f>
        <v>997269.70588235301</v>
      </c>
      <c r="AC1102" s="147">
        <f t="shared" si="257"/>
        <v>119945.39411764708</v>
      </c>
      <c r="AD1102" s="137">
        <f>Z1102*0.981034800313914-Q1102</f>
        <v>996026.89253618964</v>
      </c>
      <c r="AE1102" s="138">
        <v>0.04</v>
      </c>
      <c r="AF1102" s="137">
        <f t="shared" si="262"/>
        <v>39841.075701447589</v>
      </c>
      <c r="AG1102" s="137">
        <v>22782.425568627401</v>
      </c>
      <c r="AH1102" s="154"/>
      <c r="AI1102" s="154"/>
      <c r="AJ1102" s="136">
        <v>0.02</v>
      </c>
      <c r="AK1102" s="156">
        <v>0.02</v>
      </c>
      <c r="AM1102" s="131"/>
    </row>
    <row r="1103" spans="1:39" s="119" customFormat="1" ht="15" customHeight="1" x14ac:dyDescent="0.3">
      <c r="A1103" s="119">
        <v>2017</v>
      </c>
      <c r="B1103" s="119" t="s">
        <v>199</v>
      </c>
      <c r="C1103" s="119" t="s">
        <v>88</v>
      </c>
      <c r="D1103" s="119" t="s">
        <v>89</v>
      </c>
      <c r="E1103" s="119" t="s">
        <v>124</v>
      </c>
      <c r="F1103" s="119" t="s">
        <v>1050</v>
      </c>
      <c r="G1103" s="119" t="s">
        <v>1051</v>
      </c>
      <c r="H1103" s="119" t="s">
        <v>1051</v>
      </c>
      <c r="I1103" s="119" t="s">
        <v>170</v>
      </c>
      <c r="J1103" s="119" t="s">
        <v>573</v>
      </c>
      <c r="K1103" s="119" t="s">
        <v>1048</v>
      </c>
      <c r="L1103" s="119" t="s">
        <v>1050</v>
      </c>
      <c r="M1103" s="119" t="s">
        <v>46</v>
      </c>
      <c r="N1103" s="136">
        <v>0.02</v>
      </c>
      <c r="O1103" s="135" t="s">
        <v>51</v>
      </c>
      <c r="P1103" s="135"/>
      <c r="Q1103" s="137">
        <v>0</v>
      </c>
      <c r="R1103" s="137">
        <v>0</v>
      </c>
      <c r="S1103" s="137">
        <v>30000</v>
      </c>
      <c r="T1103" s="137">
        <f t="shared" si="254"/>
        <v>600</v>
      </c>
      <c r="U1103" s="137">
        <f t="shared" si="258"/>
        <v>30600</v>
      </c>
      <c r="V1103" s="137">
        <v>30600</v>
      </c>
      <c r="W1103" s="137">
        <f t="shared" si="259"/>
        <v>0</v>
      </c>
      <c r="X1103" s="137">
        <f t="shared" si="255"/>
        <v>0</v>
      </c>
      <c r="Y1103" s="137">
        <f t="shared" si="260"/>
        <v>0</v>
      </c>
      <c r="Z1103" s="137">
        <v>8336.7000000000007</v>
      </c>
      <c r="AA1103" s="137">
        <f t="shared" si="256"/>
        <v>22263.3</v>
      </c>
      <c r="AB1103" s="146">
        <f t="shared" ref="AB1103:AB1112" si="263">IF(O1103="返货",Z1103/(1+N1103),IF(O1103="返现",Z1103,IF(O1103="折扣",Z1103*N1103,IF(O1103="无",Z1103))))</f>
        <v>8173.2352941176478</v>
      </c>
      <c r="AC1103" s="147">
        <f t="shared" si="257"/>
        <v>163.46470588235297</v>
      </c>
      <c r="AD1103" s="137">
        <f>Z1103*0.981034800313914-Q1103</f>
        <v>8178.5928197770072</v>
      </c>
      <c r="AE1103" s="138">
        <v>0.04</v>
      </c>
      <c r="AF1103" s="137">
        <f t="shared" si="262"/>
        <v>327.1437127910803</v>
      </c>
      <c r="AG1103" s="137">
        <v>170.00329411764699</v>
      </c>
      <c r="AH1103" s="154"/>
      <c r="AI1103" s="154"/>
      <c r="AJ1103" s="135" t="s">
        <v>173</v>
      </c>
      <c r="AK1103" s="119" t="s">
        <v>173</v>
      </c>
      <c r="AM1103" s="131"/>
    </row>
    <row r="1104" spans="1:39" s="119" customFormat="1" ht="15" customHeight="1" x14ac:dyDescent="0.3">
      <c r="A1104" s="119">
        <v>2017</v>
      </c>
      <c r="B1104" s="119" t="s">
        <v>38</v>
      </c>
      <c r="C1104" s="119" t="s">
        <v>75</v>
      </c>
      <c r="D1104" s="119" t="s">
        <v>76</v>
      </c>
      <c r="E1104" s="119" t="s">
        <v>167</v>
      </c>
      <c r="F1104" s="119" t="s">
        <v>216</v>
      </c>
      <c r="G1104" s="119" t="s">
        <v>216</v>
      </c>
      <c r="H1104" s="119" t="s">
        <v>216</v>
      </c>
      <c r="I1104" s="119" t="s">
        <v>170</v>
      </c>
      <c r="J1104" s="119" t="s">
        <v>573</v>
      </c>
      <c r="K1104" s="119" t="s">
        <v>1048</v>
      </c>
      <c r="L1104" s="119" t="s">
        <v>216</v>
      </c>
      <c r="M1104" s="119" t="s">
        <v>46</v>
      </c>
      <c r="N1104" s="136">
        <v>0.02</v>
      </c>
      <c r="O1104" s="135" t="s">
        <v>51</v>
      </c>
      <c r="P1104" s="135"/>
      <c r="Q1104" s="137">
        <v>0</v>
      </c>
      <c r="R1104" s="137">
        <v>0</v>
      </c>
      <c r="S1104" s="137">
        <v>1450000</v>
      </c>
      <c r="T1104" s="137">
        <f t="shared" si="254"/>
        <v>29000</v>
      </c>
      <c r="U1104" s="137">
        <f t="shared" si="258"/>
        <v>1479000</v>
      </c>
      <c r="V1104" s="137">
        <v>547000</v>
      </c>
      <c r="W1104" s="137">
        <f t="shared" si="259"/>
        <v>932000</v>
      </c>
      <c r="X1104" s="137">
        <f t="shared" si="255"/>
        <v>913725.49019607843</v>
      </c>
      <c r="Y1104" s="137">
        <f t="shared" si="260"/>
        <v>18274.509803921566</v>
      </c>
      <c r="Z1104" s="137">
        <v>361640.2</v>
      </c>
      <c r="AA1104" s="137">
        <f t="shared" si="256"/>
        <v>185359.8</v>
      </c>
      <c r="AB1104" s="146">
        <f t="shared" si="263"/>
        <v>354549.21568627452</v>
      </c>
      <c r="AC1104" s="147">
        <f t="shared" si="257"/>
        <v>7090.9843137254938</v>
      </c>
      <c r="AD1104" s="137">
        <f>Z1104*0.981034800313914-Q1104</f>
        <v>354781.62139248394</v>
      </c>
      <c r="AE1104" s="138">
        <v>0.04</v>
      </c>
      <c r="AF1104" s="137">
        <f t="shared" si="262"/>
        <v>14191.264855699357</v>
      </c>
      <c r="AG1104" s="137">
        <v>7374.62368627451</v>
      </c>
      <c r="AH1104" s="154"/>
      <c r="AI1104" s="154"/>
      <c r="AJ1104" s="135" t="s">
        <v>173</v>
      </c>
      <c r="AK1104" s="119" t="s">
        <v>173</v>
      </c>
      <c r="AM1104" s="131"/>
    </row>
    <row r="1105" spans="1:39" s="119" customFormat="1" ht="15" customHeight="1" x14ac:dyDescent="0.3">
      <c r="A1105" s="119">
        <v>2017</v>
      </c>
      <c r="B1105" s="119" t="s">
        <v>38</v>
      </c>
      <c r="C1105" s="119" t="s">
        <v>75</v>
      </c>
      <c r="D1105" s="119" t="s">
        <v>76</v>
      </c>
      <c r="E1105" s="119" t="s">
        <v>167</v>
      </c>
      <c r="F1105" s="119" t="s">
        <v>915</v>
      </c>
      <c r="G1105" s="119" t="s">
        <v>916</v>
      </c>
      <c r="H1105" s="119" t="s">
        <v>916</v>
      </c>
      <c r="I1105" s="119" t="s">
        <v>170</v>
      </c>
      <c r="J1105" s="119" t="s">
        <v>573</v>
      </c>
      <c r="K1105" s="119" t="s">
        <v>1048</v>
      </c>
      <c r="L1105" s="119" t="s">
        <v>916</v>
      </c>
      <c r="M1105" s="119" t="s">
        <v>46</v>
      </c>
      <c r="N1105" s="136">
        <v>0.04</v>
      </c>
      <c r="O1105" s="135" t="s">
        <v>51</v>
      </c>
      <c r="P1105" s="135"/>
      <c r="Q1105" s="137">
        <v>0</v>
      </c>
      <c r="R1105" s="137">
        <v>0</v>
      </c>
      <c r="S1105" s="137">
        <v>403846.16</v>
      </c>
      <c r="T1105" s="137">
        <f t="shared" si="254"/>
        <v>16153.846399999999</v>
      </c>
      <c r="U1105" s="137">
        <f t="shared" si="258"/>
        <v>420000.00639999995</v>
      </c>
      <c r="V1105" s="137">
        <v>420000.00640000001</v>
      </c>
      <c r="W1105" s="137">
        <f t="shared" si="259"/>
        <v>0</v>
      </c>
      <c r="X1105" s="137">
        <f t="shared" si="255"/>
        <v>0</v>
      </c>
      <c r="Y1105" s="137">
        <f t="shared" si="260"/>
        <v>0</v>
      </c>
      <c r="Z1105" s="137">
        <v>0</v>
      </c>
      <c r="AA1105" s="137">
        <f t="shared" si="256"/>
        <v>420000.00640000001</v>
      </c>
      <c r="AB1105" s="146">
        <f t="shared" si="263"/>
        <v>0</v>
      </c>
      <c r="AC1105" s="147">
        <f t="shared" si="257"/>
        <v>0</v>
      </c>
      <c r="AD1105" s="137">
        <f>Z1105*0.981034800313914-Q1105</f>
        <v>0</v>
      </c>
      <c r="AE1105" s="138">
        <v>0.04</v>
      </c>
      <c r="AF1105" s="137">
        <f t="shared" si="262"/>
        <v>0</v>
      </c>
      <c r="AG1105" s="137">
        <v>0</v>
      </c>
      <c r="AH1105" s="154"/>
      <c r="AI1105" s="154"/>
      <c r="AJ1105" s="135" t="s">
        <v>186</v>
      </c>
      <c r="AK1105" s="119" t="s">
        <v>186</v>
      </c>
      <c r="AM1105" s="131"/>
    </row>
    <row r="1106" spans="1:39" s="119" customFormat="1" ht="15" customHeight="1" x14ac:dyDescent="0.3">
      <c r="A1106" s="119">
        <v>2017</v>
      </c>
      <c r="B1106" s="119" t="s">
        <v>252</v>
      </c>
      <c r="C1106" s="119" t="s">
        <v>75</v>
      </c>
      <c r="D1106" s="119" t="s">
        <v>256</v>
      </c>
      <c r="E1106" s="119" t="s">
        <v>647</v>
      </c>
      <c r="F1106" s="119" t="s">
        <v>686</v>
      </c>
      <c r="G1106" s="119" t="s">
        <v>687</v>
      </c>
      <c r="H1106" s="119" t="s">
        <v>687</v>
      </c>
      <c r="I1106" s="119" t="s">
        <v>170</v>
      </c>
      <c r="J1106" s="119" t="s">
        <v>573</v>
      </c>
      <c r="K1106" s="119" t="s">
        <v>1048</v>
      </c>
      <c r="L1106" s="119" t="s">
        <v>686</v>
      </c>
      <c r="M1106" s="119" t="s">
        <v>46</v>
      </c>
      <c r="N1106" s="136">
        <v>0.04</v>
      </c>
      <c r="O1106" s="135" t="s">
        <v>51</v>
      </c>
      <c r="P1106" s="135"/>
      <c r="Q1106" s="137">
        <v>0</v>
      </c>
      <c r="R1106" s="137">
        <v>0</v>
      </c>
      <c r="S1106" s="137">
        <v>6250000</v>
      </c>
      <c r="T1106" s="137">
        <f t="shared" si="254"/>
        <v>250000</v>
      </c>
      <c r="U1106" s="137">
        <f t="shared" si="258"/>
        <v>6500000</v>
      </c>
      <c r="V1106" s="137">
        <v>3600000</v>
      </c>
      <c r="W1106" s="137">
        <f t="shared" si="259"/>
        <v>2900000</v>
      </c>
      <c r="X1106" s="137">
        <f t="shared" si="255"/>
        <v>2788461.5384615385</v>
      </c>
      <c r="Y1106" s="137">
        <f t="shared" si="260"/>
        <v>111538.4615384615</v>
      </c>
      <c r="Z1106" s="137">
        <v>3461838.3</v>
      </c>
      <c r="AA1106" s="137">
        <f t="shared" si="256"/>
        <v>138161.70000000019</v>
      </c>
      <c r="AB1106" s="146">
        <f t="shared" si="263"/>
        <v>3328690.673076923</v>
      </c>
      <c r="AC1106" s="147">
        <f t="shared" si="257"/>
        <v>133147.62692307681</v>
      </c>
      <c r="AD1106" s="137">
        <v>3395898.5853595599</v>
      </c>
      <c r="AE1106" s="138">
        <v>0.04</v>
      </c>
      <c r="AF1106" s="137">
        <f t="shared" si="262"/>
        <v>135835.9434143824</v>
      </c>
      <c r="AG1106" s="137">
        <v>5325.9050769231999</v>
      </c>
      <c r="AH1106" s="154"/>
      <c r="AI1106" s="154"/>
      <c r="AJ1106" s="135" t="s">
        <v>186</v>
      </c>
      <c r="AK1106" s="119" t="s">
        <v>186</v>
      </c>
      <c r="AM1106" s="131"/>
    </row>
    <row r="1107" spans="1:39" s="119" customFormat="1" ht="15" customHeight="1" x14ac:dyDescent="0.3">
      <c r="A1107" s="119">
        <v>2017</v>
      </c>
      <c r="B1107" s="119" t="s">
        <v>199</v>
      </c>
      <c r="C1107" s="119" t="s">
        <v>39</v>
      </c>
      <c r="D1107" s="119" t="s">
        <v>81</v>
      </c>
      <c r="E1107" s="119" t="s">
        <v>41</v>
      </c>
      <c r="F1107" s="119" t="s">
        <v>1052</v>
      </c>
      <c r="G1107" s="119" t="s">
        <v>1053</v>
      </c>
      <c r="H1107" s="119" t="s">
        <v>1053</v>
      </c>
      <c r="I1107" s="119" t="s">
        <v>170</v>
      </c>
      <c r="J1107" s="119" t="s">
        <v>573</v>
      </c>
      <c r="K1107" s="119" t="s">
        <v>1048</v>
      </c>
      <c r="L1107" s="119" t="s">
        <v>1052</v>
      </c>
      <c r="M1107" s="119" t="s">
        <v>46</v>
      </c>
      <c r="N1107" s="136">
        <v>0.03</v>
      </c>
      <c r="O1107" s="135" t="s">
        <v>51</v>
      </c>
      <c r="P1107" s="135"/>
      <c r="Q1107" s="137">
        <v>0</v>
      </c>
      <c r="R1107" s="137">
        <v>0</v>
      </c>
      <c r="S1107" s="137">
        <v>60000</v>
      </c>
      <c r="T1107" s="137">
        <f t="shared" si="254"/>
        <v>1800</v>
      </c>
      <c r="U1107" s="137">
        <f t="shared" si="258"/>
        <v>61800</v>
      </c>
      <c r="V1107" s="137">
        <v>60000</v>
      </c>
      <c r="W1107" s="137">
        <f t="shared" si="259"/>
        <v>1800</v>
      </c>
      <c r="X1107" s="137">
        <f t="shared" si="255"/>
        <v>1747.5728155339805</v>
      </c>
      <c r="Y1107" s="137">
        <f t="shared" si="260"/>
        <v>52.427184466019526</v>
      </c>
      <c r="Z1107" s="137">
        <v>59999.3</v>
      </c>
      <c r="AA1107" s="137">
        <f t="shared" si="256"/>
        <v>0.69999999999708962</v>
      </c>
      <c r="AB1107" s="146">
        <f t="shared" si="263"/>
        <v>58251.747572815533</v>
      </c>
      <c r="AC1107" s="147">
        <f t="shared" si="257"/>
        <v>1747.5524271844697</v>
      </c>
      <c r="AD1107" s="137">
        <f t="shared" ref="AD1107:AD1113" si="264">Z1107*0.981034800313914-Q1107</f>
        <v>58861.401294474621</v>
      </c>
      <c r="AE1107" s="138">
        <v>0.04</v>
      </c>
      <c r="AF1107" s="137">
        <f t="shared" si="262"/>
        <v>2354.4560517789851</v>
      </c>
      <c r="AG1107" s="137">
        <v>652.41957281553096</v>
      </c>
      <c r="AH1107" s="154"/>
      <c r="AI1107" s="154"/>
      <c r="AJ1107" s="135" t="s">
        <v>189</v>
      </c>
      <c r="AK1107" s="119" t="s">
        <v>189</v>
      </c>
      <c r="AM1107" s="131"/>
    </row>
    <row r="1108" spans="1:39" s="119" customFormat="1" ht="15" customHeight="1" x14ac:dyDescent="0.3">
      <c r="A1108" s="119">
        <v>2017</v>
      </c>
      <c r="B1108" s="119" t="s">
        <v>199</v>
      </c>
      <c r="C1108" s="119" t="s">
        <v>39</v>
      </c>
      <c r="D1108" s="119" t="s">
        <v>81</v>
      </c>
      <c r="E1108" s="119" t="s">
        <v>41</v>
      </c>
      <c r="F1108" s="119" t="s">
        <v>1054</v>
      </c>
      <c r="G1108" s="119" t="s">
        <v>1055</v>
      </c>
      <c r="H1108" s="119" t="s">
        <v>1056</v>
      </c>
      <c r="I1108" s="119" t="s">
        <v>170</v>
      </c>
      <c r="J1108" s="119" t="s">
        <v>573</v>
      </c>
      <c r="K1108" s="119" t="s">
        <v>1048</v>
      </c>
      <c r="L1108" s="119" t="s">
        <v>1054</v>
      </c>
      <c r="M1108" s="119" t="s">
        <v>46</v>
      </c>
      <c r="N1108" s="136">
        <v>0.02</v>
      </c>
      <c r="O1108" s="135" t="s">
        <v>51</v>
      </c>
      <c r="P1108" s="135"/>
      <c r="Q1108" s="137">
        <v>0</v>
      </c>
      <c r="R1108" s="137">
        <v>0</v>
      </c>
      <c r="S1108" s="137">
        <v>10000</v>
      </c>
      <c r="T1108" s="137">
        <f t="shared" si="254"/>
        <v>200</v>
      </c>
      <c r="U1108" s="137">
        <f t="shared" si="258"/>
        <v>10200</v>
      </c>
      <c r="V1108" s="137">
        <v>10000</v>
      </c>
      <c r="W1108" s="137">
        <f t="shared" si="259"/>
        <v>200</v>
      </c>
      <c r="X1108" s="137">
        <f t="shared" si="255"/>
        <v>196.07843137254901</v>
      </c>
      <c r="Y1108" s="137">
        <f t="shared" si="260"/>
        <v>3.9215686274509949</v>
      </c>
      <c r="Z1108" s="137">
        <v>9998.9</v>
      </c>
      <c r="AA1108" s="137">
        <f t="shared" si="256"/>
        <v>1.1000000000003638</v>
      </c>
      <c r="AB1108" s="146">
        <f t="shared" si="263"/>
        <v>9802.8431372549021</v>
      </c>
      <c r="AC1108" s="147">
        <f t="shared" si="257"/>
        <v>196.05686274509753</v>
      </c>
      <c r="AD1108" s="137">
        <f t="shared" si="264"/>
        <v>9809.2688648587937</v>
      </c>
      <c r="AE1108" s="138">
        <v>0.04</v>
      </c>
      <c r="AF1108" s="137">
        <f t="shared" si="262"/>
        <v>392.37075459435175</v>
      </c>
      <c r="AG1108" s="137">
        <v>203.899137254903</v>
      </c>
      <c r="AH1108" s="154"/>
      <c r="AI1108" s="154"/>
      <c r="AJ1108" s="135" t="s">
        <v>173</v>
      </c>
      <c r="AK1108" s="119" t="s">
        <v>173</v>
      </c>
      <c r="AM1108" s="131"/>
    </row>
    <row r="1109" spans="1:39" s="119" customFormat="1" ht="15" customHeight="1" x14ac:dyDescent="0.3">
      <c r="A1109" s="119">
        <v>2017</v>
      </c>
      <c r="B1109" s="119" t="s">
        <v>38</v>
      </c>
      <c r="C1109" s="119" t="s">
        <v>39</v>
      </c>
      <c r="D1109" s="119" t="s">
        <v>81</v>
      </c>
      <c r="E1109" s="119" t="s">
        <v>82</v>
      </c>
      <c r="F1109" s="119" t="s">
        <v>957</v>
      </c>
      <c r="G1109" s="119" t="s">
        <v>957</v>
      </c>
      <c r="H1109" s="119" t="s">
        <v>957</v>
      </c>
      <c r="I1109" s="119" t="s">
        <v>170</v>
      </c>
      <c r="J1109" s="119" t="s">
        <v>573</v>
      </c>
      <c r="K1109" s="119" t="s">
        <v>1048</v>
      </c>
      <c r="L1109" s="119" t="s">
        <v>958</v>
      </c>
      <c r="M1109" s="119" t="s">
        <v>46</v>
      </c>
      <c r="N1109" s="136">
        <v>0.02</v>
      </c>
      <c r="O1109" s="135" t="s">
        <v>51</v>
      </c>
      <c r="P1109" s="135"/>
      <c r="Q1109" s="137">
        <v>0</v>
      </c>
      <c r="R1109" s="137">
        <v>0</v>
      </c>
      <c r="S1109" s="137">
        <v>60000</v>
      </c>
      <c r="T1109" s="137">
        <f t="shared" si="254"/>
        <v>1200</v>
      </c>
      <c r="U1109" s="137">
        <f t="shared" si="258"/>
        <v>61200</v>
      </c>
      <c r="V1109" s="137">
        <v>70000</v>
      </c>
      <c r="W1109" s="137">
        <f t="shared" si="259"/>
        <v>-8800</v>
      </c>
      <c r="X1109" s="137">
        <f t="shared" si="255"/>
        <v>-8627.4509803921574</v>
      </c>
      <c r="Y1109" s="137">
        <f t="shared" si="260"/>
        <v>-172.54901960784264</v>
      </c>
      <c r="Z1109" s="137">
        <v>26039</v>
      </c>
      <c r="AA1109" s="137">
        <f t="shared" si="256"/>
        <v>43961</v>
      </c>
      <c r="AB1109" s="146">
        <f t="shared" si="263"/>
        <v>25528.431372549017</v>
      </c>
      <c r="AC1109" s="147">
        <f t="shared" si="257"/>
        <v>510.5686274509826</v>
      </c>
      <c r="AD1109" s="137">
        <f t="shared" si="264"/>
        <v>25545.165165374008</v>
      </c>
      <c r="AE1109" s="138">
        <v>0.04</v>
      </c>
      <c r="AF1109" s="137">
        <f t="shared" si="262"/>
        <v>1021.8066066149604</v>
      </c>
      <c r="AG1109" s="137">
        <v>530.991372549017</v>
      </c>
      <c r="AH1109" s="154"/>
      <c r="AI1109" s="154"/>
      <c r="AJ1109" s="136">
        <v>0.02</v>
      </c>
      <c r="AK1109" s="156">
        <v>0.02</v>
      </c>
      <c r="AM1109" s="131"/>
    </row>
    <row r="1110" spans="1:39" s="119" customFormat="1" ht="15" customHeight="1" x14ac:dyDescent="0.3">
      <c r="A1110" s="119">
        <v>2017</v>
      </c>
      <c r="B1110" s="119" t="s">
        <v>199</v>
      </c>
      <c r="C1110" s="119" t="s">
        <v>59</v>
      </c>
      <c r="D1110" s="119" t="s">
        <v>60</v>
      </c>
      <c r="E1110" s="119" t="s">
        <v>61</v>
      </c>
      <c r="F1110" s="119" t="s">
        <v>1057</v>
      </c>
      <c r="G1110" s="119" t="s">
        <v>1058</v>
      </c>
      <c r="H1110" s="119" t="s">
        <v>1058</v>
      </c>
      <c r="I1110" s="119" t="s">
        <v>170</v>
      </c>
      <c r="J1110" s="119" t="s">
        <v>573</v>
      </c>
      <c r="K1110" s="119" t="s">
        <v>1048</v>
      </c>
      <c r="L1110" s="119" t="s">
        <v>1057</v>
      </c>
      <c r="M1110" s="119" t="s">
        <v>46</v>
      </c>
      <c r="N1110" s="136">
        <v>0.02</v>
      </c>
      <c r="O1110" s="135" t="s">
        <v>51</v>
      </c>
      <c r="P1110" s="135"/>
      <c r="Q1110" s="137">
        <v>0</v>
      </c>
      <c r="R1110" s="137">
        <v>0</v>
      </c>
      <c r="S1110" s="137">
        <v>130000</v>
      </c>
      <c r="T1110" s="137">
        <f t="shared" si="254"/>
        <v>2600</v>
      </c>
      <c r="U1110" s="137">
        <f t="shared" si="258"/>
        <v>132600</v>
      </c>
      <c r="V1110" s="137">
        <v>132600</v>
      </c>
      <c r="W1110" s="137">
        <f t="shared" si="259"/>
        <v>0</v>
      </c>
      <c r="X1110" s="137">
        <f t="shared" si="255"/>
        <v>0</v>
      </c>
      <c r="Y1110" s="137">
        <f t="shared" si="260"/>
        <v>0</v>
      </c>
      <c r="Z1110" s="137">
        <v>6520.4</v>
      </c>
      <c r="AA1110" s="137">
        <f t="shared" si="256"/>
        <v>126079.6</v>
      </c>
      <c r="AB1110" s="146">
        <f t="shared" si="263"/>
        <v>6392.5490196078426</v>
      </c>
      <c r="AC1110" s="147">
        <f t="shared" si="257"/>
        <v>127.850980392157</v>
      </c>
      <c r="AD1110" s="137">
        <f t="shared" si="264"/>
        <v>6396.7393119668441</v>
      </c>
      <c r="AE1110" s="138">
        <v>0.04</v>
      </c>
      <c r="AF1110" s="137">
        <f t="shared" si="262"/>
        <v>255.86957247867377</v>
      </c>
      <c r="AG1110" s="137">
        <v>132.965019607843</v>
      </c>
      <c r="AH1110" s="154"/>
      <c r="AI1110" s="154"/>
      <c r="AJ1110" s="135" t="s">
        <v>173</v>
      </c>
      <c r="AK1110" s="119" t="s">
        <v>173</v>
      </c>
      <c r="AM1110" s="131"/>
    </row>
    <row r="1111" spans="1:39" s="119" customFormat="1" ht="15" customHeight="1" x14ac:dyDescent="0.3">
      <c r="A1111" s="119">
        <v>2017</v>
      </c>
      <c r="B1111" s="119" t="s">
        <v>38</v>
      </c>
      <c r="C1111" s="119" t="s">
        <v>59</v>
      </c>
      <c r="D1111" s="119" t="s">
        <v>60</v>
      </c>
      <c r="E1111" s="119" t="s">
        <v>468</v>
      </c>
      <c r="F1111" s="119" t="s">
        <v>1059</v>
      </c>
      <c r="G1111" s="119" t="s">
        <v>1059</v>
      </c>
      <c r="H1111" s="119" t="s">
        <v>1059</v>
      </c>
      <c r="I1111" s="119" t="s">
        <v>170</v>
      </c>
      <c r="J1111" s="119" t="s">
        <v>573</v>
      </c>
      <c r="K1111" s="119" t="s">
        <v>1048</v>
      </c>
      <c r="L1111" s="119" t="s">
        <v>1059</v>
      </c>
      <c r="M1111" s="119" t="s">
        <v>46</v>
      </c>
      <c r="N1111" s="135">
        <v>0</v>
      </c>
      <c r="O1111" s="135" t="s">
        <v>47</v>
      </c>
      <c r="P1111" s="135"/>
      <c r="Q1111" s="137">
        <v>0</v>
      </c>
      <c r="R1111" s="137">
        <v>0</v>
      </c>
      <c r="S1111" s="137">
        <v>10000</v>
      </c>
      <c r="T1111" s="137">
        <f t="shared" si="254"/>
        <v>0</v>
      </c>
      <c r="U1111" s="137">
        <f t="shared" si="258"/>
        <v>10000</v>
      </c>
      <c r="V1111" s="137">
        <v>10200</v>
      </c>
      <c r="W1111" s="137">
        <f t="shared" si="259"/>
        <v>-200</v>
      </c>
      <c r="X1111" s="137">
        <f t="shared" si="255"/>
        <v>-200</v>
      </c>
      <c r="Y1111" s="137">
        <f t="shared" si="260"/>
        <v>0</v>
      </c>
      <c r="Z1111" s="137">
        <v>0</v>
      </c>
      <c r="AA1111" s="137">
        <f t="shared" si="256"/>
        <v>10200</v>
      </c>
      <c r="AB1111" s="146">
        <f t="shared" si="263"/>
        <v>0</v>
      </c>
      <c r="AC1111" s="147">
        <f t="shared" si="257"/>
        <v>0</v>
      </c>
      <c r="AD1111" s="137">
        <f t="shared" si="264"/>
        <v>0</v>
      </c>
      <c r="AE1111" s="138">
        <v>0.04</v>
      </c>
      <c r="AF1111" s="137">
        <f t="shared" si="262"/>
        <v>0</v>
      </c>
      <c r="AG1111" s="137">
        <v>0</v>
      </c>
      <c r="AH1111" s="154"/>
      <c r="AI1111" s="154"/>
      <c r="AJ1111" s="135" t="s">
        <v>47</v>
      </c>
      <c r="AK1111" s="119" t="s">
        <v>47</v>
      </c>
      <c r="AM1111" s="131"/>
    </row>
    <row r="1112" spans="1:39" s="119" customFormat="1" ht="15" customHeight="1" x14ac:dyDescent="0.3">
      <c r="A1112" s="119">
        <v>2017</v>
      </c>
      <c r="B1112" s="119" t="s">
        <v>199</v>
      </c>
      <c r="C1112" s="119" t="s">
        <v>54</v>
      </c>
      <c r="D1112" s="119" t="s">
        <v>55</v>
      </c>
      <c r="E1112" s="119" t="s">
        <v>64</v>
      </c>
      <c r="F1112" s="119" t="s">
        <v>496</v>
      </c>
      <c r="G1112" s="119" t="s">
        <v>497</v>
      </c>
      <c r="H1112" s="163" t="s">
        <v>498</v>
      </c>
      <c r="I1112" s="119" t="s">
        <v>170</v>
      </c>
      <c r="J1112" s="119" t="s">
        <v>573</v>
      </c>
      <c r="K1112" s="119" t="s">
        <v>1048</v>
      </c>
      <c r="L1112" s="119" t="s">
        <v>496</v>
      </c>
      <c r="M1112" s="119" t="s">
        <v>46</v>
      </c>
      <c r="N1112" s="136">
        <v>0.02</v>
      </c>
      <c r="O1112" s="135" t="s">
        <v>51</v>
      </c>
      <c r="P1112" s="135"/>
      <c r="Q1112" s="137">
        <v>0</v>
      </c>
      <c r="R1112" s="137">
        <v>0</v>
      </c>
      <c r="S1112" s="137">
        <v>4552000</v>
      </c>
      <c r="T1112" s="137">
        <f t="shared" si="254"/>
        <v>91040</v>
      </c>
      <c r="U1112" s="137">
        <f t="shared" si="258"/>
        <v>4643040</v>
      </c>
      <c r="V1112" s="137">
        <v>4152000</v>
      </c>
      <c r="W1112" s="137">
        <f t="shared" si="259"/>
        <v>491040</v>
      </c>
      <c r="X1112" s="137">
        <f t="shared" si="255"/>
        <v>481411.76470588235</v>
      </c>
      <c r="Y1112" s="137">
        <f t="shared" si="260"/>
        <v>9628.2352941176505</v>
      </c>
      <c r="Z1112" s="137">
        <v>2053052.4</v>
      </c>
      <c r="AA1112" s="137">
        <f t="shared" si="256"/>
        <v>2098947.6</v>
      </c>
      <c r="AB1112" s="146">
        <f t="shared" si="263"/>
        <v>2012796.4705882352</v>
      </c>
      <c r="AC1112" s="147">
        <f t="shared" si="257"/>
        <v>40255.929411764722</v>
      </c>
      <c r="AD1112" s="137">
        <f t="shared" si="264"/>
        <v>2014115.8512680018</v>
      </c>
      <c r="AE1112" s="138">
        <v>0.04</v>
      </c>
      <c r="AF1112" s="137">
        <f t="shared" si="262"/>
        <v>80564.63405072008</v>
      </c>
      <c r="AG1112" s="137">
        <v>41866.166588235297</v>
      </c>
      <c r="AH1112" s="154"/>
      <c r="AI1112" s="154"/>
      <c r="AJ1112" s="135" t="s">
        <v>173</v>
      </c>
      <c r="AK1112" s="119" t="s">
        <v>173</v>
      </c>
      <c r="AM1112" s="131"/>
    </row>
    <row r="1113" spans="1:39" s="119" customFormat="1" ht="15" customHeight="1" x14ac:dyDescent="0.3">
      <c r="A1113" s="119">
        <v>2017</v>
      </c>
      <c r="B1113" s="119" t="s">
        <v>38</v>
      </c>
      <c r="C1113" s="119" t="s">
        <v>75</v>
      </c>
      <c r="D1113" s="119" t="s">
        <v>256</v>
      </c>
      <c r="F1113" s="131" t="s">
        <v>273</v>
      </c>
      <c r="G1113" s="131" t="s">
        <v>273</v>
      </c>
      <c r="H1113" s="131" t="s">
        <v>273</v>
      </c>
      <c r="I1113" s="119" t="s">
        <v>170</v>
      </c>
      <c r="J1113" s="119" t="s">
        <v>573</v>
      </c>
      <c r="K1113" s="119" t="s">
        <v>1048</v>
      </c>
      <c r="L1113" s="119" t="s">
        <v>273</v>
      </c>
      <c r="M1113" s="119" t="s">
        <v>46</v>
      </c>
      <c r="N1113" s="136">
        <v>0.04</v>
      </c>
      <c r="O1113" s="135" t="s">
        <v>51</v>
      </c>
      <c r="P1113" s="135"/>
      <c r="Q1113" s="137">
        <v>14488.5</v>
      </c>
      <c r="R1113" s="137">
        <v>0</v>
      </c>
      <c r="S1113" s="137"/>
      <c r="T1113" s="137">
        <f t="shared" si="254"/>
        <v>0</v>
      </c>
      <c r="U1113" s="137">
        <f t="shared" si="258"/>
        <v>0</v>
      </c>
      <c r="V1113" s="137">
        <v>20000</v>
      </c>
      <c r="W1113" s="137">
        <f t="shared" si="259"/>
        <v>-20000</v>
      </c>
      <c r="X1113" s="137">
        <f t="shared" si="255"/>
        <v>-19230.76923076923</v>
      </c>
      <c r="Y1113" s="137">
        <f t="shared" si="260"/>
        <v>-769.23076923076951</v>
      </c>
      <c r="Z1113" s="137">
        <v>33585.1</v>
      </c>
      <c r="AA1113" s="137">
        <f t="shared" si="256"/>
        <v>903.40000000000146</v>
      </c>
      <c r="AB1113" s="146">
        <f>IF(O1113="返货",(Z1113-Q1113)/(1+N1113),IF(O1113="返现",(Z1113-Q1113),IF(O1113="折扣",(Z1113-Q1113)*N1113,IF(O1113="无",(Z1113-Q1113)))))</f>
        <v>18362.115384615383</v>
      </c>
      <c r="AC1113" s="147">
        <f t="shared" si="257"/>
        <v>15222.984615384616</v>
      </c>
      <c r="AD1113" s="137">
        <f t="shared" si="264"/>
        <v>18459.651872022834</v>
      </c>
      <c r="AE1113" s="138">
        <v>0.04</v>
      </c>
      <c r="AF1113" s="137">
        <f t="shared" si="262"/>
        <v>738.38607488091338</v>
      </c>
      <c r="AG1113" s="137">
        <v>1343.404</v>
      </c>
      <c r="AH1113" s="154"/>
      <c r="AI1113" s="154"/>
      <c r="AJ1113" s="136">
        <v>0.04</v>
      </c>
      <c r="AM1113" s="131" t="s">
        <v>208</v>
      </c>
    </row>
    <row r="1114" spans="1:39" s="119" customFormat="1" ht="15" customHeight="1" x14ac:dyDescent="0.3">
      <c r="A1114" s="119">
        <v>2017</v>
      </c>
      <c r="C1114" s="119" t="s">
        <v>75</v>
      </c>
      <c r="D1114" s="119" t="s">
        <v>518</v>
      </c>
      <c r="F1114" s="131" t="s">
        <v>1060</v>
      </c>
      <c r="G1114" s="131"/>
      <c r="H1114" s="131"/>
      <c r="I1114" s="119" t="s">
        <v>170</v>
      </c>
      <c r="J1114" s="119" t="s">
        <v>573</v>
      </c>
      <c r="K1114" s="119" t="s">
        <v>1048</v>
      </c>
      <c r="L1114" s="119" t="s">
        <v>1060</v>
      </c>
      <c r="M1114" s="119" t="s">
        <v>46</v>
      </c>
      <c r="N1114" s="135">
        <v>0</v>
      </c>
      <c r="O1114" s="135" t="s">
        <v>47</v>
      </c>
      <c r="P1114" s="135" t="s">
        <v>854</v>
      </c>
      <c r="Q1114" s="137">
        <v>3345</v>
      </c>
      <c r="R1114" s="137">
        <v>0</v>
      </c>
      <c r="S1114" s="137"/>
      <c r="T1114" s="137">
        <f t="shared" si="254"/>
        <v>0</v>
      </c>
      <c r="U1114" s="137">
        <f t="shared" si="258"/>
        <v>0</v>
      </c>
      <c r="V1114" s="137">
        <v>0</v>
      </c>
      <c r="W1114" s="137">
        <f t="shared" si="259"/>
        <v>0</v>
      </c>
      <c r="X1114" s="137">
        <f t="shared" si="255"/>
        <v>0</v>
      </c>
      <c r="Y1114" s="137">
        <f t="shared" si="260"/>
        <v>0</v>
      </c>
      <c r="Z1114" s="137">
        <v>3345</v>
      </c>
      <c r="AA1114" s="137">
        <f t="shared" si="256"/>
        <v>0</v>
      </c>
      <c r="AB1114" s="146">
        <f>IF(O1114="返货",(Z1114-Q1114)/(1+N1114),IF(O1114="返现",(Z1114-Q1114),IF(O1114="折扣",(Z1114-Q1114)*N1114,IF(O1114="无",(Z1114-Q1114)))))</f>
        <v>0</v>
      </c>
      <c r="AC1114" s="147">
        <f t="shared" si="257"/>
        <v>3345</v>
      </c>
      <c r="AD1114" s="137">
        <v>0</v>
      </c>
      <c r="AE1114" s="138">
        <v>0.04</v>
      </c>
      <c r="AF1114" s="137">
        <f t="shared" si="262"/>
        <v>0</v>
      </c>
      <c r="AG1114" s="137">
        <v>133.80000000000001</v>
      </c>
      <c r="AH1114" s="154"/>
      <c r="AI1114" s="154"/>
      <c r="AJ1114" s="135" t="e">
        <v>#N/A</v>
      </c>
      <c r="AM1114" s="131" t="s">
        <v>208</v>
      </c>
    </row>
    <row r="1115" spans="1:39" s="119" customFormat="1" ht="15" customHeight="1" x14ac:dyDescent="0.3">
      <c r="A1115" s="119">
        <v>2017</v>
      </c>
      <c r="C1115" s="119" t="s">
        <v>59</v>
      </c>
      <c r="D1115" s="119" t="s">
        <v>106</v>
      </c>
      <c r="F1115" s="131" t="s">
        <v>134</v>
      </c>
      <c r="G1115" s="131"/>
      <c r="H1115" s="131"/>
      <c r="I1115" s="119" t="s">
        <v>170</v>
      </c>
      <c r="J1115" s="119" t="s">
        <v>573</v>
      </c>
      <c r="K1115" s="119" t="s">
        <v>1048</v>
      </c>
      <c r="L1115" s="119" t="s">
        <v>134</v>
      </c>
      <c r="M1115" s="119" t="s">
        <v>46</v>
      </c>
      <c r="N1115" s="135">
        <v>0</v>
      </c>
      <c r="O1115" s="135" t="s">
        <v>47</v>
      </c>
      <c r="P1115" s="135" t="s">
        <v>854</v>
      </c>
      <c r="Q1115" s="137">
        <v>4978.8</v>
      </c>
      <c r="R1115" s="137">
        <v>0</v>
      </c>
      <c r="S1115" s="137"/>
      <c r="T1115" s="137">
        <f t="shared" si="254"/>
        <v>0</v>
      </c>
      <c r="U1115" s="137">
        <f t="shared" si="258"/>
        <v>0</v>
      </c>
      <c r="V1115" s="137">
        <v>0</v>
      </c>
      <c r="W1115" s="137">
        <f t="shared" si="259"/>
        <v>0</v>
      </c>
      <c r="X1115" s="137">
        <f t="shared" si="255"/>
        <v>0</v>
      </c>
      <c r="Y1115" s="137">
        <f t="shared" si="260"/>
        <v>0</v>
      </c>
      <c r="Z1115" s="137">
        <v>4978.8</v>
      </c>
      <c r="AA1115" s="137">
        <f t="shared" si="256"/>
        <v>0</v>
      </c>
      <c r="AB1115" s="146">
        <f>IF(O1115="返货",(Z1115-Q1115)/(1+N1115),IF(O1115="返现",(Z1115-Q1115),IF(O1115="折扣",(Z1115-Q1115)*N1115,IF(O1115="无",(Z1115-Q1115)))))</f>
        <v>0</v>
      </c>
      <c r="AC1115" s="147">
        <f t="shared" si="257"/>
        <v>4978.8</v>
      </c>
      <c r="AD1115" s="137">
        <v>0</v>
      </c>
      <c r="AE1115" s="138">
        <v>0.04</v>
      </c>
      <c r="AF1115" s="137">
        <f t="shared" si="262"/>
        <v>0</v>
      </c>
      <c r="AG1115" s="137">
        <v>199.15199999999999</v>
      </c>
      <c r="AH1115" s="154"/>
      <c r="AI1115" s="154"/>
      <c r="AJ1115" s="135" t="e">
        <v>#N/A</v>
      </c>
      <c r="AM1115" s="131" t="s">
        <v>208</v>
      </c>
    </row>
    <row r="1116" spans="1:39" s="119" customFormat="1" ht="15" customHeight="1" x14ac:dyDescent="0.3">
      <c r="A1116" s="119">
        <v>2017</v>
      </c>
      <c r="F1116" s="131" t="s">
        <v>1061</v>
      </c>
      <c r="G1116" s="131"/>
      <c r="H1116" s="131"/>
      <c r="I1116" s="119" t="s">
        <v>170</v>
      </c>
      <c r="J1116" s="119" t="s">
        <v>573</v>
      </c>
      <c r="K1116" s="119" t="s">
        <v>1048</v>
      </c>
      <c r="L1116" s="119" t="s">
        <v>1061</v>
      </c>
      <c r="M1116" s="119" t="s">
        <v>46</v>
      </c>
      <c r="N1116" s="135">
        <v>0</v>
      </c>
      <c r="O1116" s="135" t="s">
        <v>47</v>
      </c>
      <c r="P1116" s="135" t="s">
        <v>854</v>
      </c>
      <c r="Q1116" s="137">
        <v>6717.2</v>
      </c>
      <c r="R1116" s="137">
        <v>0</v>
      </c>
      <c r="S1116" s="137"/>
      <c r="T1116" s="137">
        <f t="shared" si="254"/>
        <v>0</v>
      </c>
      <c r="U1116" s="137">
        <f t="shared" si="258"/>
        <v>0</v>
      </c>
      <c r="V1116" s="137">
        <v>0</v>
      </c>
      <c r="W1116" s="137">
        <f t="shared" si="259"/>
        <v>0</v>
      </c>
      <c r="X1116" s="137">
        <f t="shared" si="255"/>
        <v>0</v>
      </c>
      <c r="Y1116" s="137">
        <f t="shared" si="260"/>
        <v>0</v>
      </c>
      <c r="Z1116" s="137">
        <v>6717.2</v>
      </c>
      <c r="AA1116" s="137">
        <f t="shared" si="256"/>
        <v>0</v>
      </c>
      <c r="AB1116" s="146">
        <f>IF(O1116="返货",(Z1116-Q1116)/(1+N1116),IF(O1116="返现",(Z1116-Q1116),IF(O1116="折扣",(Z1116-Q1116)*N1116,IF(O1116="无",(Z1116-Q1116)))))</f>
        <v>0</v>
      </c>
      <c r="AC1116" s="147">
        <f t="shared" si="257"/>
        <v>6717.2</v>
      </c>
      <c r="AD1116" s="137">
        <v>0</v>
      </c>
      <c r="AE1116" s="138">
        <v>0.04</v>
      </c>
      <c r="AF1116" s="137">
        <f t="shared" ref="AF1116:AF1154" si="265">AD1116*AE1116</f>
        <v>0</v>
      </c>
      <c r="AG1116" s="137">
        <v>268.68799999999999</v>
      </c>
      <c r="AH1116" s="154"/>
      <c r="AI1116" s="154"/>
      <c r="AJ1116" s="135" t="e">
        <v>#N/A</v>
      </c>
      <c r="AM1116" s="131" t="s">
        <v>208</v>
      </c>
    </row>
    <row r="1117" spans="1:39" s="119" customFormat="1" ht="15" customHeight="1" x14ac:dyDescent="0.3">
      <c r="A1117" s="119">
        <v>2017</v>
      </c>
      <c r="B1117" s="119" t="s">
        <v>252</v>
      </c>
      <c r="C1117" s="119" t="s">
        <v>88</v>
      </c>
      <c r="D1117" s="119" t="s">
        <v>95</v>
      </c>
      <c r="E1117" s="119" t="s">
        <v>98</v>
      </c>
      <c r="F1117" s="119" t="s">
        <v>1062</v>
      </c>
      <c r="G1117" s="119" t="s">
        <v>1063</v>
      </c>
      <c r="H1117" s="119" t="s">
        <v>1063</v>
      </c>
      <c r="I1117" s="119" t="s">
        <v>170</v>
      </c>
      <c r="J1117" s="119" t="s">
        <v>603</v>
      </c>
      <c r="K1117" s="119" t="s">
        <v>1064</v>
      </c>
      <c r="L1117" s="119" t="s">
        <v>1062</v>
      </c>
      <c r="M1117" s="119" t="s">
        <v>46</v>
      </c>
      <c r="N1117" s="135">
        <v>0</v>
      </c>
      <c r="O1117" s="135" t="s">
        <v>47</v>
      </c>
      <c r="P1117" s="135"/>
      <c r="Q1117" s="137">
        <v>0</v>
      </c>
      <c r="R1117" s="137">
        <v>0</v>
      </c>
      <c r="S1117" s="137">
        <v>10000</v>
      </c>
      <c r="T1117" s="137">
        <f t="shared" si="254"/>
        <v>0</v>
      </c>
      <c r="U1117" s="137">
        <f t="shared" si="258"/>
        <v>10000</v>
      </c>
      <c r="V1117" s="137">
        <v>0</v>
      </c>
      <c r="W1117" s="137">
        <f t="shared" si="259"/>
        <v>10000</v>
      </c>
      <c r="X1117" s="137">
        <f t="shared" si="255"/>
        <v>10000</v>
      </c>
      <c r="Y1117" s="137">
        <f t="shared" si="260"/>
        <v>0</v>
      </c>
      <c r="Z1117" s="137">
        <v>0</v>
      </c>
      <c r="AA1117" s="137">
        <f t="shared" si="256"/>
        <v>0</v>
      </c>
      <c r="AB1117" s="146">
        <f t="shared" ref="AB1117:AB1154" si="266">IF(O1117="返货",Z1117/(1+N1117),IF(O1117="返现",Z1117,IF(O1117="折扣",Z1117*N1117,IF(O1117="无",Z1117))))</f>
        <v>0</v>
      </c>
      <c r="AC1117" s="147">
        <f t="shared" si="257"/>
        <v>0</v>
      </c>
      <c r="AD1117" s="137">
        <v>0</v>
      </c>
      <c r="AE1117" s="138">
        <v>0.04</v>
      </c>
      <c r="AF1117" s="137">
        <f t="shared" si="265"/>
        <v>0</v>
      </c>
      <c r="AG1117" s="137">
        <v>0</v>
      </c>
      <c r="AH1117" s="154"/>
      <c r="AI1117" s="154"/>
      <c r="AJ1117" s="135" t="s">
        <v>47</v>
      </c>
      <c r="AK1117" s="119" t="s">
        <v>47</v>
      </c>
      <c r="AM1117" s="131"/>
    </row>
    <row r="1118" spans="1:39" s="119" customFormat="1" ht="15" customHeight="1" x14ac:dyDescent="0.3">
      <c r="A1118" s="119">
        <v>2017</v>
      </c>
      <c r="B1118" s="119" t="s">
        <v>38</v>
      </c>
      <c r="C1118" s="119" t="s">
        <v>75</v>
      </c>
      <c r="D1118" s="119" t="s">
        <v>76</v>
      </c>
      <c r="E1118" s="119" t="s">
        <v>167</v>
      </c>
      <c r="F1118" s="119" t="s">
        <v>216</v>
      </c>
      <c r="G1118" s="119" t="s">
        <v>216</v>
      </c>
      <c r="H1118" s="119" t="s">
        <v>216</v>
      </c>
      <c r="I1118" s="119" t="s">
        <v>170</v>
      </c>
      <c r="J1118" s="119" t="s">
        <v>603</v>
      </c>
      <c r="K1118" s="119" t="s">
        <v>1065</v>
      </c>
      <c r="L1118" s="119" t="s">
        <v>216</v>
      </c>
      <c r="M1118" s="119" t="s">
        <v>46</v>
      </c>
      <c r="N1118" s="136">
        <v>0.02</v>
      </c>
      <c r="O1118" s="135" t="s">
        <v>51</v>
      </c>
      <c r="P1118" s="135"/>
      <c r="Q1118" s="137">
        <v>0</v>
      </c>
      <c r="R1118" s="137">
        <v>0</v>
      </c>
      <c r="S1118" s="137">
        <v>700000</v>
      </c>
      <c r="T1118" s="137">
        <f t="shared" si="254"/>
        <v>14000</v>
      </c>
      <c r="U1118" s="137">
        <f t="shared" si="258"/>
        <v>714000</v>
      </c>
      <c r="V1118" s="137">
        <v>1646000</v>
      </c>
      <c r="W1118" s="137">
        <f t="shared" si="259"/>
        <v>-932000</v>
      </c>
      <c r="X1118" s="137">
        <f t="shared" si="255"/>
        <v>-913725.49019607843</v>
      </c>
      <c r="Y1118" s="137">
        <f t="shared" si="260"/>
        <v>-18274.509803921566</v>
      </c>
      <c r="Z1118" s="137">
        <v>1601768</v>
      </c>
      <c r="AA1118" s="137">
        <f t="shared" si="256"/>
        <v>44232</v>
      </c>
      <c r="AB1118" s="146">
        <f t="shared" si="266"/>
        <v>1570360.7843137255</v>
      </c>
      <c r="AC1118" s="147">
        <f t="shared" si="257"/>
        <v>31407.21568627446</v>
      </c>
      <c r="AD1118" s="137">
        <v>1601768</v>
      </c>
      <c r="AE1118" s="138">
        <v>0.06</v>
      </c>
      <c r="AF1118" s="137">
        <f t="shared" si="265"/>
        <v>96106.08</v>
      </c>
      <c r="AG1118" s="137">
        <v>64698.864313725499</v>
      </c>
      <c r="AH1118" s="154"/>
      <c r="AI1118" s="154"/>
      <c r="AJ1118" s="135" t="s">
        <v>173</v>
      </c>
      <c r="AK1118" s="119" t="s">
        <v>173</v>
      </c>
      <c r="AM1118" s="131"/>
    </row>
    <row r="1119" spans="1:39" s="119" customFormat="1" ht="15" customHeight="1" x14ac:dyDescent="0.3">
      <c r="A1119" s="119">
        <v>2017</v>
      </c>
      <c r="B1119" s="119" t="s">
        <v>38</v>
      </c>
      <c r="C1119" s="119" t="s">
        <v>75</v>
      </c>
      <c r="D1119" s="119" t="s">
        <v>76</v>
      </c>
      <c r="E1119" s="119" t="s">
        <v>167</v>
      </c>
      <c r="F1119" s="119" t="s">
        <v>915</v>
      </c>
      <c r="G1119" s="119" t="s">
        <v>916</v>
      </c>
      <c r="H1119" s="119" t="s">
        <v>916</v>
      </c>
      <c r="I1119" s="119" t="s">
        <v>170</v>
      </c>
      <c r="J1119" s="119" t="s">
        <v>603</v>
      </c>
      <c r="K1119" s="119" t="s">
        <v>1064</v>
      </c>
      <c r="L1119" s="119" t="s">
        <v>916</v>
      </c>
      <c r="M1119" s="119" t="s">
        <v>46</v>
      </c>
      <c r="N1119" s="136">
        <v>0.04</v>
      </c>
      <c r="O1119" s="135" t="s">
        <v>51</v>
      </c>
      <c r="P1119" s="135"/>
      <c r="Q1119" s="137">
        <v>0</v>
      </c>
      <c r="R1119" s="137">
        <v>0</v>
      </c>
      <c r="S1119" s="137">
        <v>259615.38</v>
      </c>
      <c r="T1119" s="137">
        <f t="shared" si="254"/>
        <v>10384.6152</v>
      </c>
      <c r="U1119" s="137">
        <f t="shared" si="258"/>
        <v>269999.9952</v>
      </c>
      <c r="V1119" s="137">
        <v>269999.9952</v>
      </c>
      <c r="W1119" s="137">
        <f t="shared" si="259"/>
        <v>0</v>
      </c>
      <c r="X1119" s="137">
        <f t="shared" si="255"/>
        <v>0</v>
      </c>
      <c r="Y1119" s="137">
        <f t="shared" si="260"/>
        <v>0</v>
      </c>
      <c r="Z1119" s="137">
        <v>152938.79999999999</v>
      </c>
      <c r="AA1119" s="137">
        <f t="shared" si="256"/>
        <v>117061.19520000002</v>
      </c>
      <c r="AB1119" s="146">
        <f t="shared" si="266"/>
        <v>147056.53846153844</v>
      </c>
      <c r="AC1119" s="147">
        <f t="shared" si="257"/>
        <v>5882.2615384615492</v>
      </c>
      <c r="AD1119" s="137">
        <v>152938.79999999999</v>
      </c>
      <c r="AE1119" s="138">
        <v>0.04</v>
      </c>
      <c r="AF1119" s="137">
        <f t="shared" si="265"/>
        <v>6117.5519999999997</v>
      </c>
      <c r="AG1119" s="137">
        <v>248.44661538460699</v>
      </c>
      <c r="AH1119" s="154"/>
      <c r="AI1119" s="154"/>
      <c r="AJ1119" s="135" t="s">
        <v>186</v>
      </c>
      <c r="AK1119" s="119" t="s">
        <v>186</v>
      </c>
      <c r="AM1119" s="131" t="s">
        <v>174</v>
      </c>
    </row>
    <row r="1120" spans="1:39" s="119" customFormat="1" ht="15" customHeight="1" x14ac:dyDescent="0.3">
      <c r="A1120" s="119">
        <v>2017</v>
      </c>
      <c r="B1120" s="119" t="s">
        <v>38</v>
      </c>
      <c r="C1120" s="119" t="s">
        <v>75</v>
      </c>
      <c r="D1120" s="119" t="s">
        <v>76</v>
      </c>
      <c r="E1120" s="119" t="s">
        <v>167</v>
      </c>
      <c r="F1120" s="119" t="s">
        <v>915</v>
      </c>
      <c r="G1120" s="119" t="s">
        <v>916</v>
      </c>
      <c r="H1120" s="119" t="s">
        <v>916</v>
      </c>
      <c r="I1120" s="119" t="s">
        <v>170</v>
      </c>
      <c r="J1120" s="119" t="s">
        <v>603</v>
      </c>
      <c r="K1120" s="119" t="s">
        <v>1065</v>
      </c>
      <c r="L1120" s="119" t="s">
        <v>916</v>
      </c>
      <c r="M1120" s="119" t="s">
        <v>46</v>
      </c>
      <c r="N1120" s="136">
        <v>0.04</v>
      </c>
      <c r="O1120" s="135" t="s">
        <v>51</v>
      </c>
      <c r="P1120" s="135"/>
      <c r="Q1120" s="137">
        <v>0</v>
      </c>
      <c r="R1120" s="137">
        <v>0</v>
      </c>
      <c r="S1120" s="137">
        <v>403846.15</v>
      </c>
      <c r="T1120" s="137">
        <f t="shared" si="254"/>
        <v>16153.846000000001</v>
      </c>
      <c r="U1120" s="137">
        <f t="shared" si="258"/>
        <v>419999.99600000004</v>
      </c>
      <c r="V1120" s="137">
        <v>419999.99599999998</v>
      </c>
      <c r="W1120" s="137">
        <f t="shared" si="259"/>
        <v>0</v>
      </c>
      <c r="X1120" s="137">
        <f t="shared" si="255"/>
        <v>0</v>
      </c>
      <c r="Y1120" s="137">
        <f t="shared" si="260"/>
        <v>0</v>
      </c>
      <c r="Z1120" s="137">
        <v>520809</v>
      </c>
      <c r="AA1120" s="137">
        <f t="shared" si="256"/>
        <v>-100809.00400000002</v>
      </c>
      <c r="AB1120" s="146">
        <f t="shared" si="266"/>
        <v>500777.88461538462</v>
      </c>
      <c r="AC1120" s="147">
        <f t="shared" si="257"/>
        <v>20031.115384615376</v>
      </c>
      <c r="AD1120" s="137">
        <v>520809</v>
      </c>
      <c r="AE1120" s="138">
        <v>0.06</v>
      </c>
      <c r="AF1120" s="137">
        <f t="shared" si="265"/>
        <v>31248.539999999997</v>
      </c>
      <c r="AG1120" s="137">
        <v>11217.4246153846</v>
      </c>
      <c r="AH1120" s="154"/>
      <c r="AI1120" s="154"/>
      <c r="AJ1120" s="135" t="s">
        <v>186</v>
      </c>
      <c r="AK1120" s="119" t="s">
        <v>186</v>
      </c>
      <c r="AM1120" s="131"/>
    </row>
    <row r="1121" spans="1:39" s="119" customFormat="1" ht="15" customHeight="1" x14ac:dyDescent="0.3">
      <c r="A1121" s="119">
        <v>2017</v>
      </c>
      <c r="B1121" s="119" t="s">
        <v>252</v>
      </c>
      <c r="C1121" s="119" t="s">
        <v>75</v>
      </c>
      <c r="D1121" s="119" t="s">
        <v>256</v>
      </c>
      <c r="E1121" s="119" t="s">
        <v>647</v>
      </c>
      <c r="F1121" s="119" t="s">
        <v>686</v>
      </c>
      <c r="G1121" s="119" t="s">
        <v>687</v>
      </c>
      <c r="H1121" s="119" t="s">
        <v>687</v>
      </c>
      <c r="I1121" s="119" t="s">
        <v>170</v>
      </c>
      <c r="J1121" s="119" t="s">
        <v>603</v>
      </c>
      <c r="K1121" s="119" t="s">
        <v>1064</v>
      </c>
      <c r="L1121" s="119" t="s">
        <v>686</v>
      </c>
      <c r="M1121" s="119" t="s">
        <v>46</v>
      </c>
      <c r="N1121" s="136">
        <v>0.04</v>
      </c>
      <c r="O1121" s="135" t="s">
        <v>51</v>
      </c>
      <c r="P1121" s="135"/>
      <c r="Q1121" s="137">
        <v>0</v>
      </c>
      <c r="R1121" s="137">
        <v>0</v>
      </c>
      <c r="S1121" s="137">
        <v>1800000</v>
      </c>
      <c r="T1121" s="137">
        <f t="shared" si="254"/>
        <v>72000</v>
      </c>
      <c r="U1121" s="137">
        <f t="shared" si="258"/>
        <v>1872000</v>
      </c>
      <c r="V1121" s="137">
        <v>2375000</v>
      </c>
      <c r="W1121" s="137">
        <f t="shared" si="259"/>
        <v>-503000</v>
      </c>
      <c r="X1121" s="137">
        <f t="shared" si="255"/>
        <v>-483653.84615384613</v>
      </c>
      <c r="Y1121" s="137">
        <f t="shared" si="260"/>
        <v>-19346.153846153873</v>
      </c>
      <c r="Z1121" s="137">
        <v>1716895.7</v>
      </c>
      <c r="AA1121" s="137">
        <f t="shared" si="256"/>
        <v>658104.30000000005</v>
      </c>
      <c r="AB1121" s="146">
        <f t="shared" si="266"/>
        <v>1650861.25</v>
      </c>
      <c r="AC1121" s="147">
        <f t="shared" si="257"/>
        <v>66034.449999999953</v>
      </c>
      <c r="AD1121" s="137">
        <v>1716895.7</v>
      </c>
      <c r="AE1121" s="138">
        <v>0.04</v>
      </c>
      <c r="AF1121" s="137">
        <f t="shared" si="265"/>
        <v>68675.827999999994</v>
      </c>
      <c r="AG1121" s="137">
        <v>2641.3780000000602</v>
      </c>
      <c r="AH1121" s="154"/>
      <c r="AI1121" s="154"/>
      <c r="AJ1121" s="135" t="s">
        <v>186</v>
      </c>
      <c r="AK1121" s="119" t="s">
        <v>186</v>
      </c>
      <c r="AM1121" s="131"/>
    </row>
    <row r="1122" spans="1:39" s="119" customFormat="1" ht="15" customHeight="1" x14ac:dyDescent="0.3">
      <c r="A1122" s="119">
        <v>2017</v>
      </c>
      <c r="B1122" s="119" t="s">
        <v>252</v>
      </c>
      <c r="C1122" s="119" t="s">
        <v>75</v>
      </c>
      <c r="D1122" s="119" t="s">
        <v>256</v>
      </c>
      <c r="E1122" s="119" t="s">
        <v>257</v>
      </c>
      <c r="F1122" s="119" t="s">
        <v>686</v>
      </c>
      <c r="G1122" s="119" t="s">
        <v>687</v>
      </c>
      <c r="H1122" s="119" t="s">
        <v>687</v>
      </c>
      <c r="I1122" s="119" t="s">
        <v>170</v>
      </c>
      <c r="J1122" s="119" t="s">
        <v>603</v>
      </c>
      <c r="K1122" s="119" t="s">
        <v>1065</v>
      </c>
      <c r="L1122" s="119" t="s">
        <v>686</v>
      </c>
      <c r="M1122" s="119" t="s">
        <v>46</v>
      </c>
      <c r="N1122" s="136">
        <v>0.04</v>
      </c>
      <c r="O1122" s="135" t="s">
        <v>51</v>
      </c>
      <c r="P1122" s="135"/>
      <c r="Q1122" s="137">
        <v>0</v>
      </c>
      <c r="R1122" s="137">
        <v>0</v>
      </c>
      <c r="S1122" s="137">
        <v>800000</v>
      </c>
      <c r="T1122" s="137">
        <f t="shared" si="254"/>
        <v>32000</v>
      </c>
      <c r="U1122" s="137">
        <f t="shared" si="258"/>
        <v>832000</v>
      </c>
      <c r="V1122" s="137">
        <v>3275000</v>
      </c>
      <c r="W1122" s="137">
        <f t="shared" si="259"/>
        <v>-2443000</v>
      </c>
      <c r="X1122" s="137">
        <f t="shared" si="255"/>
        <v>-2349038.4615384615</v>
      </c>
      <c r="Y1122" s="137">
        <f t="shared" si="260"/>
        <v>-93961.538461538497</v>
      </c>
      <c r="Z1122" s="137">
        <v>3824496.8</v>
      </c>
      <c r="AA1122" s="137">
        <f t="shared" si="256"/>
        <v>-549496.79999999981</v>
      </c>
      <c r="AB1122" s="146">
        <f t="shared" si="266"/>
        <v>3677400.769230769</v>
      </c>
      <c r="AC1122" s="147">
        <f t="shared" si="257"/>
        <v>147096.0307692308</v>
      </c>
      <c r="AD1122" s="137">
        <v>3824496.8</v>
      </c>
      <c r="AE1122" s="138">
        <v>0.06</v>
      </c>
      <c r="AF1122" s="137">
        <f t="shared" si="265"/>
        <v>229469.80799999999</v>
      </c>
      <c r="AG1122" s="137">
        <v>82373.777230769105</v>
      </c>
      <c r="AH1122" s="154"/>
      <c r="AI1122" s="154"/>
      <c r="AJ1122" s="135" t="s">
        <v>186</v>
      </c>
      <c r="AK1122" s="119" t="s">
        <v>186</v>
      </c>
      <c r="AM1122" s="131"/>
    </row>
    <row r="1123" spans="1:39" s="119" customFormat="1" ht="15" customHeight="1" x14ac:dyDescent="0.3">
      <c r="A1123" s="119">
        <v>2017</v>
      </c>
      <c r="B1123" s="119" t="s">
        <v>38</v>
      </c>
      <c r="C1123" s="119" t="s">
        <v>39</v>
      </c>
      <c r="D1123" s="119" t="s">
        <v>40</v>
      </c>
      <c r="E1123" s="119" t="s">
        <v>41</v>
      </c>
      <c r="F1123" s="119" t="s">
        <v>42</v>
      </c>
      <c r="G1123" s="119" t="s">
        <v>42</v>
      </c>
      <c r="H1123" s="119" t="s">
        <v>42</v>
      </c>
      <c r="I1123" s="119" t="s">
        <v>170</v>
      </c>
      <c r="J1123" s="119" t="s">
        <v>603</v>
      </c>
      <c r="K1123" s="119" t="s">
        <v>1064</v>
      </c>
      <c r="L1123" s="119" t="s">
        <v>42</v>
      </c>
      <c r="M1123" s="119" t="s">
        <v>46</v>
      </c>
      <c r="N1123" s="135">
        <v>0</v>
      </c>
      <c r="O1123" s="135" t="s">
        <v>47</v>
      </c>
      <c r="P1123" s="135"/>
      <c r="Q1123" s="137">
        <v>0</v>
      </c>
      <c r="R1123" s="137">
        <v>0</v>
      </c>
      <c r="S1123" s="137">
        <v>30000</v>
      </c>
      <c r="T1123" s="137">
        <f t="shared" si="254"/>
        <v>0</v>
      </c>
      <c r="U1123" s="137">
        <f t="shared" si="258"/>
        <v>30000</v>
      </c>
      <c r="V1123" s="137">
        <v>30000</v>
      </c>
      <c r="W1123" s="137">
        <f t="shared" si="259"/>
        <v>0</v>
      </c>
      <c r="X1123" s="137">
        <f t="shared" si="255"/>
        <v>0</v>
      </c>
      <c r="Y1123" s="137">
        <f t="shared" si="260"/>
        <v>0</v>
      </c>
      <c r="Z1123" s="137">
        <v>1660.9</v>
      </c>
      <c r="AA1123" s="137">
        <f t="shared" si="256"/>
        <v>28339.1</v>
      </c>
      <c r="AB1123" s="146">
        <f t="shared" si="266"/>
        <v>1660.9</v>
      </c>
      <c r="AC1123" s="147">
        <f t="shared" si="257"/>
        <v>0</v>
      </c>
      <c r="AD1123" s="137">
        <v>1660.9</v>
      </c>
      <c r="AE1123" s="138">
        <v>0.04</v>
      </c>
      <c r="AF1123" s="137">
        <f t="shared" si="265"/>
        <v>66.436000000000007</v>
      </c>
      <c r="AG1123" s="137">
        <v>66.436000000000007</v>
      </c>
      <c r="AH1123" s="154"/>
      <c r="AI1123" s="154"/>
      <c r="AJ1123" s="135" t="s">
        <v>47</v>
      </c>
      <c r="AK1123" s="156">
        <v>0</v>
      </c>
      <c r="AM1123" s="131"/>
    </row>
    <row r="1124" spans="1:39" s="119" customFormat="1" ht="15" customHeight="1" x14ac:dyDescent="0.3">
      <c r="A1124" s="119">
        <v>2017</v>
      </c>
      <c r="B1124" s="119" t="s">
        <v>38</v>
      </c>
      <c r="C1124" s="119" t="s">
        <v>39</v>
      </c>
      <c r="D1124" s="119" t="s">
        <v>40</v>
      </c>
      <c r="E1124" s="119" t="s">
        <v>41</v>
      </c>
      <c r="F1124" s="119" t="s">
        <v>42</v>
      </c>
      <c r="G1124" s="119" t="s">
        <v>42</v>
      </c>
      <c r="H1124" s="119" t="s">
        <v>42</v>
      </c>
      <c r="I1124" s="119" t="s">
        <v>170</v>
      </c>
      <c r="J1124" s="119" t="s">
        <v>603</v>
      </c>
      <c r="K1124" s="119" t="s">
        <v>1064</v>
      </c>
      <c r="L1124" s="119" t="s">
        <v>42</v>
      </c>
      <c r="M1124" s="119" t="s">
        <v>185</v>
      </c>
      <c r="N1124" s="138">
        <v>0</v>
      </c>
      <c r="O1124" s="135" t="e">
        <v>#N/A</v>
      </c>
      <c r="P1124" s="135"/>
      <c r="Q1124" s="137">
        <v>0</v>
      </c>
      <c r="R1124" s="137">
        <v>0</v>
      </c>
      <c r="S1124" s="137">
        <v>0</v>
      </c>
      <c r="T1124" s="137">
        <f t="shared" si="254"/>
        <v>0</v>
      </c>
      <c r="U1124" s="137">
        <f t="shared" si="258"/>
        <v>0</v>
      </c>
      <c r="V1124" s="137">
        <v>2000</v>
      </c>
      <c r="W1124" s="137">
        <f t="shared" si="259"/>
        <v>-2000</v>
      </c>
      <c r="X1124" s="137">
        <f t="shared" si="255"/>
        <v>-2000</v>
      </c>
      <c r="Y1124" s="137">
        <f t="shared" si="260"/>
        <v>0</v>
      </c>
      <c r="Z1124" s="137">
        <v>0</v>
      </c>
      <c r="AA1124" s="137">
        <f t="shared" si="256"/>
        <v>2000</v>
      </c>
      <c r="AB1124" s="146">
        <v>0</v>
      </c>
      <c r="AC1124" s="147" t="e">
        <f t="shared" si="257"/>
        <v>#N/A</v>
      </c>
      <c r="AD1124" s="137">
        <v>0</v>
      </c>
      <c r="AE1124" s="138">
        <v>0.08</v>
      </c>
      <c r="AF1124" s="137">
        <f t="shared" si="265"/>
        <v>0</v>
      </c>
      <c r="AG1124" s="137">
        <v>0</v>
      </c>
      <c r="AH1124" s="154"/>
      <c r="AI1124" s="154"/>
      <c r="AJ1124" s="135" t="e">
        <v>#N/A</v>
      </c>
      <c r="AK1124" s="156">
        <v>0</v>
      </c>
      <c r="AM1124" s="131"/>
    </row>
    <row r="1125" spans="1:39" s="119" customFormat="1" ht="15" customHeight="1" x14ac:dyDescent="0.3">
      <c r="A1125" s="119">
        <v>2017</v>
      </c>
      <c r="B1125" s="119" t="s">
        <v>38</v>
      </c>
      <c r="C1125" s="119" t="s">
        <v>39</v>
      </c>
      <c r="D1125" s="119" t="s">
        <v>40</v>
      </c>
      <c r="E1125" s="119" t="s">
        <v>41</v>
      </c>
      <c r="F1125" s="119" t="s">
        <v>42</v>
      </c>
      <c r="G1125" s="119" t="s">
        <v>42</v>
      </c>
      <c r="H1125" s="119" t="s">
        <v>42</v>
      </c>
      <c r="I1125" s="119" t="s">
        <v>170</v>
      </c>
      <c r="J1125" s="119" t="s">
        <v>603</v>
      </c>
      <c r="K1125" s="119" t="s">
        <v>1065</v>
      </c>
      <c r="L1125" s="119" t="s">
        <v>42</v>
      </c>
      <c r="M1125" s="119" t="s">
        <v>46</v>
      </c>
      <c r="N1125" s="135">
        <v>0</v>
      </c>
      <c r="O1125" s="135" t="s">
        <v>47</v>
      </c>
      <c r="P1125" s="135"/>
      <c r="Q1125" s="137">
        <v>0</v>
      </c>
      <c r="R1125" s="137">
        <v>0</v>
      </c>
      <c r="S1125" s="137">
        <v>60000</v>
      </c>
      <c r="T1125" s="137">
        <f t="shared" si="254"/>
        <v>0</v>
      </c>
      <c r="U1125" s="137">
        <f t="shared" si="258"/>
        <v>60000</v>
      </c>
      <c r="V1125" s="137">
        <v>63000</v>
      </c>
      <c r="W1125" s="137">
        <f t="shared" si="259"/>
        <v>-3000</v>
      </c>
      <c r="X1125" s="137">
        <f t="shared" si="255"/>
        <v>-3000</v>
      </c>
      <c r="Y1125" s="137">
        <f t="shared" si="260"/>
        <v>0</v>
      </c>
      <c r="Z1125" s="137">
        <v>88413.6</v>
      </c>
      <c r="AA1125" s="137">
        <f t="shared" si="256"/>
        <v>-25413.600000000006</v>
      </c>
      <c r="AB1125" s="146">
        <f t="shared" si="266"/>
        <v>88413.6</v>
      </c>
      <c r="AC1125" s="147">
        <f t="shared" si="257"/>
        <v>0</v>
      </c>
      <c r="AD1125" s="137">
        <v>88413.6</v>
      </c>
      <c r="AE1125" s="138">
        <v>0.06</v>
      </c>
      <c r="AF1125" s="137">
        <f t="shared" si="265"/>
        <v>5304.8159999999998</v>
      </c>
      <c r="AG1125" s="137">
        <v>5304.8159999999998</v>
      </c>
      <c r="AH1125" s="154"/>
      <c r="AI1125" s="154"/>
      <c r="AJ1125" s="135" t="s">
        <v>47</v>
      </c>
      <c r="AK1125" s="156">
        <v>0</v>
      </c>
      <c r="AM1125" s="131"/>
    </row>
    <row r="1126" spans="1:39" s="119" customFormat="1" ht="15" customHeight="1" x14ac:dyDescent="0.3">
      <c r="A1126" s="119">
        <v>2017</v>
      </c>
      <c r="B1126" s="119" t="s">
        <v>38</v>
      </c>
      <c r="C1126" s="119" t="s">
        <v>59</v>
      </c>
      <c r="D1126" s="119" t="s">
        <v>181</v>
      </c>
      <c r="E1126" s="119" t="s">
        <v>468</v>
      </c>
      <c r="F1126" s="119" t="s">
        <v>1066</v>
      </c>
      <c r="G1126" s="119" t="s">
        <v>1066</v>
      </c>
      <c r="H1126" s="119" t="s">
        <v>1066</v>
      </c>
      <c r="I1126" s="119" t="s">
        <v>170</v>
      </c>
      <c r="J1126" s="119" t="s">
        <v>603</v>
      </c>
      <c r="K1126" s="119" t="s">
        <v>1065</v>
      </c>
      <c r="L1126" s="119" t="s">
        <v>1067</v>
      </c>
      <c r="M1126" s="119" t="s">
        <v>46</v>
      </c>
      <c r="N1126" s="136">
        <v>0.02</v>
      </c>
      <c r="O1126" s="135" t="s">
        <v>51</v>
      </c>
      <c r="P1126" s="135"/>
      <c r="Q1126" s="137">
        <v>0</v>
      </c>
      <c r="R1126" s="137">
        <v>0</v>
      </c>
      <c r="S1126" s="137">
        <v>10000</v>
      </c>
      <c r="T1126" s="137">
        <f t="shared" si="254"/>
        <v>200</v>
      </c>
      <c r="U1126" s="137">
        <f t="shared" si="258"/>
        <v>10200</v>
      </c>
      <c r="V1126" s="137">
        <v>10200</v>
      </c>
      <c r="W1126" s="137">
        <f t="shared" si="259"/>
        <v>0</v>
      </c>
      <c r="X1126" s="137">
        <f t="shared" si="255"/>
        <v>0</v>
      </c>
      <c r="Y1126" s="137">
        <f t="shared" si="260"/>
        <v>0</v>
      </c>
      <c r="Z1126" s="137">
        <v>1986.1</v>
      </c>
      <c r="AA1126" s="137">
        <f t="shared" si="256"/>
        <v>8213.9</v>
      </c>
      <c r="AB1126" s="146">
        <f t="shared" si="266"/>
        <v>1947.1568627450979</v>
      </c>
      <c r="AC1126" s="147">
        <f t="shared" si="257"/>
        <v>38.943137254902013</v>
      </c>
      <c r="AD1126" s="137">
        <v>1986.1</v>
      </c>
      <c r="AE1126" s="138">
        <v>0.06</v>
      </c>
      <c r="AF1126" s="137">
        <f t="shared" si="265"/>
        <v>119.166</v>
      </c>
      <c r="AG1126" s="137">
        <v>80.222862745097999</v>
      </c>
      <c r="AH1126" s="154"/>
      <c r="AI1126" s="154"/>
      <c r="AJ1126" s="136">
        <v>0.02</v>
      </c>
      <c r="AK1126" s="119" t="s">
        <v>173</v>
      </c>
      <c r="AM1126" s="131"/>
    </row>
    <row r="1127" spans="1:39" s="119" customFormat="1" ht="15" customHeight="1" x14ac:dyDescent="0.3">
      <c r="A1127" s="119">
        <v>2017</v>
      </c>
      <c r="B1127" s="119" t="s">
        <v>38</v>
      </c>
      <c r="C1127" s="119" t="s">
        <v>59</v>
      </c>
      <c r="D1127" s="119" t="s">
        <v>60</v>
      </c>
      <c r="E1127" s="119" t="s">
        <v>190</v>
      </c>
      <c r="F1127" s="119" t="s">
        <v>478</v>
      </c>
      <c r="G1127" s="119" t="s">
        <v>478</v>
      </c>
      <c r="H1127" s="119" t="s">
        <v>478</v>
      </c>
      <c r="I1127" s="119" t="s">
        <v>170</v>
      </c>
      <c r="J1127" s="119" t="s">
        <v>603</v>
      </c>
      <c r="K1127" s="119" t="s">
        <v>1065</v>
      </c>
      <c r="L1127" s="119" t="s">
        <v>984</v>
      </c>
      <c r="M1127" s="119" t="s">
        <v>46</v>
      </c>
      <c r="N1127" s="136">
        <v>0.04</v>
      </c>
      <c r="O1127" s="135" t="s">
        <v>51</v>
      </c>
      <c r="P1127" s="135" t="s">
        <v>440</v>
      </c>
      <c r="Q1127" s="137">
        <v>0</v>
      </c>
      <c r="R1127" s="137">
        <v>0</v>
      </c>
      <c r="S1127" s="137">
        <v>719825.2</v>
      </c>
      <c r="T1127" s="137">
        <f t="shared" si="254"/>
        <v>28793.007999999998</v>
      </c>
      <c r="U1127" s="137">
        <f t="shared" si="258"/>
        <v>748618.20799999998</v>
      </c>
      <c r="V1127" s="137">
        <v>688221.7</v>
      </c>
      <c r="W1127" s="137">
        <f t="shared" si="259"/>
        <v>60396.508000000031</v>
      </c>
      <c r="X1127" s="137">
        <f t="shared" si="255"/>
        <v>58073.565384615409</v>
      </c>
      <c r="Y1127" s="137">
        <f t="shared" si="260"/>
        <v>2322.9426153846216</v>
      </c>
      <c r="Z1127" s="137">
        <f>564061-Z1164</f>
        <v>441839.3</v>
      </c>
      <c r="AA1127" s="137">
        <f t="shared" si="256"/>
        <v>246382.39999999997</v>
      </c>
      <c r="AB1127" s="146">
        <f t="shared" si="266"/>
        <v>424845.48076923075</v>
      </c>
      <c r="AC1127" s="147">
        <f t="shared" si="257"/>
        <v>16993.819230769237</v>
      </c>
      <c r="AD1127" s="137">
        <v>564061</v>
      </c>
      <c r="AE1127" s="138">
        <v>0.06</v>
      </c>
      <c r="AF1127" s="137">
        <f t="shared" si="265"/>
        <v>33843.659999999996</v>
      </c>
      <c r="AG1127" s="137">
        <v>22783.6403921569</v>
      </c>
      <c r="AH1127" s="154"/>
      <c r="AI1127" s="154"/>
      <c r="AJ1127" s="135" t="s">
        <v>186</v>
      </c>
      <c r="AK1127" s="119" t="s">
        <v>173</v>
      </c>
      <c r="AM1127" s="131"/>
    </row>
    <row r="1128" spans="1:39" s="119" customFormat="1" ht="15" customHeight="1" x14ac:dyDescent="0.3">
      <c r="A1128" s="119">
        <v>2017</v>
      </c>
      <c r="B1128" s="119" t="s">
        <v>199</v>
      </c>
      <c r="C1128" s="119" t="s">
        <v>59</v>
      </c>
      <c r="D1128" s="119" t="s">
        <v>60</v>
      </c>
      <c r="E1128" s="119" t="s">
        <v>61</v>
      </c>
      <c r="F1128" s="119" t="s">
        <v>1057</v>
      </c>
      <c r="G1128" s="119" t="s">
        <v>1058</v>
      </c>
      <c r="H1128" s="119" t="s">
        <v>1058</v>
      </c>
      <c r="I1128" s="119" t="s">
        <v>170</v>
      </c>
      <c r="J1128" s="119" t="s">
        <v>603</v>
      </c>
      <c r="K1128" s="119" t="s">
        <v>1065</v>
      </c>
      <c r="L1128" s="119" t="s">
        <v>1057</v>
      </c>
      <c r="M1128" s="119" t="s">
        <v>46</v>
      </c>
      <c r="N1128" s="136">
        <v>0.02</v>
      </c>
      <c r="O1128" s="135" t="s">
        <v>51</v>
      </c>
      <c r="P1128" s="135"/>
      <c r="Q1128" s="137">
        <v>0</v>
      </c>
      <c r="R1128" s="137">
        <v>0</v>
      </c>
      <c r="S1128" s="137">
        <v>20000</v>
      </c>
      <c r="T1128" s="137">
        <f t="shared" si="254"/>
        <v>400</v>
      </c>
      <c r="U1128" s="137">
        <f t="shared" si="258"/>
        <v>20400</v>
      </c>
      <c r="V1128" s="137">
        <v>20400</v>
      </c>
      <c r="W1128" s="137">
        <f t="shared" si="259"/>
        <v>0</v>
      </c>
      <c r="X1128" s="137">
        <f t="shared" si="255"/>
        <v>0</v>
      </c>
      <c r="Y1128" s="137">
        <f t="shared" si="260"/>
        <v>0</v>
      </c>
      <c r="Z1128" s="137">
        <v>107779.9</v>
      </c>
      <c r="AA1128" s="137">
        <f t="shared" si="256"/>
        <v>-87379.9</v>
      </c>
      <c r="AB1128" s="146">
        <f t="shared" si="266"/>
        <v>105666.56862745098</v>
      </c>
      <c r="AC1128" s="147">
        <f t="shared" si="257"/>
        <v>2113.3313725490152</v>
      </c>
      <c r="AD1128" s="137">
        <v>107779.9</v>
      </c>
      <c r="AE1128" s="138">
        <v>0.06</v>
      </c>
      <c r="AF1128" s="137">
        <f t="shared" si="265"/>
        <v>6466.793999999999</v>
      </c>
      <c r="AG1128" s="137">
        <v>4353.4626274509801</v>
      </c>
      <c r="AH1128" s="154"/>
      <c r="AI1128" s="154"/>
      <c r="AJ1128" s="135" t="s">
        <v>173</v>
      </c>
      <c r="AK1128" s="119" t="s">
        <v>173</v>
      </c>
      <c r="AM1128" s="131"/>
    </row>
    <row r="1129" spans="1:39" s="119" customFormat="1" ht="15" customHeight="1" x14ac:dyDescent="0.3">
      <c r="A1129" s="119">
        <v>2017</v>
      </c>
      <c r="B1129" s="119" t="s">
        <v>199</v>
      </c>
      <c r="C1129" s="119" t="s">
        <v>54</v>
      </c>
      <c r="D1129" s="119" t="s">
        <v>55</v>
      </c>
      <c r="E1129" s="119" t="s">
        <v>64</v>
      </c>
      <c r="F1129" s="119" t="s">
        <v>496</v>
      </c>
      <c r="G1129" s="119" t="s">
        <v>497</v>
      </c>
      <c r="H1129" s="163" t="s">
        <v>498</v>
      </c>
      <c r="I1129" s="119" t="s">
        <v>170</v>
      </c>
      <c r="J1129" s="119" t="s">
        <v>603</v>
      </c>
      <c r="K1129" s="119" t="s">
        <v>1065</v>
      </c>
      <c r="L1129" s="119" t="s">
        <v>496</v>
      </c>
      <c r="M1129" s="119" t="s">
        <v>46</v>
      </c>
      <c r="N1129" s="136">
        <v>0.02</v>
      </c>
      <c r="O1129" s="135" t="s">
        <v>51</v>
      </c>
      <c r="P1129" s="135"/>
      <c r="Q1129" s="137">
        <v>0</v>
      </c>
      <c r="R1129" s="137">
        <v>0</v>
      </c>
      <c r="S1129" s="137">
        <v>2020000</v>
      </c>
      <c r="T1129" s="137">
        <f t="shared" si="254"/>
        <v>40400</v>
      </c>
      <c r="U1129" s="137">
        <f t="shared" si="258"/>
        <v>2060400</v>
      </c>
      <c r="V1129" s="137">
        <v>2210000</v>
      </c>
      <c r="W1129" s="137">
        <f t="shared" si="259"/>
        <v>-149600</v>
      </c>
      <c r="X1129" s="137">
        <f t="shared" si="255"/>
        <v>-146666.66666666666</v>
      </c>
      <c r="Y1129" s="137">
        <f t="shared" si="260"/>
        <v>-2933.333333333343</v>
      </c>
      <c r="Z1129" s="137">
        <v>3347763.3</v>
      </c>
      <c r="AA1129" s="137">
        <f t="shared" si="256"/>
        <v>-1137763.2999999998</v>
      </c>
      <c r="AB1129" s="146">
        <f t="shared" si="266"/>
        <v>3282120.8823529407</v>
      </c>
      <c r="AC1129" s="147">
        <f t="shared" si="257"/>
        <v>65642.417647059076</v>
      </c>
      <c r="AD1129" s="137">
        <v>3347763.3</v>
      </c>
      <c r="AE1129" s="138">
        <v>0.06</v>
      </c>
      <c r="AF1129" s="137">
        <f t="shared" si="265"/>
        <v>200865.79799999998</v>
      </c>
      <c r="AG1129" s="137">
        <v>135223.38035294099</v>
      </c>
      <c r="AH1129" s="154"/>
      <c r="AI1129" s="154"/>
      <c r="AJ1129" s="135" t="s">
        <v>173</v>
      </c>
      <c r="AK1129" s="119" t="s">
        <v>173</v>
      </c>
      <c r="AM1129" s="131"/>
    </row>
    <row r="1130" spans="1:39" s="119" customFormat="1" ht="15" customHeight="1" x14ac:dyDescent="0.3">
      <c r="A1130" s="119">
        <v>2017</v>
      </c>
      <c r="B1130" s="119" t="s">
        <v>38</v>
      </c>
      <c r="C1130" s="119" t="s">
        <v>75</v>
      </c>
      <c r="D1130" s="119" t="s">
        <v>518</v>
      </c>
      <c r="F1130" s="131" t="s">
        <v>216</v>
      </c>
      <c r="G1130" s="131" t="s">
        <v>216</v>
      </c>
      <c r="H1130" s="131" t="s">
        <v>216</v>
      </c>
      <c r="I1130" s="119" t="s">
        <v>170</v>
      </c>
      <c r="J1130" s="119" t="s">
        <v>603</v>
      </c>
      <c r="K1130" s="119" t="s">
        <v>1064</v>
      </c>
      <c r="L1130" s="119" t="s">
        <v>219</v>
      </c>
      <c r="M1130" s="119" t="s">
        <v>46</v>
      </c>
      <c r="N1130" s="136">
        <v>0.02</v>
      </c>
      <c r="O1130" s="135" t="s">
        <v>51</v>
      </c>
      <c r="P1130" s="135"/>
      <c r="Q1130" s="137">
        <v>0</v>
      </c>
      <c r="R1130" s="137">
        <v>0</v>
      </c>
      <c r="S1130" s="137"/>
      <c r="T1130" s="137">
        <f t="shared" si="254"/>
        <v>0</v>
      </c>
      <c r="U1130" s="137">
        <f t="shared" si="258"/>
        <v>0</v>
      </c>
      <c r="V1130" s="137">
        <v>0</v>
      </c>
      <c r="W1130" s="137">
        <f t="shared" si="259"/>
        <v>0</v>
      </c>
      <c r="X1130" s="137">
        <f t="shared" si="255"/>
        <v>0</v>
      </c>
      <c r="Y1130" s="137">
        <f t="shared" si="260"/>
        <v>0</v>
      </c>
      <c r="Z1130" s="137">
        <v>72438.3</v>
      </c>
      <c r="AA1130" s="137">
        <f t="shared" si="256"/>
        <v>-72438.3</v>
      </c>
      <c r="AB1130" s="146">
        <f t="shared" si="266"/>
        <v>71017.941176470587</v>
      </c>
      <c r="AC1130" s="147">
        <f t="shared" si="257"/>
        <v>1420.3588235294155</v>
      </c>
      <c r="AD1130" s="137">
        <v>72438.3</v>
      </c>
      <c r="AE1130" s="138">
        <v>0.04</v>
      </c>
      <c r="AF1130" s="137">
        <f t="shared" si="265"/>
        <v>2897.5320000000002</v>
      </c>
      <c r="AG1130" s="137">
        <v>1477.1731764705801</v>
      </c>
      <c r="AH1130" s="154"/>
      <c r="AI1130" s="154"/>
      <c r="AJ1130" s="136">
        <v>0.02</v>
      </c>
      <c r="AM1130" s="131" t="s">
        <v>208</v>
      </c>
    </row>
    <row r="1131" spans="1:39" s="119" customFormat="1" ht="15" customHeight="1" x14ac:dyDescent="0.3">
      <c r="A1131" s="119">
        <v>2017</v>
      </c>
      <c r="B1131" s="119" t="s">
        <v>199</v>
      </c>
      <c r="C1131" s="119" t="s">
        <v>54</v>
      </c>
      <c r="D1131" s="119" t="s">
        <v>55</v>
      </c>
      <c r="F1131" s="131" t="s">
        <v>496</v>
      </c>
      <c r="G1131" s="131" t="s">
        <v>497</v>
      </c>
      <c r="H1131" s="158" t="s">
        <v>498</v>
      </c>
      <c r="I1131" s="119" t="s">
        <v>170</v>
      </c>
      <c r="J1131" s="119" t="s">
        <v>603</v>
      </c>
      <c r="K1131" s="119" t="s">
        <v>1064</v>
      </c>
      <c r="L1131" s="119" t="s">
        <v>496</v>
      </c>
      <c r="M1131" s="119" t="s">
        <v>46</v>
      </c>
      <c r="N1131" s="136">
        <v>0.02</v>
      </c>
      <c r="O1131" s="135" t="s">
        <v>51</v>
      </c>
      <c r="P1131" s="135"/>
      <c r="Q1131" s="137">
        <v>0</v>
      </c>
      <c r="R1131" s="137">
        <v>0</v>
      </c>
      <c r="S1131" s="137"/>
      <c r="T1131" s="137">
        <f t="shared" si="254"/>
        <v>0</v>
      </c>
      <c r="U1131" s="137">
        <f t="shared" si="258"/>
        <v>0</v>
      </c>
      <c r="V1131" s="137">
        <v>0</v>
      </c>
      <c r="W1131" s="137">
        <f t="shared" si="259"/>
        <v>0</v>
      </c>
      <c r="X1131" s="137">
        <f t="shared" si="255"/>
        <v>0</v>
      </c>
      <c r="Y1131" s="137">
        <f t="shared" si="260"/>
        <v>0</v>
      </c>
      <c r="Z1131" s="137">
        <v>797724.5</v>
      </c>
      <c r="AA1131" s="137">
        <f t="shared" si="256"/>
        <v>-797724.5</v>
      </c>
      <c r="AB1131" s="146">
        <f t="shared" si="266"/>
        <v>782082.84313725494</v>
      </c>
      <c r="AC1131" s="147">
        <f t="shared" si="257"/>
        <v>15641.656862745062</v>
      </c>
      <c r="AD1131" s="137">
        <v>797724.5</v>
      </c>
      <c r="AE1131" s="138">
        <v>0.04</v>
      </c>
      <c r="AF1131" s="137">
        <f t="shared" si="265"/>
        <v>31908.98</v>
      </c>
      <c r="AG1131" s="137">
        <v>16267.3231372549</v>
      </c>
      <c r="AH1131" s="154"/>
      <c r="AI1131" s="154"/>
      <c r="AJ1131" s="136">
        <v>0.02</v>
      </c>
      <c r="AM1131" s="131" t="s">
        <v>208</v>
      </c>
    </row>
    <row r="1132" spans="1:39" s="119" customFormat="1" ht="15" customHeight="1" x14ac:dyDescent="0.3">
      <c r="A1132" s="119">
        <v>2017</v>
      </c>
      <c r="B1132" s="119" t="s">
        <v>199</v>
      </c>
      <c r="C1132" s="119" t="s">
        <v>137</v>
      </c>
      <c r="D1132" s="119" t="s">
        <v>270</v>
      </c>
      <c r="F1132" s="131" t="s">
        <v>590</v>
      </c>
      <c r="G1132" s="131" t="s">
        <v>591</v>
      </c>
      <c r="H1132" s="131" t="s">
        <v>591</v>
      </c>
      <c r="I1132" s="119" t="s">
        <v>170</v>
      </c>
      <c r="J1132" s="119" t="s">
        <v>603</v>
      </c>
      <c r="K1132" s="119" t="s">
        <v>1064</v>
      </c>
      <c r="L1132" s="119" t="s">
        <v>590</v>
      </c>
      <c r="M1132" s="119" t="s">
        <v>46</v>
      </c>
      <c r="N1132" s="136">
        <v>0.02</v>
      </c>
      <c r="O1132" s="135" t="s">
        <v>51</v>
      </c>
      <c r="P1132" s="135"/>
      <c r="Q1132" s="137">
        <v>0</v>
      </c>
      <c r="R1132" s="137">
        <v>0</v>
      </c>
      <c r="S1132" s="137"/>
      <c r="T1132" s="137">
        <f t="shared" si="254"/>
        <v>0</v>
      </c>
      <c r="U1132" s="137">
        <f t="shared" si="258"/>
        <v>0</v>
      </c>
      <c r="V1132" s="137">
        <v>0</v>
      </c>
      <c r="W1132" s="137">
        <f t="shared" si="259"/>
        <v>0</v>
      </c>
      <c r="X1132" s="137">
        <f t="shared" si="255"/>
        <v>0</v>
      </c>
      <c r="Y1132" s="137">
        <f t="shared" si="260"/>
        <v>0</v>
      </c>
      <c r="Z1132" s="137">
        <v>36736.800000000003</v>
      </c>
      <c r="AA1132" s="137">
        <f t="shared" si="256"/>
        <v>-36736.800000000003</v>
      </c>
      <c r="AB1132" s="146">
        <f t="shared" si="266"/>
        <v>36016.470588235294</v>
      </c>
      <c r="AC1132" s="147">
        <f t="shared" si="257"/>
        <v>720.32941176470922</v>
      </c>
      <c r="AD1132" s="137">
        <v>36736.800000000003</v>
      </c>
      <c r="AE1132" s="138">
        <v>0.04</v>
      </c>
      <c r="AF1132" s="137">
        <f t="shared" si="265"/>
        <v>1469.4720000000002</v>
      </c>
      <c r="AG1132" s="137">
        <v>749.14258823529099</v>
      </c>
      <c r="AH1132" s="154"/>
      <c r="AI1132" s="154"/>
      <c r="AJ1132" s="136">
        <v>0.02</v>
      </c>
      <c r="AM1132" s="131" t="s">
        <v>208</v>
      </c>
    </row>
    <row r="1133" spans="1:39" s="119" customFormat="1" ht="15" customHeight="1" x14ac:dyDescent="0.3">
      <c r="A1133" s="119">
        <v>2017</v>
      </c>
      <c r="B1133" s="119" t="s">
        <v>38</v>
      </c>
      <c r="C1133" s="119" t="s">
        <v>110</v>
      </c>
      <c r="D1133" s="119" t="s">
        <v>280</v>
      </c>
      <c r="F1133" s="131" t="s">
        <v>113</v>
      </c>
      <c r="G1133" s="131" t="s">
        <v>113</v>
      </c>
      <c r="H1133" s="131" t="s">
        <v>113</v>
      </c>
      <c r="I1133" s="119" t="s">
        <v>170</v>
      </c>
      <c r="J1133" s="119" t="s">
        <v>603</v>
      </c>
      <c r="K1133" s="119" t="s">
        <v>1064</v>
      </c>
      <c r="L1133" s="119" t="s">
        <v>1068</v>
      </c>
      <c r="M1133" s="119" t="s">
        <v>46</v>
      </c>
      <c r="N1133" s="136">
        <v>0.02</v>
      </c>
      <c r="O1133" s="135" t="s">
        <v>51</v>
      </c>
      <c r="P1133" s="135"/>
      <c r="Q1133" s="137">
        <v>0</v>
      </c>
      <c r="R1133" s="137">
        <v>0</v>
      </c>
      <c r="S1133" s="137"/>
      <c r="T1133" s="137">
        <f t="shared" si="254"/>
        <v>0</v>
      </c>
      <c r="U1133" s="137">
        <f t="shared" si="258"/>
        <v>0</v>
      </c>
      <c r="V1133" s="137">
        <v>0</v>
      </c>
      <c r="W1133" s="137">
        <f t="shared" si="259"/>
        <v>0</v>
      </c>
      <c r="X1133" s="137">
        <f t="shared" si="255"/>
        <v>0</v>
      </c>
      <c r="Y1133" s="137">
        <f t="shared" si="260"/>
        <v>0</v>
      </c>
      <c r="Z1133" s="137">
        <v>59680.2</v>
      </c>
      <c r="AA1133" s="137">
        <f t="shared" si="256"/>
        <v>-59680.2</v>
      </c>
      <c r="AB1133" s="146">
        <f t="shared" si="266"/>
        <v>58509.999999999993</v>
      </c>
      <c r="AC1133" s="147">
        <f t="shared" si="257"/>
        <v>1170.2000000000044</v>
      </c>
      <c r="AD1133" s="137">
        <v>59680.2</v>
      </c>
      <c r="AE1133" s="138">
        <v>0.04</v>
      </c>
      <c r="AF1133" s="137">
        <f t="shared" si="265"/>
        <v>2387.2080000000001</v>
      </c>
      <c r="AG1133" s="137">
        <v>1217.008</v>
      </c>
      <c r="AH1133" s="154"/>
      <c r="AI1133" s="154"/>
      <c r="AJ1133" s="136">
        <v>0.02</v>
      </c>
      <c r="AM1133" s="131" t="s">
        <v>208</v>
      </c>
    </row>
    <row r="1134" spans="1:39" s="119" customFormat="1" ht="15" customHeight="1" x14ac:dyDescent="0.3">
      <c r="A1134" s="119">
        <v>2017</v>
      </c>
      <c r="B1134" s="119" t="s">
        <v>199</v>
      </c>
      <c r="C1134" s="119" t="s">
        <v>59</v>
      </c>
      <c r="D1134" s="119" t="s">
        <v>60</v>
      </c>
      <c r="F1134" s="131" t="s">
        <v>1057</v>
      </c>
      <c r="G1134" s="131" t="s">
        <v>1058</v>
      </c>
      <c r="H1134" s="131" t="s">
        <v>1058</v>
      </c>
      <c r="I1134" s="119" t="s">
        <v>170</v>
      </c>
      <c r="J1134" s="119" t="s">
        <v>603</v>
      </c>
      <c r="K1134" s="119" t="s">
        <v>1064</v>
      </c>
      <c r="L1134" s="119" t="s">
        <v>1057</v>
      </c>
      <c r="M1134" s="119" t="s">
        <v>46</v>
      </c>
      <c r="N1134" s="136">
        <v>0.02</v>
      </c>
      <c r="O1134" s="135" t="s">
        <v>51</v>
      </c>
      <c r="P1134" s="135"/>
      <c r="Q1134" s="137">
        <v>0</v>
      </c>
      <c r="R1134" s="137">
        <v>0</v>
      </c>
      <c r="S1134" s="137"/>
      <c r="T1134" s="137">
        <f t="shared" si="254"/>
        <v>0</v>
      </c>
      <c r="U1134" s="137">
        <f t="shared" si="258"/>
        <v>0</v>
      </c>
      <c r="V1134" s="137">
        <v>0</v>
      </c>
      <c r="W1134" s="137">
        <f t="shared" si="259"/>
        <v>0</v>
      </c>
      <c r="X1134" s="137">
        <f t="shared" si="255"/>
        <v>0</v>
      </c>
      <c r="Y1134" s="137">
        <f t="shared" si="260"/>
        <v>0</v>
      </c>
      <c r="Z1134" s="137">
        <v>27103.3</v>
      </c>
      <c r="AA1134" s="137">
        <f t="shared" si="256"/>
        <v>-27103.3</v>
      </c>
      <c r="AB1134" s="146">
        <f t="shared" si="266"/>
        <v>26571.862745098038</v>
      </c>
      <c r="AC1134" s="147">
        <f t="shared" si="257"/>
        <v>531.43725490196084</v>
      </c>
      <c r="AD1134" s="137">
        <v>27103.3</v>
      </c>
      <c r="AE1134" s="138">
        <v>0.04</v>
      </c>
      <c r="AF1134" s="137">
        <f t="shared" si="265"/>
        <v>1084.1320000000001</v>
      </c>
      <c r="AG1134" s="137">
        <v>552.69474509803899</v>
      </c>
      <c r="AH1134" s="154"/>
      <c r="AI1134" s="154"/>
      <c r="AJ1134" s="136">
        <v>0.02</v>
      </c>
      <c r="AM1134" s="131" t="s">
        <v>208</v>
      </c>
    </row>
    <row r="1135" spans="1:39" s="119" customFormat="1" ht="15" customHeight="1" x14ac:dyDescent="0.3">
      <c r="A1135" s="119">
        <v>2017</v>
      </c>
      <c r="B1135" s="119" t="s">
        <v>199</v>
      </c>
      <c r="C1135" s="119" t="s">
        <v>110</v>
      </c>
      <c r="D1135" s="119" t="s">
        <v>281</v>
      </c>
      <c r="F1135" s="131" t="s">
        <v>1050</v>
      </c>
      <c r="G1135" s="131" t="s">
        <v>1051</v>
      </c>
      <c r="H1135" s="131" t="s">
        <v>1051</v>
      </c>
      <c r="I1135" s="119" t="s">
        <v>170</v>
      </c>
      <c r="J1135" s="119" t="s">
        <v>603</v>
      </c>
      <c r="K1135" s="119" t="s">
        <v>1064</v>
      </c>
      <c r="L1135" s="119" t="s">
        <v>1050</v>
      </c>
      <c r="M1135" s="119" t="s">
        <v>46</v>
      </c>
      <c r="N1135" s="136">
        <v>0.02</v>
      </c>
      <c r="O1135" s="135" t="s">
        <v>51</v>
      </c>
      <c r="P1135" s="135"/>
      <c r="Q1135" s="137">
        <v>0</v>
      </c>
      <c r="R1135" s="137">
        <v>0</v>
      </c>
      <c r="S1135" s="137"/>
      <c r="T1135" s="137">
        <f t="shared" si="254"/>
        <v>0</v>
      </c>
      <c r="U1135" s="137">
        <f t="shared" si="258"/>
        <v>0</v>
      </c>
      <c r="V1135" s="137">
        <v>0</v>
      </c>
      <c r="W1135" s="137">
        <f t="shared" si="259"/>
        <v>0</v>
      </c>
      <c r="X1135" s="137">
        <f t="shared" si="255"/>
        <v>0</v>
      </c>
      <c r="Y1135" s="137">
        <f t="shared" si="260"/>
        <v>0</v>
      </c>
      <c r="Z1135" s="137">
        <v>9268.7999999999993</v>
      </c>
      <c r="AA1135" s="137">
        <f t="shared" si="256"/>
        <v>-9268.7999999999993</v>
      </c>
      <c r="AB1135" s="146">
        <f t="shared" si="266"/>
        <v>9087.0588235294108</v>
      </c>
      <c r="AC1135" s="147">
        <f t="shared" si="257"/>
        <v>181.74117647058847</v>
      </c>
      <c r="AD1135" s="137">
        <v>9268.7999999999993</v>
      </c>
      <c r="AE1135" s="138">
        <v>0.04</v>
      </c>
      <c r="AF1135" s="137">
        <f t="shared" si="265"/>
        <v>370.75199999999995</v>
      </c>
      <c r="AG1135" s="137">
        <v>189.010823529411</v>
      </c>
      <c r="AH1135" s="154"/>
      <c r="AI1135" s="154"/>
      <c r="AJ1135" s="136">
        <v>0.02</v>
      </c>
      <c r="AM1135" s="131" t="s">
        <v>208</v>
      </c>
    </row>
    <row r="1136" spans="1:39" s="119" customFormat="1" ht="15" customHeight="1" x14ac:dyDescent="0.3">
      <c r="A1136" s="119">
        <v>2017</v>
      </c>
      <c r="B1136" s="119" t="s">
        <v>38</v>
      </c>
      <c r="C1136" s="119" t="s">
        <v>88</v>
      </c>
      <c r="D1136" s="119" t="s">
        <v>128</v>
      </c>
      <c r="F1136" s="131" t="s">
        <v>855</v>
      </c>
      <c r="G1136" s="131" t="s">
        <v>855</v>
      </c>
      <c r="H1136" s="131" t="s">
        <v>855</v>
      </c>
      <c r="I1136" s="119" t="s">
        <v>170</v>
      </c>
      <c r="J1136" s="119" t="s">
        <v>603</v>
      </c>
      <c r="K1136" s="119" t="s">
        <v>1064</v>
      </c>
      <c r="L1136" s="119" t="s">
        <v>855</v>
      </c>
      <c r="M1136" s="119" t="s">
        <v>46</v>
      </c>
      <c r="N1136" s="136">
        <v>0.04</v>
      </c>
      <c r="O1136" s="135" t="s">
        <v>51</v>
      </c>
      <c r="P1136" s="135"/>
      <c r="Q1136" s="137">
        <v>0</v>
      </c>
      <c r="R1136" s="137">
        <v>0</v>
      </c>
      <c r="S1136" s="137"/>
      <c r="T1136" s="137">
        <f t="shared" si="254"/>
        <v>0</v>
      </c>
      <c r="U1136" s="137">
        <f t="shared" si="258"/>
        <v>0</v>
      </c>
      <c r="V1136" s="137">
        <v>0</v>
      </c>
      <c r="W1136" s="137">
        <f t="shared" si="259"/>
        <v>0</v>
      </c>
      <c r="X1136" s="137">
        <f t="shared" si="255"/>
        <v>0</v>
      </c>
      <c r="Y1136" s="137">
        <f t="shared" si="260"/>
        <v>0</v>
      </c>
      <c r="Z1136" s="137">
        <v>454946.9</v>
      </c>
      <c r="AA1136" s="137">
        <f t="shared" si="256"/>
        <v>-454946.9</v>
      </c>
      <c r="AB1136" s="146">
        <f t="shared" si="266"/>
        <v>437448.94230769231</v>
      </c>
      <c r="AC1136" s="147">
        <f t="shared" si="257"/>
        <v>17497.957692307711</v>
      </c>
      <c r="AD1136" s="137">
        <v>454946.9</v>
      </c>
      <c r="AE1136" s="138">
        <v>0.04</v>
      </c>
      <c r="AF1136" s="137">
        <f t="shared" si="265"/>
        <v>18197.876</v>
      </c>
      <c r="AG1136" s="137">
        <v>699.91830769228898</v>
      </c>
      <c r="AH1136" s="154"/>
      <c r="AI1136" s="154"/>
      <c r="AJ1136" s="136">
        <v>0.04</v>
      </c>
      <c r="AM1136" s="131" t="s">
        <v>208</v>
      </c>
    </row>
    <row r="1137" spans="1:39" s="119" customFormat="1" ht="15" customHeight="1" x14ac:dyDescent="0.3">
      <c r="A1137" s="119">
        <v>2017</v>
      </c>
      <c r="B1137" s="119" t="s">
        <v>38</v>
      </c>
      <c r="C1137" s="119" t="s">
        <v>39</v>
      </c>
      <c r="D1137" s="119" t="s">
        <v>81</v>
      </c>
      <c r="F1137" s="131" t="s">
        <v>958</v>
      </c>
      <c r="G1137" s="131" t="s">
        <v>957</v>
      </c>
      <c r="H1137" s="131" t="s">
        <v>957</v>
      </c>
      <c r="I1137" s="119" t="s">
        <v>170</v>
      </c>
      <c r="J1137" s="119" t="s">
        <v>603</v>
      </c>
      <c r="K1137" s="119" t="s">
        <v>1064</v>
      </c>
      <c r="L1137" s="119" t="s">
        <v>958</v>
      </c>
      <c r="M1137" s="119" t="s">
        <v>46</v>
      </c>
      <c r="N1137" s="136">
        <v>0.02</v>
      </c>
      <c r="O1137" s="138" t="s">
        <v>51</v>
      </c>
      <c r="P1137" s="138"/>
      <c r="Q1137" s="137">
        <v>0</v>
      </c>
      <c r="R1137" s="137">
        <v>0</v>
      </c>
      <c r="S1137" s="137"/>
      <c r="T1137" s="137">
        <f t="shared" si="254"/>
        <v>0</v>
      </c>
      <c r="U1137" s="137">
        <f t="shared" si="258"/>
        <v>0</v>
      </c>
      <c r="V1137" s="137">
        <v>0</v>
      </c>
      <c r="W1137" s="137">
        <f t="shared" si="259"/>
        <v>0</v>
      </c>
      <c r="X1137" s="137">
        <f t="shared" si="255"/>
        <v>0</v>
      </c>
      <c r="Y1137" s="137">
        <f t="shared" si="260"/>
        <v>0</v>
      </c>
      <c r="Z1137" s="137">
        <v>15624</v>
      </c>
      <c r="AA1137" s="137">
        <f t="shared" si="256"/>
        <v>-15624</v>
      </c>
      <c r="AB1137" s="146">
        <f t="shared" si="266"/>
        <v>15317.64705882353</v>
      </c>
      <c r="AC1137" s="147">
        <f t="shared" si="257"/>
        <v>306.35294117647027</v>
      </c>
      <c r="AD1137" s="137">
        <v>15624</v>
      </c>
      <c r="AE1137" s="138">
        <v>0.04</v>
      </c>
      <c r="AF1137" s="137">
        <f t="shared" si="265"/>
        <v>624.96</v>
      </c>
      <c r="AG1137" s="137">
        <v>318.60705882353</v>
      </c>
      <c r="AH1137" s="154"/>
      <c r="AI1137" s="154"/>
      <c r="AJ1137" s="136">
        <v>0.02</v>
      </c>
      <c r="AM1137" s="131" t="s">
        <v>208</v>
      </c>
    </row>
    <row r="1138" spans="1:39" s="119" customFormat="1" ht="15" customHeight="1" x14ac:dyDescent="0.3">
      <c r="A1138" s="119">
        <v>2017</v>
      </c>
      <c r="B1138" s="119" t="s">
        <v>199</v>
      </c>
      <c r="C1138" s="119" t="s">
        <v>137</v>
      </c>
      <c r="D1138" s="119" t="s">
        <v>270</v>
      </c>
      <c r="F1138" s="131" t="s">
        <v>590</v>
      </c>
      <c r="G1138" s="131" t="s">
        <v>591</v>
      </c>
      <c r="H1138" s="131" t="s">
        <v>591</v>
      </c>
      <c r="I1138" s="119" t="s">
        <v>170</v>
      </c>
      <c r="J1138" s="119" t="s">
        <v>603</v>
      </c>
      <c r="K1138" s="119" t="s">
        <v>1065</v>
      </c>
      <c r="L1138" s="119" t="s">
        <v>590</v>
      </c>
      <c r="M1138" s="119" t="s">
        <v>46</v>
      </c>
      <c r="N1138" s="136">
        <v>0.02</v>
      </c>
      <c r="O1138" s="135" t="s">
        <v>51</v>
      </c>
      <c r="P1138" s="135"/>
      <c r="Q1138" s="137">
        <v>0</v>
      </c>
      <c r="R1138" s="137">
        <v>0</v>
      </c>
      <c r="S1138" s="137"/>
      <c r="T1138" s="137">
        <f t="shared" si="254"/>
        <v>0</v>
      </c>
      <c r="U1138" s="137">
        <f t="shared" si="258"/>
        <v>0</v>
      </c>
      <c r="V1138" s="137">
        <v>0</v>
      </c>
      <c r="W1138" s="137">
        <f t="shared" si="259"/>
        <v>0</v>
      </c>
      <c r="X1138" s="137">
        <f t="shared" si="255"/>
        <v>0</v>
      </c>
      <c r="Y1138" s="137">
        <f t="shared" si="260"/>
        <v>0</v>
      </c>
      <c r="Z1138" s="137">
        <v>64931.3</v>
      </c>
      <c r="AA1138" s="137">
        <f t="shared" si="256"/>
        <v>-64931.3</v>
      </c>
      <c r="AB1138" s="146">
        <f t="shared" si="266"/>
        <v>63658.137254901965</v>
      </c>
      <c r="AC1138" s="147">
        <f t="shared" si="257"/>
        <v>1273.1627450980377</v>
      </c>
      <c r="AD1138" s="137">
        <v>64931.3</v>
      </c>
      <c r="AE1138" s="138">
        <v>0.06</v>
      </c>
      <c r="AF1138" s="137">
        <f t="shared" si="265"/>
        <v>3895.8780000000002</v>
      </c>
      <c r="AG1138" s="137">
        <v>5219.9672549019597</v>
      </c>
      <c r="AH1138" s="154"/>
      <c r="AI1138" s="154"/>
      <c r="AJ1138" s="136">
        <v>0.02</v>
      </c>
      <c r="AM1138" s="131" t="s">
        <v>208</v>
      </c>
    </row>
    <row r="1139" spans="1:39" s="119" customFormat="1" ht="15" customHeight="1" x14ac:dyDescent="0.3">
      <c r="A1139" s="119">
        <v>2017</v>
      </c>
      <c r="B1139" s="119" t="s">
        <v>252</v>
      </c>
      <c r="C1139" s="119" t="s">
        <v>137</v>
      </c>
      <c r="D1139" s="119" t="s">
        <v>139</v>
      </c>
      <c r="F1139" s="131" t="s">
        <v>1045</v>
      </c>
      <c r="G1139" s="131" t="s">
        <v>1046</v>
      </c>
      <c r="H1139" s="119" t="s">
        <v>1047</v>
      </c>
      <c r="I1139" s="119" t="s">
        <v>170</v>
      </c>
      <c r="J1139" s="119" t="s">
        <v>603</v>
      </c>
      <c r="K1139" s="119" t="s">
        <v>1065</v>
      </c>
      <c r="L1139" s="119" t="s">
        <v>1045</v>
      </c>
      <c r="M1139" s="119" t="s">
        <v>46</v>
      </c>
      <c r="N1139" s="136">
        <v>0.04</v>
      </c>
      <c r="O1139" s="135" t="s">
        <v>51</v>
      </c>
      <c r="P1139" s="135"/>
      <c r="Q1139" s="137">
        <v>0</v>
      </c>
      <c r="R1139" s="137">
        <v>0</v>
      </c>
      <c r="S1139" s="137"/>
      <c r="T1139" s="137">
        <f t="shared" si="254"/>
        <v>0</v>
      </c>
      <c r="U1139" s="137">
        <f t="shared" si="258"/>
        <v>0</v>
      </c>
      <c r="V1139" s="137">
        <v>0</v>
      </c>
      <c r="W1139" s="137">
        <f t="shared" si="259"/>
        <v>0</v>
      </c>
      <c r="X1139" s="137">
        <f t="shared" si="255"/>
        <v>0</v>
      </c>
      <c r="Y1139" s="137">
        <f t="shared" si="260"/>
        <v>0</v>
      </c>
      <c r="Z1139" s="137">
        <v>30485.200000000001</v>
      </c>
      <c r="AA1139" s="137">
        <f t="shared" si="256"/>
        <v>-30485.200000000001</v>
      </c>
      <c r="AB1139" s="146">
        <f t="shared" si="266"/>
        <v>29312.692307692309</v>
      </c>
      <c r="AC1139" s="147">
        <f t="shared" si="257"/>
        <v>1172.5076923076922</v>
      </c>
      <c r="AD1139" s="137">
        <v>30485.200000000001</v>
      </c>
      <c r="AE1139" s="138">
        <v>0.06</v>
      </c>
      <c r="AF1139" s="137">
        <f t="shared" si="265"/>
        <v>1829.1120000000001</v>
      </c>
      <c r="AG1139" s="137">
        <v>2450.7709803921598</v>
      </c>
      <c r="AH1139" s="154"/>
      <c r="AI1139" s="154"/>
      <c r="AJ1139" s="136">
        <v>0.04</v>
      </c>
      <c r="AM1139" s="131" t="s">
        <v>208</v>
      </c>
    </row>
    <row r="1140" spans="1:39" s="119" customFormat="1" ht="15" customHeight="1" x14ac:dyDescent="0.3">
      <c r="A1140" s="119">
        <v>2017</v>
      </c>
      <c r="B1140" s="119" t="s">
        <v>199</v>
      </c>
      <c r="C1140" s="119" t="s">
        <v>110</v>
      </c>
      <c r="D1140" s="119" t="s">
        <v>281</v>
      </c>
      <c r="F1140" s="131" t="s">
        <v>1050</v>
      </c>
      <c r="G1140" s="131" t="s">
        <v>1051</v>
      </c>
      <c r="H1140" s="131" t="s">
        <v>1051</v>
      </c>
      <c r="I1140" s="119" t="s">
        <v>170</v>
      </c>
      <c r="J1140" s="119" t="s">
        <v>603</v>
      </c>
      <c r="K1140" s="119" t="s">
        <v>1065</v>
      </c>
      <c r="L1140" s="119" t="s">
        <v>1050</v>
      </c>
      <c r="M1140" s="119" t="s">
        <v>46</v>
      </c>
      <c r="N1140" s="136">
        <v>0.02</v>
      </c>
      <c r="O1140" s="135" t="s">
        <v>51</v>
      </c>
      <c r="P1140" s="135"/>
      <c r="Q1140" s="137">
        <v>0</v>
      </c>
      <c r="R1140" s="137">
        <v>0</v>
      </c>
      <c r="S1140" s="137"/>
      <c r="T1140" s="137">
        <f t="shared" si="254"/>
        <v>0</v>
      </c>
      <c r="U1140" s="137">
        <f t="shared" si="258"/>
        <v>0</v>
      </c>
      <c r="V1140" s="137">
        <v>0</v>
      </c>
      <c r="W1140" s="137">
        <f t="shared" si="259"/>
        <v>0</v>
      </c>
      <c r="X1140" s="137">
        <f t="shared" si="255"/>
        <v>0</v>
      </c>
      <c r="Y1140" s="137">
        <f t="shared" si="260"/>
        <v>0</v>
      </c>
      <c r="Z1140" s="137">
        <v>12993.9</v>
      </c>
      <c r="AA1140" s="137">
        <f t="shared" si="256"/>
        <v>-12993.9</v>
      </c>
      <c r="AB1140" s="146">
        <f t="shared" si="266"/>
        <v>12739.117647058823</v>
      </c>
      <c r="AC1140" s="147">
        <f t="shared" si="257"/>
        <v>254.78235294117621</v>
      </c>
      <c r="AD1140" s="137">
        <v>12993.9</v>
      </c>
      <c r="AE1140" s="138">
        <v>0.06</v>
      </c>
      <c r="AF1140" s="137">
        <f t="shared" si="265"/>
        <v>779.6339999999999</v>
      </c>
      <c r="AG1140" s="137">
        <v>1044.60764705882</v>
      </c>
      <c r="AH1140" s="154"/>
      <c r="AI1140" s="154"/>
      <c r="AJ1140" s="136">
        <v>0.02</v>
      </c>
      <c r="AM1140" s="131" t="s">
        <v>208</v>
      </c>
    </row>
    <row r="1141" spans="1:39" s="119" customFormat="1" ht="15" customHeight="1" x14ac:dyDescent="0.3">
      <c r="A1141" s="119">
        <v>2017</v>
      </c>
      <c r="B1141" s="119" t="s">
        <v>38</v>
      </c>
      <c r="C1141" s="119" t="s">
        <v>39</v>
      </c>
      <c r="D1141" s="119" t="s">
        <v>81</v>
      </c>
      <c r="F1141" s="131" t="s">
        <v>958</v>
      </c>
      <c r="G1141" s="131" t="s">
        <v>957</v>
      </c>
      <c r="H1141" s="131" t="s">
        <v>957</v>
      </c>
      <c r="I1141" s="119" t="s">
        <v>170</v>
      </c>
      <c r="J1141" s="119" t="s">
        <v>603</v>
      </c>
      <c r="K1141" s="119" t="s">
        <v>1065</v>
      </c>
      <c r="L1141" s="119" t="s">
        <v>958</v>
      </c>
      <c r="M1141" s="119" t="s">
        <v>46</v>
      </c>
      <c r="N1141" s="136">
        <v>0.02</v>
      </c>
      <c r="O1141" s="138" t="s">
        <v>51</v>
      </c>
      <c r="P1141" s="138"/>
      <c r="Q1141" s="137">
        <v>0</v>
      </c>
      <c r="R1141" s="137">
        <v>0</v>
      </c>
      <c r="S1141" s="137"/>
      <c r="T1141" s="137">
        <f t="shared" si="254"/>
        <v>0</v>
      </c>
      <c r="U1141" s="137">
        <f t="shared" si="258"/>
        <v>0</v>
      </c>
      <c r="V1141" s="137">
        <v>0</v>
      </c>
      <c r="W1141" s="137">
        <f t="shared" si="259"/>
        <v>0</v>
      </c>
      <c r="X1141" s="137">
        <f t="shared" si="255"/>
        <v>0</v>
      </c>
      <c r="Y1141" s="137">
        <f t="shared" si="260"/>
        <v>0</v>
      </c>
      <c r="Z1141" s="137">
        <v>23071.5</v>
      </c>
      <c r="AA1141" s="137">
        <f t="shared" si="256"/>
        <v>-23071.5</v>
      </c>
      <c r="AB1141" s="146">
        <f t="shared" si="266"/>
        <v>22619.117647058822</v>
      </c>
      <c r="AC1141" s="147">
        <f t="shared" si="257"/>
        <v>452.3823529411784</v>
      </c>
      <c r="AD1141" s="137">
        <v>23071.5</v>
      </c>
      <c r="AE1141" s="138">
        <v>0.06</v>
      </c>
      <c r="AF1141" s="137">
        <f t="shared" si="265"/>
        <v>1384.29</v>
      </c>
      <c r="AG1141" s="137">
        <v>1854.7676470588201</v>
      </c>
      <c r="AH1141" s="154"/>
      <c r="AI1141" s="154"/>
      <c r="AJ1141" s="136">
        <v>0.02</v>
      </c>
      <c r="AM1141" s="131" t="s">
        <v>208</v>
      </c>
    </row>
    <row r="1142" spans="1:39" s="119" customFormat="1" ht="15" customHeight="1" x14ac:dyDescent="0.3">
      <c r="A1142" s="119">
        <v>2017</v>
      </c>
      <c r="B1142" s="119" t="s">
        <v>38</v>
      </c>
      <c r="C1142" s="119" t="s">
        <v>39</v>
      </c>
      <c r="D1142" s="119" t="s">
        <v>834</v>
      </c>
      <c r="F1142" s="131" t="s">
        <v>42</v>
      </c>
      <c r="G1142" s="131" t="s">
        <v>42</v>
      </c>
      <c r="H1142" s="131" t="s">
        <v>42</v>
      </c>
      <c r="I1142" s="119" t="s">
        <v>170</v>
      </c>
      <c r="J1142" s="119" t="s">
        <v>603</v>
      </c>
      <c r="K1142" s="119" t="s">
        <v>1065</v>
      </c>
      <c r="L1142" s="119" t="s">
        <v>42</v>
      </c>
      <c r="M1142" s="119" t="s">
        <v>185</v>
      </c>
      <c r="N1142" s="138">
        <v>0</v>
      </c>
      <c r="O1142" s="138" t="s">
        <v>51</v>
      </c>
      <c r="P1142" s="135"/>
      <c r="Q1142" s="137">
        <v>0</v>
      </c>
      <c r="R1142" s="137">
        <v>0</v>
      </c>
      <c r="S1142" s="137"/>
      <c r="T1142" s="137">
        <f t="shared" si="254"/>
        <v>0</v>
      </c>
      <c r="U1142" s="137">
        <f t="shared" si="258"/>
        <v>0</v>
      </c>
      <c r="V1142" s="137">
        <v>0</v>
      </c>
      <c r="W1142" s="137">
        <f t="shared" si="259"/>
        <v>0</v>
      </c>
      <c r="X1142" s="137">
        <f t="shared" si="255"/>
        <v>0</v>
      </c>
      <c r="Y1142" s="137">
        <f t="shared" si="260"/>
        <v>0</v>
      </c>
      <c r="Z1142" s="137">
        <v>4525.74</v>
      </c>
      <c r="AA1142" s="137">
        <f t="shared" si="256"/>
        <v>-4525.74</v>
      </c>
      <c r="AB1142" s="146">
        <f t="shared" si="266"/>
        <v>4525.74</v>
      </c>
      <c r="AC1142" s="147">
        <f t="shared" si="257"/>
        <v>0</v>
      </c>
      <c r="AD1142" s="137">
        <v>4525.74</v>
      </c>
      <c r="AE1142" s="138">
        <v>0.1</v>
      </c>
      <c r="AF1142" s="137">
        <f t="shared" si="265"/>
        <v>452.57400000000001</v>
      </c>
      <c r="AG1142" s="137">
        <v>452.57400000000001</v>
      </c>
      <c r="AH1142" s="154"/>
      <c r="AI1142" s="154"/>
      <c r="AJ1142" s="135" t="e">
        <v>#N/A</v>
      </c>
      <c r="AM1142" s="131" t="s">
        <v>208</v>
      </c>
    </row>
    <row r="1143" spans="1:39" s="119" customFormat="1" ht="15" customHeight="1" x14ac:dyDescent="0.3">
      <c r="A1143" s="119">
        <v>2017</v>
      </c>
      <c r="B1143" s="119" t="s">
        <v>38</v>
      </c>
      <c r="C1143" s="119" t="s">
        <v>39</v>
      </c>
      <c r="D1143" s="119" t="s">
        <v>40</v>
      </c>
      <c r="E1143" s="131"/>
      <c r="F1143" s="131" t="s">
        <v>908</v>
      </c>
      <c r="G1143" s="131" t="s">
        <v>909</v>
      </c>
      <c r="H1143" s="131" t="s">
        <v>909</v>
      </c>
      <c r="I1143" s="119" t="s">
        <v>170</v>
      </c>
      <c r="J1143" s="119" t="s">
        <v>603</v>
      </c>
      <c r="K1143" s="119" t="s">
        <v>883</v>
      </c>
      <c r="L1143" s="119" t="s">
        <v>961</v>
      </c>
      <c r="M1143" s="119" t="s">
        <v>46</v>
      </c>
      <c r="N1143" s="160">
        <v>0.05</v>
      </c>
      <c r="O1143" s="135" t="s">
        <v>51</v>
      </c>
      <c r="P1143" s="135"/>
      <c r="Q1143" s="131"/>
      <c r="R1143" s="131"/>
      <c r="S1143" s="131"/>
      <c r="T1143" s="137">
        <f t="shared" si="254"/>
        <v>0</v>
      </c>
      <c r="U1143" s="137">
        <f t="shared" si="258"/>
        <v>0</v>
      </c>
      <c r="V1143" s="131"/>
      <c r="W1143" s="137">
        <f t="shared" si="259"/>
        <v>0</v>
      </c>
      <c r="X1143" s="137">
        <f t="shared" si="255"/>
        <v>0</v>
      </c>
      <c r="Y1143" s="137">
        <f t="shared" si="260"/>
        <v>0</v>
      </c>
      <c r="Z1143" s="137">
        <v>8754.2999999999993</v>
      </c>
      <c r="AA1143" s="137">
        <f t="shared" si="256"/>
        <v>-8754.2999999999993</v>
      </c>
      <c r="AB1143" s="146">
        <f t="shared" si="266"/>
        <v>8337.4285714285706</v>
      </c>
      <c r="AC1143" s="147">
        <f t="shared" si="257"/>
        <v>416.87142857142862</v>
      </c>
      <c r="AD1143" s="137">
        <v>8754.2999999999993</v>
      </c>
      <c r="AE1143" s="138">
        <v>0.1</v>
      </c>
      <c r="AF1143" s="137">
        <f t="shared" si="265"/>
        <v>875.43</v>
      </c>
      <c r="AG1143" s="131"/>
      <c r="AH1143" s="131"/>
      <c r="AI1143" s="131"/>
      <c r="AJ1143" s="136">
        <v>0.05</v>
      </c>
      <c r="AK1143" s="131"/>
      <c r="AM1143" s="131" t="s">
        <v>208</v>
      </c>
    </row>
    <row r="1144" spans="1:39" s="119" customFormat="1" ht="15" customHeight="1" x14ac:dyDescent="0.3">
      <c r="A1144" s="119">
        <v>2017</v>
      </c>
      <c r="B1144" s="131" t="s">
        <v>38</v>
      </c>
      <c r="C1144" s="119" t="s">
        <v>39</v>
      </c>
      <c r="D1144" s="119" t="s">
        <v>81</v>
      </c>
      <c r="E1144" s="131"/>
      <c r="F1144" s="131" t="s">
        <v>944</v>
      </c>
      <c r="G1144" s="131" t="s">
        <v>944</v>
      </c>
      <c r="H1144" s="131" t="s">
        <v>944</v>
      </c>
      <c r="I1144" s="119" t="s">
        <v>170</v>
      </c>
      <c r="J1144" s="119" t="s">
        <v>603</v>
      </c>
      <c r="K1144" s="119" t="s">
        <v>883</v>
      </c>
      <c r="L1144" s="119" t="s">
        <v>1041</v>
      </c>
      <c r="M1144" s="119" t="s">
        <v>46</v>
      </c>
      <c r="N1144" s="160">
        <v>0.02</v>
      </c>
      <c r="O1144" s="135" t="s">
        <v>51</v>
      </c>
      <c r="P1144" s="135"/>
      <c r="Q1144" s="131"/>
      <c r="R1144" s="131"/>
      <c r="S1144" s="131"/>
      <c r="T1144" s="137">
        <f t="shared" si="254"/>
        <v>0</v>
      </c>
      <c r="U1144" s="137">
        <f t="shared" si="258"/>
        <v>0</v>
      </c>
      <c r="V1144" s="131"/>
      <c r="W1144" s="137">
        <f t="shared" si="259"/>
        <v>0</v>
      </c>
      <c r="X1144" s="137">
        <f t="shared" si="255"/>
        <v>0</v>
      </c>
      <c r="Y1144" s="137">
        <f t="shared" si="260"/>
        <v>0</v>
      </c>
      <c r="Z1144" s="137">
        <v>49999.5</v>
      </c>
      <c r="AA1144" s="137">
        <f t="shared" si="256"/>
        <v>-49999.5</v>
      </c>
      <c r="AB1144" s="146">
        <f t="shared" si="266"/>
        <v>49019.117647058825</v>
      </c>
      <c r="AC1144" s="147">
        <f t="shared" si="257"/>
        <v>980.38235294117476</v>
      </c>
      <c r="AD1144" s="137">
        <v>49999.5</v>
      </c>
      <c r="AE1144" s="138">
        <v>0.1</v>
      </c>
      <c r="AF1144" s="137">
        <f t="shared" si="265"/>
        <v>4999.9500000000007</v>
      </c>
      <c r="AG1144" s="131"/>
      <c r="AH1144" s="131"/>
      <c r="AI1144" s="131"/>
      <c r="AJ1144" s="136">
        <v>0.02</v>
      </c>
      <c r="AK1144" s="131"/>
      <c r="AM1144" s="131" t="s">
        <v>208</v>
      </c>
    </row>
    <row r="1145" spans="1:39" s="119" customFormat="1" ht="15" customHeight="1" x14ac:dyDescent="0.3">
      <c r="A1145" s="119">
        <v>2017</v>
      </c>
      <c r="B1145" s="131" t="s">
        <v>38</v>
      </c>
      <c r="C1145" s="119" t="s">
        <v>39</v>
      </c>
      <c r="D1145" s="119" t="s">
        <v>81</v>
      </c>
      <c r="E1145" s="131"/>
      <c r="F1145" s="131" t="s">
        <v>944</v>
      </c>
      <c r="G1145" s="131" t="s">
        <v>944</v>
      </c>
      <c r="H1145" s="131" t="s">
        <v>944</v>
      </c>
      <c r="I1145" s="119" t="s">
        <v>170</v>
      </c>
      <c r="J1145" s="119" t="s">
        <v>603</v>
      </c>
      <c r="K1145" s="119" t="s">
        <v>883</v>
      </c>
      <c r="L1145" s="119" t="s">
        <v>1040</v>
      </c>
      <c r="M1145" s="119" t="s">
        <v>46</v>
      </c>
      <c r="N1145" s="160">
        <v>0.02</v>
      </c>
      <c r="O1145" s="135" t="s">
        <v>51</v>
      </c>
      <c r="P1145" s="135"/>
      <c r="Q1145" s="131"/>
      <c r="R1145" s="131"/>
      <c r="S1145" s="131"/>
      <c r="T1145" s="137">
        <f t="shared" si="254"/>
        <v>0</v>
      </c>
      <c r="U1145" s="137">
        <f t="shared" si="258"/>
        <v>0</v>
      </c>
      <c r="V1145" s="131"/>
      <c r="W1145" s="137">
        <f t="shared" si="259"/>
        <v>0</v>
      </c>
      <c r="X1145" s="137">
        <f t="shared" si="255"/>
        <v>0</v>
      </c>
      <c r="Y1145" s="137">
        <f t="shared" si="260"/>
        <v>0</v>
      </c>
      <c r="Z1145" s="137">
        <v>49993.1</v>
      </c>
      <c r="AA1145" s="137">
        <f t="shared" si="256"/>
        <v>-49993.1</v>
      </c>
      <c r="AB1145" s="146">
        <f t="shared" si="266"/>
        <v>49012.843137254902</v>
      </c>
      <c r="AC1145" s="147">
        <f t="shared" si="257"/>
        <v>980.25686274509644</v>
      </c>
      <c r="AD1145" s="137">
        <v>49993.1</v>
      </c>
      <c r="AE1145" s="138">
        <v>0.1</v>
      </c>
      <c r="AF1145" s="137">
        <f t="shared" si="265"/>
        <v>4999.3100000000004</v>
      </c>
      <c r="AG1145" s="131"/>
      <c r="AH1145" s="131"/>
      <c r="AI1145" s="131"/>
      <c r="AJ1145" s="136">
        <v>0.02</v>
      </c>
      <c r="AK1145" s="131"/>
      <c r="AM1145" s="131" t="s">
        <v>208</v>
      </c>
    </row>
    <row r="1146" spans="1:39" s="119" customFormat="1" ht="15" customHeight="1" x14ac:dyDescent="0.3">
      <c r="A1146" s="119">
        <v>2017</v>
      </c>
      <c r="B1146" s="131" t="s">
        <v>38</v>
      </c>
      <c r="C1146" s="119" t="s">
        <v>54</v>
      </c>
      <c r="D1146" s="119" t="s">
        <v>396</v>
      </c>
      <c r="E1146" s="131"/>
      <c r="F1146" s="131" t="s">
        <v>1037</v>
      </c>
      <c r="G1146" s="131" t="s">
        <v>1037</v>
      </c>
      <c r="H1146" s="131" t="s">
        <v>1037</v>
      </c>
      <c r="I1146" s="119" t="s">
        <v>170</v>
      </c>
      <c r="J1146" s="119" t="s">
        <v>603</v>
      </c>
      <c r="K1146" s="119" t="s">
        <v>883</v>
      </c>
      <c r="L1146" s="119" t="s">
        <v>1037</v>
      </c>
      <c r="M1146" s="119" t="s">
        <v>46</v>
      </c>
      <c r="N1146" s="160">
        <v>0.02</v>
      </c>
      <c r="O1146" s="135" t="s">
        <v>51</v>
      </c>
      <c r="P1146" s="135"/>
      <c r="Q1146" s="131"/>
      <c r="R1146" s="131"/>
      <c r="S1146" s="131"/>
      <c r="T1146" s="137">
        <f t="shared" si="254"/>
        <v>0</v>
      </c>
      <c r="U1146" s="137">
        <f t="shared" si="258"/>
        <v>0</v>
      </c>
      <c r="V1146" s="131"/>
      <c r="W1146" s="137">
        <f t="shared" si="259"/>
        <v>0</v>
      </c>
      <c r="X1146" s="137">
        <f t="shared" si="255"/>
        <v>0</v>
      </c>
      <c r="Y1146" s="137">
        <f t="shared" si="260"/>
        <v>0</v>
      </c>
      <c r="Z1146" s="137">
        <v>48606.5</v>
      </c>
      <c r="AA1146" s="137">
        <f t="shared" si="256"/>
        <v>-48606.5</v>
      </c>
      <c r="AB1146" s="146">
        <f t="shared" si="266"/>
        <v>47653.431372549021</v>
      </c>
      <c r="AC1146" s="147">
        <f t="shared" si="257"/>
        <v>953.06862745097897</v>
      </c>
      <c r="AD1146" s="137">
        <v>48606.5</v>
      </c>
      <c r="AE1146" s="138">
        <v>0.1</v>
      </c>
      <c r="AF1146" s="137">
        <f t="shared" si="265"/>
        <v>4860.6500000000005</v>
      </c>
      <c r="AG1146" s="131"/>
      <c r="AH1146" s="131"/>
      <c r="AI1146" s="131"/>
      <c r="AJ1146" s="136">
        <v>0.02</v>
      </c>
      <c r="AK1146" s="131"/>
      <c r="AM1146" s="131" t="s">
        <v>208</v>
      </c>
    </row>
    <row r="1147" spans="1:39" s="119" customFormat="1" ht="15" customHeight="1" x14ac:dyDescent="0.3">
      <c r="A1147" s="119">
        <v>2017</v>
      </c>
      <c r="B1147" s="119" t="s">
        <v>38</v>
      </c>
      <c r="C1147" s="119" t="s">
        <v>110</v>
      </c>
      <c r="D1147" s="119" t="s">
        <v>111</v>
      </c>
      <c r="E1147" s="131"/>
      <c r="F1147" s="131" t="s">
        <v>905</v>
      </c>
      <c r="G1147" s="131" t="s">
        <v>905</v>
      </c>
      <c r="H1147" s="131" t="s">
        <v>905</v>
      </c>
      <c r="I1147" s="119" t="s">
        <v>170</v>
      </c>
      <c r="J1147" s="119" t="s">
        <v>603</v>
      </c>
      <c r="K1147" s="119" t="s">
        <v>883</v>
      </c>
      <c r="L1147" s="119" t="s">
        <v>905</v>
      </c>
      <c r="M1147" s="119" t="s">
        <v>46</v>
      </c>
      <c r="N1147" s="160">
        <v>0.02</v>
      </c>
      <c r="O1147" s="135" t="s">
        <v>51</v>
      </c>
      <c r="P1147" s="135"/>
      <c r="Q1147" s="131"/>
      <c r="R1147" s="131"/>
      <c r="S1147" s="131"/>
      <c r="T1147" s="137">
        <f t="shared" si="254"/>
        <v>0</v>
      </c>
      <c r="U1147" s="137">
        <f t="shared" si="258"/>
        <v>0</v>
      </c>
      <c r="V1147" s="131"/>
      <c r="W1147" s="137">
        <f t="shared" si="259"/>
        <v>0</v>
      </c>
      <c r="X1147" s="137">
        <f t="shared" si="255"/>
        <v>0</v>
      </c>
      <c r="Y1147" s="137">
        <f t="shared" si="260"/>
        <v>0</v>
      </c>
      <c r="Z1147" s="137">
        <v>10760.8</v>
      </c>
      <c r="AA1147" s="137">
        <f t="shared" si="256"/>
        <v>-10760.8</v>
      </c>
      <c r="AB1147" s="146">
        <f t="shared" si="266"/>
        <v>10549.803921568626</v>
      </c>
      <c r="AC1147" s="147">
        <f t="shared" si="257"/>
        <v>210.99607843137346</v>
      </c>
      <c r="AD1147" s="137">
        <v>10760.8</v>
      </c>
      <c r="AE1147" s="138">
        <v>0.1</v>
      </c>
      <c r="AF1147" s="137">
        <f t="shared" si="265"/>
        <v>1076.08</v>
      </c>
      <c r="AG1147" s="131"/>
      <c r="AH1147" s="131"/>
      <c r="AI1147" s="131"/>
      <c r="AJ1147" s="136">
        <v>0.02</v>
      </c>
      <c r="AK1147" s="131"/>
      <c r="AM1147" s="131" t="s">
        <v>208</v>
      </c>
    </row>
    <row r="1148" spans="1:39" s="119" customFormat="1" ht="15" customHeight="1" x14ac:dyDescent="0.3">
      <c r="A1148" s="119">
        <v>2017</v>
      </c>
      <c r="B1148" s="119" t="s">
        <v>38</v>
      </c>
      <c r="C1148" s="119" t="s">
        <v>88</v>
      </c>
      <c r="D1148" s="119" t="s">
        <v>128</v>
      </c>
      <c r="E1148" s="131"/>
      <c r="F1148" s="131" t="s">
        <v>885</v>
      </c>
      <c r="G1148" s="131" t="s">
        <v>885</v>
      </c>
      <c r="H1148" s="131" t="s">
        <v>885</v>
      </c>
      <c r="I1148" s="119" t="s">
        <v>170</v>
      </c>
      <c r="J1148" s="119" t="s">
        <v>603</v>
      </c>
      <c r="K1148" s="119" t="s">
        <v>883</v>
      </c>
      <c r="L1148" s="119" t="s">
        <v>885</v>
      </c>
      <c r="M1148" s="119" t="s">
        <v>46</v>
      </c>
      <c r="N1148" s="160">
        <v>0.02</v>
      </c>
      <c r="O1148" s="135" t="s">
        <v>51</v>
      </c>
      <c r="P1148" s="135"/>
      <c r="Q1148" s="131"/>
      <c r="R1148" s="131"/>
      <c r="S1148" s="131"/>
      <c r="T1148" s="137">
        <f t="shared" si="254"/>
        <v>0</v>
      </c>
      <c r="U1148" s="137">
        <f t="shared" si="258"/>
        <v>0</v>
      </c>
      <c r="V1148" s="131"/>
      <c r="W1148" s="137">
        <f t="shared" si="259"/>
        <v>0</v>
      </c>
      <c r="X1148" s="137">
        <f t="shared" si="255"/>
        <v>0</v>
      </c>
      <c r="Y1148" s="137">
        <f t="shared" si="260"/>
        <v>0</v>
      </c>
      <c r="Z1148" s="137">
        <v>105901.8</v>
      </c>
      <c r="AA1148" s="137">
        <f t="shared" si="256"/>
        <v>-105901.8</v>
      </c>
      <c r="AB1148" s="146">
        <f t="shared" si="266"/>
        <v>103825.29411764706</v>
      </c>
      <c r="AC1148" s="147">
        <f t="shared" si="257"/>
        <v>2076.5058823529398</v>
      </c>
      <c r="AD1148" s="137">
        <v>105901.8</v>
      </c>
      <c r="AE1148" s="138">
        <v>0.1</v>
      </c>
      <c r="AF1148" s="137">
        <f t="shared" si="265"/>
        <v>10590.18</v>
      </c>
      <c r="AG1148" s="131"/>
      <c r="AH1148" s="131"/>
      <c r="AI1148" s="131"/>
      <c r="AJ1148" s="136">
        <v>0.02</v>
      </c>
      <c r="AK1148" s="131"/>
      <c r="AM1148" s="131" t="s">
        <v>208</v>
      </c>
    </row>
    <row r="1149" spans="1:39" s="119" customFormat="1" ht="15" customHeight="1" x14ac:dyDescent="0.3">
      <c r="A1149" s="119">
        <v>2017</v>
      </c>
      <c r="B1149" s="119" t="s">
        <v>38</v>
      </c>
      <c r="C1149" s="119" t="s">
        <v>88</v>
      </c>
      <c r="D1149" s="119" t="s">
        <v>128</v>
      </c>
      <c r="E1149" s="131"/>
      <c r="F1149" s="131" t="s">
        <v>886</v>
      </c>
      <c r="G1149" s="131" t="s">
        <v>886</v>
      </c>
      <c r="H1149" s="131" t="s">
        <v>886</v>
      </c>
      <c r="I1149" s="119" t="s">
        <v>170</v>
      </c>
      <c r="J1149" s="119" t="s">
        <v>603</v>
      </c>
      <c r="K1149" s="119" t="s">
        <v>883</v>
      </c>
      <c r="L1149" s="119" t="s">
        <v>886</v>
      </c>
      <c r="M1149" s="119" t="s">
        <v>46</v>
      </c>
      <c r="N1149" s="136">
        <v>0.02</v>
      </c>
      <c r="O1149" s="135" t="s">
        <v>51</v>
      </c>
      <c r="P1149" s="135"/>
      <c r="Q1149" s="131"/>
      <c r="R1149" s="131"/>
      <c r="S1149" s="131"/>
      <c r="T1149" s="137">
        <f t="shared" si="254"/>
        <v>0</v>
      </c>
      <c r="U1149" s="137">
        <f t="shared" si="258"/>
        <v>0</v>
      </c>
      <c r="V1149" s="131"/>
      <c r="W1149" s="137">
        <f t="shared" si="259"/>
        <v>0</v>
      </c>
      <c r="X1149" s="137">
        <f t="shared" si="255"/>
        <v>0</v>
      </c>
      <c r="Y1149" s="137">
        <f t="shared" si="260"/>
        <v>0</v>
      </c>
      <c r="Z1149" s="137">
        <v>10333.6</v>
      </c>
      <c r="AA1149" s="137">
        <f t="shared" si="256"/>
        <v>-10333.6</v>
      </c>
      <c r="AB1149" s="146">
        <f t="shared" si="266"/>
        <v>10130.980392156864</v>
      </c>
      <c r="AC1149" s="147">
        <f t="shared" si="257"/>
        <v>202.61960784313669</v>
      </c>
      <c r="AD1149" s="137">
        <v>10333.6</v>
      </c>
      <c r="AE1149" s="138">
        <v>0.1</v>
      </c>
      <c r="AF1149" s="137">
        <f t="shared" si="265"/>
        <v>1033.3600000000001</v>
      </c>
      <c r="AG1149" s="131"/>
      <c r="AH1149" s="131"/>
      <c r="AI1149" s="131"/>
      <c r="AJ1149" s="136">
        <v>0.02</v>
      </c>
      <c r="AK1149" s="131"/>
      <c r="AM1149" s="131" t="s">
        <v>208</v>
      </c>
    </row>
    <row r="1150" spans="1:39" s="119" customFormat="1" ht="15" customHeight="1" x14ac:dyDescent="0.3">
      <c r="A1150" s="119">
        <v>2017</v>
      </c>
      <c r="B1150" s="119" t="s">
        <v>38</v>
      </c>
      <c r="C1150" s="119" t="s">
        <v>39</v>
      </c>
      <c r="D1150" s="119" t="s">
        <v>81</v>
      </c>
      <c r="F1150" s="131" t="s">
        <v>944</v>
      </c>
      <c r="G1150" s="131" t="s">
        <v>944</v>
      </c>
      <c r="H1150" s="131" t="s">
        <v>944</v>
      </c>
      <c r="I1150" s="119" t="s">
        <v>170</v>
      </c>
      <c r="J1150" s="119" t="s">
        <v>603</v>
      </c>
      <c r="K1150" s="119" t="s">
        <v>883</v>
      </c>
      <c r="L1150" s="119" t="s">
        <v>944</v>
      </c>
      <c r="M1150" s="119" t="s">
        <v>185</v>
      </c>
      <c r="N1150" s="160">
        <v>0.04</v>
      </c>
      <c r="O1150" s="135" t="s">
        <v>51</v>
      </c>
      <c r="P1150" s="135"/>
      <c r="Q1150" s="131"/>
      <c r="R1150" s="131"/>
      <c r="S1150" s="131"/>
      <c r="T1150" s="137">
        <f t="shared" si="254"/>
        <v>0</v>
      </c>
      <c r="U1150" s="137">
        <f t="shared" si="258"/>
        <v>0</v>
      </c>
      <c r="V1150" s="131"/>
      <c r="W1150" s="137">
        <f t="shared" si="259"/>
        <v>0</v>
      </c>
      <c r="X1150" s="137">
        <f t="shared" si="255"/>
        <v>0</v>
      </c>
      <c r="Y1150" s="137">
        <f t="shared" si="260"/>
        <v>0</v>
      </c>
      <c r="Z1150" s="137">
        <v>1664.4</v>
      </c>
      <c r="AA1150" s="137">
        <f t="shared" si="256"/>
        <v>-1664.4</v>
      </c>
      <c r="AB1150" s="146">
        <f t="shared" si="266"/>
        <v>1600.3846153846155</v>
      </c>
      <c r="AC1150" s="147">
        <f t="shared" si="257"/>
        <v>64.015384615384619</v>
      </c>
      <c r="AD1150" s="137">
        <v>1664.4</v>
      </c>
      <c r="AE1150" s="138">
        <v>0.1</v>
      </c>
      <c r="AF1150" s="137">
        <f t="shared" si="265"/>
        <v>166.44000000000003</v>
      </c>
      <c r="AG1150" s="131"/>
      <c r="AH1150" s="131"/>
      <c r="AI1150" s="131"/>
      <c r="AJ1150" s="136">
        <v>0.04</v>
      </c>
      <c r="AK1150" s="131"/>
      <c r="AL1150" s="131"/>
      <c r="AM1150" s="131" t="s">
        <v>208</v>
      </c>
    </row>
    <row r="1151" spans="1:39" s="119" customFormat="1" ht="15" customHeight="1" x14ac:dyDescent="0.3">
      <c r="A1151" s="119">
        <v>2017</v>
      </c>
      <c r="B1151" s="119" t="s">
        <v>38</v>
      </c>
      <c r="C1151" s="119" t="s">
        <v>88</v>
      </c>
      <c r="D1151" s="119" t="s">
        <v>128</v>
      </c>
      <c r="F1151" s="131" t="s">
        <v>885</v>
      </c>
      <c r="G1151" s="131" t="s">
        <v>885</v>
      </c>
      <c r="H1151" s="131" t="s">
        <v>885</v>
      </c>
      <c r="I1151" s="119" t="s">
        <v>170</v>
      </c>
      <c r="J1151" s="119" t="s">
        <v>603</v>
      </c>
      <c r="K1151" s="119" t="s">
        <v>883</v>
      </c>
      <c r="L1151" s="119" t="s">
        <v>885</v>
      </c>
      <c r="M1151" s="119" t="s">
        <v>185</v>
      </c>
      <c r="N1151" s="160">
        <v>0.04</v>
      </c>
      <c r="O1151" s="135" t="s">
        <v>51</v>
      </c>
      <c r="P1151" s="135"/>
      <c r="Q1151" s="131"/>
      <c r="R1151" s="131"/>
      <c r="S1151" s="131"/>
      <c r="T1151" s="137">
        <f t="shared" si="254"/>
        <v>0</v>
      </c>
      <c r="U1151" s="137">
        <f t="shared" si="258"/>
        <v>0</v>
      </c>
      <c r="V1151" s="131"/>
      <c r="W1151" s="137">
        <f t="shared" si="259"/>
        <v>0</v>
      </c>
      <c r="X1151" s="137">
        <f t="shared" si="255"/>
        <v>0</v>
      </c>
      <c r="Y1151" s="137">
        <f t="shared" si="260"/>
        <v>0</v>
      </c>
      <c r="Z1151" s="137">
        <v>23736</v>
      </c>
      <c r="AA1151" s="137">
        <f t="shared" si="256"/>
        <v>-23736</v>
      </c>
      <c r="AB1151" s="146">
        <f t="shared" si="266"/>
        <v>22823.076923076922</v>
      </c>
      <c r="AC1151" s="147">
        <f t="shared" si="257"/>
        <v>912.92307692307804</v>
      </c>
      <c r="AD1151" s="137">
        <v>23736</v>
      </c>
      <c r="AE1151" s="138">
        <v>0.1</v>
      </c>
      <c r="AF1151" s="137">
        <f t="shared" si="265"/>
        <v>2373.6</v>
      </c>
      <c r="AG1151" s="131"/>
      <c r="AH1151" s="131"/>
      <c r="AI1151" s="131"/>
      <c r="AJ1151" s="136">
        <v>0.04</v>
      </c>
      <c r="AK1151" s="131"/>
      <c r="AL1151" s="131"/>
      <c r="AM1151" s="131" t="s">
        <v>208</v>
      </c>
    </row>
    <row r="1152" spans="1:39" s="119" customFormat="1" ht="15" customHeight="1" x14ac:dyDescent="0.3">
      <c r="A1152" s="119">
        <v>2017</v>
      </c>
      <c r="B1152" s="119" t="s">
        <v>38</v>
      </c>
      <c r="C1152" s="119" t="s">
        <v>88</v>
      </c>
      <c r="D1152" s="119" t="s">
        <v>128</v>
      </c>
      <c r="E1152" s="119" t="s">
        <v>96</v>
      </c>
      <c r="F1152" s="119" t="s">
        <v>593</v>
      </c>
      <c r="G1152" s="119" t="s">
        <v>593</v>
      </c>
      <c r="H1152" s="119" t="s">
        <v>593</v>
      </c>
      <c r="I1152" s="119" t="s">
        <v>1069</v>
      </c>
      <c r="J1152" s="119" t="s">
        <v>1070</v>
      </c>
      <c r="K1152" s="119" t="s">
        <v>1071</v>
      </c>
      <c r="L1152" s="119" t="s">
        <v>593</v>
      </c>
      <c r="M1152" s="137" t="s">
        <v>183</v>
      </c>
      <c r="N1152" s="135">
        <v>0</v>
      </c>
      <c r="O1152" s="135" t="s">
        <v>47</v>
      </c>
      <c r="P1152" s="135"/>
      <c r="Q1152" s="137">
        <v>0</v>
      </c>
      <c r="R1152" s="137">
        <v>0</v>
      </c>
      <c r="S1152" s="137">
        <v>20000</v>
      </c>
      <c r="T1152" s="137">
        <f t="shared" si="254"/>
        <v>0</v>
      </c>
      <c r="U1152" s="137">
        <f t="shared" si="258"/>
        <v>20000</v>
      </c>
      <c r="V1152" s="137">
        <v>20000</v>
      </c>
      <c r="W1152" s="137">
        <f t="shared" si="259"/>
        <v>0</v>
      </c>
      <c r="X1152" s="137">
        <f t="shared" si="255"/>
        <v>0</v>
      </c>
      <c r="Y1152" s="137">
        <f t="shared" si="260"/>
        <v>0</v>
      </c>
      <c r="Z1152" s="137">
        <v>20000</v>
      </c>
      <c r="AA1152" s="137">
        <f t="shared" si="256"/>
        <v>0</v>
      </c>
      <c r="AB1152" s="146">
        <f t="shared" si="266"/>
        <v>20000</v>
      </c>
      <c r="AC1152" s="147">
        <f t="shared" si="257"/>
        <v>0</v>
      </c>
      <c r="AD1152" s="137">
        <v>20000</v>
      </c>
      <c r="AE1152" s="135">
        <v>0</v>
      </c>
      <c r="AF1152" s="137">
        <f t="shared" si="265"/>
        <v>0</v>
      </c>
      <c r="AG1152" s="137">
        <f>AB1152-Z1152+AF1152</f>
        <v>0</v>
      </c>
      <c r="AH1152" s="137"/>
      <c r="AI1152" s="137"/>
      <c r="AJ1152" s="136">
        <v>0</v>
      </c>
      <c r="AK1152" s="153" t="s">
        <v>120</v>
      </c>
    </row>
    <row r="1153" spans="1:39" s="119" customFormat="1" ht="15" customHeight="1" x14ac:dyDescent="0.3">
      <c r="A1153" s="119">
        <v>2017</v>
      </c>
      <c r="B1153" s="119" t="s">
        <v>38</v>
      </c>
      <c r="C1153" s="119" t="s">
        <v>54</v>
      </c>
      <c r="F1153" s="119" t="s">
        <v>1072</v>
      </c>
      <c r="G1153" s="119" t="s">
        <v>1072</v>
      </c>
      <c r="H1153" s="119" t="s">
        <v>1072</v>
      </c>
      <c r="I1153" s="119" t="s">
        <v>1073</v>
      </c>
      <c r="J1153" s="119" t="s">
        <v>332</v>
      </c>
      <c r="K1153" s="119" t="s">
        <v>332</v>
      </c>
      <c r="L1153" s="119" t="s">
        <v>1072</v>
      </c>
      <c r="M1153" s="119" t="s">
        <v>160</v>
      </c>
      <c r="N1153" s="135">
        <v>0</v>
      </c>
      <c r="O1153" s="135" t="s">
        <v>47</v>
      </c>
      <c r="P1153" s="135"/>
      <c r="Q1153" s="137"/>
      <c r="R1153" s="137"/>
      <c r="S1153" s="137"/>
      <c r="T1153" s="137">
        <f t="shared" si="254"/>
        <v>0</v>
      </c>
      <c r="U1153" s="137">
        <f t="shared" si="258"/>
        <v>0</v>
      </c>
      <c r="V1153" s="137">
        <v>100000</v>
      </c>
      <c r="W1153" s="137">
        <f t="shared" si="259"/>
        <v>-100000</v>
      </c>
      <c r="X1153" s="137">
        <f t="shared" si="255"/>
        <v>-100000</v>
      </c>
      <c r="Y1153" s="137">
        <f t="shared" si="260"/>
        <v>0</v>
      </c>
      <c r="Z1153" s="137">
        <v>100000</v>
      </c>
      <c r="AA1153" s="137">
        <f t="shared" si="256"/>
        <v>0</v>
      </c>
      <c r="AB1153" s="146">
        <f t="shared" si="266"/>
        <v>100000</v>
      </c>
      <c r="AC1153" s="147">
        <f t="shared" si="257"/>
        <v>0</v>
      </c>
      <c r="AD1153" s="137">
        <v>100000</v>
      </c>
      <c r="AE1153" s="135">
        <v>0</v>
      </c>
      <c r="AF1153" s="137">
        <f t="shared" si="265"/>
        <v>0</v>
      </c>
      <c r="AG1153" s="137"/>
      <c r="AH1153" s="137"/>
      <c r="AI1153" s="137"/>
      <c r="AJ1153" s="135">
        <v>0</v>
      </c>
      <c r="AM1153" s="119" t="s">
        <v>208</v>
      </c>
    </row>
    <row r="1154" spans="1:39" s="119" customFormat="1" ht="15" customHeight="1" x14ac:dyDescent="0.3">
      <c r="A1154" s="119">
        <v>2017</v>
      </c>
      <c r="B1154" s="119" t="s">
        <v>38</v>
      </c>
      <c r="C1154" s="119" t="s">
        <v>110</v>
      </c>
      <c r="F1154" s="119" t="s">
        <v>1074</v>
      </c>
      <c r="G1154" s="119" t="s">
        <v>1074</v>
      </c>
      <c r="H1154" s="119" t="s">
        <v>1074</v>
      </c>
      <c r="I1154" s="119" t="s">
        <v>204</v>
      </c>
      <c r="J1154" s="119" t="s">
        <v>1075</v>
      </c>
      <c r="K1154" s="119" t="s">
        <v>1075</v>
      </c>
      <c r="L1154" s="119" t="s">
        <v>1074</v>
      </c>
      <c r="M1154" s="119" t="s">
        <v>46</v>
      </c>
      <c r="N1154" s="136">
        <v>0.02</v>
      </c>
      <c r="O1154" s="135" t="s">
        <v>51</v>
      </c>
      <c r="P1154" s="135"/>
      <c r="Q1154" s="137">
        <v>0</v>
      </c>
      <c r="R1154" s="137"/>
      <c r="S1154" s="137"/>
      <c r="T1154" s="137">
        <f t="shared" ref="T1154:T1173" si="267">S1154*N1154</f>
        <v>0</v>
      </c>
      <c r="U1154" s="137">
        <f t="shared" si="258"/>
        <v>0</v>
      </c>
      <c r="V1154" s="137">
        <v>51000</v>
      </c>
      <c r="W1154" s="137">
        <f t="shared" si="259"/>
        <v>-51000</v>
      </c>
      <c r="X1154" s="137">
        <f t="shared" ref="X1154:X1173" si="268">W1154/(1+N1154)</f>
        <v>-50000</v>
      </c>
      <c r="Y1154" s="137">
        <f t="shared" si="260"/>
        <v>-1000</v>
      </c>
      <c r="Z1154" s="137">
        <v>6665.7</v>
      </c>
      <c r="AA1154" s="137">
        <f t="shared" ref="AA1154:AA1173" si="269">Q1154+V1154-Z1154</f>
        <v>44334.3</v>
      </c>
      <c r="AB1154" s="146">
        <f t="shared" si="266"/>
        <v>6535</v>
      </c>
      <c r="AC1154" s="147">
        <f t="shared" ref="AC1154:AC1173" si="270">IF(O1154="返现",Z1154*N1154,Z1154-AB1154)</f>
        <v>130.69999999999982</v>
      </c>
      <c r="AD1154" s="137">
        <v>6535.1960784313696</v>
      </c>
      <c r="AE1154" s="135">
        <v>0</v>
      </c>
      <c r="AF1154" s="137">
        <f t="shared" si="265"/>
        <v>0</v>
      </c>
      <c r="AG1154" s="137"/>
      <c r="AH1154" s="137"/>
      <c r="AI1154" s="137"/>
      <c r="AJ1154" s="136">
        <v>0.02</v>
      </c>
      <c r="AM1154" s="119" t="s">
        <v>208</v>
      </c>
    </row>
    <row r="1155" spans="1:39" s="119" customFormat="1" ht="15" customHeight="1" x14ac:dyDescent="0.3">
      <c r="A1155" s="119">
        <v>2017</v>
      </c>
      <c r="B1155" s="119" t="s">
        <v>38</v>
      </c>
      <c r="C1155" s="119" t="s">
        <v>59</v>
      </c>
      <c r="F1155" s="119" t="s">
        <v>761</v>
      </c>
      <c r="G1155" s="119" t="s">
        <v>761</v>
      </c>
      <c r="H1155" s="119" t="s">
        <v>761</v>
      </c>
      <c r="I1155" s="119" t="s">
        <v>1076</v>
      </c>
      <c r="J1155" s="119" t="s">
        <v>719</v>
      </c>
      <c r="K1155" s="119" t="s">
        <v>719</v>
      </c>
      <c r="L1155" s="119" t="s">
        <v>761</v>
      </c>
      <c r="M1155" s="119" t="s">
        <v>160</v>
      </c>
      <c r="N1155" s="135">
        <v>0</v>
      </c>
      <c r="O1155" s="135" t="s">
        <v>47</v>
      </c>
      <c r="P1155" s="135" t="s">
        <v>762</v>
      </c>
      <c r="Q1155" s="137">
        <v>0</v>
      </c>
      <c r="R1155" s="137"/>
      <c r="S1155" s="137">
        <v>224000</v>
      </c>
      <c r="T1155" s="137">
        <f t="shared" si="267"/>
        <v>0</v>
      </c>
      <c r="U1155" s="137">
        <f t="shared" ref="U1155:U1173" si="271">R1155+S1155+T1155</f>
        <v>224000</v>
      </c>
      <c r="V1155" s="137">
        <v>84000</v>
      </c>
      <c r="W1155" s="137">
        <f t="shared" ref="W1155:W1173" si="272">U1155-V1155</f>
        <v>140000</v>
      </c>
      <c r="X1155" s="137">
        <f t="shared" si="268"/>
        <v>140000</v>
      </c>
      <c r="Y1155" s="137">
        <f t="shared" ref="Y1155:Y1173" si="273">W1155-X1155</f>
        <v>0</v>
      </c>
      <c r="Z1155" s="137">
        <v>84000</v>
      </c>
      <c r="AA1155" s="137">
        <f t="shared" si="269"/>
        <v>0</v>
      </c>
      <c r="AB1155" s="146">
        <f>S1155</f>
        <v>224000</v>
      </c>
      <c r="AC1155" s="147">
        <f t="shared" si="270"/>
        <v>-140000</v>
      </c>
      <c r="AD1155" s="137">
        <v>84000</v>
      </c>
      <c r="AE1155" s="135">
        <v>0</v>
      </c>
      <c r="AF1155" s="137">
        <v>0</v>
      </c>
      <c r="AG1155" s="137"/>
      <c r="AH1155" s="137"/>
      <c r="AI1155" s="137"/>
      <c r="AJ1155" s="136">
        <v>0</v>
      </c>
      <c r="AM1155" s="119" t="s">
        <v>208</v>
      </c>
    </row>
    <row r="1156" spans="1:39" s="119" customFormat="1" ht="15" customHeight="1" x14ac:dyDescent="0.3">
      <c r="A1156" s="171">
        <v>2017</v>
      </c>
      <c r="B1156" s="171" t="s">
        <v>199</v>
      </c>
      <c r="C1156" s="171" t="s">
        <v>75</v>
      </c>
      <c r="D1156" s="171" t="s">
        <v>76</v>
      </c>
      <c r="E1156" s="171" t="s">
        <v>647</v>
      </c>
      <c r="F1156" s="171" t="s">
        <v>538</v>
      </c>
      <c r="G1156" s="171" t="s">
        <v>1077</v>
      </c>
      <c r="H1156" s="171" t="s">
        <v>1078</v>
      </c>
      <c r="I1156" s="171" t="s">
        <v>1079</v>
      </c>
      <c r="J1156" s="171" t="s">
        <v>1080</v>
      </c>
      <c r="K1156" s="171" t="s">
        <v>1080</v>
      </c>
      <c r="L1156" s="171" t="s">
        <v>539</v>
      </c>
      <c r="M1156" s="171" t="s">
        <v>46</v>
      </c>
      <c r="N1156" s="135">
        <v>0</v>
      </c>
      <c r="O1156" s="135" t="s">
        <v>47</v>
      </c>
      <c r="P1156" s="135"/>
      <c r="Q1156" s="179">
        <v>0</v>
      </c>
      <c r="R1156" s="179">
        <v>0</v>
      </c>
      <c r="S1156" s="179">
        <v>200000</v>
      </c>
      <c r="T1156" s="137">
        <f t="shared" si="267"/>
        <v>0</v>
      </c>
      <c r="U1156" s="137">
        <f t="shared" si="271"/>
        <v>200000</v>
      </c>
      <c r="V1156" s="179">
        <v>200000</v>
      </c>
      <c r="W1156" s="137">
        <f t="shared" si="272"/>
        <v>0</v>
      </c>
      <c r="X1156" s="137">
        <f t="shared" si="268"/>
        <v>0</v>
      </c>
      <c r="Y1156" s="137">
        <f t="shared" si="273"/>
        <v>0</v>
      </c>
      <c r="Z1156" s="179">
        <v>200000</v>
      </c>
      <c r="AA1156" s="137">
        <f t="shared" si="269"/>
        <v>0</v>
      </c>
      <c r="AB1156" s="146">
        <f t="shared" ref="AB1156:AB1168" si="274">IF(O1156="返货",Z1156/(1+N1156),IF(O1156="返现",Z1156,IF(O1156="折扣",Z1156*N1156,IF(O1156="无",Z1156))))</f>
        <v>200000</v>
      </c>
      <c r="AC1156" s="147">
        <f t="shared" si="270"/>
        <v>0</v>
      </c>
      <c r="AD1156" s="179">
        <v>200000</v>
      </c>
      <c r="AE1156" s="180">
        <v>0</v>
      </c>
      <c r="AF1156" s="179">
        <f>AD1156*AE1156</f>
        <v>0</v>
      </c>
      <c r="AG1156" s="179"/>
      <c r="AH1156" s="179"/>
      <c r="AI1156" s="179"/>
      <c r="AJ1156" s="136">
        <v>0</v>
      </c>
      <c r="AK1156" s="171"/>
    </row>
    <row r="1157" spans="1:39" s="119" customFormat="1" ht="15" customHeight="1" x14ac:dyDescent="0.3">
      <c r="A1157" s="171">
        <v>2017</v>
      </c>
      <c r="B1157" s="171" t="s">
        <v>38</v>
      </c>
      <c r="C1157" s="171" t="s">
        <v>75</v>
      </c>
      <c r="D1157" s="171" t="s">
        <v>76</v>
      </c>
      <c r="E1157" s="171" t="s">
        <v>225</v>
      </c>
      <c r="F1157" s="171" t="s">
        <v>251</v>
      </c>
      <c r="G1157" s="171" t="s">
        <v>251</v>
      </c>
      <c r="H1157" s="171" t="s">
        <v>251</v>
      </c>
      <c r="I1157" s="171" t="s">
        <v>165</v>
      </c>
      <c r="J1157" s="171" t="s">
        <v>1081</v>
      </c>
      <c r="K1157" s="171" t="s">
        <v>1081</v>
      </c>
      <c r="L1157" s="171" t="s">
        <v>230</v>
      </c>
      <c r="M1157" s="179" t="s">
        <v>178</v>
      </c>
      <c r="N1157" s="180">
        <v>0</v>
      </c>
      <c r="O1157" s="135" t="s">
        <v>47</v>
      </c>
      <c r="P1157" s="135" t="s">
        <v>179</v>
      </c>
      <c r="Q1157" s="179">
        <v>0</v>
      </c>
      <c r="R1157" s="179">
        <v>0</v>
      </c>
      <c r="S1157" s="179">
        <v>5100000</v>
      </c>
      <c r="T1157" s="137">
        <f t="shared" si="267"/>
        <v>0</v>
      </c>
      <c r="U1157" s="137">
        <f t="shared" si="271"/>
        <v>5100000</v>
      </c>
      <c r="V1157" s="179">
        <v>5100000</v>
      </c>
      <c r="W1157" s="137">
        <f t="shared" si="272"/>
        <v>0</v>
      </c>
      <c r="X1157" s="137">
        <f t="shared" si="268"/>
        <v>0</v>
      </c>
      <c r="Y1157" s="137">
        <f t="shared" si="273"/>
        <v>0</v>
      </c>
      <c r="Z1157" s="179">
        <v>5100000</v>
      </c>
      <c r="AA1157" s="137">
        <f t="shared" si="269"/>
        <v>0</v>
      </c>
      <c r="AB1157" s="146">
        <f t="shared" si="274"/>
        <v>5100000</v>
      </c>
      <c r="AC1157" s="147">
        <f t="shared" si="270"/>
        <v>0</v>
      </c>
      <c r="AD1157" s="179">
        <v>3787500</v>
      </c>
      <c r="AE1157" s="180">
        <v>0</v>
      </c>
      <c r="AF1157" s="179">
        <f t="shared" ref="AF1157:AF1173" si="275">AD1157*AE1157</f>
        <v>0</v>
      </c>
      <c r="AG1157" s="179">
        <v>0</v>
      </c>
      <c r="AH1157" s="179"/>
      <c r="AI1157" s="179"/>
      <c r="AJ1157" s="136">
        <v>0.5</v>
      </c>
      <c r="AK1157" s="199">
        <v>0.5</v>
      </c>
    </row>
    <row r="1158" spans="1:39" s="119" customFormat="1" ht="15" customHeight="1" x14ac:dyDescent="0.3">
      <c r="A1158" s="171">
        <v>2017</v>
      </c>
      <c r="B1158" s="171" t="s">
        <v>38</v>
      </c>
      <c r="C1158" s="171" t="s">
        <v>75</v>
      </c>
      <c r="D1158" s="171" t="s">
        <v>76</v>
      </c>
      <c r="E1158" s="171" t="s">
        <v>225</v>
      </c>
      <c r="F1158" s="171" t="s">
        <v>251</v>
      </c>
      <c r="G1158" s="171" t="s">
        <v>251</v>
      </c>
      <c r="H1158" s="171" t="s">
        <v>251</v>
      </c>
      <c r="I1158" s="119" t="s">
        <v>165</v>
      </c>
      <c r="J1158" s="181" t="s">
        <v>603</v>
      </c>
      <c r="K1158" s="171" t="s">
        <v>1082</v>
      </c>
      <c r="L1158" s="171" t="s">
        <v>230</v>
      </c>
      <c r="M1158" s="179" t="s">
        <v>178</v>
      </c>
      <c r="N1158" s="180">
        <v>0</v>
      </c>
      <c r="O1158" s="135" t="s">
        <v>47</v>
      </c>
      <c r="P1158" s="135" t="s">
        <v>179</v>
      </c>
      <c r="Q1158" s="179">
        <v>0</v>
      </c>
      <c r="R1158" s="179">
        <v>0</v>
      </c>
      <c r="S1158" s="179">
        <v>2040000</v>
      </c>
      <c r="T1158" s="137">
        <f t="shared" si="267"/>
        <v>0</v>
      </c>
      <c r="U1158" s="137">
        <f t="shared" si="271"/>
        <v>2040000</v>
      </c>
      <c r="V1158" s="179">
        <v>3060000</v>
      </c>
      <c r="W1158" s="137">
        <f t="shared" si="272"/>
        <v>-1020000</v>
      </c>
      <c r="X1158" s="137">
        <f t="shared" si="268"/>
        <v>-1020000</v>
      </c>
      <c r="Y1158" s="137">
        <f t="shared" si="273"/>
        <v>0</v>
      </c>
      <c r="Z1158" s="179">
        <v>2040000</v>
      </c>
      <c r="AA1158" s="137">
        <f t="shared" si="269"/>
        <v>1020000</v>
      </c>
      <c r="AB1158" s="146">
        <f t="shared" si="274"/>
        <v>2040000</v>
      </c>
      <c r="AC1158" s="147">
        <f t="shared" si="270"/>
        <v>0</v>
      </c>
      <c r="AD1158" s="179">
        <v>1515000</v>
      </c>
      <c r="AE1158" s="180">
        <v>0</v>
      </c>
      <c r="AF1158" s="179">
        <f t="shared" si="275"/>
        <v>0</v>
      </c>
      <c r="AG1158" s="179">
        <v>0</v>
      </c>
      <c r="AH1158" s="179"/>
      <c r="AI1158" s="179"/>
      <c r="AJ1158" s="136">
        <v>0.5</v>
      </c>
      <c r="AK1158" s="199">
        <v>0.5</v>
      </c>
    </row>
    <row r="1159" spans="1:39" s="119" customFormat="1" ht="15" customHeight="1" x14ac:dyDescent="0.3">
      <c r="A1159" s="171">
        <v>2017</v>
      </c>
      <c r="B1159" s="171" t="s">
        <v>38</v>
      </c>
      <c r="C1159" s="171" t="s">
        <v>54</v>
      </c>
      <c r="D1159" s="171" t="s">
        <v>55</v>
      </c>
      <c r="E1159" s="171" t="s">
        <v>368</v>
      </c>
      <c r="F1159" s="171" t="s">
        <v>65</v>
      </c>
      <c r="G1159" s="171" t="s">
        <v>65</v>
      </c>
      <c r="H1159" s="171" t="s">
        <v>65</v>
      </c>
      <c r="I1159" s="171" t="s">
        <v>1083</v>
      </c>
      <c r="J1159" s="171" t="s">
        <v>953</v>
      </c>
      <c r="K1159" s="171" t="s">
        <v>953</v>
      </c>
      <c r="L1159" s="171" t="s">
        <v>65</v>
      </c>
      <c r="M1159" s="171" t="s">
        <v>185</v>
      </c>
      <c r="N1159" s="135">
        <v>0</v>
      </c>
      <c r="O1159" s="135" t="s">
        <v>47</v>
      </c>
      <c r="P1159" s="135"/>
      <c r="Q1159" s="179">
        <v>0</v>
      </c>
      <c r="R1159" s="179">
        <v>0</v>
      </c>
      <c r="S1159" s="179">
        <v>8778.2999999999993</v>
      </c>
      <c r="T1159" s="137">
        <f t="shared" si="267"/>
        <v>0</v>
      </c>
      <c r="U1159" s="137">
        <f t="shared" si="271"/>
        <v>8778.2999999999993</v>
      </c>
      <c r="V1159" s="179">
        <v>8778.2999999999993</v>
      </c>
      <c r="W1159" s="137">
        <f t="shared" si="272"/>
        <v>0</v>
      </c>
      <c r="X1159" s="137">
        <f t="shared" si="268"/>
        <v>0</v>
      </c>
      <c r="Y1159" s="137">
        <f t="shared" si="273"/>
        <v>0</v>
      </c>
      <c r="Z1159" s="179">
        <v>7315.25</v>
      </c>
      <c r="AA1159" s="137">
        <f t="shared" si="269"/>
        <v>1463.0499999999993</v>
      </c>
      <c r="AB1159" s="146">
        <f>V1159</f>
        <v>8778.2999999999993</v>
      </c>
      <c r="AC1159" s="147">
        <f t="shared" si="270"/>
        <v>-1463.0499999999993</v>
      </c>
      <c r="AD1159" s="179">
        <v>7315.25</v>
      </c>
      <c r="AE1159" s="180">
        <v>0</v>
      </c>
      <c r="AF1159" s="179">
        <f t="shared" si="275"/>
        <v>0</v>
      </c>
      <c r="AG1159" s="179">
        <v>0</v>
      </c>
      <c r="AH1159" s="179"/>
      <c r="AI1159" s="179"/>
      <c r="AJ1159" s="136">
        <v>0</v>
      </c>
      <c r="AK1159" s="200" t="s">
        <v>47</v>
      </c>
    </row>
    <row r="1160" spans="1:39" s="119" customFormat="1" ht="15" customHeight="1" x14ac:dyDescent="0.3">
      <c r="A1160" s="119">
        <v>2017</v>
      </c>
      <c r="B1160" s="119" t="s">
        <v>38</v>
      </c>
      <c r="C1160" s="119" t="s">
        <v>75</v>
      </c>
      <c r="D1160" s="119" t="s">
        <v>76</v>
      </c>
      <c r="E1160" s="119" t="s">
        <v>304</v>
      </c>
      <c r="F1160" s="119" t="s">
        <v>672</v>
      </c>
      <c r="G1160" s="119" t="s">
        <v>672</v>
      </c>
      <c r="H1160" s="119" t="s">
        <v>672</v>
      </c>
      <c r="I1160" s="163" t="s">
        <v>204</v>
      </c>
      <c r="J1160" s="119" t="s">
        <v>575</v>
      </c>
      <c r="K1160" s="119" t="s">
        <v>576</v>
      </c>
      <c r="L1160" s="119" t="s">
        <v>672</v>
      </c>
      <c r="M1160" s="119" t="s">
        <v>46</v>
      </c>
      <c r="N1160" s="136">
        <v>0.04</v>
      </c>
      <c r="O1160" s="135" t="s">
        <v>51</v>
      </c>
      <c r="P1160" s="135" t="s">
        <v>440</v>
      </c>
      <c r="Q1160" s="137">
        <v>0</v>
      </c>
      <c r="R1160" s="137">
        <v>0</v>
      </c>
      <c r="S1160" s="137"/>
      <c r="T1160" s="137">
        <f t="shared" si="267"/>
        <v>0</v>
      </c>
      <c r="U1160" s="137">
        <f t="shared" si="271"/>
        <v>0</v>
      </c>
      <c r="V1160" s="137"/>
      <c r="W1160" s="137">
        <f t="shared" si="272"/>
        <v>0</v>
      </c>
      <c r="X1160" s="137">
        <f t="shared" si="268"/>
        <v>0</v>
      </c>
      <c r="Y1160" s="137">
        <f t="shared" si="273"/>
        <v>0</v>
      </c>
      <c r="Z1160" s="137">
        <f>2069607-Z502</f>
        <v>437607</v>
      </c>
      <c r="AA1160" s="137">
        <f t="shared" si="269"/>
        <v>-437607</v>
      </c>
      <c r="AB1160" s="146">
        <f t="shared" si="274"/>
        <v>420775.9615384615</v>
      </c>
      <c r="AC1160" s="147">
        <f t="shared" si="270"/>
        <v>16831.038461538497</v>
      </c>
      <c r="AD1160" s="137">
        <f>Z1160*0.980277351080772</f>
        <v>428976.23077440338</v>
      </c>
      <c r="AE1160" s="138">
        <v>0.1077</v>
      </c>
      <c r="AF1160" s="137">
        <f t="shared" si="275"/>
        <v>46200.740054403243</v>
      </c>
      <c r="AG1160" s="137">
        <v>182316.144488235</v>
      </c>
      <c r="AH1160" s="154"/>
      <c r="AI1160" s="154"/>
      <c r="AJ1160" s="135">
        <v>0.04</v>
      </c>
      <c r="AK1160" s="119" t="s">
        <v>173</v>
      </c>
      <c r="AM1160" s="131"/>
    </row>
    <row r="1161" spans="1:39" s="119" customFormat="1" ht="15" customHeight="1" x14ac:dyDescent="0.3">
      <c r="A1161" s="119">
        <v>2017</v>
      </c>
      <c r="B1161" s="119" t="s">
        <v>38</v>
      </c>
      <c r="C1161" s="119" t="s">
        <v>39</v>
      </c>
      <c r="D1161" s="119" t="s">
        <v>81</v>
      </c>
      <c r="E1161" s="119" t="s">
        <v>82</v>
      </c>
      <c r="F1161" s="119" t="s">
        <v>83</v>
      </c>
      <c r="G1161" s="119" t="s">
        <v>83</v>
      </c>
      <c r="H1161" s="119" t="s">
        <v>83</v>
      </c>
      <c r="I1161" s="163" t="s">
        <v>204</v>
      </c>
      <c r="J1161" s="119" t="s">
        <v>575</v>
      </c>
      <c r="K1161" s="119" t="s">
        <v>576</v>
      </c>
      <c r="L1161" s="119" t="s">
        <v>83</v>
      </c>
      <c r="M1161" s="119" t="s">
        <v>46</v>
      </c>
      <c r="N1161" s="136">
        <v>0.02</v>
      </c>
      <c r="O1161" s="135" t="s">
        <v>51</v>
      </c>
      <c r="P1161" s="135" t="s">
        <v>440</v>
      </c>
      <c r="Q1161" s="137">
        <v>0</v>
      </c>
      <c r="R1161" s="137">
        <v>0</v>
      </c>
      <c r="S1161" s="137"/>
      <c r="T1161" s="137">
        <f t="shared" si="267"/>
        <v>0</v>
      </c>
      <c r="U1161" s="137">
        <f t="shared" si="271"/>
        <v>0</v>
      </c>
      <c r="V1161" s="137"/>
      <c r="W1161" s="137">
        <f t="shared" si="272"/>
        <v>0</v>
      </c>
      <c r="X1161" s="137">
        <f t="shared" si="268"/>
        <v>0</v>
      </c>
      <c r="Y1161" s="137">
        <f t="shared" si="273"/>
        <v>0</v>
      </c>
      <c r="Z1161" s="137">
        <v>847208.5</v>
      </c>
      <c r="AA1161" s="137">
        <f t="shared" si="269"/>
        <v>-847208.5</v>
      </c>
      <c r="AB1161" s="146">
        <f t="shared" si="274"/>
        <v>830596.56862745096</v>
      </c>
      <c r="AC1161" s="147">
        <f t="shared" si="270"/>
        <v>16611.931372549036</v>
      </c>
      <c r="AD1161" s="137">
        <f>Z1161*0.980277351080772</f>
        <v>830499.30419311416</v>
      </c>
      <c r="AE1161" s="138">
        <v>0.1077</v>
      </c>
      <c r="AF1161" s="137">
        <f t="shared" si="275"/>
        <v>89444.775061598397</v>
      </c>
      <c r="AG1161" s="137">
        <v>180000.70997605901</v>
      </c>
      <c r="AH1161" s="154"/>
      <c r="AI1161" s="154"/>
      <c r="AJ1161" s="135">
        <v>0.02</v>
      </c>
      <c r="AK1161" s="119" t="s">
        <v>173</v>
      </c>
      <c r="AM1161" s="131"/>
    </row>
    <row r="1162" spans="1:39" s="119" customFormat="1" ht="15" customHeight="1" x14ac:dyDescent="0.3">
      <c r="A1162" s="119">
        <v>2017</v>
      </c>
      <c r="B1162" s="119" t="s">
        <v>38</v>
      </c>
      <c r="C1162" s="119" t="s">
        <v>39</v>
      </c>
      <c r="D1162" s="119" t="s">
        <v>81</v>
      </c>
      <c r="E1162" s="119" t="s">
        <v>82</v>
      </c>
      <c r="F1162" s="119" t="s">
        <v>83</v>
      </c>
      <c r="G1162" s="119" t="s">
        <v>83</v>
      </c>
      <c r="H1162" s="119" t="s">
        <v>83</v>
      </c>
      <c r="I1162" s="119" t="s">
        <v>170</v>
      </c>
      <c r="J1162" s="119" t="s">
        <v>171</v>
      </c>
      <c r="K1162" s="119" t="s">
        <v>172</v>
      </c>
      <c r="L1162" s="119" t="s">
        <v>83</v>
      </c>
      <c r="M1162" s="119" t="s">
        <v>46</v>
      </c>
      <c r="N1162" s="136">
        <v>0.02</v>
      </c>
      <c r="O1162" s="135" t="s">
        <v>51</v>
      </c>
      <c r="P1162" s="135" t="s">
        <v>440</v>
      </c>
      <c r="Q1162" s="137">
        <v>0</v>
      </c>
      <c r="R1162" s="137">
        <v>0</v>
      </c>
      <c r="S1162" s="137"/>
      <c r="T1162" s="137">
        <f t="shared" si="267"/>
        <v>0</v>
      </c>
      <c r="U1162" s="137">
        <f t="shared" si="271"/>
        <v>0</v>
      </c>
      <c r="V1162" s="137"/>
      <c r="W1162" s="137">
        <f t="shared" si="272"/>
        <v>0</v>
      </c>
      <c r="X1162" s="137">
        <f t="shared" si="268"/>
        <v>0</v>
      </c>
      <c r="Y1162" s="137">
        <f t="shared" si="273"/>
        <v>0</v>
      </c>
      <c r="Z1162" s="137">
        <v>1819500</v>
      </c>
      <c r="AA1162" s="137">
        <f t="shared" si="269"/>
        <v>-1819500</v>
      </c>
      <c r="AB1162" s="146">
        <f t="shared" si="274"/>
        <v>1783823.5294117646</v>
      </c>
      <c r="AC1162" s="147">
        <f t="shared" si="270"/>
        <v>35676.470588235417</v>
      </c>
      <c r="AD1162" s="137">
        <f t="shared" ref="AD1162:AD1163" si="276">(Z1162-Q1162)*0.89807640489087</f>
        <v>1634050.018698938</v>
      </c>
      <c r="AE1162" s="138">
        <v>0.11269173273981201</v>
      </c>
      <c r="AF1162" s="137">
        <f t="shared" si="275"/>
        <v>184143.92799070553</v>
      </c>
      <c r="AG1162" s="137">
        <v>270180.54171481897</v>
      </c>
      <c r="AH1162" s="154"/>
      <c r="AI1162" s="154"/>
      <c r="AJ1162" s="135">
        <v>0.02</v>
      </c>
      <c r="AK1162" s="119" t="s">
        <v>173</v>
      </c>
    </row>
    <row r="1163" spans="1:39" s="119" customFormat="1" ht="15" customHeight="1" x14ac:dyDescent="0.3">
      <c r="A1163" s="119">
        <v>2017</v>
      </c>
      <c r="B1163" s="119" t="s">
        <v>199</v>
      </c>
      <c r="C1163" s="119" t="s">
        <v>110</v>
      </c>
      <c r="D1163" s="119" t="s">
        <v>111</v>
      </c>
      <c r="E1163" s="119" t="s">
        <v>281</v>
      </c>
      <c r="F1163" s="119" t="s">
        <v>621</v>
      </c>
      <c r="G1163" s="119" t="s">
        <v>622</v>
      </c>
      <c r="H1163" s="119" t="s">
        <v>622</v>
      </c>
      <c r="I1163" s="119" t="s">
        <v>170</v>
      </c>
      <c r="J1163" s="119" t="s">
        <v>171</v>
      </c>
      <c r="K1163" s="119" t="s">
        <v>172</v>
      </c>
      <c r="L1163" s="119" t="s">
        <v>621</v>
      </c>
      <c r="M1163" s="119" t="s">
        <v>46</v>
      </c>
      <c r="N1163" s="135">
        <v>0.02</v>
      </c>
      <c r="O1163" s="135" t="s">
        <v>51</v>
      </c>
      <c r="P1163" s="135" t="s">
        <v>440</v>
      </c>
      <c r="Q1163" s="137">
        <v>0</v>
      </c>
      <c r="R1163" s="137">
        <v>0</v>
      </c>
      <c r="S1163" s="137"/>
      <c r="T1163" s="137">
        <f t="shared" si="267"/>
        <v>0</v>
      </c>
      <c r="U1163" s="137">
        <f t="shared" si="271"/>
        <v>0</v>
      </c>
      <c r="V1163" s="137"/>
      <c r="W1163" s="137">
        <f t="shared" si="272"/>
        <v>0</v>
      </c>
      <c r="X1163" s="137">
        <f t="shared" si="268"/>
        <v>0</v>
      </c>
      <c r="Y1163" s="137">
        <f t="shared" si="273"/>
        <v>0</v>
      </c>
      <c r="Z1163" s="137">
        <v>193800</v>
      </c>
      <c r="AA1163" s="137">
        <f t="shared" si="269"/>
        <v>-193800</v>
      </c>
      <c r="AB1163" s="146">
        <f t="shared" si="274"/>
        <v>190000</v>
      </c>
      <c r="AC1163" s="147">
        <f t="shared" si="270"/>
        <v>3800</v>
      </c>
      <c r="AD1163" s="137">
        <f t="shared" si="276"/>
        <v>174047.20726785061</v>
      </c>
      <c r="AE1163" s="138">
        <v>0.11269173273981201</v>
      </c>
      <c r="AF1163" s="137">
        <f t="shared" si="275"/>
        <v>19613.681365539287</v>
      </c>
      <c r="AG1163" s="137">
        <v>38654.593419026198</v>
      </c>
      <c r="AH1163" s="154"/>
      <c r="AI1163" s="154"/>
      <c r="AJ1163" s="135">
        <v>0.02</v>
      </c>
      <c r="AK1163" s="119" t="s">
        <v>173</v>
      </c>
    </row>
    <row r="1164" spans="1:39" s="119" customFormat="1" ht="15" customHeight="1" x14ac:dyDescent="0.3">
      <c r="A1164" s="119">
        <v>2017</v>
      </c>
      <c r="B1164" s="119" t="s">
        <v>38</v>
      </c>
      <c r="C1164" s="119" t="s">
        <v>59</v>
      </c>
      <c r="D1164" s="119" t="s">
        <v>60</v>
      </c>
      <c r="E1164" s="119" t="s">
        <v>190</v>
      </c>
      <c r="F1164" s="119" t="s">
        <v>478</v>
      </c>
      <c r="G1164" s="119" t="s">
        <v>478</v>
      </c>
      <c r="H1164" s="119" t="s">
        <v>478</v>
      </c>
      <c r="I1164" s="119" t="s">
        <v>170</v>
      </c>
      <c r="J1164" s="119" t="s">
        <v>603</v>
      </c>
      <c r="K1164" s="119" t="s">
        <v>1065</v>
      </c>
      <c r="L1164" s="119" t="s">
        <v>984</v>
      </c>
      <c r="M1164" s="119" t="s">
        <v>46</v>
      </c>
      <c r="N1164" s="136">
        <v>0.02</v>
      </c>
      <c r="O1164" s="135" t="s">
        <v>51</v>
      </c>
      <c r="P1164" s="135" t="s">
        <v>440</v>
      </c>
      <c r="Q1164" s="137">
        <v>0</v>
      </c>
      <c r="R1164" s="137">
        <v>0</v>
      </c>
      <c r="S1164" s="137"/>
      <c r="T1164" s="137">
        <f t="shared" si="267"/>
        <v>0</v>
      </c>
      <c r="U1164" s="137">
        <f t="shared" si="271"/>
        <v>0</v>
      </c>
      <c r="V1164" s="137"/>
      <c r="W1164" s="137">
        <f t="shared" si="272"/>
        <v>0</v>
      </c>
      <c r="X1164" s="137">
        <f t="shared" si="268"/>
        <v>0</v>
      </c>
      <c r="Y1164" s="137">
        <f t="shared" si="273"/>
        <v>0</v>
      </c>
      <c r="Z1164" s="137">
        <v>122221.7</v>
      </c>
      <c r="AA1164" s="137">
        <f t="shared" si="269"/>
        <v>-122221.7</v>
      </c>
      <c r="AB1164" s="146">
        <f t="shared" si="274"/>
        <v>119825.19607843137</v>
      </c>
      <c r="AC1164" s="147">
        <f t="shared" si="270"/>
        <v>2396.5039215686265</v>
      </c>
      <c r="AD1164" s="137">
        <v>0</v>
      </c>
      <c r="AE1164" s="138">
        <v>0.06</v>
      </c>
      <c r="AF1164" s="137">
        <f t="shared" si="275"/>
        <v>0</v>
      </c>
      <c r="AG1164" s="137">
        <v>0</v>
      </c>
      <c r="AH1164" s="154"/>
      <c r="AI1164" s="154"/>
      <c r="AJ1164" s="135">
        <v>0.02</v>
      </c>
      <c r="AK1164" s="119" t="s">
        <v>173</v>
      </c>
      <c r="AM1164" s="131"/>
    </row>
    <row r="1165" spans="1:39" s="119" customFormat="1" ht="15" customHeight="1" x14ac:dyDescent="0.3">
      <c r="A1165" s="119">
        <v>2017</v>
      </c>
      <c r="B1165" s="119" t="s">
        <v>38</v>
      </c>
      <c r="C1165" s="119" t="s">
        <v>54</v>
      </c>
      <c r="D1165" s="119" t="s">
        <v>55</v>
      </c>
      <c r="E1165" s="119" t="s">
        <v>368</v>
      </c>
      <c r="F1165" s="119" t="s">
        <v>489</v>
      </c>
      <c r="G1165" s="119" t="s">
        <v>489</v>
      </c>
      <c r="H1165" s="119" t="s">
        <v>489</v>
      </c>
      <c r="I1165" s="163" t="s">
        <v>204</v>
      </c>
      <c r="J1165" s="119" t="s">
        <v>575</v>
      </c>
      <c r="K1165" s="119" t="s">
        <v>576</v>
      </c>
      <c r="L1165" s="119" t="s">
        <v>785</v>
      </c>
      <c r="M1165" s="119" t="s">
        <v>46</v>
      </c>
      <c r="N1165" s="136">
        <v>7.0000000000000007E-2</v>
      </c>
      <c r="O1165" s="135" t="s">
        <v>51</v>
      </c>
      <c r="P1165" s="135" t="s">
        <v>440</v>
      </c>
      <c r="Q1165" s="137">
        <v>0</v>
      </c>
      <c r="R1165" s="137">
        <v>0</v>
      </c>
      <c r="S1165" s="137"/>
      <c r="T1165" s="137">
        <f t="shared" si="267"/>
        <v>0</v>
      </c>
      <c r="U1165" s="137">
        <f t="shared" si="271"/>
        <v>0</v>
      </c>
      <c r="V1165" s="137"/>
      <c r="W1165" s="137">
        <f t="shared" si="272"/>
        <v>0</v>
      </c>
      <c r="X1165" s="137">
        <f t="shared" si="268"/>
        <v>0</v>
      </c>
      <c r="Y1165" s="137">
        <f t="shared" si="273"/>
        <v>0</v>
      </c>
      <c r="Z1165" s="137">
        <f>839984.18-Z678</f>
        <v>30900.010000000009</v>
      </c>
      <c r="AA1165" s="137">
        <f t="shared" si="269"/>
        <v>-30900.010000000009</v>
      </c>
      <c r="AB1165" s="146">
        <f t="shared" si="274"/>
        <v>28878.514018691596</v>
      </c>
      <c r="AC1165" s="147">
        <f t="shared" si="270"/>
        <v>2021.4959813084133</v>
      </c>
      <c r="AD1165" s="137">
        <f>Z1165*0.980277351080772</f>
        <v>30290.579951169373</v>
      </c>
      <c r="AE1165" s="138">
        <v>0.1077</v>
      </c>
      <c r="AF1165" s="137">
        <f t="shared" si="275"/>
        <v>3262.2954607409415</v>
      </c>
      <c r="AG1165" s="137">
        <v>50467.049519333297</v>
      </c>
      <c r="AH1165" s="154"/>
      <c r="AI1165" s="154"/>
      <c r="AJ1165" s="135">
        <v>7.0000000000000007E-2</v>
      </c>
      <c r="AK1165" s="119" t="s">
        <v>63</v>
      </c>
      <c r="AM1165" s="131"/>
    </row>
    <row r="1166" spans="1:39" s="119" customFormat="1" ht="15" customHeight="1" x14ac:dyDescent="0.3">
      <c r="A1166" s="119">
        <v>2017</v>
      </c>
      <c r="B1166" s="119" t="s">
        <v>38</v>
      </c>
      <c r="C1166" s="119" t="s">
        <v>54</v>
      </c>
      <c r="D1166" s="119" t="s">
        <v>55</v>
      </c>
      <c r="E1166" s="119" t="s">
        <v>368</v>
      </c>
      <c r="F1166" s="119" t="s">
        <v>489</v>
      </c>
      <c r="G1166" s="119" t="s">
        <v>489</v>
      </c>
      <c r="H1166" s="119" t="s">
        <v>489</v>
      </c>
      <c r="I1166" s="119" t="s">
        <v>170</v>
      </c>
      <c r="J1166" s="119" t="s">
        <v>171</v>
      </c>
      <c r="K1166" s="119" t="s">
        <v>172</v>
      </c>
      <c r="L1166" s="119" t="s">
        <v>489</v>
      </c>
      <c r="M1166" s="119" t="s">
        <v>46</v>
      </c>
      <c r="N1166" s="136">
        <v>0.04</v>
      </c>
      <c r="O1166" s="135" t="s">
        <v>51</v>
      </c>
      <c r="P1166" s="135" t="s">
        <v>440</v>
      </c>
      <c r="Q1166" s="137">
        <v>0</v>
      </c>
      <c r="R1166" s="137">
        <v>0</v>
      </c>
      <c r="S1166" s="137"/>
      <c r="T1166" s="137">
        <f t="shared" si="267"/>
        <v>0</v>
      </c>
      <c r="U1166" s="137">
        <f t="shared" si="271"/>
        <v>0</v>
      </c>
      <c r="V1166" s="137"/>
      <c r="W1166" s="137">
        <f t="shared" si="272"/>
        <v>0</v>
      </c>
      <c r="X1166" s="137">
        <f t="shared" si="268"/>
        <v>0</v>
      </c>
      <c r="Y1166" s="137">
        <f t="shared" si="273"/>
        <v>0</v>
      </c>
      <c r="Z1166" s="137">
        <v>1704400</v>
      </c>
      <c r="AA1166" s="137">
        <f t="shared" si="269"/>
        <v>-1704400</v>
      </c>
      <c r="AB1166" s="146">
        <f t="shared" si="274"/>
        <v>1638846.1538461538</v>
      </c>
      <c r="AC1166" s="147">
        <f t="shared" si="270"/>
        <v>65553.846153846243</v>
      </c>
      <c r="AD1166" s="137">
        <f>(Z1166-Q1166)*0.89807640489087</f>
        <v>1530681.424495999</v>
      </c>
      <c r="AE1166" s="138">
        <v>0.11269173273981201</v>
      </c>
      <c r="AF1166" s="137">
        <f t="shared" si="275"/>
        <v>172495.14199909786</v>
      </c>
      <c r="AG1166" s="137">
        <v>136392.54440883599</v>
      </c>
      <c r="AH1166" s="154"/>
      <c r="AI1166" s="154"/>
      <c r="AJ1166" s="136">
        <v>0.04</v>
      </c>
      <c r="AK1166" s="119" t="s">
        <v>186</v>
      </c>
    </row>
    <row r="1167" spans="1:39" s="119" customFormat="1" ht="15" customHeight="1" x14ac:dyDescent="0.3">
      <c r="A1167" s="119">
        <v>2017</v>
      </c>
      <c r="B1167" s="119" t="s">
        <v>38</v>
      </c>
      <c r="C1167" s="119" t="s">
        <v>54</v>
      </c>
      <c r="D1167" s="119" t="s">
        <v>102</v>
      </c>
      <c r="E1167" s="119" t="s">
        <v>115</v>
      </c>
      <c r="F1167" s="119" t="s">
        <v>502</v>
      </c>
      <c r="G1167" s="119" t="s">
        <v>502</v>
      </c>
      <c r="H1167" s="119" t="s">
        <v>502</v>
      </c>
      <c r="I1167" s="131" t="s">
        <v>243</v>
      </c>
      <c r="J1167" s="119" t="s">
        <v>244</v>
      </c>
      <c r="K1167" s="119" t="s">
        <v>245</v>
      </c>
      <c r="L1167" s="119" t="s">
        <v>503</v>
      </c>
      <c r="M1167" s="119" t="s">
        <v>46</v>
      </c>
      <c r="N1167" s="136">
        <v>0</v>
      </c>
      <c r="O1167" s="135" t="s">
        <v>47</v>
      </c>
      <c r="P1167" s="135" t="s">
        <v>440</v>
      </c>
      <c r="Q1167" s="137">
        <v>0</v>
      </c>
      <c r="R1167" s="137">
        <v>0</v>
      </c>
      <c r="S1167" s="137"/>
      <c r="T1167" s="137">
        <f t="shared" si="267"/>
        <v>0</v>
      </c>
      <c r="U1167" s="137">
        <f t="shared" si="271"/>
        <v>0</v>
      </c>
      <c r="V1167" s="137"/>
      <c r="W1167" s="137">
        <f t="shared" si="272"/>
        <v>0</v>
      </c>
      <c r="X1167" s="137">
        <f t="shared" si="268"/>
        <v>0</v>
      </c>
      <c r="Y1167" s="137">
        <f t="shared" si="273"/>
        <v>0</v>
      </c>
      <c r="Z1167" s="137">
        <v>21000</v>
      </c>
      <c r="AA1167" s="137">
        <f t="shared" si="269"/>
        <v>-21000</v>
      </c>
      <c r="AB1167" s="146">
        <f t="shared" si="274"/>
        <v>21000</v>
      </c>
      <c r="AC1167" s="147">
        <f t="shared" si="270"/>
        <v>0</v>
      </c>
      <c r="AD1167" s="137">
        <v>0</v>
      </c>
      <c r="AE1167" s="138">
        <v>0.17647058823529399</v>
      </c>
      <c r="AF1167" s="137">
        <f t="shared" si="275"/>
        <v>0</v>
      </c>
      <c r="AG1167" s="137">
        <f>AB1167-Z1167+AF1167</f>
        <v>0</v>
      </c>
      <c r="AH1167" s="154"/>
      <c r="AI1167" s="154"/>
      <c r="AJ1167" s="136">
        <v>0</v>
      </c>
      <c r="AK1167" s="156">
        <v>0.02</v>
      </c>
      <c r="AM1167" s="131"/>
    </row>
    <row r="1168" spans="1:39" s="119" customFormat="1" ht="15" customHeight="1" x14ac:dyDescent="0.3">
      <c r="A1168" s="119">
        <v>2017</v>
      </c>
      <c r="B1168" s="131" t="s">
        <v>38</v>
      </c>
      <c r="C1168" s="119" t="s">
        <v>137</v>
      </c>
      <c r="D1168" s="131"/>
      <c r="E1168" s="131"/>
      <c r="F1168" s="131" t="s">
        <v>271</v>
      </c>
      <c r="G1168" s="131" t="s">
        <v>403</v>
      </c>
      <c r="H1168" s="131" t="s">
        <v>403</v>
      </c>
      <c r="I1168" s="131" t="s">
        <v>243</v>
      </c>
      <c r="J1168" s="119" t="s">
        <v>244</v>
      </c>
      <c r="K1168" s="119" t="s">
        <v>245</v>
      </c>
      <c r="L1168" s="119" t="s">
        <v>545</v>
      </c>
      <c r="M1168" s="119" t="s">
        <v>46</v>
      </c>
      <c r="N1168" s="136">
        <v>0.05</v>
      </c>
      <c r="O1168" s="135" t="s">
        <v>51</v>
      </c>
      <c r="P1168" s="135" t="s">
        <v>440</v>
      </c>
      <c r="Q1168" s="137">
        <v>0</v>
      </c>
      <c r="T1168" s="137">
        <f t="shared" si="267"/>
        <v>0</v>
      </c>
      <c r="U1168" s="137">
        <f t="shared" si="271"/>
        <v>0</v>
      </c>
      <c r="V1168" s="137"/>
      <c r="W1168" s="137">
        <f t="shared" si="272"/>
        <v>0</v>
      </c>
      <c r="X1168" s="137">
        <f t="shared" si="268"/>
        <v>0</v>
      </c>
      <c r="Y1168" s="137">
        <f t="shared" si="273"/>
        <v>0</v>
      </c>
      <c r="Z1168" s="137">
        <v>3000</v>
      </c>
      <c r="AA1168" s="137">
        <f t="shared" si="269"/>
        <v>-3000</v>
      </c>
      <c r="AB1168" s="146">
        <f t="shared" si="274"/>
        <v>2857.1428571428569</v>
      </c>
      <c r="AC1168" s="147">
        <f t="shared" si="270"/>
        <v>142.85714285714312</v>
      </c>
      <c r="AD1168" s="137">
        <v>0</v>
      </c>
      <c r="AE1168" s="138">
        <v>0.17647058823529399</v>
      </c>
      <c r="AF1168" s="137">
        <f t="shared" si="275"/>
        <v>0</v>
      </c>
      <c r="AG1168" s="131"/>
      <c r="AH1168" s="131"/>
      <c r="AI1168" s="131"/>
      <c r="AJ1168" s="135">
        <v>0.05</v>
      </c>
      <c r="AK1168" s="131"/>
      <c r="AL1168" s="131"/>
      <c r="AM1168" s="131" t="s">
        <v>208</v>
      </c>
    </row>
    <row r="1169" spans="1:39" s="119" customFormat="1" ht="15" customHeight="1" x14ac:dyDescent="0.3">
      <c r="A1169" s="119">
        <v>2017</v>
      </c>
      <c r="B1169" s="119" t="s">
        <v>38</v>
      </c>
      <c r="C1169" s="119" t="s">
        <v>39</v>
      </c>
      <c r="D1169" s="119" t="s">
        <v>81</v>
      </c>
      <c r="E1169" s="119" t="s">
        <v>41</v>
      </c>
      <c r="F1169" s="119" t="s">
        <v>704</v>
      </c>
      <c r="G1169" s="119" t="s">
        <v>704</v>
      </c>
      <c r="H1169" s="119" t="s">
        <v>704</v>
      </c>
      <c r="I1169" s="163" t="s">
        <v>204</v>
      </c>
      <c r="J1169" s="119" t="s">
        <v>575</v>
      </c>
      <c r="K1169" s="119" t="s">
        <v>576</v>
      </c>
      <c r="L1169" s="119" t="s">
        <v>705</v>
      </c>
      <c r="M1169" s="119" t="s">
        <v>46</v>
      </c>
      <c r="N1169" s="136">
        <v>0</v>
      </c>
      <c r="O1169" s="135" t="s">
        <v>47</v>
      </c>
      <c r="P1169" s="135" t="s">
        <v>440</v>
      </c>
      <c r="Q1169" s="137">
        <v>14152.34</v>
      </c>
      <c r="R1169" s="137"/>
      <c r="S1169" s="137"/>
      <c r="T1169" s="137">
        <f t="shared" si="267"/>
        <v>0</v>
      </c>
      <c r="U1169" s="137">
        <f t="shared" si="271"/>
        <v>0</v>
      </c>
      <c r="V1169" s="137"/>
      <c r="W1169" s="137">
        <f t="shared" si="272"/>
        <v>0</v>
      </c>
      <c r="X1169" s="137">
        <f t="shared" si="268"/>
        <v>0</v>
      </c>
      <c r="Y1169" s="137">
        <f t="shared" si="273"/>
        <v>0</v>
      </c>
      <c r="Z1169" s="137">
        <v>425959.02</v>
      </c>
      <c r="AA1169" s="137">
        <f t="shared" si="269"/>
        <v>-411806.68</v>
      </c>
      <c r="AB1169" s="146">
        <f>IF(O1169="返货",(Z1169-Q1169)/(1+N1169),IF(O1169="返现",(Z1169-Q1169),IF(O1169="折扣",(Z1169-Q1169)*N1169,IF(O1169="无",(Z1169-Q1169)))))</f>
        <v>411806.68</v>
      </c>
      <c r="AC1169" s="147">
        <f t="shared" si="270"/>
        <v>14152.340000000026</v>
      </c>
      <c r="AD1169" s="137">
        <f>Z1169*0.980277351080772</f>
        <v>417557.97979456157</v>
      </c>
      <c r="AE1169" s="138">
        <v>0.1077</v>
      </c>
      <c r="AF1169" s="137">
        <f t="shared" si="275"/>
        <v>44970.994423874283</v>
      </c>
      <c r="AG1169" s="137">
        <v>33501.9806820874</v>
      </c>
      <c r="AH1169" s="154"/>
      <c r="AI1169" s="154"/>
      <c r="AJ1169" s="135">
        <v>0</v>
      </c>
      <c r="AK1169" s="156">
        <v>0</v>
      </c>
      <c r="AM1169" s="131"/>
    </row>
    <row r="1170" spans="1:39" s="119" customFormat="1" ht="15" customHeight="1" x14ac:dyDescent="0.3">
      <c r="A1170" s="119">
        <v>2017</v>
      </c>
      <c r="B1170" s="119" t="s">
        <v>38</v>
      </c>
      <c r="C1170" s="119" t="s">
        <v>75</v>
      </c>
      <c r="D1170" s="119" t="s">
        <v>76</v>
      </c>
      <c r="E1170" s="119" t="s">
        <v>150</v>
      </c>
      <c r="F1170" s="119" t="s">
        <v>151</v>
      </c>
      <c r="G1170" s="119" t="s">
        <v>151</v>
      </c>
      <c r="H1170" s="119" t="s">
        <v>151</v>
      </c>
      <c r="I1170" s="119" t="s">
        <v>170</v>
      </c>
      <c r="J1170" s="119" t="s">
        <v>171</v>
      </c>
      <c r="K1170" s="119" t="s">
        <v>172</v>
      </c>
      <c r="L1170" s="119" t="s">
        <v>151</v>
      </c>
      <c r="M1170" s="119" t="s">
        <v>46</v>
      </c>
      <c r="N1170" s="136">
        <v>0.04</v>
      </c>
      <c r="O1170" s="135" t="s">
        <v>51</v>
      </c>
      <c r="P1170" s="135" t="s">
        <v>440</v>
      </c>
      <c r="Q1170" s="137">
        <v>0</v>
      </c>
      <c r="R1170" s="137">
        <v>0</v>
      </c>
      <c r="S1170" s="137"/>
      <c r="T1170" s="137">
        <f t="shared" si="267"/>
        <v>0</v>
      </c>
      <c r="U1170" s="137">
        <f t="shared" si="271"/>
        <v>0</v>
      </c>
      <c r="V1170" s="137"/>
      <c r="W1170" s="137">
        <f t="shared" si="272"/>
        <v>0</v>
      </c>
      <c r="X1170" s="137">
        <f t="shared" si="268"/>
        <v>0</v>
      </c>
      <c r="Y1170" s="137">
        <f t="shared" si="273"/>
        <v>0</v>
      </c>
      <c r="Z1170" s="137">
        <v>104000</v>
      </c>
      <c r="AA1170" s="137">
        <f t="shared" si="269"/>
        <v>-104000</v>
      </c>
      <c r="AB1170" s="146">
        <f>IF(O1170="返货",Z1170/(1+N1170),IF(O1170="返现",Z1170,IF(O1170="折扣",Z1170*N1170,IF(O1170="无",Z1170))))</f>
        <v>100000</v>
      </c>
      <c r="AC1170" s="147">
        <f t="shared" si="270"/>
        <v>4000</v>
      </c>
      <c r="AD1170" s="137">
        <f>(Z1170-Q1170)*0.89807640489087</f>
        <v>93399.946108650489</v>
      </c>
      <c r="AE1170" s="138">
        <v>0.11269173273981201</v>
      </c>
      <c r="AF1170" s="137">
        <f t="shared" si="275"/>
        <v>10525.401764788885</v>
      </c>
      <c r="AG1170" s="137">
        <v>15812.5393496826</v>
      </c>
      <c r="AH1170" s="154"/>
      <c r="AI1170" s="154"/>
      <c r="AJ1170" s="135" t="s">
        <v>186</v>
      </c>
      <c r="AK1170" s="119" t="s">
        <v>186</v>
      </c>
    </row>
    <row r="1171" spans="1:39" s="119" customFormat="1" ht="15" customHeight="1" x14ac:dyDescent="0.3">
      <c r="A1171" s="119">
        <v>2017</v>
      </c>
      <c r="B1171" s="119" t="s">
        <v>38</v>
      </c>
      <c r="C1171" s="119" t="s">
        <v>59</v>
      </c>
      <c r="D1171" s="119" t="s">
        <v>210</v>
      </c>
      <c r="E1171" s="119" t="s">
        <v>67</v>
      </c>
      <c r="F1171" s="119" t="s">
        <v>770</v>
      </c>
      <c r="G1171" s="119" t="s">
        <v>770</v>
      </c>
      <c r="H1171" s="119" t="s">
        <v>770</v>
      </c>
      <c r="I1171" s="163" t="s">
        <v>204</v>
      </c>
      <c r="J1171" s="119" t="s">
        <v>575</v>
      </c>
      <c r="K1171" s="119" t="s">
        <v>576</v>
      </c>
      <c r="L1171" s="119" t="s">
        <v>770</v>
      </c>
      <c r="M1171" s="119" t="s">
        <v>46</v>
      </c>
      <c r="N1171" s="135">
        <v>0.02</v>
      </c>
      <c r="O1171" s="135" t="s">
        <v>51</v>
      </c>
      <c r="P1171" s="135" t="s">
        <v>440</v>
      </c>
      <c r="Q1171" s="137">
        <v>14949.3</v>
      </c>
      <c r="R1171" s="137">
        <v>0</v>
      </c>
      <c r="S1171" s="137"/>
      <c r="T1171" s="137">
        <f t="shared" si="267"/>
        <v>0</v>
      </c>
      <c r="U1171" s="137">
        <f t="shared" si="271"/>
        <v>0</v>
      </c>
      <c r="V1171" s="137"/>
      <c r="W1171" s="137">
        <f t="shared" si="272"/>
        <v>0</v>
      </c>
      <c r="X1171" s="137">
        <f t="shared" si="268"/>
        <v>0</v>
      </c>
      <c r="Y1171" s="137">
        <f t="shared" si="273"/>
        <v>0</v>
      </c>
      <c r="Z1171" s="137">
        <v>220000</v>
      </c>
      <c r="AA1171" s="137">
        <f t="shared" si="269"/>
        <v>-205050.7</v>
      </c>
      <c r="AB1171" s="146">
        <f>IF(O1171="返货",(Z1171-Q1171)/(1+N1171),IF(O1171="返现",(Z1171-Q1171),IF(O1171="折扣",(Z1171-Q1171)*N1171,IF(O1171="无",(Z1171-Q1171)))))</f>
        <v>201030.09803921569</v>
      </c>
      <c r="AC1171" s="147">
        <f t="shared" si="270"/>
        <v>18969.901960784307</v>
      </c>
      <c r="AD1171" s="137">
        <f>Z1171*0.980277351080772</f>
        <v>215661.01723776982</v>
      </c>
      <c r="AE1171" s="138">
        <v>0.1077</v>
      </c>
      <c r="AF1171" s="137">
        <f t="shared" si="275"/>
        <v>23226.691556507809</v>
      </c>
      <c r="AG1171" s="137">
        <v>16388.4838537619</v>
      </c>
      <c r="AH1171" s="154"/>
      <c r="AI1171" s="154"/>
      <c r="AJ1171" s="135">
        <v>0.02</v>
      </c>
      <c r="AK1171" s="119" t="s">
        <v>63</v>
      </c>
      <c r="AM1171" s="131"/>
    </row>
    <row r="1172" spans="1:39" s="119" customFormat="1" ht="15" customHeight="1" x14ac:dyDescent="0.3">
      <c r="A1172" s="119">
        <v>2017</v>
      </c>
      <c r="B1172" s="119" t="s">
        <v>38</v>
      </c>
      <c r="C1172" s="119" t="s">
        <v>59</v>
      </c>
      <c r="D1172" s="119" t="s">
        <v>210</v>
      </c>
      <c r="E1172" s="119" t="s">
        <v>67</v>
      </c>
      <c r="F1172" s="165" t="s">
        <v>770</v>
      </c>
      <c r="G1172" s="119" t="s">
        <v>770</v>
      </c>
      <c r="H1172" s="119" t="s">
        <v>770</v>
      </c>
      <c r="I1172" s="119" t="s">
        <v>170</v>
      </c>
      <c r="J1172" s="119" t="s">
        <v>171</v>
      </c>
      <c r="K1172" s="119" t="s">
        <v>172</v>
      </c>
      <c r="L1172" s="119" t="s">
        <v>770</v>
      </c>
      <c r="M1172" s="119" t="s">
        <v>46</v>
      </c>
      <c r="N1172" s="136">
        <v>0.02</v>
      </c>
      <c r="O1172" s="135" t="s">
        <v>51</v>
      </c>
      <c r="P1172" s="135" t="s">
        <v>440</v>
      </c>
      <c r="Q1172" s="137">
        <v>0</v>
      </c>
      <c r="R1172" s="137">
        <v>0</v>
      </c>
      <c r="S1172" s="137"/>
      <c r="T1172" s="137">
        <f t="shared" si="267"/>
        <v>0</v>
      </c>
      <c r="U1172" s="137">
        <f t="shared" si="271"/>
        <v>0</v>
      </c>
      <c r="V1172" s="137"/>
      <c r="W1172" s="137">
        <f t="shared" si="272"/>
        <v>0</v>
      </c>
      <c r="X1172" s="137">
        <f t="shared" si="268"/>
        <v>0</v>
      </c>
      <c r="Y1172" s="137">
        <f t="shared" si="273"/>
        <v>0</v>
      </c>
      <c r="Z1172" s="137">
        <v>369645.3</v>
      </c>
      <c r="AA1172" s="137">
        <f t="shared" si="269"/>
        <v>-369645.3</v>
      </c>
      <c r="AB1172" s="146">
        <f>IF(O1172="返货",Z1172/(1+N1172),IF(O1172="返现",Z1172,IF(O1172="折扣",Z1172*N1172,IF(O1172="无",Z1172))))</f>
        <v>362397.35294117645</v>
      </c>
      <c r="AC1172" s="147">
        <f t="shared" si="270"/>
        <v>7247.9470588235417</v>
      </c>
      <c r="AD1172" s="137">
        <f>(Z1172-Q1172)*0.89807640489087</f>
        <v>331969.72210880712</v>
      </c>
      <c r="AE1172" s="138">
        <v>0.11269173273981201</v>
      </c>
      <c r="AF1172" s="137">
        <f t="shared" si="275"/>
        <v>37410.243201595353</v>
      </c>
      <c r="AG1172" s="137">
        <v>47359.781061571899</v>
      </c>
      <c r="AH1172" s="154"/>
      <c r="AI1172" s="154"/>
      <c r="AJ1172" s="135" t="s">
        <v>173</v>
      </c>
      <c r="AK1172" s="119" t="s">
        <v>173</v>
      </c>
    </row>
    <row r="1173" spans="1:39" s="119" customFormat="1" ht="15" customHeight="1" x14ac:dyDescent="0.3">
      <c r="A1173" s="119">
        <v>2017</v>
      </c>
      <c r="B1173" s="119" t="s">
        <v>38</v>
      </c>
      <c r="C1173" s="119" t="s">
        <v>75</v>
      </c>
      <c r="D1173" s="119" t="s">
        <v>76</v>
      </c>
      <c r="E1173" s="119" t="s">
        <v>150</v>
      </c>
      <c r="F1173" s="119" t="s">
        <v>663</v>
      </c>
      <c r="G1173" s="119" t="s">
        <v>663</v>
      </c>
      <c r="H1173" s="119" t="s">
        <v>663</v>
      </c>
      <c r="I1173" s="163" t="s">
        <v>204</v>
      </c>
      <c r="J1173" s="119" t="s">
        <v>575</v>
      </c>
      <c r="K1173" s="119" t="s">
        <v>576</v>
      </c>
      <c r="L1173" s="119" t="s">
        <v>664</v>
      </c>
      <c r="M1173" s="119" t="s">
        <v>46</v>
      </c>
      <c r="N1173" s="136">
        <v>7.0000000000000007E-2</v>
      </c>
      <c r="O1173" s="135" t="s">
        <v>495</v>
      </c>
      <c r="P1173" s="135" t="s">
        <v>665</v>
      </c>
      <c r="Q1173" s="137">
        <v>0</v>
      </c>
      <c r="R1173" s="137">
        <v>0</v>
      </c>
      <c r="S1173" s="137"/>
      <c r="T1173" s="137">
        <f t="shared" si="267"/>
        <v>0</v>
      </c>
      <c r="U1173" s="137">
        <f t="shared" si="271"/>
        <v>0</v>
      </c>
      <c r="V1173" s="137"/>
      <c r="W1173" s="137">
        <f t="shared" si="272"/>
        <v>0</v>
      </c>
      <c r="X1173" s="137">
        <f t="shared" si="268"/>
        <v>0</v>
      </c>
      <c r="Y1173" s="137">
        <f t="shared" si="273"/>
        <v>0</v>
      </c>
      <c r="Z1173" s="137">
        <v>160500</v>
      </c>
      <c r="AA1173" s="137">
        <f t="shared" si="269"/>
        <v>-160500</v>
      </c>
      <c r="AB1173" s="146">
        <f>IF(O1173="返货",Z1173/(1+N1173),IF(O1173="返现",Z1173,IF(O1173="折扣",Z1173*N1173,IF(O1173="无",Z1173))))</f>
        <v>160500</v>
      </c>
      <c r="AC1173" s="147">
        <f t="shared" si="270"/>
        <v>11235.000000000002</v>
      </c>
      <c r="AD1173" s="137">
        <f>Z1173*0.980277351080772</f>
        <v>157334.51484846391</v>
      </c>
      <c r="AE1173" s="138">
        <v>0.1077</v>
      </c>
      <c r="AF1173" s="137">
        <f t="shared" si="275"/>
        <v>16944.927249179564</v>
      </c>
      <c r="AG1173" s="137">
        <v>175901.101110952</v>
      </c>
      <c r="AH1173" s="154"/>
      <c r="AI1173" s="154"/>
      <c r="AJ1173" s="135">
        <v>7.0000000000000007E-2</v>
      </c>
      <c r="AK1173" s="119" t="s">
        <v>63</v>
      </c>
      <c r="AM1173" s="131"/>
    </row>
    <row r="1174" spans="1:39" x14ac:dyDescent="0.15">
      <c r="A1174" s="172">
        <v>2017</v>
      </c>
      <c r="B1174" s="172" t="s">
        <v>38</v>
      </c>
      <c r="C1174" s="172" t="s">
        <v>59</v>
      </c>
      <c r="D1174" s="172"/>
      <c r="E1174" s="172"/>
      <c r="F1174" s="173" t="s">
        <v>770</v>
      </c>
      <c r="G1174" s="174" t="s">
        <v>770</v>
      </c>
      <c r="H1174" s="174" t="s">
        <v>770</v>
      </c>
      <c r="I1174" s="119" t="s">
        <v>170</v>
      </c>
      <c r="J1174" s="182" t="s">
        <v>171</v>
      </c>
      <c r="K1174" s="172" t="s">
        <v>172</v>
      </c>
      <c r="L1174" s="172" t="s">
        <v>1084</v>
      </c>
      <c r="M1174" s="172" t="s">
        <v>46</v>
      </c>
      <c r="N1174" s="183">
        <v>0.04</v>
      </c>
      <c r="O1174" s="184" t="s">
        <v>51</v>
      </c>
      <c r="P1174" s="126"/>
      <c r="Q1174" s="189">
        <v>0</v>
      </c>
      <c r="R1174" s="189">
        <v>0</v>
      </c>
      <c r="S1174" s="189"/>
      <c r="T1174" s="189">
        <v>0</v>
      </c>
      <c r="U1174" s="189">
        <v>0</v>
      </c>
      <c r="V1174" s="189">
        <v>0</v>
      </c>
      <c r="W1174" s="190">
        <v>0</v>
      </c>
      <c r="X1174" s="190">
        <v>0</v>
      </c>
      <c r="Y1174" s="190">
        <v>0</v>
      </c>
      <c r="Z1174" s="189">
        <v>12117.5</v>
      </c>
      <c r="AA1174" s="189">
        <v>-12117.5</v>
      </c>
      <c r="AB1174" s="189">
        <v>12117.5</v>
      </c>
      <c r="AC1174" s="189">
        <v>0</v>
      </c>
      <c r="AD1174" s="137">
        <f>(Z1174-Q1174)*0.89807640489087</f>
        <v>10882.440836265117</v>
      </c>
      <c r="AE1174" s="195">
        <v>0.11269173273981201</v>
      </c>
      <c r="AF1174" s="196">
        <v>1233.0864032100501</v>
      </c>
      <c r="AG1174" s="189">
        <v>1084.14925282583</v>
      </c>
      <c r="AH1174" s="201"/>
      <c r="AI1174" s="201"/>
      <c r="AJ1174" s="172" t="s">
        <v>47</v>
      </c>
      <c r="AK1174" s="172"/>
      <c r="AL1174" s="202" t="s">
        <v>208</v>
      </c>
    </row>
    <row r="1175" spans="1:39" s="121" customFormat="1" x14ac:dyDescent="0.3">
      <c r="A1175" s="175">
        <v>2017</v>
      </c>
      <c r="B1175" s="175" t="s">
        <v>199</v>
      </c>
      <c r="C1175" s="175" t="s">
        <v>54</v>
      </c>
      <c r="D1175" s="175" t="s">
        <v>55</v>
      </c>
      <c r="E1175" s="175" t="s">
        <v>64</v>
      </c>
      <c r="F1175" s="175" t="s">
        <v>496</v>
      </c>
      <c r="G1175" s="175" t="s">
        <v>497</v>
      </c>
      <c r="H1175" s="176" t="s">
        <v>498</v>
      </c>
      <c r="I1175" s="175" t="s">
        <v>1073</v>
      </c>
      <c r="J1175" s="175" t="s">
        <v>569</v>
      </c>
      <c r="K1175" s="175" t="s">
        <v>1085</v>
      </c>
      <c r="L1175" s="175" t="s">
        <v>499</v>
      </c>
      <c r="M1175" s="175" t="s">
        <v>46</v>
      </c>
      <c r="N1175" s="184">
        <v>0.03</v>
      </c>
      <c r="O1175" s="184" t="s">
        <v>189</v>
      </c>
      <c r="P1175" s="184" t="s">
        <v>51</v>
      </c>
      <c r="Q1175" s="191">
        <v>0</v>
      </c>
      <c r="R1175" s="191">
        <v>0</v>
      </c>
      <c r="S1175" s="192">
        <v>3282000</v>
      </c>
      <c r="T1175" s="192">
        <f t="shared" ref="T1175:T1189" si="277">S1175*N1175</f>
        <v>98460</v>
      </c>
      <c r="U1175" s="192">
        <f t="shared" ref="U1175:U1189" si="278">S1175+T1175+R1175</f>
        <v>3380460</v>
      </c>
      <c r="V1175" s="192">
        <v>2888000</v>
      </c>
      <c r="W1175" s="192">
        <f t="shared" ref="W1175:W1177" si="279">U1175-V1175</f>
        <v>492460</v>
      </c>
      <c r="X1175" s="192">
        <f t="shared" ref="X1175:X1189" si="280">W1175/(1+N1175)</f>
        <v>478116.50485436892</v>
      </c>
      <c r="Y1175" s="192">
        <f t="shared" ref="Y1175:Y1177" si="281">W1175-X1175</f>
        <v>14343.495145631081</v>
      </c>
      <c r="Z1175" s="192">
        <v>5276269.99</v>
      </c>
      <c r="AA1175" s="192">
        <f t="shared" ref="AA1175:AA1189" si="282">Q1175+V1175-Z1175</f>
        <v>-2388269.9900000002</v>
      </c>
      <c r="AB1175" s="192">
        <f t="shared" ref="AB1175:AB1180" si="283">IF(P1175="返货",Z1175/(1+N1175),IF(P1175="返现",Z1175,IF(P1175="折扣",Z1175*N1175,IF(P1175="无",Z1175))))</f>
        <v>5122592.2233009711</v>
      </c>
      <c r="AC1175" s="192">
        <f t="shared" ref="AC1175:AC1212" si="284">IF(P1175="返现",Z1175*N1175,Z1175-AB1175)</f>
        <v>153677.76669902913</v>
      </c>
      <c r="AD1175" s="192">
        <f t="shared" ref="AD1175:AD1195" si="285">Z1175*0.635437793052747</f>
        <v>3352741.3579960396</v>
      </c>
      <c r="AE1175" s="192">
        <f t="shared" ref="AE1175:AE1222" si="286">Z1175*0.753358468667708</f>
        <v>3974922.6799437827</v>
      </c>
      <c r="AF1175" s="184">
        <v>0.08</v>
      </c>
      <c r="AG1175" s="192">
        <f t="shared" ref="AG1175:AG1186" si="287">AE1175*AF1175</f>
        <v>317993.81439550262</v>
      </c>
      <c r="AH1175" s="192">
        <f t="shared" ref="AH1175:AH1186" si="288">AB1175-Z1175+AG1175</f>
        <v>164316.04769647348</v>
      </c>
      <c r="AI1175" s="192"/>
      <c r="AJ1175" s="192"/>
      <c r="AK1175" s="203" t="s">
        <v>189</v>
      </c>
      <c r="AL1175" s="175"/>
      <c r="AM1175" s="175" t="s">
        <v>1086</v>
      </c>
    </row>
    <row r="1176" spans="1:39" s="121" customFormat="1" x14ac:dyDescent="0.3">
      <c r="A1176" s="175">
        <v>2017</v>
      </c>
      <c r="B1176" s="175" t="s">
        <v>38</v>
      </c>
      <c r="C1176" s="175" t="s">
        <v>54</v>
      </c>
      <c r="D1176" s="175" t="s">
        <v>55</v>
      </c>
      <c r="E1176" s="175" t="s">
        <v>56</v>
      </c>
      <c r="F1176" s="175" t="s">
        <v>776</v>
      </c>
      <c r="G1176" s="175" t="s">
        <v>776</v>
      </c>
      <c r="H1176" s="175" t="s">
        <v>776</v>
      </c>
      <c r="I1176" s="175" t="s">
        <v>1073</v>
      </c>
      <c r="J1176" s="175" t="s">
        <v>569</v>
      </c>
      <c r="K1176" s="175" t="s">
        <v>1085</v>
      </c>
      <c r="L1176" s="175" t="s">
        <v>776</v>
      </c>
      <c r="M1176" s="175" t="s">
        <v>46</v>
      </c>
      <c r="N1176" s="184">
        <v>0.02</v>
      </c>
      <c r="O1176" s="184" t="s">
        <v>173</v>
      </c>
      <c r="P1176" s="184" t="s">
        <v>51</v>
      </c>
      <c r="Q1176" s="191">
        <v>0</v>
      </c>
      <c r="R1176" s="191">
        <v>0</v>
      </c>
      <c r="S1176" s="192">
        <v>6000</v>
      </c>
      <c r="T1176" s="192">
        <f t="shared" si="277"/>
        <v>120</v>
      </c>
      <c r="U1176" s="192">
        <f t="shared" si="278"/>
        <v>6120</v>
      </c>
      <c r="V1176" s="192">
        <v>6000</v>
      </c>
      <c r="W1176" s="192">
        <f t="shared" si="279"/>
        <v>120</v>
      </c>
      <c r="X1176" s="192">
        <f t="shared" si="280"/>
        <v>117.64705882352941</v>
      </c>
      <c r="Y1176" s="192">
        <f t="shared" si="281"/>
        <v>2.3529411764705941</v>
      </c>
      <c r="Z1176" s="192">
        <v>6000</v>
      </c>
      <c r="AA1176" s="192">
        <f t="shared" si="282"/>
        <v>0</v>
      </c>
      <c r="AB1176" s="192">
        <f t="shared" si="283"/>
        <v>5882.3529411764703</v>
      </c>
      <c r="AC1176" s="192">
        <f t="shared" si="284"/>
        <v>117.64705882352973</v>
      </c>
      <c r="AD1176" s="192">
        <f t="shared" si="285"/>
        <v>3812.6267583164818</v>
      </c>
      <c r="AE1176" s="192">
        <f t="shared" si="286"/>
        <v>4520.1508120062481</v>
      </c>
      <c r="AF1176" s="184">
        <v>0.08</v>
      </c>
      <c r="AG1176" s="192">
        <f t="shared" si="287"/>
        <v>361.61206496049988</v>
      </c>
      <c r="AH1176" s="192">
        <f t="shared" si="288"/>
        <v>243.96500613697015</v>
      </c>
      <c r="AI1176" s="192"/>
      <c r="AJ1176" s="192"/>
      <c r="AK1176" s="203" t="s">
        <v>173</v>
      </c>
      <c r="AL1176" s="175"/>
      <c r="AM1176" s="175"/>
    </row>
    <row r="1177" spans="1:39" s="121" customFormat="1" x14ac:dyDescent="0.3">
      <c r="A1177" s="175">
        <v>2017</v>
      </c>
      <c r="B1177" s="175" t="s">
        <v>38</v>
      </c>
      <c r="C1177" s="175" t="s">
        <v>110</v>
      </c>
      <c r="D1177" s="175" t="s">
        <v>111</v>
      </c>
      <c r="E1177" s="175" t="s">
        <v>281</v>
      </c>
      <c r="F1177" s="175" t="s">
        <v>1087</v>
      </c>
      <c r="G1177" s="175" t="s">
        <v>1087</v>
      </c>
      <c r="H1177" s="175" t="s">
        <v>1087</v>
      </c>
      <c r="I1177" s="175" t="s">
        <v>1073</v>
      </c>
      <c r="J1177" s="175" t="s">
        <v>569</v>
      </c>
      <c r="K1177" s="175" t="s">
        <v>1085</v>
      </c>
      <c r="L1177" s="175" t="s">
        <v>1088</v>
      </c>
      <c r="M1177" s="175" t="s">
        <v>46</v>
      </c>
      <c r="N1177" s="184">
        <v>0.02</v>
      </c>
      <c r="O1177" s="184" t="s">
        <v>173</v>
      </c>
      <c r="P1177" s="184" t="s">
        <v>51</v>
      </c>
      <c r="Q1177" s="191">
        <v>0</v>
      </c>
      <c r="R1177" s="191">
        <v>0</v>
      </c>
      <c r="S1177" s="192">
        <v>20000</v>
      </c>
      <c r="T1177" s="192">
        <v>400</v>
      </c>
      <c r="U1177" s="192">
        <v>20400</v>
      </c>
      <c r="V1177" s="192">
        <v>10200</v>
      </c>
      <c r="W1177" s="192">
        <f t="shared" si="279"/>
        <v>10200</v>
      </c>
      <c r="X1177" s="192">
        <f t="shared" si="280"/>
        <v>10000</v>
      </c>
      <c r="Y1177" s="192">
        <f t="shared" si="281"/>
        <v>200</v>
      </c>
      <c r="Z1177" s="192">
        <v>10200</v>
      </c>
      <c r="AA1177" s="192">
        <f t="shared" si="282"/>
        <v>0</v>
      </c>
      <c r="AB1177" s="192">
        <f t="shared" si="283"/>
        <v>10000</v>
      </c>
      <c r="AC1177" s="192">
        <f t="shared" si="284"/>
        <v>200</v>
      </c>
      <c r="AD1177" s="192">
        <f t="shared" si="285"/>
        <v>6481.4654891380187</v>
      </c>
      <c r="AE1177" s="192">
        <f t="shared" si="286"/>
        <v>7684.2563804106212</v>
      </c>
      <c r="AF1177" s="184">
        <v>0.08</v>
      </c>
      <c r="AG1177" s="192">
        <f t="shared" si="287"/>
        <v>614.74051043284976</v>
      </c>
      <c r="AH1177" s="192">
        <f t="shared" si="288"/>
        <v>414.74051043284976</v>
      </c>
      <c r="AI1177" s="192"/>
      <c r="AJ1177" s="192"/>
      <c r="AK1177" s="203" t="s">
        <v>173</v>
      </c>
      <c r="AL1177" s="175" t="s">
        <v>1089</v>
      </c>
      <c r="AM1177" s="175"/>
    </row>
    <row r="1178" spans="1:39" s="121" customFormat="1" x14ac:dyDescent="0.3">
      <c r="A1178" s="177">
        <v>2017</v>
      </c>
      <c r="B1178" s="177" t="s">
        <v>38</v>
      </c>
      <c r="C1178" s="177" t="s">
        <v>110</v>
      </c>
      <c r="D1178" s="177" t="s">
        <v>111</v>
      </c>
      <c r="E1178" s="177" t="s">
        <v>281</v>
      </c>
      <c r="F1178" s="177" t="s">
        <v>1087</v>
      </c>
      <c r="G1178" s="177" t="s">
        <v>1087</v>
      </c>
      <c r="H1178" s="177" t="s">
        <v>1087</v>
      </c>
      <c r="I1178" s="175" t="s">
        <v>1073</v>
      </c>
      <c r="J1178" s="185" t="s">
        <v>569</v>
      </c>
      <c r="K1178" s="177" t="s">
        <v>1085</v>
      </c>
      <c r="L1178" s="177" t="s">
        <v>1090</v>
      </c>
      <c r="M1178" s="175" t="s">
        <v>46</v>
      </c>
      <c r="N1178" s="184">
        <v>0.02</v>
      </c>
      <c r="O1178" s="184" t="s">
        <v>173</v>
      </c>
      <c r="P1178" s="184" t="s">
        <v>51</v>
      </c>
      <c r="Q1178" s="191">
        <v>0</v>
      </c>
      <c r="R1178" s="191">
        <v>0</v>
      </c>
      <c r="S1178" s="192">
        <v>9804</v>
      </c>
      <c r="T1178" s="192">
        <f>U1178-S1178</f>
        <v>196</v>
      </c>
      <c r="U1178" s="192">
        <v>10000</v>
      </c>
      <c r="V1178" s="192">
        <v>10000</v>
      </c>
      <c r="W1178" s="192">
        <v>0</v>
      </c>
      <c r="X1178" s="192">
        <f t="shared" si="280"/>
        <v>0</v>
      </c>
      <c r="Y1178" s="192">
        <v>0</v>
      </c>
      <c r="Z1178" s="192">
        <v>498</v>
      </c>
      <c r="AA1178" s="192">
        <f t="shared" si="282"/>
        <v>9502</v>
      </c>
      <c r="AB1178" s="192">
        <f t="shared" si="283"/>
        <v>488.23529411764707</v>
      </c>
      <c r="AC1178" s="192">
        <f t="shared" si="284"/>
        <v>9.7647058823529278</v>
      </c>
      <c r="AD1178" s="192">
        <f t="shared" si="285"/>
        <v>316.44802094026795</v>
      </c>
      <c r="AE1178" s="192">
        <f t="shared" si="286"/>
        <v>375.17251739651857</v>
      </c>
      <c r="AF1178" s="184">
        <v>0.08</v>
      </c>
      <c r="AG1178" s="192">
        <f t="shared" si="287"/>
        <v>30.013801391721486</v>
      </c>
      <c r="AH1178" s="192">
        <f t="shared" si="288"/>
        <v>20.249095509368559</v>
      </c>
      <c r="AI1178" s="192"/>
      <c r="AJ1178" s="192"/>
      <c r="AK1178" s="203"/>
      <c r="AL1178" s="175"/>
      <c r="AM1178" s="175"/>
    </row>
    <row r="1179" spans="1:39" s="121" customFormat="1" x14ac:dyDescent="0.3">
      <c r="A1179" s="175">
        <v>2017</v>
      </c>
      <c r="B1179" s="175" t="s">
        <v>199</v>
      </c>
      <c r="C1179" s="175" t="s">
        <v>39</v>
      </c>
      <c r="D1179" s="175" t="s">
        <v>81</v>
      </c>
      <c r="E1179" s="175" t="s">
        <v>41</v>
      </c>
      <c r="F1179" s="175" t="s">
        <v>1054</v>
      </c>
      <c r="G1179" s="175" t="s">
        <v>1055</v>
      </c>
      <c r="H1179" s="119" t="s">
        <v>1056</v>
      </c>
      <c r="I1179" s="175" t="s">
        <v>1073</v>
      </c>
      <c r="J1179" s="175" t="s">
        <v>569</v>
      </c>
      <c r="K1179" s="175" t="s">
        <v>1085</v>
      </c>
      <c r="L1179" s="175" t="s">
        <v>1054</v>
      </c>
      <c r="M1179" s="175" t="s">
        <v>46</v>
      </c>
      <c r="N1179" s="184">
        <v>0.02</v>
      </c>
      <c r="O1179" s="184" t="s">
        <v>173</v>
      </c>
      <c r="P1179" s="184" t="s">
        <v>51</v>
      </c>
      <c r="Q1179" s="191">
        <v>0</v>
      </c>
      <c r="R1179" s="191">
        <v>0</v>
      </c>
      <c r="S1179" s="192">
        <v>10000</v>
      </c>
      <c r="T1179" s="192">
        <f t="shared" si="277"/>
        <v>200</v>
      </c>
      <c r="U1179" s="192">
        <f t="shared" si="278"/>
        <v>10200</v>
      </c>
      <c r="V1179" s="192">
        <v>10200</v>
      </c>
      <c r="W1179" s="192">
        <f t="shared" ref="W1179:W1189" si="289">U1179-V1179</f>
        <v>0</v>
      </c>
      <c r="X1179" s="192">
        <f t="shared" si="280"/>
        <v>0</v>
      </c>
      <c r="Y1179" s="192">
        <f t="shared" ref="Y1179:Y1189" si="290">W1179-X1179</f>
        <v>0</v>
      </c>
      <c r="Z1179" s="192">
        <v>5611.79</v>
      </c>
      <c r="AA1179" s="192">
        <f t="shared" si="282"/>
        <v>4588.21</v>
      </c>
      <c r="AB1179" s="192">
        <f t="shared" si="283"/>
        <v>5501.7549019607841</v>
      </c>
      <c r="AC1179" s="192">
        <f t="shared" si="284"/>
        <v>110.03509803921588</v>
      </c>
      <c r="AD1179" s="192">
        <f t="shared" si="285"/>
        <v>3565.9434526754749</v>
      </c>
      <c r="AE1179" s="192">
        <f t="shared" si="286"/>
        <v>4227.6895208847563</v>
      </c>
      <c r="AF1179" s="184">
        <v>0.08</v>
      </c>
      <c r="AG1179" s="192">
        <f t="shared" si="287"/>
        <v>338.2151616707805</v>
      </c>
      <c r="AH1179" s="192">
        <f t="shared" si="288"/>
        <v>228.18006363156462</v>
      </c>
      <c r="AI1179" s="192"/>
      <c r="AJ1179" s="192"/>
      <c r="AK1179" s="203" t="s">
        <v>173</v>
      </c>
      <c r="AL1179" s="175"/>
      <c r="AM1179" s="175"/>
    </row>
    <row r="1180" spans="1:39" s="121" customFormat="1" x14ac:dyDescent="0.3">
      <c r="A1180" s="175">
        <v>2017</v>
      </c>
      <c r="B1180" s="175" t="s">
        <v>333</v>
      </c>
      <c r="C1180" s="175" t="s">
        <v>54</v>
      </c>
      <c r="D1180" s="175" t="s">
        <v>55</v>
      </c>
      <c r="E1180" s="175" t="s">
        <v>64</v>
      </c>
      <c r="F1180" s="175" t="s">
        <v>376</v>
      </c>
      <c r="G1180" s="175" t="s">
        <v>794</v>
      </c>
      <c r="H1180" s="175" t="s">
        <v>794</v>
      </c>
      <c r="I1180" s="175" t="s">
        <v>1073</v>
      </c>
      <c r="J1180" s="175" t="s">
        <v>569</v>
      </c>
      <c r="K1180" s="175" t="s">
        <v>1085</v>
      </c>
      <c r="L1180" s="175" t="s">
        <v>376</v>
      </c>
      <c r="M1180" s="175" t="s">
        <v>46</v>
      </c>
      <c r="N1180" s="184">
        <v>0.02</v>
      </c>
      <c r="O1180" s="184" t="s">
        <v>173</v>
      </c>
      <c r="P1180" s="184" t="s">
        <v>51</v>
      </c>
      <c r="Q1180" s="191">
        <v>0</v>
      </c>
      <c r="R1180" s="191">
        <v>0</v>
      </c>
      <c r="S1180" s="192">
        <v>10000</v>
      </c>
      <c r="T1180" s="192">
        <f t="shared" si="277"/>
        <v>200</v>
      </c>
      <c r="U1180" s="192">
        <f t="shared" si="278"/>
        <v>10200</v>
      </c>
      <c r="V1180" s="192">
        <v>10000</v>
      </c>
      <c r="W1180" s="192">
        <f t="shared" si="289"/>
        <v>200</v>
      </c>
      <c r="X1180" s="192">
        <f t="shared" si="280"/>
        <v>196.07843137254901</v>
      </c>
      <c r="Y1180" s="192">
        <f t="shared" si="290"/>
        <v>3.9215686274509949</v>
      </c>
      <c r="Z1180" s="192">
        <v>10000</v>
      </c>
      <c r="AA1180" s="192">
        <f t="shared" si="282"/>
        <v>0</v>
      </c>
      <c r="AB1180" s="192">
        <f t="shared" si="283"/>
        <v>9803.9215686274511</v>
      </c>
      <c r="AC1180" s="192">
        <f t="shared" si="284"/>
        <v>196.07843137254895</v>
      </c>
      <c r="AD1180" s="192">
        <f t="shared" si="285"/>
        <v>6354.3779305274693</v>
      </c>
      <c r="AE1180" s="192">
        <f t="shared" si="286"/>
        <v>7533.5846866770798</v>
      </c>
      <c r="AF1180" s="184">
        <v>0.08</v>
      </c>
      <c r="AG1180" s="192">
        <f t="shared" si="287"/>
        <v>602.68677493416635</v>
      </c>
      <c r="AH1180" s="192">
        <f t="shared" si="288"/>
        <v>406.6083435616174</v>
      </c>
      <c r="AI1180" s="192"/>
      <c r="AJ1180" s="192"/>
      <c r="AK1180" s="203" t="s">
        <v>173</v>
      </c>
      <c r="AL1180" s="175"/>
      <c r="AM1180" s="175"/>
    </row>
    <row r="1181" spans="1:39" s="121" customFormat="1" x14ac:dyDescent="0.3">
      <c r="A1181" s="175">
        <v>2017</v>
      </c>
      <c r="B1181" s="175" t="s">
        <v>38</v>
      </c>
      <c r="C1181" s="175" t="s">
        <v>110</v>
      </c>
      <c r="D1181" s="175" t="s">
        <v>111</v>
      </c>
      <c r="E1181" s="175" t="s">
        <v>281</v>
      </c>
      <c r="F1181" s="175" t="s">
        <v>895</v>
      </c>
      <c r="G1181" s="175" t="s">
        <v>895</v>
      </c>
      <c r="H1181" s="175" t="s">
        <v>895</v>
      </c>
      <c r="I1181" s="175" t="s">
        <v>1073</v>
      </c>
      <c r="J1181" s="175" t="s">
        <v>569</v>
      </c>
      <c r="K1181" s="175" t="s">
        <v>1085</v>
      </c>
      <c r="L1181" s="175" t="s">
        <v>895</v>
      </c>
      <c r="M1181" s="175" t="s">
        <v>46</v>
      </c>
      <c r="N1181" s="184">
        <v>0.02</v>
      </c>
      <c r="O1181" s="184">
        <v>0.02</v>
      </c>
      <c r="P1181" s="184" t="s">
        <v>51</v>
      </c>
      <c r="Q1181" s="191">
        <v>53846.2</v>
      </c>
      <c r="R1181" s="191">
        <v>0</v>
      </c>
      <c r="S1181" s="192">
        <v>120000</v>
      </c>
      <c r="T1181" s="192">
        <f t="shared" si="277"/>
        <v>2400</v>
      </c>
      <c r="U1181" s="192">
        <f t="shared" si="278"/>
        <v>122400</v>
      </c>
      <c r="V1181" s="192">
        <v>122400</v>
      </c>
      <c r="W1181" s="192">
        <f t="shared" si="289"/>
        <v>0</v>
      </c>
      <c r="X1181" s="192">
        <f t="shared" si="280"/>
        <v>0</v>
      </c>
      <c r="Y1181" s="192">
        <f t="shared" si="290"/>
        <v>0</v>
      </c>
      <c r="Z1181" s="192">
        <v>165952.53000000003</v>
      </c>
      <c r="AA1181" s="192">
        <f t="shared" si="282"/>
        <v>10293.669999999984</v>
      </c>
      <c r="AB1181" s="192">
        <v>120000</v>
      </c>
      <c r="AC1181" s="192">
        <f t="shared" si="284"/>
        <v>45952.530000000028</v>
      </c>
      <c r="AD1181" s="192">
        <f t="shared" si="285"/>
        <v>105452.5094147198</v>
      </c>
      <c r="AE1181" s="192">
        <f t="shared" si="286"/>
        <v>125021.74387233188</v>
      </c>
      <c r="AF1181" s="184">
        <v>0.08</v>
      </c>
      <c r="AG1181" s="192">
        <f t="shared" si="287"/>
        <v>10001.73950978655</v>
      </c>
      <c r="AH1181" s="192">
        <f t="shared" si="288"/>
        <v>-35950.790490213476</v>
      </c>
      <c r="AI1181" s="192"/>
      <c r="AJ1181" s="192"/>
      <c r="AK1181" s="203" t="s">
        <v>1091</v>
      </c>
      <c r="AL1181" s="175"/>
      <c r="AM1181" s="175"/>
    </row>
    <row r="1182" spans="1:39" s="121" customFormat="1" x14ac:dyDescent="0.3">
      <c r="A1182" s="175">
        <v>2017</v>
      </c>
      <c r="B1182" s="175" t="s">
        <v>252</v>
      </c>
      <c r="C1182" s="175" t="s">
        <v>110</v>
      </c>
      <c r="D1182" s="175" t="s">
        <v>111</v>
      </c>
      <c r="E1182" s="175" t="s">
        <v>112</v>
      </c>
      <c r="F1182" s="175" t="s">
        <v>1092</v>
      </c>
      <c r="G1182" s="175" t="s">
        <v>1093</v>
      </c>
      <c r="H1182" s="175" t="s">
        <v>1093</v>
      </c>
      <c r="I1182" s="175" t="s">
        <v>1073</v>
      </c>
      <c r="J1182" s="175" t="s">
        <v>569</v>
      </c>
      <c r="K1182" s="175" t="s">
        <v>1085</v>
      </c>
      <c r="L1182" s="175" t="s">
        <v>1092</v>
      </c>
      <c r="M1182" s="175" t="s">
        <v>46</v>
      </c>
      <c r="N1182" s="184">
        <v>0</v>
      </c>
      <c r="O1182" s="184" t="s">
        <v>47</v>
      </c>
      <c r="P1182" s="184" t="s">
        <v>47</v>
      </c>
      <c r="Q1182" s="191">
        <v>22000</v>
      </c>
      <c r="R1182" s="191">
        <v>0</v>
      </c>
      <c r="S1182" s="192">
        <v>110000</v>
      </c>
      <c r="T1182" s="192">
        <f t="shared" si="277"/>
        <v>0</v>
      </c>
      <c r="U1182" s="192">
        <f t="shared" si="278"/>
        <v>110000</v>
      </c>
      <c r="V1182" s="192">
        <v>110000</v>
      </c>
      <c r="W1182" s="192">
        <f t="shared" si="289"/>
        <v>0</v>
      </c>
      <c r="X1182" s="192">
        <f t="shared" si="280"/>
        <v>0</v>
      </c>
      <c r="Y1182" s="192">
        <f t="shared" si="290"/>
        <v>0</v>
      </c>
      <c r="Z1182" s="192">
        <v>132000</v>
      </c>
      <c r="AA1182" s="192">
        <f t="shared" si="282"/>
        <v>0</v>
      </c>
      <c r="AB1182" s="192">
        <f>IF(P1182="返货",(Z1182-Q1182)/(1+N1182),IF(P1182="返现",Z1182,IF(P1182="折扣",Z1182*N1182,IF(P1182="无",(Z1182-Q1182)))))</f>
        <v>110000</v>
      </c>
      <c r="AC1182" s="192">
        <f t="shared" si="284"/>
        <v>22000</v>
      </c>
      <c r="AD1182" s="192">
        <f t="shared" si="285"/>
        <v>83877.788682962593</v>
      </c>
      <c r="AE1182" s="192">
        <f t="shared" si="286"/>
        <v>99443.317864137454</v>
      </c>
      <c r="AF1182" s="184">
        <v>0.08</v>
      </c>
      <c r="AG1182" s="192">
        <f t="shared" si="287"/>
        <v>7955.4654291309962</v>
      </c>
      <c r="AH1182" s="192">
        <f t="shared" si="288"/>
        <v>-14044.534570869004</v>
      </c>
      <c r="AI1182" s="192"/>
      <c r="AJ1182" s="192"/>
      <c r="AK1182" s="203" t="s">
        <v>47</v>
      </c>
      <c r="AL1182" s="175"/>
      <c r="AM1182" s="175"/>
    </row>
    <row r="1183" spans="1:39" s="121" customFormat="1" x14ac:dyDescent="0.3">
      <c r="A1183" s="175">
        <v>2017</v>
      </c>
      <c r="B1183" s="175" t="s">
        <v>38</v>
      </c>
      <c r="C1183" s="175" t="s">
        <v>54</v>
      </c>
      <c r="D1183" s="175" t="s">
        <v>55</v>
      </c>
      <c r="E1183" s="175" t="s">
        <v>64</v>
      </c>
      <c r="F1183" s="175" t="s">
        <v>1094</v>
      </c>
      <c r="G1183" s="175" t="s">
        <v>1094</v>
      </c>
      <c r="H1183" s="175" t="s">
        <v>1094</v>
      </c>
      <c r="I1183" s="175" t="s">
        <v>1073</v>
      </c>
      <c r="J1183" s="175" t="s">
        <v>569</v>
      </c>
      <c r="K1183" s="175" t="s">
        <v>1085</v>
      </c>
      <c r="L1183" s="175" t="s">
        <v>1094</v>
      </c>
      <c r="M1183" s="175" t="s">
        <v>46</v>
      </c>
      <c r="N1183" s="184">
        <v>0.02</v>
      </c>
      <c r="O1183" s="184" t="s">
        <v>173</v>
      </c>
      <c r="P1183" s="184" t="s">
        <v>51</v>
      </c>
      <c r="Q1183" s="191">
        <v>0</v>
      </c>
      <c r="R1183" s="191">
        <v>0</v>
      </c>
      <c r="S1183" s="192">
        <v>10000</v>
      </c>
      <c r="T1183" s="192">
        <f t="shared" si="277"/>
        <v>200</v>
      </c>
      <c r="U1183" s="192">
        <f t="shared" si="278"/>
        <v>10200</v>
      </c>
      <c r="V1183" s="192">
        <v>10000</v>
      </c>
      <c r="W1183" s="192">
        <f t="shared" si="289"/>
        <v>200</v>
      </c>
      <c r="X1183" s="192">
        <f t="shared" si="280"/>
        <v>196.07843137254901</v>
      </c>
      <c r="Y1183" s="192">
        <f t="shared" si="290"/>
        <v>3.9215686274509949</v>
      </c>
      <c r="Z1183" s="192">
        <v>10000</v>
      </c>
      <c r="AA1183" s="192">
        <f t="shared" si="282"/>
        <v>0</v>
      </c>
      <c r="AB1183" s="192">
        <f t="shared" ref="AB1183:AB1185" si="291">IF(P1183="返货",Z1183/(1+N1183),IF(P1183="返现",Z1183,IF(P1183="折扣",Z1183*N1183,IF(P1183="无",Z1183))))</f>
        <v>9803.9215686274511</v>
      </c>
      <c r="AC1183" s="192">
        <f t="shared" si="284"/>
        <v>196.07843137254895</v>
      </c>
      <c r="AD1183" s="192">
        <f t="shared" si="285"/>
        <v>6354.3779305274693</v>
      </c>
      <c r="AE1183" s="192">
        <f t="shared" si="286"/>
        <v>7533.5846866770798</v>
      </c>
      <c r="AF1183" s="184">
        <v>0.08</v>
      </c>
      <c r="AG1183" s="192">
        <f t="shared" si="287"/>
        <v>602.68677493416635</v>
      </c>
      <c r="AH1183" s="192">
        <f t="shared" si="288"/>
        <v>406.6083435616174</v>
      </c>
      <c r="AI1183" s="192"/>
      <c r="AJ1183" s="192"/>
      <c r="AK1183" s="203" t="s">
        <v>173</v>
      </c>
      <c r="AL1183" s="175"/>
      <c r="AM1183" s="175"/>
    </row>
    <row r="1184" spans="1:39" s="121" customFormat="1" x14ac:dyDescent="0.3">
      <c r="A1184" s="175">
        <v>2017</v>
      </c>
      <c r="B1184" s="175" t="s">
        <v>38</v>
      </c>
      <c r="C1184" s="175" t="s">
        <v>59</v>
      </c>
      <c r="D1184" s="175" t="s">
        <v>60</v>
      </c>
      <c r="E1184" s="175" t="s">
        <v>190</v>
      </c>
      <c r="F1184" s="175" t="s">
        <v>478</v>
      </c>
      <c r="G1184" s="175" t="s">
        <v>478</v>
      </c>
      <c r="H1184" s="175" t="s">
        <v>478</v>
      </c>
      <c r="I1184" s="175" t="s">
        <v>1073</v>
      </c>
      <c r="J1184" s="175" t="s">
        <v>569</v>
      </c>
      <c r="K1184" s="175" t="s">
        <v>1085</v>
      </c>
      <c r="L1184" s="175" t="s">
        <v>478</v>
      </c>
      <c r="M1184" s="175" t="s">
        <v>46</v>
      </c>
      <c r="N1184" s="184">
        <v>0.05</v>
      </c>
      <c r="O1184" s="184" t="s">
        <v>63</v>
      </c>
      <c r="P1184" s="184" t="s">
        <v>51</v>
      </c>
      <c r="Q1184" s="191">
        <v>0</v>
      </c>
      <c r="R1184" s="191">
        <v>0</v>
      </c>
      <c r="S1184" s="192">
        <v>430000</v>
      </c>
      <c r="T1184" s="192">
        <f t="shared" si="277"/>
        <v>21500</v>
      </c>
      <c r="U1184" s="192">
        <f t="shared" si="278"/>
        <v>451500</v>
      </c>
      <c r="V1184" s="192">
        <v>446317</v>
      </c>
      <c r="W1184" s="192">
        <f t="shared" si="289"/>
        <v>5183</v>
      </c>
      <c r="X1184" s="192">
        <f t="shared" si="280"/>
        <v>4936.1904761904761</v>
      </c>
      <c r="Y1184" s="192">
        <f t="shared" si="290"/>
        <v>246.80952380952385</v>
      </c>
      <c r="Z1184" s="192">
        <v>403175.07</v>
      </c>
      <c r="AA1184" s="192">
        <f t="shared" si="282"/>
        <v>43141.929999999993</v>
      </c>
      <c r="AB1184" s="192">
        <f t="shared" si="291"/>
        <v>383976.25714285712</v>
      </c>
      <c r="AC1184" s="192">
        <f t="shared" si="284"/>
        <v>19198.812857142882</v>
      </c>
      <c r="AD1184" s="192">
        <f t="shared" si="285"/>
        <v>256192.67669468676</v>
      </c>
      <c r="AE1184" s="192">
        <f t="shared" si="286"/>
        <v>303735.35334019596</v>
      </c>
      <c r="AF1184" s="184">
        <v>0.08</v>
      </c>
      <c r="AG1184" s="192">
        <f t="shared" si="287"/>
        <v>24298.828267215678</v>
      </c>
      <c r="AH1184" s="192">
        <f t="shared" si="288"/>
        <v>5100.0154100727959</v>
      </c>
      <c r="AI1184" s="192"/>
      <c r="AJ1184" s="192"/>
      <c r="AK1184" s="203" t="s">
        <v>63</v>
      </c>
      <c r="AL1184" s="175"/>
      <c r="AM1184" s="175"/>
    </row>
    <row r="1185" spans="1:39" s="121" customFormat="1" x14ac:dyDescent="0.3">
      <c r="A1185" s="175">
        <v>2017</v>
      </c>
      <c r="B1185" s="175" t="s">
        <v>38</v>
      </c>
      <c r="C1185" s="175" t="s">
        <v>110</v>
      </c>
      <c r="D1185" s="175" t="s">
        <v>111</v>
      </c>
      <c r="E1185" s="175" t="s">
        <v>112</v>
      </c>
      <c r="F1185" s="175" t="s">
        <v>113</v>
      </c>
      <c r="G1185" s="175" t="s">
        <v>113</v>
      </c>
      <c r="H1185" s="175" t="s">
        <v>113</v>
      </c>
      <c r="I1185" s="175" t="s">
        <v>1073</v>
      </c>
      <c r="J1185" s="175" t="s">
        <v>569</v>
      </c>
      <c r="K1185" s="175" t="s">
        <v>1085</v>
      </c>
      <c r="L1185" s="175" t="s">
        <v>248</v>
      </c>
      <c r="M1185" s="175" t="s">
        <v>46</v>
      </c>
      <c r="N1185" s="184">
        <v>0.02</v>
      </c>
      <c r="O1185" s="184">
        <v>0.02</v>
      </c>
      <c r="P1185" s="184" t="s">
        <v>51</v>
      </c>
      <c r="Q1185" s="191">
        <v>0</v>
      </c>
      <c r="R1185" s="191">
        <v>0</v>
      </c>
      <c r="S1185" s="192">
        <v>1080000</v>
      </c>
      <c r="T1185" s="192">
        <f t="shared" si="277"/>
        <v>21600</v>
      </c>
      <c r="U1185" s="192">
        <f t="shared" si="278"/>
        <v>1101600</v>
      </c>
      <c r="V1185" s="192">
        <v>999600</v>
      </c>
      <c r="W1185" s="192">
        <f t="shared" si="289"/>
        <v>102000</v>
      </c>
      <c r="X1185" s="192">
        <f t="shared" si="280"/>
        <v>100000</v>
      </c>
      <c r="Y1185" s="192">
        <f t="shared" si="290"/>
        <v>2000</v>
      </c>
      <c r="Z1185" s="192">
        <v>951278.55</v>
      </c>
      <c r="AA1185" s="192">
        <f t="shared" si="282"/>
        <v>48321.449999999953</v>
      </c>
      <c r="AB1185" s="192">
        <f t="shared" si="291"/>
        <v>932626.0294117647</v>
      </c>
      <c r="AC1185" s="192">
        <f t="shared" si="284"/>
        <v>18652.520588235348</v>
      </c>
      <c r="AD1185" s="192">
        <f t="shared" si="285"/>
        <v>604478.34239041724</v>
      </c>
      <c r="AE1185" s="192">
        <f t="shared" si="286"/>
        <v>716653.75170443766</v>
      </c>
      <c r="AF1185" s="184">
        <v>0.08</v>
      </c>
      <c r="AG1185" s="192">
        <f t="shared" si="287"/>
        <v>57332.300136355014</v>
      </c>
      <c r="AH1185" s="192">
        <f t="shared" si="288"/>
        <v>38679.779548119666</v>
      </c>
      <c r="AI1185" s="192"/>
      <c r="AJ1185" s="192"/>
      <c r="AK1185" s="203" t="s">
        <v>1091</v>
      </c>
      <c r="AL1185" s="175"/>
      <c r="AM1185" s="175"/>
    </row>
    <row r="1186" spans="1:39" s="121" customFormat="1" ht="13.5" customHeight="1" x14ac:dyDescent="0.3">
      <c r="A1186" s="175">
        <v>2017</v>
      </c>
      <c r="B1186" s="175" t="s">
        <v>252</v>
      </c>
      <c r="C1186" s="175" t="s">
        <v>110</v>
      </c>
      <c r="D1186" s="175" t="s">
        <v>111</v>
      </c>
      <c r="E1186" s="175" t="s">
        <v>112</v>
      </c>
      <c r="F1186" s="175" t="s">
        <v>1095</v>
      </c>
      <c r="G1186" s="175" t="s">
        <v>1096</v>
      </c>
      <c r="H1186" s="175" t="s">
        <v>1096</v>
      </c>
      <c r="I1186" s="175" t="s">
        <v>1073</v>
      </c>
      <c r="J1186" s="175" t="s">
        <v>569</v>
      </c>
      <c r="K1186" s="175" t="s">
        <v>1085</v>
      </c>
      <c r="L1186" s="175" t="s">
        <v>1095</v>
      </c>
      <c r="M1186" s="175" t="s">
        <v>160</v>
      </c>
      <c r="N1186" s="184">
        <v>0.08</v>
      </c>
      <c r="O1186" s="184">
        <v>0.08</v>
      </c>
      <c r="P1186" s="184" t="s">
        <v>51</v>
      </c>
      <c r="Q1186" s="191">
        <v>180000</v>
      </c>
      <c r="R1186" s="191">
        <v>0</v>
      </c>
      <c r="S1186" s="192">
        <v>965000</v>
      </c>
      <c r="T1186" s="192">
        <f t="shared" si="277"/>
        <v>77200</v>
      </c>
      <c r="U1186" s="192">
        <f t="shared" si="278"/>
        <v>1042200</v>
      </c>
      <c r="V1186" s="192">
        <v>965000</v>
      </c>
      <c r="W1186" s="192">
        <f t="shared" si="289"/>
        <v>77200</v>
      </c>
      <c r="X1186" s="192">
        <f t="shared" si="280"/>
        <v>71481.481481481474</v>
      </c>
      <c r="Y1186" s="192">
        <f t="shared" si="290"/>
        <v>5718.5185185185255</v>
      </c>
      <c r="Z1186" s="192">
        <v>1145000</v>
      </c>
      <c r="AA1186" s="192">
        <f t="shared" si="282"/>
        <v>0</v>
      </c>
      <c r="AB1186" s="192">
        <f>IF(P1186="返货",(Z1186-Q1186)/(1+N1186),IF(P1186="返现",Z1186,IF(P1186="折扣",Z1186*N1186,IF(P1186="无",Z1186))))</f>
        <v>893518.51851851842</v>
      </c>
      <c r="AC1186" s="192">
        <f t="shared" si="284"/>
        <v>251481.48148148158</v>
      </c>
      <c r="AD1186" s="192">
        <f t="shared" si="285"/>
        <v>727576.27304539527</v>
      </c>
      <c r="AE1186" s="192">
        <f t="shared" si="286"/>
        <v>862595.44662452559</v>
      </c>
      <c r="AF1186" s="184">
        <v>0.08</v>
      </c>
      <c r="AG1186" s="192">
        <f t="shared" si="287"/>
        <v>69007.635729962043</v>
      </c>
      <c r="AH1186" s="192">
        <f t="shared" si="288"/>
        <v>-182473.84575151955</v>
      </c>
      <c r="AI1186" s="192"/>
      <c r="AJ1186" s="192"/>
      <c r="AK1186" s="203" t="s">
        <v>53</v>
      </c>
      <c r="AL1186" s="175"/>
      <c r="AM1186" s="175"/>
    </row>
    <row r="1187" spans="1:39" s="121" customFormat="1" x14ac:dyDescent="0.3">
      <c r="A1187" s="175">
        <v>2017</v>
      </c>
      <c r="B1187" s="175" t="s">
        <v>252</v>
      </c>
      <c r="C1187" s="175" t="s">
        <v>110</v>
      </c>
      <c r="D1187" s="175" t="s">
        <v>111</v>
      </c>
      <c r="E1187" s="175" t="s">
        <v>112</v>
      </c>
      <c r="F1187" s="175" t="s">
        <v>1095</v>
      </c>
      <c r="G1187" s="175" t="s">
        <v>1096</v>
      </c>
      <c r="H1187" s="175" t="s">
        <v>1096</v>
      </c>
      <c r="I1187" s="175" t="s">
        <v>1073</v>
      </c>
      <c r="J1187" s="175" t="s">
        <v>569</v>
      </c>
      <c r="K1187" s="175" t="s">
        <v>1085</v>
      </c>
      <c r="L1187" s="175" t="s">
        <v>1095</v>
      </c>
      <c r="M1187" s="175" t="s">
        <v>46</v>
      </c>
      <c r="N1187" s="184">
        <v>0.08</v>
      </c>
      <c r="O1187" s="184" t="s">
        <v>53</v>
      </c>
      <c r="P1187" s="184" t="s">
        <v>51</v>
      </c>
      <c r="Q1187" s="191">
        <v>614273.54</v>
      </c>
      <c r="R1187" s="191"/>
      <c r="S1187" s="192">
        <v>0</v>
      </c>
      <c r="T1187" s="192">
        <f t="shared" si="277"/>
        <v>0</v>
      </c>
      <c r="U1187" s="192">
        <f t="shared" si="278"/>
        <v>0</v>
      </c>
      <c r="V1187" s="192">
        <v>0</v>
      </c>
      <c r="W1187" s="192">
        <f t="shared" si="289"/>
        <v>0</v>
      </c>
      <c r="X1187" s="192">
        <f t="shared" si="280"/>
        <v>0</v>
      </c>
      <c r="Y1187" s="192">
        <f t="shared" si="290"/>
        <v>0</v>
      </c>
      <c r="Z1187" s="192">
        <v>1242941.3500000001</v>
      </c>
      <c r="AA1187" s="192">
        <f t="shared" si="282"/>
        <v>-628667.81000000006</v>
      </c>
      <c r="AB1187" s="192">
        <f>IF(P1187="返货",(Z1187-Q1187)/(1+N1187),IF(P1187="返现",Z1187,IF(P1187="折扣",Z1187*N1187,IF(P1187="无",Z1187))))</f>
        <v>582099.82407407404</v>
      </c>
      <c r="AC1187" s="192">
        <f t="shared" si="284"/>
        <v>660841.52592592605</v>
      </c>
      <c r="AD1187" s="192">
        <f t="shared" si="285"/>
        <v>789811.90833800193</v>
      </c>
      <c r="AE1187" s="192">
        <f t="shared" si="286"/>
        <v>936380.39207977371</v>
      </c>
      <c r="AF1187" s="184">
        <v>0.08</v>
      </c>
      <c r="AG1187" s="192"/>
      <c r="AH1187" s="192"/>
      <c r="AI1187" s="192"/>
      <c r="AJ1187" s="192"/>
      <c r="AK1187" s="203"/>
      <c r="AL1187" s="175"/>
      <c r="AM1187" s="175"/>
    </row>
    <row r="1188" spans="1:39" s="121" customFormat="1" x14ac:dyDescent="0.3">
      <c r="A1188" s="175">
        <v>2017</v>
      </c>
      <c r="B1188" s="175" t="s">
        <v>38</v>
      </c>
      <c r="C1188" s="175" t="s">
        <v>39</v>
      </c>
      <c r="D1188" s="175" t="s">
        <v>40</v>
      </c>
      <c r="E1188" s="175" t="s">
        <v>48</v>
      </c>
      <c r="F1188" s="175" t="s">
        <v>127</v>
      </c>
      <c r="G1188" s="175" t="s">
        <v>127</v>
      </c>
      <c r="H1188" s="175" t="s">
        <v>127</v>
      </c>
      <c r="I1188" s="175" t="s">
        <v>1073</v>
      </c>
      <c r="J1188" s="175" t="s">
        <v>569</v>
      </c>
      <c r="K1188" s="175" t="s">
        <v>1085</v>
      </c>
      <c r="L1188" s="175" t="s">
        <v>127</v>
      </c>
      <c r="M1188" s="175" t="s">
        <v>46</v>
      </c>
      <c r="N1188" s="184">
        <v>0.02</v>
      </c>
      <c r="O1188" s="184">
        <v>0.02</v>
      </c>
      <c r="P1188" s="184" t="s">
        <v>51</v>
      </c>
      <c r="Q1188" s="191">
        <v>0</v>
      </c>
      <c r="R1188" s="191">
        <v>0</v>
      </c>
      <c r="S1188" s="192">
        <v>1550000</v>
      </c>
      <c r="T1188" s="192">
        <f t="shared" si="277"/>
        <v>31000</v>
      </c>
      <c r="U1188" s="192">
        <f t="shared" si="278"/>
        <v>1581000</v>
      </c>
      <c r="V1188" s="192">
        <v>1377000</v>
      </c>
      <c r="W1188" s="192">
        <f t="shared" si="289"/>
        <v>204000</v>
      </c>
      <c r="X1188" s="192">
        <f t="shared" si="280"/>
        <v>200000</v>
      </c>
      <c r="Y1188" s="192">
        <f t="shared" si="290"/>
        <v>4000</v>
      </c>
      <c r="Z1188" s="192">
        <v>647612.17000000004</v>
      </c>
      <c r="AA1188" s="192">
        <f t="shared" si="282"/>
        <v>729387.83</v>
      </c>
      <c r="AB1188" s="192">
        <f t="shared" ref="AB1188:AB1212" si="292">IF(P1188="返货",Z1188/(1+N1188),IF(P1188="返现",Z1188,IF(P1188="折扣",Z1188*N1188,IF(P1188="无",Z1188))))</f>
        <v>634913.89215686277</v>
      </c>
      <c r="AC1188" s="192">
        <f t="shared" si="284"/>
        <v>12698.277843137272</v>
      </c>
      <c r="AD1188" s="192">
        <f t="shared" si="285"/>
        <v>411517.24805890041</v>
      </c>
      <c r="AE1188" s="192">
        <f t="shared" si="286"/>
        <v>487884.1126817714</v>
      </c>
      <c r="AF1188" s="184">
        <v>0.08</v>
      </c>
      <c r="AG1188" s="192">
        <f t="shared" ref="AG1188:AG1222" si="293">AE1188*AF1188</f>
        <v>39030.729014541714</v>
      </c>
      <c r="AH1188" s="192">
        <f t="shared" ref="AH1188:AH1222" si="294">AB1188-Z1188+AG1188</f>
        <v>26332.451171404442</v>
      </c>
      <c r="AI1188" s="192"/>
      <c r="AJ1188" s="192"/>
      <c r="AK1188" s="203" t="s">
        <v>1091</v>
      </c>
      <c r="AL1188" s="175"/>
      <c r="AM1188" s="175"/>
    </row>
    <row r="1189" spans="1:39" s="121" customFormat="1" x14ac:dyDescent="0.3">
      <c r="A1189" s="175">
        <v>2017</v>
      </c>
      <c r="B1189" s="175" t="s">
        <v>38</v>
      </c>
      <c r="C1189" s="175" t="s">
        <v>88</v>
      </c>
      <c r="D1189" s="175" t="s">
        <v>128</v>
      </c>
      <c r="E1189" s="175" t="s">
        <v>194</v>
      </c>
      <c r="F1189" s="175" t="s">
        <v>608</v>
      </c>
      <c r="G1189" s="175" t="s">
        <v>608</v>
      </c>
      <c r="H1189" s="175" t="s">
        <v>608</v>
      </c>
      <c r="I1189" s="175" t="s">
        <v>1073</v>
      </c>
      <c r="J1189" s="175" t="s">
        <v>569</v>
      </c>
      <c r="K1189" s="175" t="s">
        <v>1085</v>
      </c>
      <c r="L1189" s="175" t="s">
        <v>608</v>
      </c>
      <c r="M1189" s="175" t="s">
        <v>46</v>
      </c>
      <c r="N1189" s="184">
        <v>0.02</v>
      </c>
      <c r="O1189" s="184">
        <v>0.02</v>
      </c>
      <c r="P1189" s="184" t="s">
        <v>51</v>
      </c>
      <c r="Q1189" s="191">
        <v>0</v>
      </c>
      <c r="R1189" s="191">
        <v>0</v>
      </c>
      <c r="S1189" s="192">
        <v>10000</v>
      </c>
      <c r="T1189" s="192">
        <f t="shared" si="277"/>
        <v>200</v>
      </c>
      <c r="U1189" s="192">
        <f t="shared" si="278"/>
        <v>10200</v>
      </c>
      <c r="V1189" s="192">
        <v>10200</v>
      </c>
      <c r="W1189" s="192">
        <f t="shared" si="289"/>
        <v>0</v>
      </c>
      <c r="X1189" s="192">
        <f t="shared" si="280"/>
        <v>0</v>
      </c>
      <c r="Y1189" s="192">
        <f t="shared" si="290"/>
        <v>0</v>
      </c>
      <c r="Z1189" s="192">
        <v>10200</v>
      </c>
      <c r="AA1189" s="192">
        <f t="shared" si="282"/>
        <v>0</v>
      </c>
      <c r="AB1189" s="192">
        <f t="shared" si="292"/>
        <v>10000</v>
      </c>
      <c r="AC1189" s="192">
        <f t="shared" si="284"/>
        <v>200</v>
      </c>
      <c r="AD1189" s="192">
        <f t="shared" si="285"/>
        <v>6481.4654891380187</v>
      </c>
      <c r="AE1189" s="192">
        <f t="shared" si="286"/>
        <v>7684.2563804106212</v>
      </c>
      <c r="AF1189" s="184">
        <v>0.08</v>
      </c>
      <c r="AG1189" s="192">
        <f t="shared" si="293"/>
        <v>614.74051043284976</v>
      </c>
      <c r="AH1189" s="192">
        <f t="shared" si="294"/>
        <v>414.74051043284976</v>
      </c>
      <c r="AI1189" s="192"/>
      <c r="AJ1189" s="192"/>
      <c r="AK1189" s="203" t="s">
        <v>1091</v>
      </c>
      <c r="AL1189" s="175"/>
      <c r="AM1189" s="175"/>
    </row>
    <row r="1190" spans="1:39" s="121" customFormat="1" x14ac:dyDescent="0.3">
      <c r="A1190" s="177">
        <v>2017</v>
      </c>
      <c r="B1190" s="177" t="s">
        <v>252</v>
      </c>
      <c r="C1190" s="177" t="s">
        <v>88</v>
      </c>
      <c r="D1190" s="177" t="s">
        <v>128</v>
      </c>
      <c r="E1190" s="177" t="s">
        <v>194</v>
      </c>
      <c r="F1190" s="177" t="s">
        <v>601</v>
      </c>
      <c r="G1190" s="177" t="s">
        <v>602</v>
      </c>
      <c r="H1190" s="177" t="s">
        <v>602</v>
      </c>
      <c r="I1190" s="175" t="s">
        <v>1073</v>
      </c>
      <c r="J1190" s="185" t="s">
        <v>569</v>
      </c>
      <c r="K1190" s="177" t="s">
        <v>1085</v>
      </c>
      <c r="L1190" s="177" t="s">
        <v>601</v>
      </c>
      <c r="M1190" s="177" t="s">
        <v>46</v>
      </c>
      <c r="N1190" s="186">
        <v>0</v>
      </c>
      <c r="O1190" s="184" t="s">
        <v>47</v>
      </c>
      <c r="P1190" s="184" t="s">
        <v>47</v>
      </c>
      <c r="Q1190" s="191">
        <v>0</v>
      </c>
      <c r="R1190" s="191">
        <v>0</v>
      </c>
      <c r="S1190" s="191">
        <v>300000</v>
      </c>
      <c r="T1190" s="191">
        <v>9000</v>
      </c>
      <c r="U1190" s="191">
        <v>309000</v>
      </c>
      <c r="V1190" s="191">
        <v>300000</v>
      </c>
      <c r="W1190" s="193">
        <v>9000</v>
      </c>
      <c r="X1190" s="193">
        <v>8737.8640776698994</v>
      </c>
      <c r="Y1190" s="193">
        <v>262.135922330097</v>
      </c>
      <c r="Z1190" s="191">
        <v>100663.14</v>
      </c>
      <c r="AA1190" s="197">
        <v>199336.86</v>
      </c>
      <c r="AB1190" s="192">
        <f t="shared" si="292"/>
        <v>100663.14</v>
      </c>
      <c r="AC1190" s="192">
        <f t="shared" si="284"/>
        <v>0</v>
      </c>
      <c r="AD1190" s="192">
        <f t="shared" si="285"/>
        <v>63965.16352335969</v>
      </c>
      <c r="AE1190" s="192">
        <f t="shared" si="286"/>
        <v>75835.429001683093</v>
      </c>
      <c r="AF1190" s="198">
        <v>0.08</v>
      </c>
      <c r="AG1190" s="191">
        <v>8053.0511999999999</v>
      </c>
      <c r="AH1190" s="191">
        <v>5121.1150834951404</v>
      </c>
      <c r="AI1190" s="177"/>
      <c r="AJ1190" s="177"/>
      <c r="AK1190" s="177" t="s">
        <v>47</v>
      </c>
      <c r="AL1190" s="177" t="s">
        <v>1097</v>
      </c>
      <c r="AM1190" s="177"/>
    </row>
    <row r="1191" spans="1:39" s="121" customFormat="1" x14ac:dyDescent="0.3">
      <c r="A1191" s="175">
        <v>2017</v>
      </c>
      <c r="B1191" s="175" t="s">
        <v>38</v>
      </c>
      <c r="C1191" s="175" t="s">
        <v>39</v>
      </c>
      <c r="D1191" s="175" t="s">
        <v>40</v>
      </c>
      <c r="E1191" s="175" t="s">
        <v>82</v>
      </c>
      <c r="F1191" s="175" t="s">
        <v>136</v>
      </c>
      <c r="G1191" s="175" t="s">
        <v>136</v>
      </c>
      <c r="H1191" s="175" t="s">
        <v>136</v>
      </c>
      <c r="I1191" s="175" t="s">
        <v>1073</v>
      </c>
      <c r="J1191" s="175" t="s">
        <v>569</v>
      </c>
      <c r="K1191" s="175" t="s">
        <v>1085</v>
      </c>
      <c r="L1191" s="175" t="s">
        <v>136</v>
      </c>
      <c r="M1191" s="175" t="s">
        <v>46</v>
      </c>
      <c r="N1191" s="184">
        <v>0.02</v>
      </c>
      <c r="O1191" s="184">
        <v>0.02</v>
      </c>
      <c r="P1191" s="184" t="s">
        <v>51</v>
      </c>
      <c r="Q1191" s="191">
        <v>0</v>
      </c>
      <c r="R1191" s="191">
        <v>0</v>
      </c>
      <c r="S1191" s="192">
        <v>22807.48</v>
      </c>
      <c r="T1191" s="192">
        <f t="shared" ref="T1191:T1221" si="295">S1191*N1191</f>
        <v>456.14960000000002</v>
      </c>
      <c r="U1191" s="192">
        <f t="shared" ref="U1191:U1222" si="296">S1191+T1191+R1191</f>
        <v>23263.6296</v>
      </c>
      <c r="V1191" s="192">
        <v>23263.6296</v>
      </c>
      <c r="W1191" s="192">
        <f t="shared" ref="W1191:W1222" si="297">U1191-V1191</f>
        <v>0</v>
      </c>
      <c r="X1191" s="192">
        <f t="shared" ref="X1191:X1222" si="298">W1191/(1+N1191)</f>
        <v>0</v>
      </c>
      <c r="Y1191" s="192">
        <f t="shared" ref="Y1191:Y1222" si="299">W1191-X1191</f>
        <v>0</v>
      </c>
      <c r="Z1191" s="192">
        <v>23263.63</v>
      </c>
      <c r="AA1191" s="192">
        <f t="shared" ref="AA1191:AA1222" si="300">Q1191+V1191-Z1191</f>
        <v>-4.0000000080908649E-4</v>
      </c>
      <c r="AB1191" s="192">
        <f t="shared" si="292"/>
        <v>22807.480392156864</v>
      </c>
      <c r="AC1191" s="192">
        <f t="shared" si="284"/>
        <v>456.14960784313735</v>
      </c>
      <c r="AD1191" s="192">
        <f t="shared" si="285"/>
        <v>14782.589705595676</v>
      </c>
      <c r="AE1191" s="192">
        <f t="shared" si="286"/>
        <v>17525.852672452151</v>
      </c>
      <c r="AF1191" s="184">
        <v>0.08</v>
      </c>
      <c r="AG1191" s="192">
        <f t="shared" si="293"/>
        <v>1402.0682137961721</v>
      </c>
      <c r="AH1191" s="192">
        <f t="shared" si="294"/>
        <v>945.91860595303478</v>
      </c>
      <c r="AI1191" s="192"/>
      <c r="AJ1191" s="192"/>
      <c r="AK1191" s="203" t="s">
        <v>1091</v>
      </c>
      <c r="AL1191" s="175" t="s">
        <v>1098</v>
      </c>
      <c r="AM1191" s="175"/>
    </row>
    <row r="1192" spans="1:39" s="121" customFormat="1" x14ac:dyDescent="0.3">
      <c r="A1192" s="175">
        <v>2017</v>
      </c>
      <c r="B1192" s="175" t="s">
        <v>38</v>
      </c>
      <c r="C1192" s="175" t="s">
        <v>54</v>
      </c>
      <c r="D1192" s="175" t="s">
        <v>55</v>
      </c>
      <c r="E1192" s="175" t="s">
        <v>64</v>
      </c>
      <c r="F1192" s="175" t="s">
        <v>795</v>
      </c>
      <c r="G1192" s="175" t="s">
        <v>795</v>
      </c>
      <c r="H1192" s="175" t="s">
        <v>795</v>
      </c>
      <c r="I1192" s="175" t="s">
        <v>1073</v>
      </c>
      <c r="J1192" s="175" t="s">
        <v>569</v>
      </c>
      <c r="K1192" s="175" t="s">
        <v>1085</v>
      </c>
      <c r="L1192" s="175" t="s">
        <v>795</v>
      </c>
      <c r="M1192" s="175" t="s">
        <v>46</v>
      </c>
      <c r="N1192" s="184">
        <v>0.02</v>
      </c>
      <c r="O1192" s="184" t="s">
        <v>173</v>
      </c>
      <c r="P1192" s="184" t="s">
        <v>51</v>
      </c>
      <c r="Q1192" s="191">
        <v>0</v>
      </c>
      <c r="R1192" s="191">
        <v>0</v>
      </c>
      <c r="S1192" s="192">
        <v>140000</v>
      </c>
      <c r="T1192" s="192">
        <f t="shared" si="295"/>
        <v>2800</v>
      </c>
      <c r="U1192" s="192">
        <f t="shared" si="296"/>
        <v>142800</v>
      </c>
      <c r="V1192" s="192">
        <v>120000</v>
      </c>
      <c r="W1192" s="192">
        <f t="shared" si="297"/>
        <v>22800</v>
      </c>
      <c r="X1192" s="192">
        <f t="shared" si="298"/>
        <v>22352.941176470587</v>
      </c>
      <c r="Y1192" s="192">
        <f t="shared" si="299"/>
        <v>447.05882352941262</v>
      </c>
      <c r="Z1192" s="192">
        <v>109045.25</v>
      </c>
      <c r="AA1192" s="192">
        <f t="shared" si="300"/>
        <v>10954.75</v>
      </c>
      <c r="AB1192" s="192">
        <f t="shared" si="292"/>
        <v>106907.10784313726</v>
      </c>
      <c r="AC1192" s="192">
        <f t="shared" si="284"/>
        <v>2138.1421568627411</v>
      </c>
      <c r="AD1192" s="192">
        <f t="shared" si="285"/>
        <v>69291.473002885061</v>
      </c>
      <c r="AE1192" s="192">
        <f t="shared" si="286"/>
        <v>82150.162555487375</v>
      </c>
      <c r="AF1192" s="184">
        <v>0.08</v>
      </c>
      <c r="AG1192" s="192">
        <f t="shared" si="293"/>
        <v>6572.0130044389898</v>
      </c>
      <c r="AH1192" s="192">
        <f t="shared" si="294"/>
        <v>4433.8708475762487</v>
      </c>
      <c r="AI1192" s="192"/>
      <c r="AJ1192" s="192"/>
      <c r="AK1192" s="203" t="s">
        <v>173</v>
      </c>
      <c r="AL1192" s="175"/>
      <c r="AM1192" s="175"/>
    </row>
    <row r="1193" spans="1:39" s="121" customFormat="1" x14ac:dyDescent="0.3">
      <c r="A1193" s="175">
        <v>2017</v>
      </c>
      <c r="B1193" s="175" t="s">
        <v>199</v>
      </c>
      <c r="C1193" s="175" t="s">
        <v>200</v>
      </c>
      <c r="D1193" s="175" t="s">
        <v>201</v>
      </c>
      <c r="E1193" s="175" t="s">
        <v>812</v>
      </c>
      <c r="F1193" s="175" t="s">
        <v>202</v>
      </c>
      <c r="G1193" s="175" t="s">
        <v>203</v>
      </c>
      <c r="H1193" s="175" t="s">
        <v>203</v>
      </c>
      <c r="I1193" s="175" t="s">
        <v>1073</v>
      </c>
      <c r="J1193" s="175" t="s">
        <v>569</v>
      </c>
      <c r="K1193" s="175" t="s">
        <v>1085</v>
      </c>
      <c r="L1193" s="175" t="s">
        <v>202</v>
      </c>
      <c r="M1193" s="175" t="s">
        <v>46</v>
      </c>
      <c r="N1193" s="184">
        <v>0.05</v>
      </c>
      <c r="O1193" s="184" t="s">
        <v>63</v>
      </c>
      <c r="P1193" s="184" t="s">
        <v>51</v>
      </c>
      <c r="Q1193" s="191">
        <v>0</v>
      </c>
      <c r="R1193" s="191">
        <v>0</v>
      </c>
      <c r="S1193" s="192">
        <v>150000</v>
      </c>
      <c r="T1193" s="192">
        <f t="shared" si="295"/>
        <v>7500</v>
      </c>
      <c r="U1193" s="192">
        <f t="shared" si="296"/>
        <v>157500</v>
      </c>
      <c r="V1193" s="192">
        <v>152018</v>
      </c>
      <c r="W1193" s="192">
        <f t="shared" si="297"/>
        <v>5482</v>
      </c>
      <c r="X1193" s="192">
        <f t="shared" si="298"/>
        <v>5220.9523809523807</v>
      </c>
      <c r="Y1193" s="192">
        <f t="shared" si="299"/>
        <v>261.04761904761926</v>
      </c>
      <c r="Z1193" s="192">
        <v>52018</v>
      </c>
      <c r="AA1193" s="192">
        <f t="shared" si="300"/>
        <v>100000</v>
      </c>
      <c r="AB1193" s="192">
        <f t="shared" si="292"/>
        <v>49540.952380952382</v>
      </c>
      <c r="AC1193" s="192">
        <f t="shared" si="284"/>
        <v>2477.0476190476184</v>
      </c>
      <c r="AD1193" s="192">
        <f t="shared" si="285"/>
        <v>33054.203119017788</v>
      </c>
      <c r="AE1193" s="192">
        <f t="shared" si="286"/>
        <v>39188.200823156832</v>
      </c>
      <c r="AF1193" s="184">
        <v>0.08</v>
      </c>
      <c r="AG1193" s="192">
        <f t="shared" si="293"/>
        <v>3135.0560658525465</v>
      </c>
      <c r="AH1193" s="192">
        <f t="shared" si="294"/>
        <v>658.0084468049281</v>
      </c>
      <c r="AI1193" s="192"/>
      <c r="AJ1193" s="192"/>
      <c r="AK1193" s="203" t="s">
        <v>63</v>
      </c>
      <c r="AL1193" s="175"/>
      <c r="AM1193" s="175"/>
    </row>
    <row r="1194" spans="1:39" s="121" customFormat="1" x14ac:dyDescent="0.3">
      <c r="A1194" s="175">
        <v>2017</v>
      </c>
      <c r="B1194" s="175" t="s">
        <v>38</v>
      </c>
      <c r="C1194" s="175" t="s">
        <v>88</v>
      </c>
      <c r="D1194" s="175" t="s">
        <v>89</v>
      </c>
      <c r="E1194" s="175" t="s">
        <v>124</v>
      </c>
      <c r="F1194" s="175" t="s">
        <v>1099</v>
      </c>
      <c r="G1194" s="175" t="s">
        <v>1099</v>
      </c>
      <c r="H1194" s="175" t="s">
        <v>1099</v>
      </c>
      <c r="I1194" s="175" t="s">
        <v>1073</v>
      </c>
      <c r="J1194" s="175" t="s">
        <v>569</v>
      </c>
      <c r="K1194" s="175" t="s">
        <v>1085</v>
      </c>
      <c r="L1194" s="175" t="s">
        <v>1099</v>
      </c>
      <c r="M1194" s="175" t="s">
        <v>46</v>
      </c>
      <c r="N1194" s="184">
        <v>0.02</v>
      </c>
      <c r="O1194" s="184">
        <v>0.02</v>
      </c>
      <c r="P1194" s="184" t="s">
        <v>51</v>
      </c>
      <c r="Q1194" s="191">
        <v>0</v>
      </c>
      <c r="R1194" s="191">
        <v>0</v>
      </c>
      <c r="S1194" s="192">
        <v>655490.19999999995</v>
      </c>
      <c r="T1194" s="192">
        <f t="shared" si="295"/>
        <v>13109.804</v>
      </c>
      <c r="U1194" s="192">
        <f t="shared" si="296"/>
        <v>668600.00399999996</v>
      </c>
      <c r="V1194" s="192">
        <v>948600</v>
      </c>
      <c r="W1194" s="192">
        <f t="shared" si="297"/>
        <v>-279999.99600000004</v>
      </c>
      <c r="X1194" s="192">
        <f t="shared" si="298"/>
        <v>-274509.80000000005</v>
      </c>
      <c r="Y1194" s="192">
        <f t="shared" si="299"/>
        <v>-5490.1959999999963</v>
      </c>
      <c r="Z1194" s="192">
        <v>613912.05000000005</v>
      </c>
      <c r="AA1194" s="192">
        <f t="shared" si="300"/>
        <v>334687.94999999995</v>
      </c>
      <c r="AB1194" s="192">
        <f t="shared" si="292"/>
        <v>601874.5588235294</v>
      </c>
      <c r="AC1194" s="192">
        <f t="shared" si="284"/>
        <v>12037.491176470648</v>
      </c>
      <c r="AD1194" s="192">
        <f t="shared" si="285"/>
        <v>390102.91818048764</v>
      </c>
      <c r="AE1194" s="192">
        <f t="shared" si="286"/>
        <v>462495.84188465338</v>
      </c>
      <c r="AF1194" s="184">
        <v>0.08</v>
      </c>
      <c r="AG1194" s="192">
        <f t="shared" si="293"/>
        <v>36999.667350772273</v>
      </c>
      <c r="AH1194" s="192">
        <f t="shared" si="294"/>
        <v>24962.176174301625</v>
      </c>
      <c r="AI1194" s="192"/>
      <c r="AJ1194" s="192"/>
      <c r="AK1194" s="203" t="s">
        <v>1091</v>
      </c>
      <c r="AL1194" s="175" t="s">
        <v>1100</v>
      </c>
      <c r="AM1194" s="175"/>
    </row>
    <row r="1195" spans="1:39" s="121" customFormat="1" x14ac:dyDescent="0.3">
      <c r="A1195" s="175">
        <v>2017</v>
      </c>
      <c r="B1195" s="175" t="s">
        <v>38</v>
      </c>
      <c r="C1195" s="175" t="s">
        <v>88</v>
      </c>
      <c r="D1195" s="175" t="s">
        <v>89</v>
      </c>
      <c r="E1195" s="175" t="s">
        <v>124</v>
      </c>
      <c r="F1195" s="175" t="s">
        <v>1101</v>
      </c>
      <c r="G1195" s="175" t="s">
        <v>1101</v>
      </c>
      <c r="H1195" s="175" t="s">
        <v>1101</v>
      </c>
      <c r="I1195" s="175" t="s">
        <v>1073</v>
      </c>
      <c r="J1195" s="175" t="s">
        <v>569</v>
      </c>
      <c r="K1195" s="175" t="s">
        <v>1085</v>
      </c>
      <c r="L1195" s="175" t="s">
        <v>1101</v>
      </c>
      <c r="M1195" s="175" t="s">
        <v>46</v>
      </c>
      <c r="N1195" s="184">
        <v>0.02</v>
      </c>
      <c r="O1195" s="184" t="s">
        <v>173</v>
      </c>
      <c r="P1195" s="184" t="s">
        <v>51</v>
      </c>
      <c r="Q1195" s="191">
        <v>0</v>
      </c>
      <c r="R1195" s="191">
        <v>0</v>
      </c>
      <c r="S1195" s="192">
        <v>30000</v>
      </c>
      <c r="T1195" s="192">
        <f t="shared" si="295"/>
        <v>600</v>
      </c>
      <c r="U1195" s="192">
        <f t="shared" si="296"/>
        <v>30600</v>
      </c>
      <c r="V1195" s="192">
        <v>30600</v>
      </c>
      <c r="W1195" s="192">
        <f t="shared" si="297"/>
        <v>0</v>
      </c>
      <c r="X1195" s="192">
        <f t="shared" si="298"/>
        <v>0</v>
      </c>
      <c r="Y1195" s="192">
        <f t="shared" si="299"/>
        <v>0</v>
      </c>
      <c r="Z1195" s="192">
        <v>30600</v>
      </c>
      <c r="AA1195" s="192">
        <f t="shared" si="300"/>
        <v>0</v>
      </c>
      <c r="AB1195" s="192">
        <f t="shared" si="292"/>
        <v>30000</v>
      </c>
      <c r="AC1195" s="192">
        <f t="shared" si="284"/>
        <v>600</v>
      </c>
      <c r="AD1195" s="192">
        <f t="shared" si="285"/>
        <v>19444.396467414055</v>
      </c>
      <c r="AE1195" s="192">
        <f t="shared" si="286"/>
        <v>23052.769141231864</v>
      </c>
      <c r="AF1195" s="184">
        <v>0.08</v>
      </c>
      <c r="AG1195" s="192">
        <f t="shared" si="293"/>
        <v>1844.2215312985491</v>
      </c>
      <c r="AH1195" s="192">
        <f t="shared" si="294"/>
        <v>1244.2215312985491</v>
      </c>
      <c r="AI1195" s="192"/>
      <c r="AJ1195" s="192"/>
      <c r="AK1195" s="203" t="s">
        <v>173</v>
      </c>
      <c r="AL1195" s="175" t="s">
        <v>1102</v>
      </c>
      <c r="AM1195" s="175"/>
    </row>
    <row r="1196" spans="1:39" s="121" customFormat="1" x14ac:dyDescent="0.3">
      <c r="A1196" s="175">
        <v>2017</v>
      </c>
      <c r="B1196" s="175" t="s">
        <v>252</v>
      </c>
      <c r="C1196" s="175" t="s">
        <v>110</v>
      </c>
      <c r="D1196" s="175" t="s">
        <v>111</v>
      </c>
      <c r="E1196" s="175" t="s">
        <v>281</v>
      </c>
      <c r="F1196" s="175" t="s">
        <v>1103</v>
      </c>
      <c r="G1196" s="175" t="s">
        <v>1104</v>
      </c>
      <c r="H1196" s="175" t="s">
        <v>1104</v>
      </c>
      <c r="I1196" s="175" t="s">
        <v>1073</v>
      </c>
      <c r="J1196" s="175" t="s">
        <v>569</v>
      </c>
      <c r="K1196" s="175" t="s">
        <v>1085</v>
      </c>
      <c r="L1196" s="175" t="s">
        <v>1103</v>
      </c>
      <c r="M1196" s="175" t="s">
        <v>46</v>
      </c>
      <c r="N1196" s="184">
        <v>0.02</v>
      </c>
      <c r="O1196" s="184" t="s">
        <v>173</v>
      </c>
      <c r="P1196" s="184" t="s">
        <v>51</v>
      </c>
      <c r="Q1196" s="191">
        <v>0</v>
      </c>
      <c r="R1196" s="191">
        <v>0</v>
      </c>
      <c r="S1196" s="192">
        <v>10000</v>
      </c>
      <c r="T1196" s="192">
        <f t="shared" si="295"/>
        <v>200</v>
      </c>
      <c r="U1196" s="192">
        <f t="shared" si="296"/>
        <v>10200</v>
      </c>
      <c r="V1196" s="192">
        <v>10200</v>
      </c>
      <c r="W1196" s="192">
        <f t="shared" si="297"/>
        <v>0</v>
      </c>
      <c r="X1196" s="192">
        <f t="shared" si="298"/>
        <v>0</v>
      </c>
      <c r="Y1196" s="192">
        <f t="shared" si="299"/>
        <v>0</v>
      </c>
      <c r="Z1196" s="192">
        <v>10200</v>
      </c>
      <c r="AA1196" s="192">
        <f t="shared" si="300"/>
        <v>0</v>
      </c>
      <c r="AB1196" s="192">
        <f t="shared" si="292"/>
        <v>10000</v>
      </c>
      <c r="AC1196" s="192">
        <f t="shared" si="284"/>
        <v>200</v>
      </c>
      <c r="AD1196" s="192">
        <v>9588</v>
      </c>
      <c r="AE1196" s="192">
        <f t="shared" si="286"/>
        <v>7684.2563804106212</v>
      </c>
      <c r="AF1196" s="184">
        <v>0.06</v>
      </c>
      <c r="AG1196" s="192">
        <f t="shared" si="293"/>
        <v>461.05538282463726</v>
      </c>
      <c r="AH1196" s="192">
        <f t="shared" si="294"/>
        <v>261.05538282463726</v>
      </c>
      <c r="AI1196" s="192"/>
      <c r="AJ1196" s="192"/>
      <c r="AK1196" s="203" t="s">
        <v>173</v>
      </c>
      <c r="AL1196" s="175" t="s">
        <v>1105</v>
      </c>
      <c r="AM1196" s="175"/>
    </row>
    <row r="1197" spans="1:39" s="121" customFormat="1" x14ac:dyDescent="0.3">
      <c r="A1197" s="175">
        <v>2017</v>
      </c>
      <c r="B1197" s="175" t="s">
        <v>38</v>
      </c>
      <c r="C1197" s="175" t="s">
        <v>110</v>
      </c>
      <c r="D1197" s="175" t="s">
        <v>111</v>
      </c>
      <c r="E1197" s="175" t="s">
        <v>112</v>
      </c>
      <c r="F1197" s="175" t="s">
        <v>147</v>
      </c>
      <c r="G1197" s="175" t="s">
        <v>147</v>
      </c>
      <c r="H1197" s="175" t="s">
        <v>147</v>
      </c>
      <c r="I1197" s="175" t="s">
        <v>1073</v>
      </c>
      <c r="J1197" s="175" t="s">
        <v>569</v>
      </c>
      <c r="K1197" s="175" t="s">
        <v>1085</v>
      </c>
      <c r="L1197" s="175" t="s">
        <v>147</v>
      </c>
      <c r="M1197" s="175" t="s">
        <v>46</v>
      </c>
      <c r="N1197" s="184">
        <v>0.02</v>
      </c>
      <c r="O1197" s="184" t="s">
        <v>173</v>
      </c>
      <c r="P1197" s="184" t="s">
        <v>51</v>
      </c>
      <c r="Q1197" s="191">
        <v>0</v>
      </c>
      <c r="R1197" s="191">
        <v>0</v>
      </c>
      <c r="S1197" s="192">
        <v>40000</v>
      </c>
      <c r="T1197" s="192">
        <f t="shared" si="295"/>
        <v>800</v>
      </c>
      <c r="U1197" s="192">
        <f t="shared" si="296"/>
        <v>40800</v>
      </c>
      <c r="V1197" s="192">
        <v>40800</v>
      </c>
      <c r="W1197" s="192">
        <f t="shared" si="297"/>
        <v>0</v>
      </c>
      <c r="X1197" s="192">
        <f t="shared" si="298"/>
        <v>0</v>
      </c>
      <c r="Y1197" s="192">
        <f t="shared" si="299"/>
        <v>0</v>
      </c>
      <c r="Z1197" s="192">
        <v>40800</v>
      </c>
      <c r="AA1197" s="192">
        <f t="shared" si="300"/>
        <v>0</v>
      </c>
      <c r="AB1197" s="192">
        <f t="shared" si="292"/>
        <v>40000</v>
      </c>
      <c r="AC1197" s="192">
        <f t="shared" si="284"/>
        <v>800</v>
      </c>
      <c r="AD1197" s="192">
        <f t="shared" ref="AD1197:AD1223" si="301">Z1197*0.635437793052747</f>
        <v>25925.861956552075</v>
      </c>
      <c r="AE1197" s="192">
        <f t="shared" si="286"/>
        <v>30737.025521642485</v>
      </c>
      <c r="AF1197" s="184">
        <v>0.08</v>
      </c>
      <c r="AG1197" s="192">
        <f t="shared" si="293"/>
        <v>2458.962041731399</v>
      </c>
      <c r="AH1197" s="192">
        <f t="shared" si="294"/>
        <v>1658.962041731399</v>
      </c>
      <c r="AI1197" s="192"/>
      <c r="AJ1197" s="192"/>
      <c r="AK1197" s="203" t="s">
        <v>173</v>
      </c>
      <c r="AL1197" s="175"/>
      <c r="AM1197" s="175"/>
    </row>
    <row r="1198" spans="1:39" s="121" customFormat="1" x14ac:dyDescent="0.3">
      <c r="A1198" s="175">
        <v>2017</v>
      </c>
      <c r="B1198" s="175" t="s">
        <v>38</v>
      </c>
      <c r="C1198" s="175" t="s">
        <v>110</v>
      </c>
      <c r="D1198" s="175" t="s">
        <v>111</v>
      </c>
      <c r="E1198" s="175" t="s">
        <v>253</v>
      </c>
      <c r="F1198" s="175" t="s">
        <v>906</v>
      </c>
      <c r="G1198" s="175" t="s">
        <v>906</v>
      </c>
      <c r="H1198" s="175" t="s">
        <v>906</v>
      </c>
      <c r="I1198" s="175" t="s">
        <v>1073</v>
      </c>
      <c r="J1198" s="175" t="s">
        <v>569</v>
      </c>
      <c r="K1198" s="175" t="s">
        <v>1085</v>
      </c>
      <c r="L1198" s="175" t="s">
        <v>906</v>
      </c>
      <c r="M1198" s="175" t="s">
        <v>46</v>
      </c>
      <c r="N1198" s="184">
        <v>0.02</v>
      </c>
      <c r="O1198" s="184">
        <v>0.02</v>
      </c>
      <c r="P1198" s="184" t="s">
        <v>51</v>
      </c>
      <c r="Q1198" s="191">
        <v>0</v>
      </c>
      <c r="R1198" s="191">
        <v>0</v>
      </c>
      <c r="S1198" s="192">
        <v>95000</v>
      </c>
      <c r="T1198" s="192">
        <f t="shared" si="295"/>
        <v>1900</v>
      </c>
      <c r="U1198" s="192">
        <f t="shared" si="296"/>
        <v>96900</v>
      </c>
      <c r="V1198" s="192">
        <v>76500</v>
      </c>
      <c r="W1198" s="192">
        <f t="shared" si="297"/>
        <v>20400</v>
      </c>
      <c r="X1198" s="192">
        <f t="shared" si="298"/>
        <v>20000</v>
      </c>
      <c r="Y1198" s="192">
        <f t="shared" si="299"/>
        <v>400</v>
      </c>
      <c r="Z1198" s="192">
        <v>67093.350000000006</v>
      </c>
      <c r="AA1198" s="192">
        <f t="shared" si="300"/>
        <v>9406.6499999999942</v>
      </c>
      <c r="AB1198" s="192">
        <f t="shared" si="292"/>
        <v>65777.794117647063</v>
      </c>
      <c r="AC1198" s="192">
        <f t="shared" si="284"/>
        <v>1315.5558823529427</v>
      </c>
      <c r="AD1198" s="192">
        <f t="shared" si="301"/>
        <v>42633.650252515523</v>
      </c>
      <c r="AE1198" s="192">
        <f t="shared" si="286"/>
        <v>50545.34341378657</v>
      </c>
      <c r="AF1198" s="184">
        <v>0.08</v>
      </c>
      <c r="AG1198" s="192">
        <f t="shared" si="293"/>
        <v>4043.6274731029257</v>
      </c>
      <c r="AH1198" s="192">
        <f t="shared" si="294"/>
        <v>2728.071590749983</v>
      </c>
      <c r="AI1198" s="192"/>
      <c r="AJ1198" s="192"/>
      <c r="AK1198" s="203" t="s">
        <v>1091</v>
      </c>
      <c r="AL1198" s="175"/>
      <c r="AM1198" s="175"/>
    </row>
    <row r="1199" spans="1:39" s="121" customFormat="1" x14ac:dyDescent="0.3">
      <c r="A1199" s="175">
        <v>2017</v>
      </c>
      <c r="B1199" s="175" t="s">
        <v>38</v>
      </c>
      <c r="C1199" s="175" t="s">
        <v>110</v>
      </c>
      <c r="D1199" s="175" t="s">
        <v>111</v>
      </c>
      <c r="E1199" s="175" t="s">
        <v>253</v>
      </c>
      <c r="F1199" s="175" t="s">
        <v>907</v>
      </c>
      <c r="G1199" s="175" t="s">
        <v>907</v>
      </c>
      <c r="H1199" s="175" t="s">
        <v>907</v>
      </c>
      <c r="I1199" s="175" t="s">
        <v>1073</v>
      </c>
      <c r="J1199" s="175" t="s">
        <v>569</v>
      </c>
      <c r="K1199" s="175" t="s">
        <v>1085</v>
      </c>
      <c r="L1199" s="175" t="s">
        <v>907</v>
      </c>
      <c r="M1199" s="175" t="s">
        <v>46</v>
      </c>
      <c r="N1199" s="184">
        <v>0.02</v>
      </c>
      <c r="O1199" s="184">
        <v>0.02</v>
      </c>
      <c r="P1199" s="184" t="s">
        <v>51</v>
      </c>
      <c r="Q1199" s="191">
        <v>0</v>
      </c>
      <c r="R1199" s="191">
        <v>0</v>
      </c>
      <c r="S1199" s="192">
        <v>20000</v>
      </c>
      <c r="T1199" s="192">
        <f t="shared" si="295"/>
        <v>400</v>
      </c>
      <c r="U1199" s="192">
        <f t="shared" si="296"/>
        <v>20400</v>
      </c>
      <c r="V1199" s="192">
        <v>10200</v>
      </c>
      <c r="W1199" s="192">
        <f t="shared" si="297"/>
        <v>10200</v>
      </c>
      <c r="X1199" s="192">
        <f t="shared" si="298"/>
        <v>10000</v>
      </c>
      <c r="Y1199" s="192">
        <f t="shared" si="299"/>
        <v>200</v>
      </c>
      <c r="Z1199" s="192">
        <v>1284.05</v>
      </c>
      <c r="AA1199" s="192">
        <f t="shared" si="300"/>
        <v>8915.9500000000007</v>
      </c>
      <c r="AB1199" s="192">
        <f t="shared" si="292"/>
        <v>1258.8725490196077</v>
      </c>
      <c r="AC1199" s="192">
        <f t="shared" si="284"/>
        <v>25.177450980392223</v>
      </c>
      <c r="AD1199" s="192">
        <f t="shared" si="301"/>
        <v>815.93389816937963</v>
      </c>
      <c r="AE1199" s="192">
        <f t="shared" si="286"/>
        <v>967.34994169277036</v>
      </c>
      <c r="AF1199" s="184">
        <v>0.08</v>
      </c>
      <c r="AG1199" s="192">
        <f t="shared" si="293"/>
        <v>77.387995335421635</v>
      </c>
      <c r="AH1199" s="192">
        <f t="shared" si="294"/>
        <v>52.210544355029413</v>
      </c>
      <c r="AI1199" s="192"/>
      <c r="AJ1199" s="192"/>
      <c r="AK1199" s="203" t="s">
        <v>1091</v>
      </c>
      <c r="AL1199" s="175"/>
      <c r="AM1199" s="175"/>
    </row>
    <row r="1200" spans="1:39" s="121" customFormat="1" x14ac:dyDescent="0.3">
      <c r="A1200" s="175">
        <v>2017</v>
      </c>
      <c r="B1200" s="175" t="s">
        <v>38</v>
      </c>
      <c r="C1200" s="175" t="s">
        <v>59</v>
      </c>
      <c r="D1200" s="175" t="s">
        <v>181</v>
      </c>
      <c r="E1200" s="175" t="s">
        <v>131</v>
      </c>
      <c r="F1200" s="175" t="s">
        <v>1106</v>
      </c>
      <c r="G1200" s="175" t="s">
        <v>1106</v>
      </c>
      <c r="H1200" s="175" t="s">
        <v>1106</v>
      </c>
      <c r="I1200" s="175" t="s">
        <v>1073</v>
      </c>
      <c r="J1200" s="175" t="s">
        <v>569</v>
      </c>
      <c r="K1200" s="175" t="s">
        <v>1085</v>
      </c>
      <c r="L1200" s="175" t="s">
        <v>1106</v>
      </c>
      <c r="M1200" s="175" t="s">
        <v>46</v>
      </c>
      <c r="N1200" s="184">
        <v>0.02</v>
      </c>
      <c r="O1200" s="184" t="s">
        <v>173</v>
      </c>
      <c r="P1200" s="184" t="s">
        <v>51</v>
      </c>
      <c r="Q1200" s="191">
        <v>0</v>
      </c>
      <c r="R1200" s="191">
        <v>0</v>
      </c>
      <c r="S1200" s="192">
        <v>15000</v>
      </c>
      <c r="T1200" s="192">
        <f t="shared" si="295"/>
        <v>300</v>
      </c>
      <c r="U1200" s="192">
        <f t="shared" si="296"/>
        <v>15300</v>
      </c>
      <c r="V1200" s="192">
        <v>15300</v>
      </c>
      <c r="W1200" s="192">
        <f t="shared" si="297"/>
        <v>0</v>
      </c>
      <c r="X1200" s="192">
        <f t="shared" si="298"/>
        <v>0</v>
      </c>
      <c r="Y1200" s="192">
        <f t="shared" si="299"/>
        <v>0</v>
      </c>
      <c r="Z1200" s="192">
        <v>15300</v>
      </c>
      <c r="AA1200" s="192">
        <f t="shared" si="300"/>
        <v>0</v>
      </c>
      <c r="AB1200" s="192">
        <f t="shared" si="292"/>
        <v>15000</v>
      </c>
      <c r="AC1200" s="192">
        <f t="shared" si="284"/>
        <v>300</v>
      </c>
      <c r="AD1200" s="192">
        <f t="shared" si="301"/>
        <v>9722.1982337070276</v>
      </c>
      <c r="AE1200" s="192">
        <f t="shared" si="286"/>
        <v>11526.384570615932</v>
      </c>
      <c r="AF1200" s="184">
        <v>0.08</v>
      </c>
      <c r="AG1200" s="192">
        <f t="shared" si="293"/>
        <v>922.11076564927453</v>
      </c>
      <c r="AH1200" s="192">
        <f t="shared" si="294"/>
        <v>622.11076564927453</v>
      </c>
      <c r="AI1200" s="192"/>
      <c r="AJ1200" s="192"/>
      <c r="AK1200" s="203" t="s">
        <v>173</v>
      </c>
      <c r="AL1200" s="175"/>
      <c r="AM1200" s="175"/>
    </row>
    <row r="1201" spans="1:39" s="121" customFormat="1" x14ac:dyDescent="0.15">
      <c r="A1201" s="175">
        <v>2017</v>
      </c>
      <c r="B1201" s="175" t="s">
        <v>38</v>
      </c>
      <c r="C1201" s="175" t="s">
        <v>39</v>
      </c>
      <c r="D1201" s="175" t="s">
        <v>40</v>
      </c>
      <c r="E1201" s="175" t="s">
        <v>41</v>
      </c>
      <c r="F1201" s="175" t="s">
        <v>42</v>
      </c>
      <c r="G1201" s="175" t="s">
        <v>42</v>
      </c>
      <c r="H1201" s="175" t="s">
        <v>42</v>
      </c>
      <c r="I1201" s="175" t="s">
        <v>1073</v>
      </c>
      <c r="J1201" s="176" t="s">
        <v>603</v>
      </c>
      <c r="K1201" s="175" t="s">
        <v>1107</v>
      </c>
      <c r="L1201" s="175" t="s">
        <v>42</v>
      </c>
      <c r="M1201" s="175" t="s">
        <v>46</v>
      </c>
      <c r="N1201" s="184">
        <v>0</v>
      </c>
      <c r="O1201" s="184">
        <v>0</v>
      </c>
      <c r="P1201" s="184" t="s">
        <v>47</v>
      </c>
      <c r="Q1201" s="192">
        <v>0</v>
      </c>
      <c r="R1201" s="192">
        <v>0</v>
      </c>
      <c r="S1201" s="192">
        <v>30000</v>
      </c>
      <c r="T1201" s="192">
        <f t="shared" si="295"/>
        <v>0</v>
      </c>
      <c r="U1201" s="192">
        <f t="shared" si="296"/>
        <v>30000</v>
      </c>
      <c r="V1201" s="192">
        <v>30000</v>
      </c>
      <c r="W1201" s="192">
        <f t="shared" si="297"/>
        <v>0</v>
      </c>
      <c r="X1201" s="192">
        <f t="shared" si="298"/>
        <v>0</v>
      </c>
      <c r="Y1201" s="192">
        <f t="shared" si="299"/>
        <v>0</v>
      </c>
      <c r="Z1201" s="192">
        <v>29953.75</v>
      </c>
      <c r="AA1201" s="192">
        <f t="shared" si="300"/>
        <v>46.25</v>
      </c>
      <c r="AB1201" s="192">
        <f t="shared" si="292"/>
        <v>29953.75</v>
      </c>
      <c r="AC1201" s="192">
        <f t="shared" si="284"/>
        <v>0</v>
      </c>
      <c r="AD1201" s="192">
        <f t="shared" si="301"/>
        <v>19033.744793653717</v>
      </c>
      <c r="AE1201" s="192">
        <f t="shared" si="286"/>
        <v>22565.911230855356</v>
      </c>
      <c r="AF1201" s="184">
        <v>0.08</v>
      </c>
      <c r="AG1201" s="192">
        <f t="shared" si="293"/>
        <v>1805.2728984684286</v>
      </c>
      <c r="AH1201" s="192">
        <f t="shared" si="294"/>
        <v>1805.2728984684286</v>
      </c>
      <c r="AI1201" s="192"/>
      <c r="AJ1201" s="192"/>
      <c r="AK1201" s="203" t="s">
        <v>1108</v>
      </c>
      <c r="AL1201" s="175" t="s">
        <v>1109</v>
      </c>
      <c r="AM1201" s="175"/>
    </row>
    <row r="1202" spans="1:39" s="121" customFormat="1" x14ac:dyDescent="0.15">
      <c r="A1202" s="175">
        <v>2017</v>
      </c>
      <c r="B1202" s="175" t="s">
        <v>199</v>
      </c>
      <c r="C1202" s="175" t="s">
        <v>54</v>
      </c>
      <c r="D1202" s="175" t="s">
        <v>55</v>
      </c>
      <c r="E1202" s="175" t="s">
        <v>64</v>
      </c>
      <c r="F1202" s="175" t="s">
        <v>496</v>
      </c>
      <c r="G1202" s="175" t="s">
        <v>497</v>
      </c>
      <c r="H1202" s="176" t="s">
        <v>498</v>
      </c>
      <c r="I1202" s="175" t="s">
        <v>1073</v>
      </c>
      <c r="J1202" s="176" t="s">
        <v>603</v>
      </c>
      <c r="K1202" s="175" t="s">
        <v>1107</v>
      </c>
      <c r="L1202" s="175" t="s">
        <v>499</v>
      </c>
      <c r="M1202" s="175" t="s">
        <v>46</v>
      </c>
      <c r="N1202" s="184">
        <v>0.03</v>
      </c>
      <c r="O1202" s="184" t="s">
        <v>189</v>
      </c>
      <c r="P1202" s="184" t="s">
        <v>51</v>
      </c>
      <c r="Q1202" s="192">
        <v>0</v>
      </c>
      <c r="R1202" s="192">
        <v>720460</v>
      </c>
      <c r="S1202" s="192">
        <v>3187000</v>
      </c>
      <c r="T1202" s="192">
        <f t="shared" si="295"/>
        <v>95610</v>
      </c>
      <c r="U1202" s="192">
        <f t="shared" si="296"/>
        <v>4003070</v>
      </c>
      <c r="V1202" s="192">
        <v>3698000</v>
      </c>
      <c r="W1202" s="192">
        <f t="shared" si="297"/>
        <v>305070</v>
      </c>
      <c r="X1202" s="192">
        <f t="shared" si="298"/>
        <v>296184.46601941745</v>
      </c>
      <c r="Y1202" s="192">
        <f t="shared" si="299"/>
        <v>8885.5339805825497</v>
      </c>
      <c r="Z1202" s="192">
        <v>749973.78</v>
      </c>
      <c r="AA1202" s="192">
        <f t="shared" si="300"/>
        <v>2948026.2199999997</v>
      </c>
      <c r="AB1202" s="192">
        <f t="shared" si="292"/>
        <v>728129.88349514559</v>
      </c>
      <c r="AC1202" s="192">
        <f t="shared" si="284"/>
        <v>21843.896504854434</v>
      </c>
      <c r="AD1202" s="192">
        <f t="shared" si="301"/>
        <v>476561.68361062638</v>
      </c>
      <c r="AE1202" s="192">
        <f t="shared" si="286"/>
        <v>564999.09844173247</v>
      </c>
      <c r="AF1202" s="184">
        <v>0.08</v>
      </c>
      <c r="AG1202" s="192">
        <f t="shared" si="293"/>
        <v>45199.927875338595</v>
      </c>
      <c r="AH1202" s="192">
        <f t="shared" si="294"/>
        <v>23356.031370484161</v>
      </c>
      <c r="AI1202" s="192"/>
      <c r="AJ1202" s="192"/>
      <c r="AK1202" s="203" t="s">
        <v>189</v>
      </c>
      <c r="AL1202" s="175" t="s">
        <v>1109</v>
      </c>
      <c r="AM1202" s="175"/>
    </row>
    <row r="1203" spans="1:39" s="121" customFormat="1" x14ac:dyDescent="0.15">
      <c r="A1203" s="175">
        <v>2017</v>
      </c>
      <c r="B1203" s="175" t="s">
        <v>38</v>
      </c>
      <c r="C1203" s="175" t="s">
        <v>110</v>
      </c>
      <c r="D1203" s="175" t="s">
        <v>111</v>
      </c>
      <c r="E1203" s="175" t="s">
        <v>281</v>
      </c>
      <c r="F1203" s="175" t="s">
        <v>1087</v>
      </c>
      <c r="G1203" s="175" t="s">
        <v>1087</v>
      </c>
      <c r="H1203" s="175" t="s">
        <v>1087</v>
      </c>
      <c r="I1203" s="175" t="s">
        <v>1073</v>
      </c>
      <c r="J1203" s="176" t="s">
        <v>603</v>
      </c>
      <c r="K1203" s="175" t="s">
        <v>1107</v>
      </c>
      <c r="L1203" s="175" t="s">
        <v>1088</v>
      </c>
      <c r="M1203" s="175" t="s">
        <v>46</v>
      </c>
      <c r="N1203" s="184">
        <v>0.02</v>
      </c>
      <c r="O1203" s="184" t="s">
        <v>173</v>
      </c>
      <c r="P1203" s="184" t="s">
        <v>51</v>
      </c>
      <c r="Q1203" s="192">
        <v>0</v>
      </c>
      <c r="R1203" s="192">
        <v>0</v>
      </c>
      <c r="S1203" s="192">
        <v>40000</v>
      </c>
      <c r="T1203" s="192">
        <f t="shared" si="295"/>
        <v>800</v>
      </c>
      <c r="U1203" s="192">
        <f t="shared" si="296"/>
        <v>40800</v>
      </c>
      <c r="V1203" s="192">
        <v>51000</v>
      </c>
      <c r="W1203" s="192">
        <f t="shared" si="297"/>
        <v>-10200</v>
      </c>
      <c r="X1203" s="192">
        <f t="shared" si="298"/>
        <v>-10000</v>
      </c>
      <c r="Y1203" s="192">
        <f t="shared" si="299"/>
        <v>-200</v>
      </c>
      <c r="Z1203" s="192">
        <v>51000</v>
      </c>
      <c r="AA1203" s="192">
        <f t="shared" si="300"/>
        <v>0</v>
      </c>
      <c r="AB1203" s="192">
        <f t="shared" si="292"/>
        <v>50000</v>
      </c>
      <c r="AC1203" s="192">
        <f t="shared" si="284"/>
        <v>1000</v>
      </c>
      <c r="AD1203" s="192">
        <f t="shared" si="301"/>
        <v>32407.327445690094</v>
      </c>
      <c r="AE1203" s="192">
        <f t="shared" si="286"/>
        <v>38421.281902053102</v>
      </c>
      <c r="AF1203" s="184">
        <v>0.08</v>
      </c>
      <c r="AG1203" s="192">
        <f t="shared" si="293"/>
        <v>3073.7025521642481</v>
      </c>
      <c r="AH1203" s="192">
        <f t="shared" si="294"/>
        <v>2073.7025521642481</v>
      </c>
      <c r="AI1203" s="192"/>
      <c r="AJ1203" s="192"/>
      <c r="AK1203" s="203" t="s">
        <v>173</v>
      </c>
      <c r="AL1203" s="175" t="s">
        <v>1110</v>
      </c>
      <c r="AM1203" s="175"/>
    </row>
    <row r="1204" spans="1:39" s="121" customFormat="1" x14ac:dyDescent="0.15">
      <c r="A1204" s="175">
        <v>2017</v>
      </c>
      <c r="B1204" s="175" t="s">
        <v>333</v>
      </c>
      <c r="C1204" s="175" t="s">
        <v>54</v>
      </c>
      <c r="D1204" s="175" t="s">
        <v>55</v>
      </c>
      <c r="E1204" s="175" t="s">
        <v>64</v>
      </c>
      <c r="F1204" s="175" t="s">
        <v>376</v>
      </c>
      <c r="G1204" s="175" t="s">
        <v>794</v>
      </c>
      <c r="H1204" s="175" t="s">
        <v>794</v>
      </c>
      <c r="I1204" s="175" t="s">
        <v>1073</v>
      </c>
      <c r="J1204" s="176" t="s">
        <v>603</v>
      </c>
      <c r="K1204" s="175" t="s">
        <v>1107</v>
      </c>
      <c r="L1204" s="175" t="s">
        <v>376</v>
      </c>
      <c r="M1204" s="175" t="s">
        <v>46</v>
      </c>
      <c r="N1204" s="184">
        <v>0.02</v>
      </c>
      <c r="O1204" s="184" t="s">
        <v>173</v>
      </c>
      <c r="P1204" s="184" t="s">
        <v>51</v>
      </c>
      <c r="Q1204" s="192">
        <v>0</v>
      </c>
      <c r="R1204" s="192">
        <v>0</v>
      </c>
      <c r="S1204" s="192">
        <v>10008</v>
      </c>
      <c r="T1204" s="192">
        <f t="shared" si="295"/>
        <v>200.16</v>
      </c>
      <c r="U1204" s="192">
        <f t="shared" si="296"/>
        <v>10208.16</v>
      </c>
      <c r="V1204" s="192">
        <v>10008</v>
      </c>
      <c r="W1204" s="192">
        <f t="shared" si="297"/>
        <v>200.15999999999985</v>
      </c>
      <c r="X1204" s="192">
        <f t="shared" si="298"/>
        <v>196.2352941176469</v>
      </c>
      <c r="Y1204" s="192">
        <f t="shared" si="299"/>
        <v>3.9247058823529528</v>
      </c>
      <c r="Z1204" s="192">
        <v>10008</v>
      </c>
      <c r="AA1204" s="192">
        <f t="shared" si="300"/>
        <v>0</v>
      </c>
      <c r="AB1204" s="192">
        <f t="shared" si="292"/>
        <v>9811.7647058823532</v>
      </c>
      <c r="AC1204" s="192">
        <f t="shared" si="284"/>
        <v>196.23529411764684</v>
      </c>
      <c r="AD1204" s="192">
        <f t="shared" si="301"/>
        <v>6359.4614328718917</v>
      </c>
      <c r="AE1204" s="192">
        <f t="shared" si="286"/>
        <v>7539.6115544264212</v>
      </c>
      <c r="AF1204" s="184">
        <v>0.08</v>
      </c>
      <c r="AG1204" s="192">
        <f t="shared" si="293"/>
        <v>603.16892435411376</v>
      </c>
      <c r="AH1204" s="192">
        <f t="shared" si="294"/>
        <v>406.93363023646691</v>
      </c>
      <c r="AI1204" s="192"/>
      <c r="AJ1204" s="192"/>
      <c r="AK1204" s="203" t="s">
        <v>173</v>
      </c>
      <c r="AL1204" s="175" t="s">
        <v>1109</v>
      </c>
      <c r="AM1204" s="175"/>
    </row>
    <row r="1205" spans="1:39" s="121" customFormat="1" x14ac:dyDescent="0.15">
      <c r="A1205" s="175">
        <v>2017</v>
      </c>
      <c r="B1205" s="175" t="s">
        <v>38</v>
      </c>
      <c r="C1205" s="175" t="s">
        <v>110</v>
      </c>
      <c r="D1205" s="175" t="s">
        <v>111</v>
      </c>
      <c r="E1205" s="175" t="s">
        <v>281</v>
      </c>
      <c r="F1205" s="175" t="s">
        <v>895</v>
      </c>
      <c r="G1205" s="175" t="s">
        <v>895</v>
      </c>
      <c r="H1205" s="175" t="s">
        <v>895</v>
      </c>
      <c r="I1205" s="175" t="s">
        <v>1073</v>
      </c>
      <c r="J1205" s="176" t="s">
        <v>603</v>
      </c>
      <c r="K1205" s="175" t="s">
        <v>1107</v>
      </c>
      <c r="L1205" s="175" t="s">
        <v>895</v>
      </c>
      <c r="M1205" s="175" t="s">
        <v>46</v>
      </c>
      <c r="N1205" s="184">
        <v>0.02</v>
      </c>
      <c r="O1205" s="184">
        <v>0.02</v>
      </c>
      <c r="P1205" s="184" t="s">
        <v>51</v>
      </c>
      <c r="Q1205" s="192">
        <v>0</v>
      </c>
      <c r="R1205" s="192">
        <v>0</v>
      </c>
      <c r="S1205" s="192">
        <v>100000</v>
      </c>
      <c r="T1205" s="192">
        <f t="shared" si="295"/>
        <v>2000</v>
      </c>
      <c r="U1205" s="192">
        <f t="shared" si="296"/>
        <v>102000</v>
      </c>
      <c r="V1205" s="192">
        <v>102000</v>
      </c>
      <c r="W1205" s="192">
        <f t="shared" si="297"/>
        <v>0</v>
      </c>
      <c r="X1205" s="192">
        <f t="shared" si="298"/>
        <v>0</v>
      </c>
      <c r="Y1205" s="192">
        <f t="shared" si="299"/>
        <v>0</v>
      </c>
      <c r="Z1205" s="192">
        <v>102000</v>
      </c>
      <c r="AA1205" s="192">
        <f t="shared" si="300"/>
        <v>0</v>
      </c>
      <c r="AB1205" s="192">
        <f t="shared" si="292"/>
        <v>100000</v>
      </c>
      <c r="AC1205" s="192">
        <f t="shared" si="284"/>
        <v>2000</v>
      </c>
      <c r="AD1205" s="192">
        <f t="shared" si="301"/>
        <v>64814.654891380189</v>
      </c>
      <c r="AE1205" s="192">
        <f t="shared" si="286"/>
        <v>76842.563804106205</v>
      </c>
      <c r="AF1205" s="184">
        <v>0.08</v>
      </c>
      <c r="AG1205" s="192">
        <f t="shared" si="293"/>
        <v>6147.4051043284962</v>
      </c>
      <c r="AH1205" s="192">
        <f t="shared" si="294"/>
        <v>4147.4051043284962</v>
      </c>
      <c r="AI1205" s="192"/>
      <c r="AJ1205" s="192"/>
      <c r="AK1205" s="203" t="s">
        <v>1091</v>
      </c>
      <c r="AL1205" s="175" t="s">
        <v>1110</v>
      </c>
      <c r="AM1205" s="175"/>
    </row>
    <row r="1206" spans="1:39" s="121" customFormat="1" x14ac:dyDescent="0.15">
      <c r="A1206" s="175">
        <v>2017</v>
      </c>
      <c r="B1206" s="175" t="s">
        <v>199</v>
      </c>
      <c r="C1206" s="175" t="s">
        <v>110</v>
      </c>
      <c r="D1206" s="175" t="s">
        <v>111</v>
      </c>
      <c r="E1206" s="175" t="s">
        <v>281</v>
      </c>
      <c r="F1206" s="175" t="s">
        <v>416</v>
      </c>
      <c r="G1206" s="175" t="s">
        <v>417</v>
      </c>
      <c r="H1206" s="175" t="s">
        <v>417</v>
      </c>
      <c r="I1206" s="175" t="s">
        <v>1073</v>
      </c>
      <c r="J1206" s="176" t="s">
        <v>603</v>
      </c>
      <c r="K1206" s="175" t="s">
        <v>1107</v>
      </c>
      <c r="L1206" s="175" t="s">
        <v>416</v>
      </c>
      <c r="M1206" s="175" t="s">
        <v>46</v>
      </c>
      <c r="N1206" s="184">
        <v>0.02</v>
      </c>
      <c r="O1206" s="184" t="s">
        <v>173</v>
      </c>
      <c r="P1206" s="184" t="s">
        <v>51</v>
      </c>
      <c r="Q1206" s="192">
        <v>0</v>
      </c>
      <c r="R1206" s="192">
        <v>0</v>
      </c>
      <c r="S1206" s="192">
        <v>10000</v>
      </c>
      <c r="T1206" s="192">
        <f t="shared" si="295"/>
        <v>200</v>
      </c>
      <c r="U1206" s="192">
        <f t="shared" si="296"/>
        <v>10200</v>
      </c>
      <c r="V1206" s="192">
        <v>0</v>
      </c>
      <c r="W1206" s="192">
        <f t="shared" si="297"/>
        <v>10200</v>
      </c>
      <c r="X1206" s="192">
        <f t="shared" si="298"/>
        <v>10000</v>
      </c>
      <c r="Y1206" s="192">
        <f t="shared" si="299"/>
        <v>200</v>
      </c>
      <c r="Z1206" s="192">
        <v>0</v>
      </c>
      <c r="AA1206" s="192">
        <f t="shared" si="300"/>
        <v>0</v>
      </c>
      <c r="AB1206" s="192">
        <f t="shared" si="292"/>
        <v>0</v>
      </c>
      <c r="AC1206" s="192">
        <f t="shared" si="284"/>
        <v>0</v>
      </c>
      <c r="AD1206" s="192">
        <f t="shared" si="301"/>
        <v>0</v>
      </c>
      <c r="AE1206" s="192">
        <f t="shared" si="286"/>
        <v>0</v>
      </c>
      <c r="AF1206" s="184">
        <v>0.08</v>
      </c>
      <c r="AG1206" s="192">
        <f t="shared" si="293"/>
        <v>0</v>
      </c>
      <c r="AH1206" s="192">
        <f t="shared" si="294"/>
        <v>0</v>
      </c>
      <c r="AI1206" s="192"/>
      <c r="AJ1206" s="192"/>
      <c r="AK1206" s="203" t="s">
        <v>173</v>
      </c>
      <c r="AL1206" s="175" t="s">
        <v>1109</v>
      </c>
      <c r="AM1206" s="175"/>
    </row>
    <row r="1207" spans="1:39" s="121" customFormat="1" x14ac:dyDescent="0.15">
      <c r="A1207" s="175">
        <v>2017</v>
      </c>
      <c r="B1207" s="175" t="s">
        <v>252</v>
      </c>
      <c r="C1207" s="175" t="s">
        <v>110</v>
      </c>
      <c r="D1207" s="175" t="s">
        <v>111</v>
      </c>
      <c r="E1207" s="175" t="s">
        <v>281</v>
      </c>
      <c r="F1207" s="175" t="s">
        <v>1092</v>
      </c>
      <c r="G1207" s="175" t="s">
        <v>1093</v>
      </c>
      <c r="H1207" s="175" t="s">
        <v>1093</v>
      </c>
      <c r="I1207" s="175" t="s">
        <v>1073</v>
      </c>
      <c r="J1207" s="176" t="s">
        <v>603</v>
      </c>
      <c r="K1207" s="175" t="s">
        <v>1107</v>
      </c>
      <c r="L1207" s="175" t="s">
        <v>1092</v>
      </c>
      <c r="M1207" s="175" t="s">
        <v>46</v>
      </c>
      <c r="N1207" s="184">
        <v>0.02</v>
      </c>
      <c r="O1207" s="184" t="s">
        <v>173</v>
      </c>
      <c r="P1207" s="184" t="s">
        <v>51</v>
      </c>
      <c r="Q1207" s="192">
        <v>0</v>
      </c>
      <c r="R1207" s="192">
        <v>0</v>
      </c>
      <c r="S1207" s="192">
        <v>180000</v>
      </c>
      <c r="T1207" s="192">
        <f t="shared" si="295"/>
        <v>3600</v>
      </c>
      <c r="U1207" s="192">
        <f t="shared" si="296"/>
        <v>183600</v>
      </c>
      <c r="V1207" s="192">
        <v>183600</v>
      </c>
      <c r="W1207" s="192">
        <f t="shared" si="297"/>
        <v>0</v>
      </c>
      <c r="X1207" s="192">
        <f t="shared" si="298"/>
        <v>0</v>
      </c>
      <c r="Y1207" s="192">
        <f t="shared" si="299"/>
        <v>0</v>
      </c>
      <c r="Z1207" s="192">
        <v>53260.53</v>
      </c>
      <c r="AA1207" s="192">
        <f t="shared" si="300"/>
        <v>130339.47</v>
      </c>
      <c r="AB1207" s="192">
        <f t="shared" si="292"/>
        <v>52216.205882352937</v>
      </c>
      <c r="AC1207" s="192">
        <f t="shared" si="284"/>
        <v>1044.3241176470619</v>
      </c>
      <c r="AD1207" s="192">
        <f t="shared" si="301"/>
        <v>33843.753640019619</v>
      </c>
      <c r="AE1207" s="192">
        <f t="shared" si="286"/>
        <v>40124.271321230517</v>
      </c>
      <c r="AF1207" s="184">
        <v>0.08</v>
      </c>
      <c r="AG1207" s="192">
        <f t="shared" si="293"/>
        <v>3209.9417056984416</v>
      </c>
      <c r="AH1207" s="192">
        <f t="shared" si="294"/>
        <v>2165.6175880513797</v>
      </c>
      <c r="AI1207" s="192"/>
      <c r="AJ1207" s="192"/>
      <c r="AK1207" s="203" t="s">
        <v>173</v>
      </c>
      <c r="AL1207" s="175" t="s">
        <v>1109</v>
      </c>
      <c r="AM1207" s="175"/>
    </row>
    <row r="1208" spans="1:39" s="121" customFormat="1" x14ac:dyDescent="0.15">
      <c r="A1208" s="175">
        <v>2017</v>
      </c>
      <c r="B1208" s="175" t="s">
        <v>38</v>
      </c>
      <c r="C1208" s="175" t="s">
        <v>59</v>
      </c>
      <c r="D1208" s="175" t="s">
        <v>60</v>
      </c>
      <c r="E1208" s="175" t="s">
        <v>190</v>
      </c>
      <c r="F1208" s="175" t="s">
        <v>478</v>
      </c>
      <c r="G1208" s="175" t="s">
        <v>478</v>
      </c>
      <c r="H1208" s="175" t="s">
        <v>478</v>
      </c>
      <c r="I1208" s="175" t="s">
        <v>1073</v>
      </c>
      <c r="J1208" s="176" t="s">
        <v>603</v>
      </c>
      <c r="K1208" s="175" t="s">
        <v>1107</v>
      </c>
      <c r="L1208" s="175" t="s">
        <v>478</v>
      </c>
      <c r="M1208" s="175" t="s">
        <v>46</v>
      </c>
      <c r="N1208" s="184">
        <v>0.05</v>
      </c>
      <c r="O1208" s="184" t="s">
        <v>63</v>
      </c>
      <c r="P1208" s="184" t="s">
        <v>51</v>
      </c>
      <c r="Q1208" s="192">
        <v>0</v>
      </c>
      <c r="R1208" s="192">
        <v>0</v>
      </c>
      <c r="S1208" s="192">
        <v>200000</v>
      </c>
      <c r="T1208" s="192">
        <f t="shared" si="295"/>
        <v>10000</v>
      </c>
      <c r="U1208" s="192">
        <f t="shared" si="296"/>
        <v>210000</v>
      </c>
      <c r="V1208" s="192">
        <v>204000</v>
      </c>
      <c r="W1208" s="192">
        <f t="shared" si="297"/>
        <v>6000</v>
      </c>
      <c r="X1208" s="192">
        <f t="shared" si="298"/>
        <v>5714.2857142857138</v>
      </c>
      <c r="Y1208" s="192">
        <f t="shared" si="299"/>
        <v>285.71428571428623</v>
      </c>
      <c r="Z1208" s="192">
        <v>206490.5</v>
      </c>
      <c r="AA1208" s="192">
        <f t="shared" si="300"/>
        <v>-2490.5</v>
      </c>
      <c r="AB1208" s="192">
        <f t="shared" si="292"/>
        <v>196657.61904761905</v>
      </c>
      <c r="AC1208" s="192">
        <f t="shared" si="284"/>
        <v>9832.8809523809468</v>
      </c>
      <c r="AD1208" s="192">
        <f t="shared" si="301"/>
        <v>131211.86760635825</v>
      </c>
      <c r="AE1208" s="192">
        <f t="shared" si="286"/>
        <v>155561.36687442934</v>
      </c>
      <c r="AF1208" s="184">
        <v>0.08</v>
      </c>
      <c r="AG1208" s="192">
        <f t="shared" si="293"/>
        <v>12444.909349954347</v>
      </c>
      <c r="AH1208" s="192">
        <f t="shared" si="294"/>
        <v>2612.0283975734001</v>
      </c>
      <c r="AI1208" s="192"/>
      <c r="AJ1208" s="192"/>
      <c r="AK1208" s="203" t="s">
        <v>63</v>
      </c>
      <c r="AL1208" s="175" t="s">
        <v>1109</v>
      </c>
      <c r="AM1208" s="175"/>
    </row>
    <row r="1209" spans="1:39" s="121" customFormat="1" x14ac:dyDescent="0.15">
      <c r="A1209" s="175">
        <v>2017</v>
      </c>
      <c r="B1209" s="175" t="s">
        <v>38</v>
      </c>
      <c r="C1209" s="175" t="s">
        <v>39</v>
      </c>
      <c r="D1209" s="175" t="s">
        <v>40</v>
      </c>
      <c r="E1209" s="175" t="s">
        <v>48</v>
      </c>
      <c r="F1209" s="175" t="s">
        <v>127</v>
      </c>
      <c r="G1209" s="175" t="s">
        <v>127</v>
      </c>
      <c r="H1209" s="175" t="s">
        <v>127</v>
      </c>
      <c r="I1209" s="175" t="s">
        <v>1073</v>
      </c>
      <c r="J1209" s="176" t="s">
        <v>603</v>
      </c>
      <c r="K1209" s="175" t="s">
        <v>1107</v>
      </c>
      <c r="L1209" s="175" t="s">
        <v>127</v>
      </c>
      <c r="M1209" s="175" t="s">
        <v>46</v>
      </c>
      <c r="N1209" s="184">
        <v>0.02</v>
      </c>
      <c r="O1209" s="184" t="s">
        <v>173</v>
      </c>
      <c r="P1209" s="184" t="s">
        <v>51</v>
      </c>
      <c r="Q1209" s="192">
        <v>0</v>
      </c>
      <c r="R1209" s="192">
        <v>0</v>
      </c>
      <c r="S1209" s="192">
        <v>640000</v>
      </c>
      <c r="T1209" s="192">
        <f t="shared" si="295"/>
        <v>12800</v>
      </c>
      <c r="U1209" s="192">
        <f t="shared" si="296"/>
        <v>652800</v>
      </c>
      <c r="V1209" s="192">
        <v>652800</v>
      </c>
      <c r="W1209" s="192">
        <f t="shared" si="297"/>
        <v>0</v>
      </c>
      <c r="X1209" s="192">
        <f t="shared" si="298"/>
        <v>0</v>
      </c>
      <c r="Y1209" s="192">
        <f t="shared" si="299"/>
        <v>0</v>
      </c>
      <c r="Z1209" s="192">
        <v>1301143.8700000001</v>
      </c>
      <c r="AA1209" s="192">
        <f t="shared" si="300"/>
        <v>-648343.87000000011</v>
      </c>
      <c r="AB1209" s="192">
        <f t="shared" si="292"/>
        <v>1275631.2450980393</v>
      </c>
      <c r="AC1209" s="192">
        <f t="shared" si="284"/>
        <v>25512.624901960837</v>
      </c>
      <c r="AD1209" s="192">
        <f t="shared" si="301"/>
        <v>826795.98919691029</v>
      </c>
      <c r="AE1209" s="192">
        <f t="shared" si="286"/>
        <v>980227.7534195754</v>
      </c>
      <c r="AF1209" s="184">
        <v>0.08</v>
      </c>
      <c r="AG1209" s="192">
        <f t="shared" si="293"/>
        <v>78418.220273566039</v>
      </c>
      <c r="AH1209" s="192">
        <f t="shared" si="294"/>
        <v>52905.595371605203</v>
      </c>
      <c r="AI1209" s="192"/>
      <c r="AJ1209" s="192"/>
      <c r="AK1209" s="203" t="s">
        <v>173</v>
      </c>
      <c r="AL1209" s="175" t="s">
        <v>1109</v>
      </c>
      <c r="AM1209" s="175" t="s">
        <v>1086</v>
      </c>
    </row>
    <row r="1210" spans="1:39" s="121" customFormat="1" x14ac:dyDescent="0.15">
      <c r="A1210" s="175">
        <v>2017</v>
      </c>
      <c r="B1210" s="175" t="s">
        <v>38</v>
      </c>
      <c r="C1210" s="175" t="s">
        <v>54</v>
      </c>
      <c r="D1210" s="175" t="s">
        <v>55</v>
      </c>
      <c r="E1210" s="175" t="s">
        <v>64</v>
      </c>
      <c r="F1210" s="175" t="s">
        <v>795</v>
      </c>
      <c r="G1210" s="175" t="s">
        <v>795</v>
      </c>
      <c r="H1210" s="175" t="s">
        <v>795</v>
      </c>
      <c r="I1210" s="175" t="s">
        <v>1073</v>
      </c>
      <c r="J1210" s="176" t="s">
        <v>603</v>
      </c>
      <c r="K1210" s="175" t="s">
        <v>1107</v>
      </c>
      <c r="L1210" s="175" t="s">
        <v>795</v>
      </c>
      <c r="M1210" s="175" t="s">
        <v>46</v>
      </c>
      <c r="N1210" s="184">
        <v>0.02</v>
      </c>
      <c r="O1210" s="184" t="s">
        <v>173</v>
      </c>
      <c r="P1210" s="184" t="s">
        <v>51</v>
      </c>
      <c r="Q1210" s="192">
        <v>0</v>
      </c>
      <c r="R1210" s="192">
        <v>22800</v>
      </c>
      <c r="S1210" s="192">
        <v>50000</v>
      </c>
      <c r="T1210" s="192">
        <f t="shared" si="295"/>
        <v>1000</v>
      </c>
      <c r="U1210" s="192">
        <f t="shared" si="296"/>
        <v>73800</v>
      </c>
      <c r="V1210" s="192">
        <v>70000</v>
      </c>
      <c r="W1210" s="192">
        <f t="shared" si="297"/>
        <v>3800</v>
      </c>
      <c r="X1210" s="192">
        <f t="shared" si="298"/>
        <v>3725.4901960784314</v>
      </c>
      <c r="Y1210" s="192">
        <f t="shared" si="299"/>
        <v>74.509803921568619</v>
      </c>
      <c r="Z1210" s="192">
        <v>71500.600000000006</v>
      </c>
      <c r="AA1210" s="192">
        <f t="shared" si="300"/>
        <v>-1500.6000000000058</v>
      </c>
      <c r="AB1210" s="192">
        <f t="shared" si="292"/>
        <v>70098.627450980392</v>
      </c>
      <c r="AC1210" s="192">
        <f t="shared" si="284"/>
        <v>1401.9725490196142</v>
      </c>
      <c r="AD1210" s="192">
        <f t="shared" si="301"/>
        <v>45434.183465947244</v>
      </c>
      <c r="AE1210" s="192">
        <f t="shared" si="286"/>
        <v>53865.582524822326</v>
      </c>
      <c r="AF1210" s="184">
        <v>0.08</v>
      </c>
      <c r="AG1210" s="192">
        <f t="shared" si="293"/>
        <v>4309.2466019857866</v>
      </c>
      <c r="AH1210" s="192">
        <f t="shared" si="294"/>
        <v>2907.2740529661723</v>
      </c>
      <c r="AI1210" s="192"/>
      <c r="AJ1210" s="192"/>
      <c r="AK1210" s="203" t="s">
        <v>173</v>
      </c>
      <c r="AL1210" s="175" t="s">
        <v>1109</v>
      </c>
      <c r="AM1210" s="175"/>
    </row>
    <row r="1211" spans="1:39" s="121" customFormat="1" x14ac:dyDescent="0.15">
      <c r="A1211" s="175">
        <v>2017</v>
      </c>
      <c r="B1211" s="175" t="s">
        <v>38</v>
      </c>
      <c r="C1211" s="175" t="s">
        <v>110</v>
      </c>
      <c r="D1211" s="175" t="s">
        <v>111</v>
      </c>
      <c r="E1211" s="175" t="s">
        <v>253</v>
      </c>
      <c r="F1211" s="175" t="s">
        <v>906</v>
      </c>
      <c r="G1211" s="175" t="s">
        <v>906</v>
      </c>
      <c r="H1211" s="175" t="s">
        <v>906</v>
      </c>
      <c r="I1211" s="175" t="s">
        <v>1073</v>
      </c>
      <c r="J1211" s="176" t="s">
        <v>603</v>
      </c>
      <c r="K1211" s="175" t="s">
        <v>1107</v>
      </c>
      <c r="L1211" s="175" t="s">
        <v>906</v>
      </c>
      <c r="M1211" s="175" t="s">
        <v>46</v>
      </c>
      <c r="N1211" s="184">
        <v>0.02</v>
      </c>
      <c r="O1211" s="184">
        <v>0.02</v>
      </c>
      <c r="P1211" s="184" t="s">
        <v>51</v>
      </c>
      <c r="Q1211" s="192">
        <v>0</v>
      </c>
      <c r="R1211" s="192">
        <v>20400</v>
      </c>
      <c r="S1211" s="192">
        <v>70000</v>
      </c>
      <c r="T1211" s="192">
        <f t="shared" si="295"/>
        <v>1400</v>
      </c>
      <c r="U1211" s="192">
        <f t="shared" si="296"/>
        <v>91800</v>
      </c>
      <c r="V1211" s="192">
        <v>91800</v>
      </c>
      <c r="W1211" s="192">
        <f t="shared" si="297"/>
        <v>0</v>
      </c>
      <c r="X1211" s="192">
        <f t="shared" si="298"/>
        <v>0</v>
      </c>
      <c r="Y1211" s="192">
        <f t="shared" si="299"/>
        <v>0</v>
      </c>
      <c r="Z1211" s="192">
        <v>79918.94</v>
      </c>
      <c r="AA1211" s="192">
        <f t="shared" si="300"/>
        <v>11881.059999999998</v>
      </c>
      <c r="AB1211" s="192">
        <f t="shared" si="292"/>
        <v>78351.901960784307</v>
      </c>
      <c r="AC1211" s="192">
        <f t="shared" si="284"/>
        <v>1567.0380392156949</v>
      </c>
      <c r="AD1211" s="192">
        <f t="shared" si="301"/>
        <v>50783.514856714901</v>
      </c>
      <c r="AE1211" s="192">
        <f t="shared" si="286"/>
        <v>60207.610255946434</v>
      </c>
      <c r="AF1211" s="184">
        <v>0.08</v>
      </c>
      <c r="AG1211" s="192">
        <f t="shared" si="293"/>
        <v>4816.6088204757152</v>
      </c>
      <c r="AH1211" s="192">
        <f t="shared" si="294"/>
        <v>3249.5707812600203</v>
      </c>
      <c r="AI1211" s="192"/>
      <c r="AJ1211" s="192"/>
      <c r="AK1211" s="203" t="s">
        <v>1091</v>
      </c>
      <c r="AL1211" s="175" t="s">
        <v>1109</v>
      </c>
      <c r="AM1211" s="175" t="s">
        <v>1086</v>
      </c>
    </row>
    <row r="1212" spans="1:39" s="121" customFormat="1" x14ac:dyDescent="0.15">
      <c r="A1212" s="175">
        <v>2017</v>
      </c>
      <c r="B1212" s="175" t="s">
        <v>252</v>
      </c>
      <c r="C1212" s="175" t="s">
        <v>110</v>
      </c>
      <c r="D1212" s="175" t="s">
        <v>111</v>
      </c>
      <c r="E1212" s="175" t="s">
        <v>281</v>
      </c>
      <c r="F1212" s="175" t="s">
        <v>418</v>
      </c>
      <c r="G1212" s="175" t="s">
        <v>419</v>
      </c>
      <c r="H1212" s="176" t="s">
        <v>420</v>
      </c>
      <c r="I1212" s="175" t="s">
        <v>1073</v>
      </c>
      <c r="J1212" s="176" t="s">
        <v>603</v>
      </c>
      <c r="K1212" s="175" t="s">
        <v>1107</v>
      </c>
      <c r="L1212" s="175" t="s">
        <v>418</v>
      </c>
      <c r="M1212" s="175" t="s">
        <v>46</v>
      </c>
      <c r="N1212" s="184">
        <v>0.02</v>
      </c>
      <c r="O1212" s="184" t="s">
        <v>173</v>
      </c>
      <c r="P1212" s="184" t="s">
        <v>51</v>
      </c>
      <c r="Q1212" s="192">
        <v>0</v>
      </c>
      <c r="R1212" s="192">
        <v>0</v>
      </c>
      <c r="S1212" s="192">
        <v>40000</v>
      </c>
      <c r="T1212" s="192">
        <f t="shared" si="295"/>
        <v>800</v>
      </c>
      <c r="U1212" s="192">
        <f t="shared" si="296"/>
        <v>40800</v>
      </c>
      <c r="V1212" s="192">
        <v>40800</v>
      </c>
      <c r="W1212" s="192">
        <f t="shared" si="297"/>
        <v>0</v>
      </c>
      <c r="X1212" s="192">
        <f t="shared" si="298"/>
        <v>0</v>
      </c>
      <c r="Y1212" s="192">
        <f t="shared" si="299"/>
        <v>0</v>
      </c>
      <c r="Z1212" s="192">
        <v>30181.89</v>
      </c>
      <c r="AA1212" s="192">
        <f t="shared" si="300"/>
        <v>10618.11</v>
      </c>
      <c r="AB1212" s="192">
        <f t="shared" si="292"/>
        <v>29590.088235294115</v>
      </c>
      <c r="AC1212" s="192">
        <f t="shared" si="284"/>
        <v>591.80176470588412</v>
      </c>
      <c r="AD1212" s="192">
        <f t="shared" si="301"/>
        <v>19178.713571760771</v>
      </c>
      <c r="AE1212" s="192">
        <f t="shared" si="286"/>
        <v>22737.782431897209</v>
      </c>
      <c r="AF1212" s="184">
        <v>0.08</v>
      </c>
      <c r="AG1212" s="192">
        <f t="shared" si="293"/>
        <v>1819.0225945517768</v>
      </c>
      <c r="AH1212" s="192">
        <f t="shared" si="294"/>
        <v>1227.2208298458927</v>
      </c>
      <c r="AI1212" s="192"/>
      <c r="AJ1212" s="192"/>
      <c r="AK1212" s="203" t="s">
        <v>173</v>
      </c>
      <c r="AL1212" s="175" t="s">
        <v>1109</v>
      </c>
      <c r="AM1212" s="175"/>
    </row>
    <row r="1213" spans="1:39" s="122" customFormat="1" x14ac:dyDescent="0.15">
      <c r="A1213" s="178">
        <v>2017</v>
      </c>
      <c r="B1213" s="178" t="s">
        <v>1111</v>
      </c>
      <c r="C1213" s="178"/>
      <c r="D1213" s="178"/>
      <c r="E1213" s="178"/>
      <c r="F1213" s="178" t="s">
        <v>1112</v>
      </c>
      <c r="G1213" s="178"/>
      <c r="H1213" s="178"/>
      <c r="I1213" s="175" t="s">
        <v>1073</v>
      </c>
      <c r="J1213" s="187" t="s">
        <v>569</v>
      </c>
      <c r="K1213" s="178" t="s">
        <v>1085</v>
      </c>
      <c r="L1213" s="178" t="s">
        <v>1112</v>
      </c>
      <c r="M1213" s="178" t="s">
        <v>46</v>
      </c>
      <c r="N1213" s="188">
        <v>0</v>
      </c>
      <c r="O1213" s="188">
        <v>0</v>
      </c>
      <c r="P1213" s="188" t="s">
        <v>47</v>
      </c>
      <c r="Q1213" s="194">
        <v>5095</v>
      </c>
      <c r="R1213" s="194">
        <v>0</v>
      </c>
      <c r="S1213" s="194"/>
      <c r="T1213" s="194">
        <f t="shared" si="295"/>
        <v>0</v>
      </c>
      <c r="U1213" s="194">
        <f t="shared" si="296"/>
        <v>0</v>
      </c>
      <c r="V1213" s="194">
        <v>0</v>
      </c>
      <c r="W1213" s="194">
        <f t="shared" si="297"/>
        <v>0</v>
      </c>
      <c r="X1213" s="194">
        <f t="shared" si="298"/>
        <v>0</v>
      </c>
      <c r="Y1213" s="194">
        <f t="shared" si="299"/>
        <v>0</v>
      </c>
      <c r="Z1213" s="194">
        <v>5095</v>
      </c>
      <c r="AA1213" s="194">
        <f t="shared" si="300"/>
        <v>0</v>
      </c>
      <c r="AB1213" s="194">
        <v>0</v>
      </c>
      <c r="AC1213" s="194">
        <v>0</v>
      </c>
      <c r="AD1213" s="194">
        <f t="shared" si="301"/>
        <v>3237.5555556037457</v>
      </c>
      <c r="AE1213" s="194">
        <f t="shared" si="286"/>
        <v>3838.3613978619719</v>
      </c>
      <c r="AF1213" s="188">
        <v>0.08</v>
      </c>
      <c r="AG1213" s="194">
        <f t="shared" si="293"/>
        <v>307.06891182895777</v>
      </c>
      <c r="AH1213" s="194">
        <f t="shared" si="294"/>
        <v>-4787.9310881710426</v>
      </c>
      <c r="AI1213" s="194"/>
      <c r="AJ1213" s="194"/>
      <c r="AK1213" s="178"/>
      <c r="AL1213" s="178" t="s">
        <v>1113</v>
      </c>
      <c r="AM1213" s="178"/>
    </row>
    <row r="1214" spans="1:39" s="122" customFormat="1" x14ac:dyDescent="0.15">
      <c r="A1214" s="178">
        <v>2017</v>
      </c>
      <c r="B1214" s="178" t="s">
        <v>1111</v>
      </c>
      <c r="C1214" s="178" t="s">
        <v>88</v>
      </c>
      <c r="D1214" s="178"/>
      <c r="E1214" s="178"/>
      <c r="F1214" s="178" t="s">
        <v>1114</v>
      </c>
      <c r="G1214" s="178"/>
      <c r="H1214" s="178"/>
      <c r="I1214" s="175" t="s">
        <v>1073</v>
      </c>
      <c r="J1214" s="187" t="s">
        <v>569</v>
      </c>
      <c r="K1214" s="178" t="s">
        <v>1085</v>
      </c>
      <c r="L1214" s="178" t="s">
        <v>1114</v>
      </c>
      <c r="M1214" s="178" t="s">
        <v>46</v>
      </c>
      <c r="N1214" s="188">
        <v>0</v>
      </c>
      <c r="O1214" s="188">
        <v>0</v>
      </c>
      <c r="P1214" s="188" t="s">
        <v>47</v>
      </c>
      <c r="Q1214" s="194">
        <v>93199.51</v>
      </c>
      <c r="R1214" s="194"/>
      <c r="S1214" s="194"/>
      <c r="T1214" s="194">
        <f t="shared" si="295"/>
        <v>0</v>
      </c>
      <c r="U1214" s="194">
        <f t="shared" si="296"/>
        <v>0</v>
      </c>
      <c r="V1214" s="194">
        <v>0</v>
      </c>
      <c r="W1214" s="194">
        <f t="shared" si="297"/>
        <v>0</v>
      </c>
      <c r="X1214" s="194">
        <f t="shared" si="298"/>
        <v>0</v>
      </c>
      <c r="Y1214" s="194">
        <f t="shared" si="299"/>
        <v>0</v>
      </c>
      <c r="Z1214" s="194">
        <v>59335.63</v>
      </c>
      <c r="AA1214" s="194">
        <f t="shared" si="300"/>
        <v>33863.879999999997</v>
      </c>
      <c r="AB1214" s="194">
        <v>0</v>
      </c>
      <c r="AC1214" s="194">
        <v>0</v>
      </c>
      <c r="AD1214" s="194">
        <f t="shared" si="301"/>
        <v>37704.101776594362</v>
      </c>
      <c r="AE1214" s="194">
        <f t="shared" si="286"/>
        <v>44700.999354233711</v>
      </c>
      <c r="AF1214" s="188">
        <v>0.08</v>
      </c>
      <c r="AG1214" s="194">
        <f t="shared" si="293"/>
        <v>3576.0799483386968</v>
      </c>
      <c r="AH1214" s="194">
        <f t="shared" si="294"/>
        <v>-55759.550051661303</v>
      </c>
      <c r="AI1214" s="194"/>
      <c r="AJ1214" s="194"/>
      <c r="AK1214" s="178"/>
      <c r="AL1214" s="178" t="s">
        <v>1113</v>
      </c>
      <c r="AM1214" s="178" t="s">
        <v>1086</v>
      </c>
    </row>
    <row r="1215" spans="1:39" s="122" customFormat="1" x14ac:dyDescent="0.15">
      <c r="A1215" s="178">
        <v>2017</v>
      </c>
      <c r="B1215" s="178" t="s">
        <v>1111</v>
      </c>
      <c r="C1215" s="178" t="s">
        <v>54</v>
      </c>
      <c r="D1215" s="178"/>
      <c r="E1215" s="178"/>
      <c r="F1215" s="178" t="s">
        <v>1012</v>
      </c>
      <c r="G1215" s="178"/>
      <c r="H1215" s="178"/>
      <c r="I1215" s="175" t="s">
        <v>1073</v>
      </c>
      <c r="J1215" s="187" t="s">
        <v>569</v>
      </c>
      <c r="K1215" s="178" t="s">
        <v>1085</v>
      </c>
      <c r="L1215" s="178" t="s">
        <v>1012</v>
      </c>
      <c r="M1215" s="178" t="s">
        <v>46</v>
      </c>
      <c r="N1215" s="188">
        <v>0</v>
      </c>
      <c r="O1215" s="188">
        <v>0</v>
      </c>
      <c r="P1215" s="188" t="s">
        <v>47</v>
      </c>
      <c r="Q1215" s="194">
        <v>313272.43</v>
      </c>
      <c r="R1215" s="194">
        <v>0</v>
      </c>
      <c r="S1215" s="194"/>
      <c r="T1215" s="194">
        <f t="shared" si="295"/>
        <v>0</v>
      </c>
      <c r="U1215" s="194">
        <f t="shared" si="296"/>
        <v>0</v>
      </c>
      <c r="V1215" s="194">
        <v>0</v>
      </c>
      <c r="W1215" s="194">
        <f t="shared" si="297"/>
        <v>0</v>
      </c>
      <c r="X1215" s="194">
        <f t="shared" si="298"/>
        <v>0</v>
      </c>
      <c r="Y1215" s="194">
        <f t="shared" si="299"/>
        <v>0</v>
      </c>
      <c r="Z1215" s="194">
        <v>313272.43</v>
      </c>
      <c r="AA1215" s="194">
        <f t="shared" si="300"/>
        <v>0</v>
      </c>
      <c r="AB1215" s="194">
        <v>0</v>
      </c>
      <c r="AC1215" s="194">
        <v>0</v>
      </c>
      <c r="AD1215" s="194">
        <f t="shared" si="301"/>
        <v>199065.14154347114</v>
      </c>
      <c r="AE1215" s="194">
        <f t="shared" si="286"/>
        <v>236006.43814061172</v>
      </c>
      <c r="AF1215" s="188">
        <v>0.08</v>
      </c>
      <c r="AG1215" s="194">
        <f t="shared" si="293"/>
        <v>18880.515051248938</v>
      </c>
      <c r="AH1215" s="194">
        <f t="shared" si="294"/>
        <v>-294391.91494875104</v>
      </c>
      <c r="AI1215" s="194"/>
      <c r="AJ1215" s="194"/>
      <c r="AK1215" s="178"/>
      <c r="AL1215" s="178" t="s">
        <v>1113</v>
      </c>
      <c r="AM1215" s="178" t="s">
        <v>1086</v>
      </c>
    </row>
    <row r="1216" spans="1:39" s="121" customFormat="1" x14ac:dyDescent="0.3">
      <c r="A1216" s="175">
        <v>2017</v>
      </c>
      <c r="B1216" s="177" t="s">
        <v>38</v>
      </c>
      <c r="C1216" s="177" t="s">
        <v>110</v>
      </c>
      <c r="D1216" s="177" t="s">
        <v>111</v>
      </c>
      <c r="E1216" s="177" t="s">
        <v>281</v>
      </c>
      <c r="F1216" s="177" t="s">
        <v>1087</v>
      </c>
      <c r="G1216" s="177" t="s">
        <v>1087</v>
      </c>
      <c r="H1216" s="177" t="s">
        <v>1087</v>
      </c>
      <c r="I1216" s="175" t="s">
        <v>1073</v>
      </c>
      <c r="J1216" s="176" t="s">
        <v>603</v>
      </c>
      <c r="K1216" s="175" t="s">
        <v>1107</v>
      </c>
      <c r="L1216" s="175" t="s">
        <v>1090</v>
      </c>
      <c r="M1216" s="175" t="s">
        <v>46</v>
      </c>
      <c r="N1216" s="184">
        <v>0.02</v>
      </c>
      <c r="O1216" s="184" t="s">
        <v>173</v>
      </c>
      <c r="P1216" s="184" t="s">
        <v>51</v>
      </c>
      <c r="Q1216" s="192">
        <v>0</v>
      </c>
      <c r="R1216" s="192">
        <v>0</v>
      </c>
      <c r="S1216" s="192"/>
      <c r="T1216" s="192">
        <f t="shared" si="295"/>
        <v>0</v>
      </c>
      <c r="U1216" s="192">
        <f t="shared" si="296"/>
        <v>0</v>
      </c>
      <c r="V1216" s="192">
        <v>0</v>
      </c>
      <c r="W1216" s="192">
        <f t="shared" si="297"/>
        <v>0</v>
      </c>
      <c r="X1216" s="192">
        <f t="shared" si="298"/>
        <v>0</v>
      </c>
      <c r="Y1216" s="192">
        <f t="shared" si="299"/>
        <v>0</v>
      </c>
      <c r="Z1216" s="192">
        <v>1279.32</v>
      </c>
      <c r="AA1216" s="192">
        <f t="shared" si="300"/>
        <v>-1279.32</v>
      </c>
      <c r="AB1216" s="192">
        <f t="shared" ref="AB1216:AB1279" si="302">IF(P1216="返货",Z1216/(1+N1216),IF(P1216="返现",Z1216,IF(P1216="折扣",Z1216*N1216,IF(P1216="无",Z1216))))</f>
        <v>1254.2352941176471</v>
      </c>
      <c r="AC1216" s="192">
        <f t="shared" ref="AC1216:AC1279" si="303">IF(P1216="返现",Z1216*N1216,Z1216-AB1216)</f>
        <v>25.084705882352864</v>
      </c>
      <c r="AD1216" s="192">
        <f t="shared" si="301"/>
        <v>812.92827740824021</v>
      </c>
      <c r="AE1216" s="192">
        <f t="shared" si="286"/>
        <v>963.78655613597209</v>
      </c>
      <c r="AF1216" s="184">
        <v>0.08</v>
      </c>
      <c r="AG1216" s="192">
        <f t="shared" si="293"/>
        <v>77.102924490877768</v>
      </c>
      <c r="AH1216" s="192">
        <f t="shared" si="294"/>
        <v>52.018218608524904</v>
      </c>
      <c r="AI1216" s="192"/>
      <c r="AJ1216" s="192"/>
      <c r="AK1216" s="175"/>
      <c r="AL1216" s="175" t="s">
        <v>1115</v>
      </c>
      <c r="AM1216" s="175"/>
    </row>
    <row r="1217" spans="1:39" s="121" customFormat="1" x14ac:dyDescent="0.15">
      <c r="A1217" s="175">
        <v>2017</v>
      </c>
      <c r="B1217" s="175" t="s">
        <v>199</v>
      </c>
      <c r="C1217" s="175" t="s">
        <v>200</v>
      </c>
      <c r="D1217" s="175" t="s">
        <v>201</v>
      </c>
      <c r="E1217" s="175" t="s">
        <v>812</v>
      </c>
      <c r="F1217" s="175" t="s">
        <v>202</v>
      </c>
      <c r="G1217" s="175" t="s">
        <v>203</v>
      </c>
      <c r="H1217" s="175" t="s">
        <v>203</v>
      </c>
      <c r="I1217" s="175" t="s">
        <v>1073</v>
      </c>
      <c r="J1217" s="176" t="s">
        <v>603</v>
      </c>
      <c r="K1217" s="175" t="s">
        <v>1107</v>
      </c>
      <c r="L1217" s="175" t="s">
        <v>202</v>
      </c>
      <c r="M1217" s="175" t="s">
        <v>46</v>
      </c>
      <c r="N1217" s="184">
        <v>0.05</v>
      </c>
      <c r="O1217" s="184" t="s">
        <v>63</v>
      </c>
      <c r="P1217" s="184" t="s">
        <v>51</v>
      </c>
      <c r="Q1217" s="192">
        <v>0</v>
      </c>
      <c r="R1217" s="192">
        <v>0</v>
      </c>
      <c r="S1217" s="192"/>
      <c r="T1217" s="192">
        <f t="shared" si="295"/>
        <v>0</v>
      </c>
      <c r="U1217" s="192">
        <f t="shared" si="296"/>
        <v>0</v>
      </c>
      <c r="V1217" s="192">
        <v>0</v>
      </c>
      <c r="W1217" s="192">
        <f t="shared" si="297"/>
        <v>0</v>
      </c>
      <c r="X1217" s="192">
        <f t="shared" si="298"/>
        <v>0</v>
      </c>
      <c r="Y1217" s="192">
        <f t="shared" si="299"/>
        <v>0</v>
      </c>
      <c r="Z1217" s="192">
        <v>100000</v>
      </c>
      <c r="AA1217" s="192">
        <f t="shared" si="300"/>
        <v>-100000</v>
      </c>
      <c r="AB1217" s="192">
        <f t="shared" si="302"/>
        <v>95238.095238095237</v>
      </c>
      <c r="AC1217" s="192">
        <f t="shared" si="303"/>
        <v>4761.9047619047633</v>
      </c>
      <c r="AD1217" s="192">
        <f t="shared" si="301"/>
        <v>63543.779305274693</v>
      </c>
      <c r="AE1217" s="192">
        <f t="shared" si="286"/>
        <v>75335.846866770793</v>
      </c>
      <c r="AF1217" s="184">
        <v>0.08</v>
      </c>
      <c r="AG1217" s="192">
        <f t="shared" si="293"/>
        <v>6026.8677493416635</v>
      </c>
      <c r="AH1217" s="192">
        <f t="shared" si="294"/>
        <v>1264.9629874369002</v>
      </c>
      <c r="AI1217" s="192"/>
      <c r="AJ1217" s="192"/>
      <c r="AK1217" s="175"/>
      <c r="AL1217" s="175" t="s">
        <v>1115</v>
      </c>
      <c r="AM1217" s="175"/>
    </row>
    <row r="1218" spans="1:39" s="121" customFormat="1" x14ac:dyDescent="0.3">
      <c r="A1218" s="175">
        <v>2017</v>
      </c>
      <c r="B1218" s="177" t="s">
        <v>252</v>
      </c>
      <c r="C1218" s="177" t="s">
        <v>88</v>
      </c>
      <c r="D1218" s="177" t="s">
        <v>128</v>
      </c>
      <c r="E1218" s="177" t="s">
        <v>194</v>
      </c>
      <c r="F1218" s="177" t="s">
        <v>601</v>
      </c>
      <c r="G1218" s="177" t="s">
        <v>602</v>
      </c>
      <c r="H1218" s="177" t="s">
        <v>602</v>
      </c>
      <c r="I1218" s="175" t="s">
        <v>1073</v>
      </c>
      <c r="J1218" s="176" t="s">
        <v>603</v>
      </c>
      <c r="K1218" s="175" t="s">
        <v>1107</v>
      </c>
      <c r="L1218" s="175" t="s">
        <v>1116</v>
      </c>
      <c r="M1218" s="175" t="s">
        <v>46</v>
      </c>
      <c r="N1218" s="184">
        <v>0</v>
      </c>
      <c r="O1218" s="184" t="s">
        <v>47</v>
      </c>
      <c r="P1218" s="184" t="s">
        <v>47</v>
      </c>
      <c r="Q1218" s="192">
        <v>0</v>
      </c>
      <c r="R1218" s="192">
        <v>0</v>
      </c>
      <c r="S1218" s="192"/>
      <c r="T1218" s="192">
        <f t="shared" si="295"/>
        <v>0</v>
      </c>
      <c r="U1218" s="192">
        <f t="shared" si="296"/>
        <v>0</v>
      </c>
      <c r="V1218" s="192">
        <v>0</v>
      </c>
      <c r="W1218" s="192">
        <f t="shared" si="297"/>
        <v>0</v>
      </c>
      <c r="X1218" s="192">
        <f t="shared" si="298"/>
        <v>0</v>
      </c>
      <c r="Y1218" s="192">
        <f t="shared" si="299"/>
        <v>0</v>
      </c>
      <c r="Z1218" s="192">
        <v>117131.45</v>
      </c>
      <c r="AA1218" s="192">
        <f t="shared" si="300"/>
        <v>-117131.45</v>
      </c>
      <c r="AB1218" s="192">
        <f t="shared" si="302"/>
        <v>117131.45</v>
      </c>
      <c r="AC1218" s="192">
        <f t="shared" si="303"/>
        <v>0</v>
      </c>
      <c r="AD1218" s="192">
        <f t="shared" si="301"/>
        <v>74429.750085068168</v>
      </c>
      <c r="AE1218" s="192">
        <f t="shared" si="286"/>
        <v>88241.969804828201</v>
      </c>
      <c r="AF1218" s="184">
        <v>0.08</v>
      </c>
      <c r="AG1218" s="192">
        <f t="shared" si="293"/>
        <v>7059.3575843862563</v>
      </c>
      <c r="AH1218" s="192">
        <f t="shared" si="294"/>
        <v>7059.3575843862563</v>
      </c>
      <c r="AI1218" s="192"/>
      <c r="AJ1218" s="192"/>
      <c r="AK1218" s="175"/>
      <c r="AL1218" s="175" t="s">
        <v>1115</v>
      </c>
      <c r="AM1218" s="175"/>
    </row>
    <row r="1219" spans="1:39" s="121" customFormat="1" x14ac:dyDescent="0.15">
      <c r="A1219" s="175">
        <v>2017</v>
      </c>
      <c r="B1219" s="175" t="s">
        <v>38</v>
      </c>
      <c r="C1219" s="175" t="s">
        <v>110</v>
      </c>
      <c r="D1219" s="175" t="s">
        <v>111</v>
      </c>
      <c r="E1219" s="175" t="s">
        <v>112</v>
      </c>
      <c r="F1219" s="175" t="s">
        <v>113</v>
      </c>
      <c r="G1219" s="175" t="s">
        <v>113</v>
      </c>
      <c r="H1219" s="175" t="s">
        <v>113</v>
      </c>
      <c r="I1219" s="175" t="s">
        <v>1073</v>
      </c>
      <c r="J1219" s="176" t="s">
        <v>603</v>
      </c>
      <c r="K1219" s="175" t="s">
        <v>1107</v>
      </c>
      <c r="L1219" s="175" t="s">
        <v>114</v>
      </c>
      <c r="M1219" s="175" t="s">
        <v>46</v>
      </c>
      <c r="N1219" s="184">
        <v>0.02</v>
      </c>
      <c r="O1219" s="184">
        <v>0.02</v>
      </c>
      <c r="P1219" s="184" t="s">
        <v>51</v>
      </c>
      <c r="Q1219" s="192">
        <v>0</v>
      </c>
      <c r="R1219" s="192">
        <v>0</v>
      </c>
      <c r="S1219" s="192"/>
      <c r="T1219" s="192">
        <f t="shared" si="295"/>
        <v>0</v>
      </c>
      <c r="U1219" s="192">
        <f t="shared" si="296"/>
        <v>0</v>
      </c>
      <c r="V1219" s="192">
        <v>102000</v>
      </c>
      <c r="W1219" s="192">
        <f t="shared" si="297"/>
        <v>-102000</v>
      </c>
      <c r="X1219" s="192">
        <f t="shared" si="298"/>
        <v>-100000</v>
      </c>
      <c r="Y1219" s="192">
        <f t="shared" si="299"/>
        <v>-2000</v>
      </c>
      <c r="Z1219" s="192">
        <v>150321.45000000001</v>
      </c>
      <c r="AA1219" s="192">
        <f t="shared" si="300"/>
        <v>-48321.450000000012</v>
      </c>
      <c r="AB1219" s="192">
        <f t="shared" si="302"/>
        <v>147373.9705882353</v>
      </c>
      <c r="AC1219" s="192">
        <f t="shared" si="303"/>
        <v>2947.4794117647107</v>
      </c>
      <c r="AD1219" s="192">
        <f t="shared" si="301"/>
        <v>95519.930436488852</v>
      </c>
      <c r="AE1219" s="192">
        <f t="shared" si="286"/>
        <v>113245.93737990943</v>
      </c>
      <c r="AF1219" s="184">
        <v>0.08</v>
      </c>
      <c r="AG1219" s="192">
        <f t="shared" si="293"/>
        <v>9059.6749903927539</v>
      </c>
      <c r="AH1219" s="192">
        <f t="shared" si="294"/>
        <v>6112.1955786280432</v>
      </c>
      <c r="AI1219" s="192"/>
      <c r="AJ1219" s="192"/>
      <c r="AK1219" s="175"/>
      <c r="AL1219" s="175" t="s">
        <v>1115</v>
      </c>
      <c r="AM1219" s="175"/>
    </row>
    <row r="1220" spans="1:39" s="121" customFormat="1" x14ac:dyDescent="0.15">
      <c r="A1220" s="175">
        <v>2017</v>
      </c>
      <c r="B1220" s="175" t="s">
        <v>38</v>
      </c>
      <c r="C1220" s="175" t="s">
        <v>110</v>
      </c>
      <c r="D1220" s="175" t="s">
        <v>111</v>
      </c>
      <c r="E1220" s="175" t="s">
        <v>253</v>
      </c>
      <c r="F1220" s="175" t="s">
        <v>907</v>
      </c>
      <c r="G1220" s="175" t="s">
        <v>907</v>
      </c>
      <c r="H1220" s="175" t="s">
        <v>907</v>
      </c>
      <c r="I1220" s="175" t="s">
        <v>1073</v>
      </c>
      <c r="J1220" s="176" t="s">
        <v>603</v>
      </c>
      <c r="K1220" s="175" t="s">
        <v>1107</v>
      </c>
      <c r="L1220" s="175" t="s">
        <v>907</v>
      </c>
      <c r="M1220" s="175" t="s">
        <v>46</v>
      </c>
      <c r="N1220" s="184">
        <v>0.02</v>
      </c>
      <c r="O1220" s="184">
        <v>0.02</v>
      </c>
      <c r="P1220" s="184" t="s">
        <v>51</v>
      </c>
      <c r="Q1220" s="192">
        <v>0</v>
      </c>
      <c r="R1220" s="192">
        <v>0</v>
      </c>
      <c r="S1220" s="192"/>
      <c r="T1220" s="192">
        <f t="shared" si="295"/>
        <v>0</v>
      </c>
      <c r="U1220" s="192">
        <f t="shared" si="296"/>
        <v>0</v>
      </c>
      <c r="V1220" s="192">
        <v>0</v>
      </c>
      <c r="W1220" s="192">
        <f t="shared" si="297"/>
        <v>0</v>
      </c>
      <c r="X1220" s="192">
        <f t="shared" si="298"/>
        <v>0</v>
      </c>
      <c r="Y1220" s="192">
        <f t="shared" si="299"/>
        <v>0</v>
      </c>
      <c r="Z1220" s="192">
        <v>2595.11</v>
      </c>
      <c r="AA1220" s="192">
        <f t="shared" si="300"/>
        <v>-2595.11</v>
      </c>
      <c r="AB1220" s="192">
        <f t="shared" si="302"/>
        <v>2544.2254901960787</v>
      </c>
      <c r="AC1220" s="192">
        <f t="shared" si="303"/>
        <v>50.884509803921446</v>
      </c>
      <c r="AD1220" s="192">
        <f t="shared" si="301"/>
        <v>1649.0309711291143</v>
      </c>
      <c r="AE1220" s="192">
        <f t="shared" si="286"/>
        <v>1955.0480956242557</v>
      </c>
      <c r="AF1220" s="184">
        <v>0.08</v>
      </c>
      <c r="AG1220" s="192">
        <f t="shared" si="293"/>
        <v>156.40384764994045</v>
      </c>
      <c r="AH1220" s="192">
        <f t="shared" si="294"/>
        <v>105.519337846019</v>
      </c>
      <c r="AI1220" s="192"/>
      <c r="AJ1220" s="192"/>
      <c r="AK1220" s="175"/>
      <c r="AL1220" s="175" t="s">
        <v>1115</v>
      </c>
      <c r="AM1220" s="175"/>
    </row>
    <row r="1221" spans="1:39" s="121" customFormat="1" x14ac:dyDescent="0.15">
      <c r="A1221" s="175">
        <v>2017</v>
      </c>
      <c r="B1221" s="175" t="s">
        <v>38</v>
      </c>
      <c r="C1221" s="175" t="s">
        <v>88</v>
      </c>
      <c r="D1221" s="175" t="s">
        <v>89</v>
      </c>
      <c r="E1221" s="175" t="s">
        <v>124</v>
      </c>
      <c r="F1221" s="175" t="s">
        <v>1099</v>
      </c>
      <c r="G1221" s="175" t="s">
        <v>1099</v>
      </c>
      <c r="H1221" s="175" t="s">
        <v>1099</v>
      </c>
      <c r="I1221" s="175" t="s">
        <v>1073</v>
      </c>
      <c r="J1221" s="176" t="s">
        <v>603</v>
      </c>
      <c r="K1221" s="175" t="s">
        <v>1107</v>
      </c>
      <c r="L1221" s="175" t="s">
        <v>1099</v>
      </c>
      <c r="M1221" s="175" t="s">
        <v>46</v>
      </c>
      <c r="N1221" s="184">
        <v>0.02</v>
      </c>
      <c r="O1221" s="184">
        <v>0.02</v>
      </c>
      <c r="P1221" s="184" t="s">
        <v>51</v>
      </c>
      <c r="Q1221" s="192">
        <v>0</v>
      </c>
      <c r="R1221" s="192">
        <v>0</v>
      </c>
      <c r="S1221" s="192"/>
      <c r="T1221" s="192">
        <f t="shared" si="295"/>
        <v>0</v>
      </c>
      <c r="U1221" s="192">
        <f t="shared" si="296"/>
        <v>0</v>
      </c>
      <c r="V1221" s="192">
        <v>0</v>
      </c>
      <c r="W1221" s="192">
        <f t="shared" si="297"/>
        <v>0</v>
      </c>
      <c r="X1221" s="192">
        <f t="shared" si="298"/>
        <v>0</v>
      </c>
      <c r="Y1221" s="192">
        <f t="shared" si="299"/>
        <v>0</v>
      </c>
      <c r="Z1221" s="192">
        <v>32578.6</v>
      </c>
      <c r="AA1221" s="192">
        <f t="shared" si="300"/>
        <v>-32578.6</v>
      </c>
      <c r="AB1221" s="192">
        <f t="shared" si="302"/>
        <v>31939.803921568626</v>
      </c>
      <c r="AC1221" s="192">
        <f t="shared" si="303"/>
        <v>638.79607843137273</v>
      </c>
      <c r="AD1221" s="192">
        <f t="shared" si="301"/>
        <v>20701.673684748221</v>
      </c>
      <c r="AE1221" s="192">
        <f t="shared" si="286"/>
        <v>24543.364207337789</v>
      </c>
      <c r="AF1221" s="184">
        <v>0.08</v>
      </c>
      <c r="AG1221" s="192">
        <f t="shared" si="293"/>
        <v>1963.4691365870231</v>
      </c>
      <c r="AH1221" s="192">
        <f t="shared" si="294"/>
        <v>1324.6730581556503</v>
      </c>
      <c r="AI1221" s="192"/>
      <c r="AJ1221" s="192"/>
      <c r="AK1221" s="175"/>
      <c r="AL1221" s="175" t="s">
        <v>1115</v>
      </c>
      <c r="AM1221" s="175"/>
    </row>
    <row r="1222" spans="1:39" s="121" customFormat="1" x14ac:dyDescent="0.15">
      <c r="A1222" s="175">
        <v>2017</v>
      </c>
      <c r="B1222" s="175" t="s">
        <v>199</v>
      </c>
      <c r="C1222" s="175" t="s">
        <v>54</v>
      </c>
      <c r="D1222" s="175" t="s">
        <v>55</v>
      </c>
      <c r="E1222" s="175" t="s">
        <v>64</v>
      </c>
      <c r="F1222" s="175" t="s">
        <v>496</v>
      </c>
      <c r="G1222" s="175" t="s">
        <v>497</v>
      </c>
      <c r="H1222" s="176" t="s">
        <v>498</v>
      </c>
      <c r="I1222" s="175" t="s">
        <v>1073</v>
      </c>
      <c r="J1222" s="176" t="s">
        <v>603</v>
      </c>
      <c r="K1222" s="175" t="s">
        <v>1107</v>
      </c>
      <c r="L1222" s="175" t="s">
        <v>499</v>
      </c>
      <c r="M1222" s="175" t="s">
        <v>46</v>
      </c>
      <c r="N1222" s="184">
        <v>0.03</v>
      </c>
      <c r="O1222" s="184" t="s">
        <v>189</v>
      </c>
      <c r="P1222" s="184" t="s">
        <v>51</v>
      </c>
      <c r="Q1222" s="192">
        <v>0</v>
      </c>
      <c r="R1222" s="192">
        <v>0</v>
      </c>
      <c r="S1222" s="192">
        <v>0</v>
      </c>
      <c r="T1222" s="192">
        <v>0</v>
      </c>
      <c r="U1222" s="192">
        <f t="shared" si="296"/>
        <v>0</v>
      </c>
      <c r="V1222" s="192">
        <v>0</v>
      </c>
      <c r="W1222" s="192">
        <f t="shared" si="297"/>
        <v>0</v>
      </c>
      <c r="X1222" s="192">
        <f t="shared" si="298"/>
        <v>0</v>
      </c>
      <c r="Y1222" s="192">
        <f t="shared" si="299"/>
        <v>0</v>
      </c>
      <c r="Z1222" s="192">
        <v>50000</v>
      </c>
      <c r="AA1222" s="192">
        <f t="shared" si="300"/>
        <v>-50000</v>
      </c>
      <c r="AB1222" s="192">
        <f t="shared" si="302"/>
        <v>48543.689320388345</v>
      </c>
      <c r="AC1222" s="192">
        <f t="shared" si="303"/>
        <v>1456.3106796116554</v>
      </c>
      <c r="AD1222" s="192">
        <f t="shared" si="301"/>
        <v>31771.889652637346</v>
      </c>
      <c r="AE1222" s="192">
        <f t="shared" si="286"/>
        <v>37667.923433385396</v>
      </c>
      <c r="AF1222" s="184">
        <v>0.08</v>
      </c>
      <c r="AG1222" s="192">
        <f t="shared" si="293"/>
        <v>3013.4338746708318</v>
      </c>
      <c r="AH1222" s="192">
        <f t="shared" si="294"/>
        <v>1557.1231950591764</v>
      </c>
      <c r="AI1222" s="192"/>
      <c r="AJ1222" s="192"/>
      <c r="AK1222" s="203" t="s">
        <v>189</v>
      </c>
      <c r="AL1222" s="175"/>
      <c r="AM1222" s="175" t="s">
        <v>208</v>
      </c>
    </row>
    <row r="1223" spans="1:39" s="121" customFormat="1" x14ac:dyDescent="0.15">
      <c r="A1223" s="175">
        <v>2017</v>
      </c>
      <c r="B1223" s="175" t="s">
        <v>38</v>
      </c>
      <c r="C1223" s="175" t="s">
        <v>39</v>
      </c>
      <c r="D1223" s="175" t="s">
        <v>40</v>
      </c>
      <c r="E1223" s="175" t="s">
        <v>48</v>
      </c>
      <c r="F1223" s="175" t="s">
        <v>127</v>
      </c>
      <c r="G1223" s="175" t="s">
        <v>127</v>
      </c>
      <c r="H1223" s="175" t="s">
        <v>127</v>
      </c>
      <c r="I1223" s="175" t="s">
        <v>1073</v>
      </c>
      <c r="J1223" s="176" t="s">
        <v>603</v>
      </c>
      <c r="K1223" s="175" t="s">
        <v>1107</v>
      </c>
      <c r="L1223" s="175" t="s">
        <v>1117</v>
      </c>
      <c r="M1223" s="175" t="s">
        <v>46</v>
      </c>
      <c r="N1223" s="184">
        <v>0.02</v>
      </c>
      <c r="O1223" s="184" t="s">
        <v>173</v>
      </c>
      <c r="P1223" s="184" t="s">
        <v>51</v>
      </c>
      <c r="Q1223" s="192">
        <v>0</v>
      </c>
      <c r="Z1223" s="192">
        <v>457.48</v>
      </c>
      <c r="AB1223" s="192">
        <f t="shared" si="302"/>
        <v>448.50980392156862</v>
      </c>
      <c r="AC1223" s="192">
        <f t="shared" si="303"/>
        <v>8.9701960784313997</v>
      </c>
      <c r="AD1223" s="192">
        <f t="shared" si="301"/>
        <v>290.70008156577069</v>
      </c>
      <c r="AF1223" s="184">
        <v>0.08</v>
      </c>
      <c r="AL1223" s="175" t="s">
        <v>1118</v>
      </c>
    </row>
    <row r="1224" spans="1:39" s="123" customFormat="1" ht="14.25" x14ac:dyDescent="0.3">
      <c r="A1224" s="123">
        <v>2017</v>
      </c>
      <c r="B1224" s="123" t="s">
        <v>38</v>
      </c>
      <c r="C1224" s="123" t="s">
        <v>39</v>
      </c>
      <c r="D1224" s="123" t="s">
        <v>40</v>
      </c>
      <c r="E1224" s="123" t="s">
        <v>41</v>
      </c>
      <c r="F1224" s="123" t="s">
        <v>42</v>
      </c>
      <c r="G1224" s="123" t="s">
        <v>42</v>
      </c>
      <c r="H1224" s="123" t="s">
        <v>42</v>
      </c>
      <c r="I1224" s="119" t="s">
        <v>1119</v>
      </c>
      <c r="J1224" s="119" t="s">
        <v>1120</v>
      </c>
      <c r="K1224" s="123" t="s">
        <v>1120</v>
      </c>
      <c r="L1224" s="123" t="s">
        <v>42</v>
      </c>
      <c r="M1224" s="204" t="s">
        <v>46</v>
      </c>
      <c r="N1224" s="184">
        <v>0</v>
      </c>
      <c r="O1224" s="184" t="s">
        <v>1108</v>
      </c>
      <c r="P1224" s="184" t="s">
        <v>47</v>
      </c>
      <c r="Q1224" s="204">
        <v>0</v>
      </c>
      <c r="R1224" s="204">
        <v>0</v>
      </c>
      <c r="S1224" s="204">
        <v>10000</v>
      </c>
      <c r="T1224" s="204">
        <f t="shared" ref="T1224:T1272" si="304">S1224*N1224</f>
        <v>0</v>
      </c>
      <c r="U1224" s="204">
        <f t="shared" ref="U1224:U1272" si="305">S1224+T1224+R1224</f>
        <v>10000</v>
      </c>
      <c r="V1224" s="204">
        <v>9000</v>
      </c>
      <c r="W1224" s="204">
        <f t="shared" ref="W1224:W1272" si="306">U1224-V1224</f>
        <v>1000</v>
      </c>
      <c r="X1224" s="205">
        <f t="shared" ref="X1224:X1272" si="307">W1224/(1+N1224)</f>
        <v>1000</v>
      </c>
      <c r="Y1224" s="205">
        <f t="shared" ref="Y1224:Y1272" si="308">W1224-X1224</f>
        <v>0</v>
      </c>
      <c r="Z1224" s="207">
        <f t="shared" ref="Z1224:Z1233" si="309">AD1224/90%</f>
        <v>10000</v>
      </c>
      <c r="AA1224" s="204">
        <f t="shared" ref="AA1224:AA1229" si="310">Q1224+V1224-Z1224</f>
        <v>-1000</v>
      </c>
      <c r="AB1224" s="208">
        <f t="shared" si="302"/>
        <v>10000</v>
      </c>
      <c r="AC1224" s="209">
        <f t="shared" si="303"/>
        <v>0</v>
      </c>
      <c r="AD1224" s="207">
        <v>9000</v>
      </c>
      <c r="AE1224" s="135">
        <v>0</v>
      </c>
      <c r="AF1224" s="205">
        <f t="shared" ref="AF1224:AF1287" si="311">AD1224*AE1224</f>
        <v>0</v>
      </c>
      <c r="AG1224" s="205">
        <f t="shared" ref="AG1224:AG1229" si="312">AB1224-Z1224+AF1224</f>
        <v>0</v>
      </c>
      <c r="AH1224" s="205"/>
      <c r="AI1224" s="205"/>
      <c r="AJ1224" s="123" t="s">
        <v>1108</v>
      </c>
    </row>
    <row r="1225" spans="1:39" s="123" customFormat="1" ht="14.25" x14ac:dyDescent="0.3">
      <c r="A1225" s="123">
        <v>2017</v>
      </c>
      <c r="B1225" s="123" t="s">
        <v>38</v>
      </c>
      <c r="C1225" s="123" t="s">
        <v>54</v>
      </c>
      <c r="D1225" s="123" t="s">
        <v>55</v>
      </c>
      <c r="E1225" s="123" t="s">
        <v>368</v>
      </c>
      <c r="F1225" s="123" t="s">
        <v>487</v>
      </c>
      <c r="G1225" s="123" t="s">
        <v>487</v>
      </c>
      <c r="H1225" s="123" t="s">
        <v>487</v>
      </c>
      <c r="I1225" s="119" t="s">
        <v>1119</v>
      </c>
      <c r="J1225" s="119" t="s">
        <v>1120</v>
      </c>
      <c r="K1225" s="123" t="s">
        <v>1120</v>
      </c>
      <c r="L1225" s="123" t="s">
        <v>487</v>
      </c>
      <c r="M1225" s="204" t="s">
        <v>46</v>
      </c>
      <c r="N1225" s="184">
        <v>0</v>
      </c>
      <c r="O1225" s="184" t="s">
        <v>47</v>
      </c>
      <c r="P1225" s="184" t="s">
        <v>47</v>
      </c>
      <c r="Q1225" s="204">
        <v>0</v>
      </c>
      <c r="R1225" s="204">
        <v>0</v>
      </c>
      <c r="S1225" s="204">
        <v>120000</v>
      </c>
      <c r="T1225" s="204">
        <f t="shared" si="304"/>
        <v>0</v>
      </c>
      <c r="U1225" s="204">
        <f t="shared" si="305"/>
        <v>120000</v>
      </c>
      <c r="V1225" s="204">
        <v>120000</v>
      </c>
      <c r="W1225" s="204">
        <f t="shared" si="306"/>
        <v>0</v>
      </c>
      <c r="X1225" s="205">
        <f t="shared" si="307"/>
        <v>0</v>
      </c>
      <c r="Y1225" s="205">
        <f t="shared" si="308"/>
        <v>0</v>
      </c>
      <c r="Z1225" s="207">
        <f t="shared" si="309"/>
        <v>108065.99999999999</v>
      </c>
      <c r="AA1225" s="204">
        <f t="shared" si="310"/>
        <v>11934.000000000015</v>
      </c>
      <c r="AB1225" s="208">
        <f t="shared" si="302"/>
        <v>108065.99999999999</v>
      </c>
      <c r="AC1225" s="209">
        <f t="shared" si="303"/>
        <v>0</v>
      </c>
      <c r="AD1225" s="207">
        <v>97259.4</v>
      </c>
      <c r="AE1225" s="135">
        <v>0</v>
      </c>
      <c r="AF1225" s="205">
        <f t="shared" si="311"/>
        <v>0</v>
      </c>
      <c r="AG1225" s="205">
        <f t="shared" si="312"/>
        <v>0</v>
      </c>
      <c r="AH1225" s="205"/>
      <c r="AI1225" s="205"/>
      <c r="AJ1225" s="123" t="s">
        <v>47</v>
      </c>
    </row>
    <row r="1226" spans="1:39" s="123" customFormat="1" ht="14.25" x14ac:dyDescent="0.3">
      <c r="A1226" s="123">
        <v>2017</v>
      </c>
      <c r="B1226" s="123" t="s">
        <v>38</v>
      </c>
      <c r="C1226" s="123" t="s">
        <v>75</v>
      </c>
      <c r="D1226" s="123" t="s">
        <v>76</v>
      </c>
      <c r="E1226" s="123" t="s">
        <v>304</v>
      </c>
      <c r="F1226" s="123" t="s">
        <v>305</v>
      </c>
      <c r="G1226" s="123" t="s">
        <v>305</v>
      </c>
      <c r="H1226" s="123" t="s">
        <v>305</v>
      </c>
      <c r="I1226" s="119" t="s">
        <v>1119</v>
      </c>
      <c r="J1226" s="119" t="s">
        <v>1120</v>
      </c>
      <c r="K1226" s="123" t="s">
        <v>1120</v>
      </c>
      <c r="L1226" s="123" t="s">
        <v>305</v>
      </c>
      <c r="M1226" s="204" t="s">
        <v>46</v>
      </c>
      <c r="N1226" s="184">
        <v>0</v>
      </c>
      <c r="O1226" s="184" t="s">
        <v>1121</v>
      </c>
      <c r="P1226" s="184" t="s">
        <v>47</v>
      </c>
      <c r="Q1226" s="204">
        <v>0</v>
      </c>
      <c r="R1226" s="204">
        <v>0</v>
      </c>
      <c r="S1226" s="204">
        <v>20000</v>
      </c>
      <c r="T1226" s="204">
        <f t="shared" si="304"/>
        <v>0</v>
      </c>
      <c r="U1226" s="204">
        <f t="shared" si="305"/>
        <v>20000</v>
      </c>
      <c r="V1226" s="204">
        <v>18000</v>
      </c>
      <c r="W1226" s="204">
        <f t="shared" si="306"/>
        <v>2000</v>
      </c>
      <c r="X1226" s="205">
        <f t="shared" si="307"/>
        <v>2000</v>
      </c>
      <c r="Y1226" s="205">
        <f t="shared" si="308"/>
        <v>0</v>
      </c>
      <c r="Z1226" s="207">
        <f t="shared" si="309"/>
        <v>15220</v>
      </c>
      <c r="AA1226" s="204">
        <f t="shared" si="310"/>
        <v>2780</v>
      </c>
      <c r="AB1226" s="208">
        <f t="shared" si="302"/>
        <v>15220</v>
      </c>
      <c r="AC1226" s="209">
        <f t="shared" si="303"/>
        <v>0</v>
      </c>
      <c r="AD1226" s="207">
        <v>13698</v>
      </c>
      <c r="AE1226" s="135">
        <v>0</v>
      </c>
      <c r="AF1226" s="205">
        <f t="shared" si="311"/>
        <v>0</v>
      </c>
      <c r="AG1226" s="205">
        <f t="shared" si="312"/>
        <v>0</v>
      </c>
      <c r="AH1226" s="205"/>
      <c r="AI1226" s="205"/>
      <c r="AJ1226" s="123" t="s">
        <v>1121</v>
      </c>
    </row>
    <row r="1227" spans="1:39" s="123" customFormat="1" ht="14.25" x14ac:dyDescent="0.3">
      <c r="A1227" s="123">
        <v>2017</v>
      </c>
      <c r="B1227" s="123" t="s">
        <v>38</v>
      </c>
      <c r="C1227" s="123" t="s">
        <v>54</v>
      </c>
      <c r="D1227" s="123" t="s">
        <v>102</v>
      </c>
      <c r="E1227" s="123" t="s">
        <v>187</v>
      </c>
      <c r="F1227" s="123" t="s">
        <v>379</v>
      </c>
      <c r="G1227" s="123" t="s">
        <v>379</v>
      </c>
      <c r="H1227" s="123" t="s">
        <v>379</v>
      </c>
      <c r="I1227" s="119" t="s">
        <v>1119</v>
      </c>
      <c r="J1227" s="119" t="s">
        <v>1120</v>
      </c>
      <c r="K1227" s="123" t="s">
        <v>1120</v>
      </c>
      <c r="L1227" s="123" t="s">
        <v>379</v>
      </c>
      <c r="M1227" s="204" t="s">
        <v>46</v>
      </c>
      <c r="N1227" s="184">
        <v>0</v>
      </c>
      <c r="O1227" s="184" t="s">
        <v>47</v>
      </c>
      <c r="P1227" s="184" t="s">
        <v>47</v>
      </c>
      <c r="Q1227" s="204">
        <v>0</v>
      </c>
      <c r="R1227" s="204">
        <v>0</v>
      </c>
      <c r="S1227" s="204">
        <v>60000</v>
      </c>
      <c r="T1227" s="204">
        <f t="shared" si="304"/>
        <v>0</v>
      </c>
      <c r="U1227" s="204">
        <f t="shared" si="305"/>
        <v>60000</v>
      </c>
      <c r="V1227" s="204">
        <v>60000</v>
      </c>
      <c r="W1227" s="204">
        <f t="shared" si="306"/>
        <v>0</v>
      </c>
      <c r="X1227" s="205">
        <f t="shared" si="307"/>
        <v>0</v>
      </c>
      <c r="Y1227" s="205">
        <f t="shared" si="308"/>
        <v>0</v>
      </c>
      <c r="Z1227" s="207">
        <f t="shared" si="309"/>
        <v>58072</v>
      </c>
      <c r="AA1227" s="204">
        <f t="shared" si="310"/>
        <v>1928</v>
      </c>
      <c r="AB1227" s="227">
        <f>IF(P1227="返货",Z1227/(1+N1227),IF(P1227="返现",Z1227,IF(P1227="折扣",Z1227*N1227,IF(P1227="无",Z1227))))+1928</f>
        <v>60000</v>
      </c>
      <c r="AC1227" s="209">
        <f t="shared" si="303"/>
        <v>-1928</v>
      </c>
      <c r="AD1227" s="205">
        <v>52264.800000000003</v>
      </c>
      <c r="AE1227" s="135">
        <v>0</v>
      </c>
      <c r="AF1227" s="205">
        <f t="shared" si="311"/>
        <v>0</v>
      </c>
      <c r="AG1227" s="205">
        <f t="shared" si="312"/>
        <v>1928</v>
      </c>
      <c r="AH1227" s="205"/>
      <c r="AI1227" s="205"/>
      <c r="AJ1227" s="123" t="s">
        <v>47</v>
      </c>
    </row>
    <row r="1228" spans="1:39" s="123" customFormat="1" ht="14.25" x14ac:dyDescent="0.3">
      <c r="A1228" s="123">
        <v>2017</v>
      </c>
      <c r="B1228" s="123" t="s">
        <v>38</v>
      </c>
      <c r="C1228" s="123" t="s">
        <v>54</v>
      </c>
      <c r="D1228" s="123" t="s">
        <v>55</v>
      </c>
      <c r="E1228" s="123" t="s">
        <v>368</v>
      </c>
      <c r="F1228" s="123" t="s">
        <v>65</v>
      </c>
      <c r="G1228" s="123" t="s">
        <v>65</v>
      </c>
      <c r="H1228" s="123" t="s">
        <v>65</v>
      </c>
      <c r="I1228" s="119" t="s">
        <v>1119</v>
      </c>
      <c r="J1228" s="119" t="s">
        <v>1120</v>
      </c>
      <c r="K1228" s="123" t="s">
        <v>1120</v>
      </c>
      <c r="L1228" s="123" t="s">
        <v>65</v>
      </c>
      <c r="M1228" s="204" t="s">
        <v>46</v>
      </c>
      <c r="N1228" s="184">
        <v>0</v>
      </c>
      <c r="O1228" s="184" t="s">
        <v>47</v>
      </c>
      <c r="P1228" s="184" t="s">
        <v>47</v>
      </c>
      <c r="Q1228" s="204">
        <v>0</v>
      </c>
      <c r="R1228" s="204">
        <v>0</v>
      </c>
      <c r="S1228" s="204">
        <v>10000</v>
      </c>
      <c r="T1228" s="204">
        <f t="shared" si="304"/>
        <v>0</v>
      </c>
      <c r="U1228" s="204">
        <f t="shared" si="305"/>
        <v>10000</v>
      </c>
      <c r="V1228" s="204">
        <v>9000</v>
      </c>
      <c r="W1228" s="204">
        <f t="shared" si="306"/>
        <v>1000</v>
      </c>
      <c r="X1228" s="205">
        <f t="shared" si="307"/>
        <v>1000</v>
      </c>
      <c r="Y1228" s="205">
        <f t="shared" si="308"/>
        <v>0</v>
      </c>
      <c r="Z1228" s="207">
        <f t="shared" si="309"/>
        <v>10000</v>
      </c>
      <c r="AA1228" s="204">
        <f t="shared" si="310"/>
        <v>-1000</v>
      </c>
      <c r="AB1228" s="208">
        <f t="shared" si="302"/>
        <v>10000</v>
      </c>
      <c r="AC1228" s="209">
        <f t="shared" si="303"/>
        <v>0</v>
      </c>
      <c r="AD1228" s="207">
        <v>9000</v>
      </c>
      <c r="AE1228" s="135">
        <v>0</v>
      </c>
      <c r="AF1228" s="205">
        <f t="shared" si="311"/>
        <v>0</v>
      </c>
      <c r="AG1228" s="205">
        <f t="shared" si="312"/>
        <v>0</v>
      </c>
      <c r="AH1228" s="205"/>
      <c r="AI1228" s="205"/>
      <c r="AJ1228" s="123" t="s">
        <v>47</v>
      </c>
    </row>
    <row r="1229" spans="1:39" s="123" customFormat="1" ht="14.25" x14ac:dyDescent="0.3">
      <c r="A1229" s="123">
        <v>2017</v>
      </c>
      <c r="B1229" s="123" t="s">
        <v>38</v>
      </c>
      <c r="C1229" s="123" t="s">
        <v>54</v>
      </c>
      <c r="D1229" s="123" t="s">
        <v>55</v>
      </c>
      <c r="E1229" s="123" t="s">
        <v>64</v>
      </c>
      <c r="F1229" s="123" t="s">
        <v>65</v>
      </c>
      <c r="G1229" s="123" t="s">
        <v>66</v>
      </c>
      <c r="H1229" s="123" t="s">
        <v>66</v>
      </c>
      <c r="I1229" s="119" t="s">
        <v>1119</v>
      </c>
      <c r="J1229" s="119" t="s">
        <v>1120</v>
      </c>
      <c r="K1229" s="123" t="s">
        <v>1120</v>
      </c>
      <c r="L1229" s="123" t="s">
        <v>65</v>
      </c>
      <c r="M1229" s="204" t="s">
        <v>46</v>
      </c>
      <c r="N1229" s="184">
        <v>0</v>
      </c>
      <c r="O1229" s="184" t="s">
        <v>47</v>
      </c>
      <c r="P1229" s="184" t="s">
        <v>47</v>
      </c>
      <c r="Q1229" s="204">
        <v>0</v>
      </c>
      <c r="R1229" s="204">
        <v>0</v>
      </c>
      <c r="S1229" s="204">
        <v>20000</v>
      </c>
      <c r="T1229" s="204">
        <f t="shared" si="304"/>
        <v>0</v>
      </c>
      <c r="U1229" s="204">
        <f t="shared" si="305"/>
        <v>20000</v>
      </c>
      <c r="V1229" s="204">
        <v>18000</v>
      </c>
      <c r="W1229" s="204">
        <f t="shared" si="306"/>
        <v>2000</v>
      </c>
      <c r="X1229" s="205">
        <f t="shared" si="307"/>
        <v>2000</v>
      </c>
      <c r="Y1229" s="205">
        <f t="shared" si="308"/>
        <v>0</v>
      </c>
      <c r="Z1229" s="207">
        <f t="shared" si="309"/>
        <v>14011.999999999998</v>
      </c>
      <c r="AA1229" s="204">
        <f t="shared" si="310"/>
        <v>3988.0000000000018</v>
      </c>
      <c r="AB1229" s="208">
        <f t="shared" si="302"/>
        <v>14011.999999999998</v>
      </c>
      <c r="AC1229" s="209">
        <f t="shared" si="303"/>
        <v>0</v>
      </c>
      <c r="AD1229" s="205">
        <v>12610.8</v>
      </c>
      <c r="AE1229" s="135">
        <v>0</v>
      </c>
      <c r="AF1229" s="205">
        <f t="shared" si="311"/>
        <v>0</v>
      </c>
      <c r="AG1229" s="205">
        <f t="shared" si="312"/>
        <v>0</v>
      </c>
      <c r="AH1229" s="205"/>
      <c r="AI1229" s="205"/>
      <c r="AJ1229" s="123" t="s">
        <v>47</v>
      </c>
    </row>
    <row r="1230" spans="1:39" s="123" customFormat="1" ht="14.25" x14ac:dyDescent="0.3">
      <c r="A1230" s="123">
        <v>2017</v>
      </c>
      <c r="B1230" s="123" t="s">
        <v>38</v>
      </c>
      <c r="C1230" s="123" t="s">
        <v>54</v>
      </c>
      <c r="D1230" s="123" t="s">
        <v>55</v>
      </c>
      <c r="E1230" s="123" t="s">
        <v>368</v>
      </c>
      <c r="F1230" s="123" t="s">
        <v>489</v>
      </c>
      <c r="G1230" s="123" t="s">
        <v>489</v>
      </c>
      <c r="H1230" s="123" t="s">
        <v>489</v>
      </c>
      <c r="I1230" s="119" t="s">
        <v>1119</v>
      </c>
      <c r="J1230" s="119" t="s">
        <v>1120</v>
      </c>
      <c r="K1230" s="123" t="s">
        <v>1120</v>
      </c>
      <c r="L1230" s="123" t="s">
        <v>489</v>
      </c>
      <c r="M1230" s="204" t="s">
        <v>46</v>
      </c>
      <c r="N1230" s="183">
        <v>0.95</v>
      </c>
      <c r="O1230" s="183">
        <v>0.95</v>
      </c>
      <c r="P1230" s="184" t="s">
        <v>259</v>
      </c>
      <c r="Q1230" s="204">
        <v>0</v>
      </c>
      <c r="R1230" s="204">
        <v>0</v>
      </c>
      <c r="S1230" s="204">
        <v>15669.8</v>
      </c>
      <c r="T1230" s="204">
        <f t="shared" si="304"/>
        <v>14886.31</v>
      </c>
      <c r="U1230" s="204">
        <f t="shared" si="305"/>
        <v>30556.11</v>
      </c>
      <c r="V1230" s="204">
        <v>15003</v>
      </c>
      <c r="W1230" s="204">
        <f t="shared" si="306"/>
        <v>15553.11</v>
      </c>
      <c r="X1230" s="205">
        <f t="shared" si="307"/>
        <v>7975.9538461538468</v>
      </c>
      <c r="Y1230" s="205">
        <f t="shared" si="308"/>
        <v>7577.1561538461538</v>
      </c>
      <c r="Z1230" s="207">
        <f t="shared" si="309"/>
        <v>0</v>
      </c>
      <c r="AA1230" s="204">
        <f>Q1230+V1230-AD1230</f>
        <v>15003</v>
      </c>
      <c r="AB1230" s="208">
        <f t="shared" si="302"/>
        <v>0</v>
      </c>
      <c r="AC1230" s="209">
        <f t="shared" si="303"/>
        <v>0</v>
      </c>
      <c r="AD1230" s="207">
        <v>0</v>
      </c>
      <c r="AE1230" s="135">
        <v>0</v>
      </c>
      <c r="AF1230" s="205">
        <f t="shared" si="311"/>
        <v>0</v>
      </c>
      <c r="AG1230" s="205">
        <f>AB1230-AD1230+AF1230</f>
        <v>0</v>
      </c>
      <c r="AH1230" s="205"/>
      <c r="AI1230" s="205"/>
      <c r="AJ1230" s="123" t="s">
        <v>1122</v>
      </c>
    </row>
    <row r="1231" spans="1:39" s="123" customFormat="1" ht="14.25" x14ac:dyDescent="0.3">
      <c r="A1231" s="123">
        <v>2017</v>
      </c>
      <c r="B1231" s="123" t="s">
        <v>38</v>
      </c>
      <c r="C1231" s="123" t="s">
        <v>54</v>
      </c>
      <c r="D1231" s="123" t="s">
        <v>55</v>
      </c>
      <c r="E1231" s="123" t="s">
        <v>368</v>
      </c>
      <c r="F1231" s="123" t="s">
        <v>1123</v>
      </c>
      <c r="G1231" s="123" t="s">
        <v>1123</v>
      </c>
      <c r="H1231" s="123" t="s">
        <v>1123</v>
      </c>
      <c r="I1231" s="119" t="s">
        <v>1119</v>
      </c>
      <c r="J1231" s="119" t="s">
        <v>1120</v>
      </c>
      <c r="K1231" s="123" t="s">
        <v>1120</v>
      </c>
      <c r="L1231" s="123" t="s">
        <v>1123</v>
      </c>
      <c r="M1231" s="204" t="s">
        <v>46</v>
      </c>
      <c r="N1231" s="183">
        <v>0.98</v>
      </c>
      <c r="O1231" s="184" t="s">
        <v>1124</v>
      </c>
      <c r="P1231" s="184" t="s">
        <v>259</v>
      </c>
      <c r="Q1231" s="204">
        <v>0</v>
      </c>
      <c r="R1231" s="204">
        <v>0</v>
      </c>
      <c r="S1231" s="204">
        <v>9800</v>
      </c>
      <c r="T1231" s="204">
        <f t="shared" si="304"/>
        <v>9604</v>
      </c>
      <c r="U1231" s="204">
        <f t="shared" si="305"/>
        <v>19404</v>
      </c>
      <c r="V1231" s="204">
        <v>9000</v>
      </c>
      <c r="W1231" s="204">
        <f t="shared" si="306"/>
        <v>10404</v>
      </c>
      <c r="X1231" s="205">
        <f t="shared" si="307"/>
        <v>5254.545454545455</v>
      </c>
      <c r="Y1231" s="205">
        <f t="shared" si="308"/>
        <v>5149.454545454545</v>
      </c>
      <c r="Z1231" s="207">
        <f t="shared" si="309"/>
        <v>10000</v>
      </c>
      <c r="AA1231" s="204">
        <v>9000</v>
      </c>
      <c r="AB1231" s="208">
        <f t="shared" si="302"/>
        <v>9800</v>
      </c>
      <c r="AC1231" s="209">
        <f t="shared" si="303"/>
        <v>200</v>
      </c>
      <c r="AD1231" s="205">
        <v>9000</v>
      </c>
      <c r="AE1231" s="135">
        <v>0</v>
      </c>
      <c r="AF1231" s="205">
        <f t="shared" si="311"/>
        <v>0</v>
      </c>
      <c r="AG1231" s="205">
        <f t="shared" ref="AG1231:AG1239" si="313">AB1231-Z1231+AF1231</f>
        <v>-200</v>
      </c>
      <c r="AH1231" s="205"/>
      <c r="AI1231" s="205"/>
      <c r="AJ1231" s="123" t="s">
        <v>1124</v>
      </c>
    </row>
    <row r="1232" spans="1:39" s="123" customFormat="1" ht="14.25" x14ac:dyDescent="0.3">
      <c r="A1232" s="123">
        <v>2017</v>
      </c>
      <c r="B1232" s="123" t="s">
        <v>38</v>
      </c>
      <c r="C1232" s="123" t="s">
        <v>88</v>
      </c>
      <c r="D1232" s="123" t="s">
        <v>128</v>
      </c>
      <c r="E1232" s="123" t="s">
        <v>96</v>
      </c>
      <c r="F1232" s="123" t="s">
        <v>592</v>
      </c>
      <c r="G1232" s="123" t="s">
        <v>592</v>
      </c>
      <c r="H1232" s="123" t="s">
        <v>592</v>
      </c>
      <c r="I1232" s="119" t="s">
        <v>1119</v>
      </c>
      <c r="J1232" s="119" t="s">
        <v>1120</v>
      </c>
      <c r="K1232" s="123" t="s">
        <v>1120</v>
      </c>
      <c r="L1232" s="123" t="s">
        <v>592</v>
      </c>
      <c r="M1232" s="204" t="s">
        <v>46</v>
      </c>
      <c r="N1232" s="183">
        <v>0.95</v>
      </c>
      <c r="O1232" s="184" t="s">
        <v>1125</v>
      </c>
      <c r="P1232" s="184" t="s">
        <v>259</v>
      </c>
      <c r="Q1232" s="204">
        <v>0</v>
      </c>
      <c r="R1232" s="204">
        <v>0</v>
      </c>
      <c r="S1232" s="204">
        <v>28500</v>
      </c>
      <c r="T1232" s="204">
        <f t="shared" si="304"/>
        <v>27075</v>
      </c>
      <c r="U1232" s="204">
        <f t="shared" si="305"/>
        <v>55575</v>
      </c>
      <c r="V1232" s="204">
        <v>27000</v>
      </c>
      <c r="W1232" s="204">
        <f t="shared" si="306"/>
        <v>28575</v>
      </c>
      <c r="X1232" s="205">
        <f t="shared" si="307"/>
        <v>14653.846153846154</v>
      </c>
      <c r="Y1232" s="205">
        <f t="shared" si="308"/>
        <v>13921.153846153846</v>
      </c>
      <c r="Z1232" s="207">
        <f t="shared" si="309"/>
        <v>17572</v>
      </c>
      <c r="AA1232" s="204">
        <f t="shared" ref="AA1232:AA1234" si="314">Q1232+V1232-Z1232</f>
        <v>9428</v>
      </c>
      <c r="AB1232" s="208">
        <f t="shared" si="302"/>
        <v>16693.399999999998</v>
      </c>
      <c r="AC1232" s="209">
        <f t="shared" si="303"/>
        <v>878.60000000000218</v>
      </c>
      <c r="AD1232" s="205">
        <v>15814.8</v>
      </c>
      <c r="AE1232" s="135">
        <v>0</v>
      </c>
      <c r="AF1232" s="205">
        <f t="shared" si="311"/>
        <v>0</v>
      </c>
      <c r="AG1232" s="205">
        <f t="shared" si="313"/>
        <v>-878.60000000000218</v>
      </c>
      <c r="AH1232" s="205"/>
      <c r="AI1232" s="205"/>
      <c r="AJ1232" s="123" t="s">
        <v>1125</v>
      </c>
    </row>
    <row r="1233" spans="1:37" s="123" customFormat="1" ht="14.25" x14ac:dyDescent="0.3">
      <c r="A1233" s="123">
        <v>2017</v>
      </c>
      <c r="B1233" s="123" t="s">
        <v>38</v>
      </c>
      <c r="C1233" s="123" t="s">
        <v>54</v>
      </c>
      <c r="D1233" s="123" t="s">
        <v>55</v>
      </c>
      <c r="E1233" s="123" t="s">
        <v>56</v>
      </c>
      <c r="F1233" s="123" t="s">
        <v>1126</v>
      </c>
      <c r="G1233" s="123" t="s">
        <v>1126</v>
      </c>
      <c r="H1233" s="123" t="s">
        <v>1126</v>
      </c>
      <c r="I1233" s="119" t="s">
        <v>1119</v>
      </c>
      <c r="J1233" s="119" t="s">
        <v>1120</v>
      </c>
      <c r="K1233" s="123" t="s">
        <v>1120</v>
      </c>
      <c r="L1233" s="123" t="s">
        <v>1126</v>
      </c>
      <c r="M1233" s="204" t="s">
        <v>46</v>
      </c>
      <c r="N1233" s="183">
        <v>0.95</v>
      </c>
      <c r="O1233" s="184" t="s">
        <v>1122</v>
      </c>
      <c r="P1233" s="184" t="s">
        <v>259</v>
      </c>
      <c r="Q1233" s="204">
        <v>0</v>
      </c>
      <c r="R1233" s="204">
        <v>0</v>
      </c>
      <c r="S1233" s="204">
        <v>19000</v>
      </c>
      <c r="T1233" s="204">
        <f t="shared" si="304"/>
        <v>18050</v>
      </c>
      <c r="U1233" s="204">
        <f t="shared" si="305"/>
        <v>37050</v>
      </c>
      <c r="V1233" s="204">
        <v>18000</v>
      </c>
      <c r="W1233" s="204">
        <f t="shared" si="306"/>
        <v>19050</v>
      </c>
      <c r="X1233" s="205">
        <f t="shared" si="307"/>
        <v>9769.2307692307695</v>
      </c>
      <c r="Y1233" s="205">
        <f t="shared" si="308"/>
        <v>9280.7692307692305</v>
      </c>
      <c r="Z1233" s="207">
        <f t="shared" si="309"/>
        <v>20000</v>
      </c>
      <c r="AA1233" s="204">
        <f t="shared" si="314"/>
        <v>-2000</v>
      </c>
      <c r="AB1233" s="208">
        <f t="shared" si="302"/>
        <v>19000</v>
      </c>
      <c r="AC1233" s="209">
        <f t="shared" si="303"/>
        <v>1000</v>
      </c>
      <c r="AD1233" s="207">
        <v>18000</v>
      </c>
      <c r="AE1233" s="135">
        <v>0</v>
      </c>
      <c r="AF1233" s="205">
        <f t="shared" si="311"/>
        <v>0</v>
      </c>
      <c r="AG1233" s="205">
        <f t="shared" si="313"/>
        <v>-1000</v>
      </c>
      <c r="AH1233" s="205"/>
      <c r="AI1233" s="205"/>
      <c r="AJ1233" s="123" t="s">
        <v>1122</v>
      </c>
      <c r="AK1233" s="205" t="s">
        <v>1127</v>
      </c>
    </row>
    <row r="1234" spans="1:37" s="123" customFormat="1" ht="14.25" x14ac:dyDescent="0.3">
      <c r="A1234" s="123">
        <v>2017</v>
      </c>
      <c r="B1234" s="123" t="s">
        <v>38</v>
      </c>
      <c r="C1234" s="123" t="s">
        <v>75</v>
      </c>
      <c r="D1234" s="123" t="s">
        <v>76</v>
      </c>
      <c r="E1234" s="123" t="s">
        <v>304</v>
      </c>
      <c r="F1234" s="123" t="s">
        <v>305</v>
      </c>
      <c r="G1234" s="123" t="s">
        <v>305</v>
      </c>
      <c r="H1234" s="123" t="s">
        <v>305</v>
      </c>
      <c r="I1234" s="119" t="s">
        <v>1119</v>
      </c>
      <c r="J1234" s="163" t="s">
        <v>44</v>
      </c>
      <c r="K1234" s="123" t="s">
        <v>1128</v>
      </c>
      <c r="L1234" s="123" t="s">
        <v>305</v>
      </c>
      <c r="M1234" s="204" t="s">
        <v>46</v>
      </c>
      <c r="N1234" s="184">
        <v>0</v>
      </c>
      <c r="O1234" s="183">
        <v>0</v>
      </c>
      <c r="P1234" s="184" t="s">
        <v>47</v>
      </c>
      <c r="Q1234" s="206">
        <v>0</v>
      </c>
      <c r="R1234" s="206">
        <v>0</v>
      </c>
      <c r="S1234" s="204">
        <v>20000</v>
      </c>
      <c r="T1234" s="204">
        <f t="shared" si="304"/>
        <v>0</v>
      </c>
      <c r="U1234" s="204">
        <f t="shared" si="305"/>
        <v>20000</v>
      </c>
      <c r="V1234" s="204">
        <v>18000</v>
      </c>
      <c r="W1234" s="204">
        <f t="shared" si="306"/>
        <v>2000</v>
      </c>
      <c r="X1234" s="205">
        <f t="shared" si="307"/>
        <v>2000</v>
      </c>
      <c r="Y1234" s="205">
        <f t="shared" si="308"/>
        <v>0</v>
      </c>
      <c r="Z1234" s="205">
        <v>20000</v>
      </c>
      <c r="AA1234" s="204">
        <f t="shared" si="314"/>
        <v>-2000</v>
      </c>
      <c r="AB1234" s="208">
        <f t="shared" si="302"/>
        <v>20000</v>
      </c>
      <c r="AC1234" s="209">
        <f t="shared" si="303"/>
        <v>0</v>
      </c>
      <c r="AD1234" s="205">
        <v>20000</v>
      </c>
      <c r="AE1234" s="135">
        <v>0</v>
      </c>
      <c r="AF1234" s="205">
        <f t="shared" si="311"/>
        <v>0</v>
      </c>
      <c r="AG1234" s="205">
        <f t="shared" si="313"/>
        <v>0</v>
      </c>
      <c r="AH1234" s="205"/>
      <c r="AI1234" s="205"/>
      <c r="AJ1234" s="123" t="s">
        <v>1121</v>
      </c>
      <c r="AK1234" s="123" t="s">
        <v>1129</v>
      </c>
    </row>
    <row r="1235" spans="1:37" s="123" customFormat="1" ht="14.25" x14ac:dyDescent="0.3">
      <c r="A1235" s="123">
        <v>2017</v>
      </c>
      <c r="B1235" s="123" t="s">
        <v>38</v>
      </c>
      <c r="C1235" s="123" t="s">
        <v>39</v>
      </c>
      <c r="D1235" s="123" t="s">
        <v>40</v>
      </c>
      <c r="E1235" s="123" t="s">
        <v>82</v>
      </c>
      <c r="F1235" s="123" t="s">
        <v>136</v>
      </c>
      <c r="G1235" s="123" t="s">
        <v>136</v>
      </c>
      <c r="H1235" s="123" t="s">
        <v>136</v>
      </c>
      <c r="I1235" s="119" t="s">
        <v>1119</v>
      </c>
      <c r="J1235" s="163" t="s">
        <v>44</v>
      </c>
      <c r="K1235" s="123" t="s">
        <v>1128</v>
      </c>
      <c r="L1235" s="123" t="s">
        <v>136</v>
      </c>
      <c r="M1235" s="204" t="s">
        <v>46</v>
      </c>
      <c r="N1235" s="184">
        <v>0</v>
      </c>
      <c r="O1235" s="183">
        <v>0</v>
      </c>
      <c r="P1235" s="184" t="s">
        <v>47</v>
      </c>
      <c r="Q1235" s="204">
        <v>0</v>
      </c>
      <c r="R1235" s="204">
        <v>0</v>
      </c>
      <c r="S1235" s="204">
        <v>30000</v>
      </c>
      <c r="T1235" s="204">
        <f t="shared" si="304"/>
        <v>0</v>
      </c>
      <c r="U1235" s="204">
        <f t="shared" si="305"/>
        <v>30000</v>
      </c>
      <c r="V1235" s="204">
        <v>28420.2</v>
      </c>
      <c r="W1235" s="204">
        <f t="shared" si="306"/>
        <v>1579.7999999999993</v>
      </c>
      <c r="X1235" s="205">
        <f t="shared" si="307"/>
        <v>1579.7999999999993</v>
      </c>
      <c r="Y1235" s="205">
        <f t="shared" si="308"/>
        <v>0</v>
      </c>
      <c r="Z1235" s="207">
        <v>12215.1</v>
      </c>
      <c r="AA1235" s="210">
        <v>12215.1</v>
      </c>
      <c r="AB1235" s="208">
        <f t="shared" si="302"/>
        <v>12215.1</v>
      </c>
      <c r="AC1235" s="209">
        <f t="shared" si="303"/>
        <v>0</v>
      </c>
      <c r="AD1235" s="207">
        <v>12215.1</v>
      </c>
      <c r="AE1235" s="135">
        <v>0</v>
      </c>
      <c r="AF1235" s="205">
        <f t="shared" si="311"/>
        <v>0</v>
      </c>
      <c r="AG1235" s="205">
        <f t="shared" si="313"/>
        <v>0</v>
      </c>
      <c r="AH1235" s="205"/>
      <c r="AI1235" s="205"/>
      <c r="AJ1235" s="123" t="s">
        <v>1125</v>
      </c>
      <c r="AK1235" s="123" t="s">
        <v>1129</v>
      </c>
    </row>
    <row r="1236" spans="1:37" s="124" customFormat="1" ht="14.25" x14ac:dyDescent="0.3">
      <c r="A1236" s="124">
        <v>2017</v>
      </c>
      <c r="B1236" s="124" t="s">
        <v>38</v>
      </c>
      <c r="C1236" s="124" t="s">
        <v>39</v>
      </c>
      <c r="D1236" s="124" t="s">
        <v>40</v>
      </c>
      <c r="E1236" s="124" t="s">
        <v>41</v>
      </c>
      <c r="F1236" s="124" t="s">
        <v>42</v>
      </c>
      <c r="G1236" s="124" t="s">
        <v>42</v>
      </c>
      <c r="H1236" s="124" t="s">
        <v>42</v>
      </c>
      <c r="I1236" s="175">
        <v>360</v>
      </c>
      <c r="J1236" s="175" t="s">
        <v>1130</v>
      </c>
      <c r="K1236" s="124" t="s">
        <v>1131</v>
      </c>
      <c r="L1236" s="124" t="s">
        <v>42</v>
      </c>
      <c r="M1236" s="204" t="s">
        <v>185</v>
      </c>
      <c r="N1236" s="184">
        <v>0</v>
      </c>
      <c r="O1236" s="184" t="s">
        <v>47</v>
      </c>
      <c r="P1236" s="184" t="s">
        <v>47</v>
      </c>
      <c r="Q1236" s="204">
        <v>0</v>
      </c>
      <c r="R1236" s="204">
        <v>0</v>
      </c>
      <c r="S1236" s="204">
        <v>50000</v>
      </c>
      <c r="T1236" s="204">
        <f t="shared" si="304"/>
        <v>0</v>
      </c>
      <c r="U1236" s="204">
        <f t="shared" si="305"/>
        <v>50000</v>
      </c>
      <c r="V1236" s="204">
        <v>50000</v>
      </c>
      <c r="W1236" s="204">
        <f t="shared" si="306"/>
        <v>0</v>
      </c>
      <c r="X1236" s="204">
        <f t="shared" si="307"/>
        <v>0</v>
      </c>
      <c r="Y1236" s="204">
        <f t="shared" si="308"/>
        <v>0</v>
      </c>
      <c r="Z1236" s="204">
        <v>50000</v>
      </c>
      <c r="AA1236" s="204">
        <f t="shared" ref="AA1236:AA1239" si="315">Q1236+V1236-Z1236</f>
        <v>0</v>
      </c>
      <c r="AB1236" s="208">
        <f t="shared" si="302"/>
        <v>50000</v>
      </c>
      <c r="AC1236" s="209">
        <f t="shared" si="303"/>
        <v>0</v>
      </c>
      <c r="AD1236" s="210">
        <v>44000</v>
      </c>
      <c r="AE1236" s="184">
        <v>0</v>
      </c>
      <c r="AF1236" s="205">
        <f t="shared" si="311"/>
        <v>0</v>
      </c>
      <c r="AG1236" s="204">
        <f t="shared" si="313"/>
        <v>0</v>
      </c>
      <c r="AH1236" s="204"/>
      <c r="AI1236" s="204"/>
      <c r="AJ1236" s="124" t="s">
        <v>1108</v>
      </c>
    </row>
    <row r="1237" spans="1:37" s="124" customFormat="1" ht="14.25" x14ac:dyDescent="0.3">
      <c r="A1237" s="124">
        <v>2017</v>
      </c>
      <c r="B1237" s="124" t="s">
        <v>38</v>
      </c>
      <c r="C1237" s="124" t="s">
        <v>433</v>
      </c>
      <c r="D1237" s="124" t="s">
        <v>434</v>
      </c>
      <c r="E1237" s="124" t="s">
        <v>435</v>
      </c>
      <c r="F1237" s="124" t="s">
        <v>1132</v>
      </c>
      <c r="G1237" s="124" t="s">
        <v>1132</v>
      </c>
      <c r="H1237" s="124" t="s">
        <v>1132</v>
      </c>
      <c r="I1237" s="175" t="s">
        <v>1133</v>
      </c>
      <c r="J1237" s="175" t="s">
        <v>677</v>
      </c>
      <c r="K1237" s="124" t="s">
        <v>1134</v>
      </c>
      <c r="L1237" s="124" t="s">
        <v>1132</v>
      </c>
      <c r="M1237" s="204" t="s">
        <v>178</v>
      </c>
      <c r="N1237" s="184">
        <v>0</v>
      </c>
      <c r="O1237" s="184" t="s">
        <v>1135</v>
      </c>
      <c r="P1237" s="184" t="s">
        <v>47</v>
      </c>
      <c r="Q1237" s="204">
        <v>0</v>
      </c>
      <c r="R1237" s="204">
        <v>0</v>
      </c>
      <c r="S1237" s="204">
        <v>27778</v>
      </c>
      <c r="T1237" s="204">
        <f t="shared" si="304"/>
        <v>0</v>
      </c>
      <c r="U1237" s="204">
        <f t="shared" si="305"/>
        <v>27778</v>
      </c>
      <c r="V1237" s="204">
        <v>24600</v>
      </c>
      <c r="W1237" s="204">
        <f t="shared" si="306"/>
        <v>3178</v>
      </c>
      <c r="X1237" s="204">
        <f t="shared" si="307"/>
        <v>3178</v>
      </c>
      <c r="Y1237" s="204">
        <f t="shared" si="308"/>
        <v>0</v>
      </c>
      <c r="Z1237" s="204">
        <v>27778</v>
      </c>
      <c r="AA1237" s="204">
        <f t="shared" si="315"/>
        <v>-3178</v>
      </c>
      <c r="AB1237" s="208">
        <f t="shared" si="302"/>
        <v>27778</v>
      </c>
      <c r="AC1237" s="209">
        <f t="shared" si="303"/>
        <v>0</v>
      </c>
      <c r="AD1237" s="204">
        <v>24600</v>
      </c>
      <c r="AE1237" s="184">
        <v>0</v>
      </c>
      <c r="AF1237" s="205">
        <f t="shared" si="311"/>
        <v>0</v>
      </c>
      <c r="AG1237" s="204">
        <f t="shared" si="313"/>
        <v>0</v>
      </c>
      <c r="AH1237" s="204"/>
      <c r="AI1237" s="204"/>
      <c r="AJ1237" s="124" t="s">
        <v>1135</v>
      </c>
    </row>
    <row r="1238" spans="1:37" s="124" customFormat="1" ht="14.25" x14ac:dyDescent="0.3">
      <c r="A1238" s="124">
        <v>2017</v>
      </c>
      <c r="B1238" s="124" t="s">
        <v>199</v>
      </c>
      <c r="C1238" s="124" t="s">
        <v>75</v>
      </c>
      <c r="D1238" s="124" t="s">
        <v>76</v>
      </c>
      <c r="E1238" s="124" t="s">
        <v>647</v>
      </c>
      <c r="F1238" s="124" t="s">
        <v>538</v>
      </c>
      <c r="G1238" s="124" t="s">
        <v>1077</v>
      </c>
      <c r="H1238" s="171" t="s">
        <v>1078</v>
      </c>
      <c r="I1238" s="175" t="s">
        <v>1136</v>
      </c>
      <c r="J1238" s="175" t="s">
        <v>1137</v>
      </c>
      <c r="K1238" s="124" t="s">
        <v>1138</v>
      </c>
      <c r="L1238" s="124" t="s">
        <v>539</v>
      </c>
      <c r="M1238" s="204" t="s">
        <v>46</v>
      </c>
      <c r="N1238" s="184">
        <v>0</v>
      </c>
      <c r="O1238" s="184" t="s">
        <v>1139</v>
      </c>
      <c r="P1238" s="184" t="s">
        <v>47</v>
      </c>
      <c r="Q1238" s="204">
        <v>0</v>
      </c>
      <c r="R1238" s="204">
        <v>0</v>
      </c>
      <c r="S1238" s="204">
        <v>600000</v>
      </c>
      <c r="T1238" s="204">
        <f t="shared" si="304"/>
        <v>0</v>
      </c>
      <c r="U1238" s="204">
        <f t="shared" si="305"/>
        <v>600000</v>
      </c>
      <c r="V1238" s="204">
        <v>600000</v>
      </c>
      <c r="W1238" s="204">
        <f t="shared" si="306"/>
        <v>0</v>
      </c>
      <c r="X1238" s="204">
        <f t="shared" si="307"/>
        <v>0</v>
      </c>
      <c r="Y1238" s="204">
        <f t="shared" si="308"/>
        <v>0</v>
      </c>
      <c r="Z1238" s="204">
        <v>600000</v>
      </c>
      <c r="AA1238" s="204">
        <f t="shared" si="315"/>
        <v>0</v>
      </c>
      <c r="AB1238" s="208">
        <f t="shared" si="302"/>
        <v>600000</v>
      </c>
      <c r="AC1238" s="209">
        <f t="shared" si="303"/>
        <v>0</v>
      </c>
      <c r="AD1238" s="210">
        <v>600000</v>
      </c>
      <c r="AE1238" s="184">
        <v>0</v>
      </c>
      <c r="AF1238" s="205">
        <f t="shared" si="311"/>
        <v>0</v>
      </c>
      <c r="AG1238" s="204">
        <f t="shared" si="313"/>
        <v>0</v>
      </c>
      <c r="AH1238" s="204"/>
      <c r="AI1238" s="204"/>
      <c r="AJ1238" s="124" t="s">
        <v>1139</v>
      </c>
    </row>
    <row r="1239" spans="1:37" s="123" customFormat="1" ht="14.25" x14ac:dyDescent="0.3">
      <c r="A1239" s="123">
        <v>2017</v>
      </c>
      <c r="B1239" s="123" t="s">
        <v>38</v>
      </c>
      <c r="C1239" s="123" t="s">
        <v>59</v>
      </c>
      <c r="D1239" s="123" t="s">
        <v>106</v>
      </c>
      <c r="E1239" s="123" t="s">
        <v>239</v>
      </c>
      <c r="F1239" s="123" t="s">
        <v>352</v>
      </c>
      <c r="G1239" s="123" t="s">
        <v>352</v>
      </c>
      <c r="H1239" s="123" t="s">
        <v>352</v>
      </c>
      <c r="I1239" s="119" t="s">
        <v>1119</v>
      </c>
      <c r="J1239" s="163" t="s">
        <v>44</v>
      </c>
      <c r="K1239" s="123" t="s">
        <v>1128</v>
      </c>
      <c r="L1239" s="123" t="s">
        <v>352</v>
      </c>
      <c r="M1239" s="204" t="s">
        <v>46</v>
      </c>
      <c r="N1239" s="184">
        <v>0</v>
      </c>
      <c r="O1239" s="184" t="s">
        <v>47</v>
      </c>
      <c r="P1239" s="184" t="s">
        <v>47</v>
      </c>
      <c r="Q1239" s="204">
        <v>0</v>
      </c>
      <c r="R1239" s="204">
        <v>0</v>
      </c>
      <c r="S1239" s="204">
        <v>120000</v>
      </c>
      <c r="T1239" s="204">
        <f t="shared" si="304"/>
        <v>0</v>
      </c>
      <c r="U1239" s="204">
        <f t="shared" si="305"/>
        <v>120000</v>
      </c>
      <c r="V1239" s="204">
        <v>108000</v>
      </c>
      <c r="W1239" s="204">
        <f t="shared" si="306"/>
        <v>12000</v>
      </c>
      <c r="X1239" s="205">
        <f t="shared" si="307"/>
        <v>12000</v>
      </c>
      <c r="Y1239" s="205">
        <f t="shared" si="308"/>
        <v>0</v>
      </c>
      <c r="Z1239" s="205">
        <v>155511</v>
      </c>
      <c r="AA1239" s="204">
        <f t="shared" si="315"/>
        <v>-47511</v>
      </c>
      <c r="AB1239" s="208">
        <f t="shared" si="302"/>
        <v>155511</v>
      </c>
      <c r="AC1239" s="209">
        <f t="shared" si="303"/>
        <v>0</v>
      </c>
      <c r="AD1239" s="205">
        <v>120000</v>
      </c>
      <c r="AE1239" s="135">
        <v>0</v>
      </c>
      <c r="AF1239" s="205">
        <f t="shared" si="311"/>
        <v>0</v>
      </c>
      <c r="AG1239" s="205">
        <f t="shared" si="313"/>
        <v>0</v>
      </c>
      <c r="AH1239" s="205"/>
      <c r="AI1239" s="205"/>
      <c r="AJ1239" s="123" t="s">
        <v>47</v>
      </c>
      <c r="AK1239" s="205" t="s">
        <v>1127</v>
      </c>
    </row>
    <row r="1240" spans="1:37" s="123" customFormat="1" ht="14.25" x14ac:dyDescent="0.3">
      <c r="A1240" s="123">
        <v>2017</v>
      </c>
      <c r="B1240" s="123" t="s">
        <v>38</v>
      </c>
      <c r="C1240" s="123" t="s">
        <v>54</v>
      </c>
      <c r="D1240" s="123" t="s">
        <v>55</v>
      </c>
      <c r="E1240" s="123" t="s">
        <v>368</v>
      </c>
      <c r="F1240" s="123" t="s">
        <v>489</v>
      </c>
      <c r="G1240" s="123" t="s">
        <v>489</v>
      </c>
      <c r="H1240" s="123" t="s">
        <v>489</v>
      </c>
      <c r="I1240" s="119" t="s">
        <v>1119</v>
      </c>
      <c r="J1240" s="163" t="s">
        <v>44</v>
      </c>
      <c r="K1240" s="123" t="s">
        <v>1128</v>
      </c>
      <c r="L1240" s="123" t="s">
        <v>489</v>
      </c>
      <c r="M1240" s="204" t="s">
        <v>46</v>
      </c>
      <c r="N1240" s="183">
        <v>0.95</v>
      </c>
      <c r="O1240" s="184" t="s">
        <v>1122</v>
      </c>
      <c r="P1240" s="184" t="s">
        <v>259</v>
      </c>
      <c r="Q1240" s="204">
        <v>0</v>
      </c>
      <c r="R1240" s="204">
        <v>0</v>
      </c>
      <c r="S1240" s="204">
        <v>38000</v>
      </c>
      <c r="T1240" s="204">
        <f t="shared" si="304"/>
        <v>36100</v>
      </c>
      <c r="U1240" s="204">
        <f t="shared" si="305"/>
        <v>74100</v>
      </c>
      <c r="V1240" s="204">
        <v>38000</v>
      </c>
      <c r="W1240" s="204">
        <f t="shared" si="306"/>
        <v>36100</v>
      </c>
      <c r="X1240" s="205">
        <f t="shared" si="307"/>
        <v>18512.820512820512</v>
      </c>
      <c r="Y1240" s="205">
        <f t="shared" si="308"/>
        <v>17587.179487179488</v>
      </c>
      <c r="Z1240" s="207">
        <v>18074.7</v>
      </c>
      <c r="AA1240" s="211">
        <v>18074.7</v>
      </c>
      <c r="AB1240" s="208">
        <f t="shared" si="302"/>
        <v>17170.965</v>
      </c>
      <c r="AC1240" s="209">
        <f t="shared" si="303"/>
        <v>903.73500000000058</v>
      </c>
      <c r="AD1240" s="207">
        <v>18074.7</v>
      </c>
      <c r="AE1240" s="135">
        <v>0</v>
      </c>
      <c r="AF1240" s="205">
        <f t="shared" si="311"/>
        <v>0</v>
      </c>
      <c r="AG1240" s="205">
        <f>AB1240-AD1240+AF1240</f>
        <v>-903.73500000000058</v>
      </c>
      <c r="AH1240" s="205"/>
      <c r="AI1240" s="205"/>
      <c r="AJ1240" s="123" t="s">
        <v>1122</v>
      </c>
      <c r="AK1240" s="205"/>
    </row>
    <row r="1241" spans="1:37" s="123" customFormat="1" ht="14.25" x14ac:dyDescent="0.3">
      <c r="A1241" s="123">
        <v>2017</v>
      </c>
      <c r="B1241" s="123" t="s">
        <v>38</v>
      </c>
      <c r="C1241" s="123" t="s">
        <v>54</v>
      </c>
      <c r="D1241" s="123" t="s">
        <v>55</v>
      </c>
      <c r="E1241" s="123" t="s">
        <v>368</v>
      </c>
      <c r="F1241" s="123" t="s">
        <v>493</v>
      </c>
      <c r="G1241" s="123" t="s">
        <v>493</v>
      </c>
      <c r="H1241" s="123" t="s">
        <v>493</v>
      </c>
      <c r="I1241" s="119" t="s">
        <v>1119</v>
      </c>
      <c r="J1241" s="163" t="s">
        <v>44</v>
      </c>
      <c r="K1241" s="123" t="s">
        <v>1128</v>
      </c>
      <c r="L1241" s="123" t="s">
        <v>1140</v>
      </c>
      <c r="M1241" s="204" t="s">
        <v>46</v>
      </c>
      <c r="N1241" s="183">
        <v>0.95</v>
      </c>
      <c r="O1241" s="184" t="s">
        <v>1125</v>
      </c>
      <c r="P1241" s="184" t="s">
        <v>259</v>
      </c>
      <c r="Q1241" s="204">
        <v>0</v>
      </c>
      <c r="R1241" s="204">
        <v>0</v>
      </c>
      <c r="S1241" s="204">
        <v>9500</v>
      </c>
      <c r="T1241" s="204">
        <f t="shared" si="304"/>
        <v>9025</v>
      </c>
      <c r="U1241" s="204">
        <f t="shared" si="305"/>
        <v>18525</v>
      </c>
      <c r="V1241" s="204">
        <v>9000</v>
      </c>
      <c r="W1241" s="204">
        <f t="shared" si="306"/>
        <v>9525</v>
      </c>
      <c r="X1241" s="205">
        <f t="shared" si="307"/>
        <v>4884.6153846153848</v>
      </c>
      <c r="Y1241" s="205">
        <f t="shared" si="308"/>
        <v>4640.3846153846152</v>
      </c>
      <c r="Z1241" s="205">
        <v>9500</v>
      </c>
      <c r="AA1241" s="204">
        <v>9500</v>
      </c>
      <c r="AB1241" s="208">
        <f t="shared" si="302"/>
        <v>9025</v>
      </c>
      <c r="AC1241" s="209">
        <f t="shared" si="303"/>
        <v>475</v>
      </c>
      <c r="AD1241" s="205">
        <v>9500</v>
      </c>
      <c r="AE1241" s="135">
        <v>0</v>
      </c>
      <c r="AF1241" s="205">
        <f t="shared" si="311"/>
        <v>0</v>
      </c>
      <c r="AG1241" s="205">
        <f t="shared" ref="AG1241:AG1272" si="316">AB1241-Z1241+AF1241</f>
        <v>-475</v>
      </c>
      <c r="AH1241" s="205"/>
      <c r="AI1241" s="205"/>
      <c r="AJ1241" s="123" t="s">
        <v>1125</v>
      </c>
      <c r="AK1241" s="205" t="s">
        <v>1127</v>
      </c>
    </row>
    <row r="1242" spans="1:37" s="123" customFormat="1" ht="14.25" x14ac:dyDescent="0.3">
      <c r="A1242" s="123">
        <v>2017</v>
      </c>
      <c r="B1242" s="123" t="s">
        <v>38</v>
      </c>
      <c r="C1242" s="123" t="s">
        <v>88</v>
      </c>
      <c r="D1242" s="123" t="s">
        <v>128</v>
      </c>
      <c r="E1242" s="123" t="s">
        <v>96</v>
      </c>
      <c r="F1242" s="123" t="s">
        <v>592</v>
      </c>
      <c r="G1242" s="123" t="s">
        <v>592</v>
      </c>
      <c r="H1242" s="123" t="s">
        <v>592</v>
      </c>
      <c r="I1242" s="119" t="s">
        <v>1119</v>
      </c>
      <c r="J1242" s="163" t="s">
        <v>44</v>
      </c>
      <c r="K1242" s="123" t="s">
        <v>1128</v>
      </c>
      <c r="L1242" s="123" t="s">
        <v>592</v>
      </c>
      <c r="M1242" s="204" t="s">
        <v>46</v>
      </c>
      <c r="N1242" s="183">
        <v>0.95</v>
      </c>
      <c r="O1242" s="184" t="s">
        <v>1125</v>
      </c>
      <c r="P1242" s="184" t="s">
        <v>259</v>
      </c>
      <c r="Q1242" s="204">
        <v>0</v>
      </c>
      <c r="R1242" s="204">
        <v>0</v>
      </c>
      <c r="S1242" s="204">
        <v>64193.4</v>
      </c>
      <c r="T1242" s="204">
        <f t="shared" si="304"/>
        <v>60983.729999999996</v>
      </c>
      <c r="U1242" s="204">
        <f t="shared" si="305"/>
        <v>125177.13</v>
      </c>
      <c r="V1242" s="204">
        <v>64193.4</v>
      </c>
      <c r="W1242" s="204">
        <f t="shared" si="306"/>
        <v>60983.73</v>
      </c>
      <c r="X1242" s="205">
        <f t="shared" si="307"/>
        <v>31273.707692307693</v>
      </c>
      <c r="Y1242" s="205">
        <f t="shared" si="308"/>
        <v>29710.02230769231</v>
      </c>
      <c r="Z1242" s="205">
        <v>76000</v>
      </c>
      <c r="AA1242" s="204">
        <v>76000</v>
      </c>
      <c r="AB1242" s="208">
        <f t="shared" si="302"/>
        <v>72200</v>
      </c>
      <c r="AC1242" s="209">
        <f t="shared" si="303"/>
        <v>3800</v>
      </c>
      <c r="AD1242" s="205">
        <v>76000</v>
      </c>
      <c r="AE1242" s="135">
        <v>0</v>
      </c>
      <c r="AF1242" s="205">
        <f t="shared" si="311"/>
        <v>0</v>
      </c>
      <c r="AG1242" s="205">
        <f t="shared" si="316"/>
        <v>-3800</v>
      </c>
      <c r="AH1242" s="205"/>
      <c r="AI1242" s="205"/>
      <c r="AJ1242" s="123" t="s">
        <v>1125</v>
      </c>
    </row>
    <row r="1243" spans="1:37" s="123" customFormat="1" ht="14.25" x14ac:dyDescent="0.3">
      <c r="A1243" s="123">
        <v>2017</v>
      </c>
      <c r="B1243" s="123" t="s">
        <v>38</v>
      </c>
      <c r="C1243" s="123" t="s">
        <v>54</v>
      </c>
      <c r="D1243" s="123" t="s">
        <v>55</v>
      </c>
      <c r="E1243" s="123" t="s">
        <v>368</v>
      </c>
      <c r="F1243" s="123" t="s">
        <v>792</v>
      </c>
      <c r="G1243" s="123" t="s">
        <v>792</v>
      </c>
      <c r="H1243" s="123" t="s">
        <v>792</v>
      </c>
      <c r="I1243" s="119" t="s">
        <v>1119</v>
      </c>
      <c r="J1243" s="163" t="s">
        <v>44</v>
      </c>
      <c r="K1243" s="123" t="s">
        <v>1128</v>
      </c>
      <c r="L1243" s="123" t="s">
        <v>792</v>
      </c>
      <c r="M1243" s="204" t="s">
        <v>46</v>
      </c>
      <c r="N1243" s="184">
        <v>0</v>
      </c>
      <c r="O1243" s="184" t="s">
        <v>47</v>
      </c>
      <c r="P1243" s="184" t="s">
        <v>47</v>
      </c>
      <c r="Q1243" s="204">
        <v>0</v>
      </c>
      <c r="R1243" s="204">
        <v>0</v>
      </c>
      <c r="S1243" s="204">
        <v>20000</v>
      </c>
      <c r="T1243" s="204">
        <f t="shared" si="304"/>
        <v>0</v>
      </c>
      <c r="U1243" s="204">
        <f t="shared" si="305"/>
        <v>20000</v>
      </c>
      <c r="V1243" s="204">
        <v>20000</v>
      </c>
      <c r="W1243" s="204">
        <f t="shared" si="306"/>
        <v>0</v>
      </c>
      <c r="X1243" s="205">
        <f t="shared" si="307"/>
        <v>0</v>
      </c>
      <c r="Y1243" s="205">
        <f t="shared" si="308"/>
        <v>0</v>
      </c>
      <c r="Z1243" s="205">
        <v>9516</v>
      </c>
      <c r="AA1243" s="204">
        <f t="shared" ref="AA1243:AA1272" si="317">Q1243+V1243-Z1243</f>
        <v>10484</v>
      </c>
      <c r="AB1243" s="208">
        <f t="shared" si="302"/>
        <v>9516</v>
      </c>
      <c r="AC1243" s="209">
        <f t="shared" si="303"/>
        <v>0</v>
      </c>
      <c r="AD1243" s="205">
        <v>9516</v>
      </c>
      <c r="AE1243" s="135">
        <v>0</v>
      </c>
      <c r="AF1243" s="205">
        <f t="shared" si="311"/>
        <v>0</v>
      </c>
      <c r="AG1243" s="205">
        <f t="shared" si="316"/>
        <v>0</v>
      </c>
      <c r="AH1243" s="205"/>
      <c r="AI1243" s="205"/>
      <c r="AJ1243" s="123" t="s">
        <v>47</v>
      </c>
    </row>
    <row r="1244" spans="1:37" s="124" customFormat="1" ht="14.25" x14ac:dyDescent="0.3">
      <c r="A1244" s="124">
        <v>2017</v>
      </c>
      <c r="B1244" s="124" t="s">
        <v>38</v>
      </c>
      <c r="C1244" s="124" t="s">
        <v>39</v>
      </c>
      <c r="D1244" s="124" t="s">
        <v>40</v>
      </c>
      <c r="E1244" s="124" t="s">
        <v>41</v>
      </c>
      <c r="F1244" s="124" t="s">
        <v>42</v>
      </c>
      <c r="G1244" s="124" t="s">
        <v>42</v>
      </c>
      <c r="H1244" s="124" t="s">
        <v>42</v>
      </c>
      <c r="I1244" s="175" t="s">
        <v>1141</v>
      </c>
      <c r="J1244" s="175" t="s">
        <v>1142</v>
      </c>
      <c r="K1244" s="124" t="s">
        <v>1142</v>
      </c>
      <c r="L1244" s="124" t="s">
        <v>42</v>
      </c>
      <c r="M1244" s="204" t="s">
        <v>46</v>
      </c>
      <c r="N1244" s="184">
        <v>0</v>
      </c>
      <c r="O1244" s="184" t="s">
        <v>1108</v>
      </c>
      <c r="P1244" s="184" t="s">
        <v>47</v>
      </c>
      <c r="Q1244" s="204">
        <v>0</v>
      </c>
      <c r="R1244" s="204">
        <v>0</v>
      </c>
      <c r="S1244" s="204">
        <v>0</v>
      </c>
      <c r="T1244" s="204">
        <f t="shared" si="304"/>
        <v>0</v>
      </c>
      <c r="U1244" s="204">
        <f t="shared" si="305"/>
        <v>0</v>
      </c>
      <c r="V1244" s="204">
        <v>0</v>
      </c>
      <c r="W1244" s="204">
        <f t="shared" si="306"/>
        <v>0</v>
      </c>
      <c r="X1244" s="204">
        <f t="shared" si="307"/>
        <v>0</v>
      </c>
      <c r="Y1244" s="204">
        <f t="shared" si="308"/>
        <v>0</v>
      </c>
      <c r="Z1244" s="204">
        <v>0</v>
      </c>
      <c r="AA1244" s="204">
        <f t="shared" si="317"/>
        <v>0</v>
      </c>
      <c r="AB1244" s="208">
        <f t="shared" si="302"/>
        <v>0</v>
      </c>
      <c r="AC1244" s="209">
        <f t="shared" si="303"/>
        <v>0</v>
      </c>
      <c r="AD1244" s="204">
        <v>0</v>
      </c>
      <c r="AE1244" s="184">
        <v>0</v>
      </c>
      <c r="AF1244" s="205">
        <f t="shared" si="311"/>
        <v>0</v>
      </c>
      <c r="AG1244" s="204">
        <f t="shared" si="316"/>
        <v>0</v>
      </c>
      <c r="AH1244" s="204"/>
      <c r="AI1244" s="204"/>
      <c r="AJ1244" s="124" t="s">
        <v>1108</v>
      </c>
    </row>
    <row r="1245" spans="1:37" s="124" customFormat="1" ht="14.25" x14ac:dyDescent="0.3">
      <c r="A1245" s="124">
        <v>2017</v>
      </c>
      <c r="B1245" s="124" t="s">
        <v>38</v>
      </c>
      <c r="C1245" s="124" t="s">
        <v>59</v>
      </c>
      <c r="D1245" s="124" t="s">
        <v>106</v>
      </c>
      <c r="E1245" s="124" t="s">
        <v>107</v>
      </c>
      <c r="F1245" s="124" t="s">
        <v>392</v>
      </c>
      <c r="G1245" s="124" t="s">
        <v>392</v>
      </c>
      <c r="H1245" s="124" t="s">
        <v>392</v>
      </c>
      <c r="I1245" s="175" t="s">
        <v>1141</v>
      </c>
      <c r="J1245" s="175" t="s">
        <v>1142</v>
      </c>
      <c r="K1245" s="124" t="s">
        <v>1142</v>
      </c>
      <c r="L1245" s="124" t="s">
        <v>392</v>
      </c>
      <c r="M1245" s="204" t="s">
        <v>160</v>
      </c>
      <c r="N1245" s="184">
        <v>0</v>
      </c>
      <c r="O1245" s="184" t="s">
        <v>1143</v>
      </c>
      <c r="P1245" s="184" t="s">
        <v>47</v>
      </c>
      <c r="Q1245" s="204">
        <v>0</v>
      </c>
      <c r="R1245" s="204">
        <v>0</v>
      </c>
      <c r="S1245" s="204">
        <v>185000</v>
      </c>
      <c r="T1245" s="204">
        <f t="shared" si="304"/>
        <v>0</v>
      </c>
      <c r="U1245" s="204">
        <f t="shared" si="305"/>
        <v>185000</v>
      </c>
      <c r="V1245" s="204">
        <v>185000</v>
      </c>
      <c r="W1245" s="204">
        <f t="shared" si="306"/>
        <v>0</v>
      </c>
      <c r="X1245" s="204">
        <f t="shared" si="307"/>
        <v>0</v>
      </c>
      <c r="Y1245" s="204">
        <f t="shared" si="308"/>
        <v>0</v>
      </c>
      <c r="Z1245" s="204">
        <v>185000</v>
      </c>
      <c r="AA1245" s="210">
        <v>185000</v>
      </c>
      <c r="AB1245" s="208">
        <f t="shared" si="302"/>
        <v>185000</v>
      </c>
      <c r="AC1245" s="209">
        <f t="shared" si="303"/>
        <v>0</v>
      </c>
      <c r="AD1245" s="210">
        <v>185000</v>
      </c>
      <c r="AE1245" s="184">
        <v>0.1</v>
      </c>
      <c r="AF1245" s="205">
        <f t="shared" si="311"/>
        <v>18500</v>
      </c>
      <c r="AG1245" s="204">
        <f t="shared" si="316"/>
        <v>18500</v>
      </c>
      <c r="AH1245" s="204"/>
      <c r="AI1245" s="204"/>
      <c r="AJ1245" s="124" t="s">
        <v>1143</v>
      </c>
    </row>
    <row r="1246" spans="1:37" s="124" customFormat="1" ht="14.25" x14ac:dyDescent="0.3">
      <c r="A1246" s="124">
        <v>2017</v>
      </c>
      <c r="B1246" s="124" t="s">
        <v>38</v>
      </c>
      <c r="C1246" s="124" t="s">
        <v>75</v>
      </c>
      <c r="D1246" s="124" t="s">
        <v>76</v>
      </c>
      <c r="E1246" s="124" t="s">
        <v>257</v>
      </c>
      <c r="F1246" s="124" t="s">
        <v>230</v>
      </c>
      <c r="G1246" s="124" t="s">
        <v>230</v>
      </c>
      <c r="H1246" s="124" t="s">
        <v>230</v>
      </c>
      <c r="I1246" s="175" t="s">
        <v>1141</v>
      </c>
      <c r="J1246" s="175" t="s">
        <v>1142</v>
      </c>
      <c r="K1246" s="124" t="s">
        <v>1142</v>
      </c>
      <c r="L1246" s="124" t="s">
        <v>230</v>
      </c>
      <c r="M1246" s="204" t="s">
        <v>46</v>
      </c>
      <c r="N1246" s="184">
        <v>0</v>
      </c>
      <c r="O1246" s="184" t="s">
        <v>1121</v>
      </c>
      <c r="P1246" s="184" t="s">
        <v>47</v>
      </c>
      <c r="Q1246" s="204">
        <v>0</v>
      </c>
      <c r="R1246" s="204">
        <v>0</v>
      </c>
      <c r="S1246" s="204">
        <v>26000</v>
      </c>
      <c r="T1246" s="204">
        <f t="shared" si="304"/>
        <v>0</v>
      </c>
      <c r="U1246" s="204">
        <f t="shared" si="305"/>
        <v>26000</v>
      </c>
      <c r="V1246" s="204">
        <v>25504.85</v>
      </c>
      <c r="W1246" s="204">
        <f t="shared" si="306"/>
        <v>495.15000000000146</v>
      </c>
      <c r="X1246" s="204">
        <f t="shared" si="307"/>
        <v>495.15000000000146</v>
      </c>
      <c r="Y1246" s="204">
        <f t="shared" si="308"/>
        <v>0</v>
      </c>
      <c r="Z1246" s="204">
        <f>26000-9691.2</f>
        <v>16308.8</v>
      </c>
      <c r="AA1246" s="204">
        <f t="shared" si="317"/>
        <v>9196.0499999999993</v>
      </c>
      <c r="AB1246" s="208">
        <f t="shared" si="302"/>
        <v>16308.8</v>
      </c>
      <c r="AC1246" s="209">
        <f t="shared" si="303"/>
        <v>0</v>
      </c>
      <c r="AD1246" s="204">
        <f>25504.85-9691.2</f>
        <v>15813.649999999998</v>
      </c>
      <c r="AE1246" s="184">
        <v>0</v>
      </c>
      <c r="AF1246" s="205">
        <f t="shared" si="311"/>
        <v>0</v>
      </c>
      <c r="AG1246" s="204">
        <f t="shared" si="316"/>
        <v>0</v>
      </c>
      <c r="AH1246" s="204"/>
      <c r="AI1246" s="204"/>
      <c r="AJ1246" s="124" t="s">
        <v>1121</v>
      </c>
    </row>
    <row r="1247" spans="1:37" s="124" customFormat="1" ht="14.25" x14ac:dyDescent="0.3">
      <c r="A1247" s="124">
        <v>2017</v>
      </c>
      <c r="B1247" s="124" t="s">
        <v>38</v>
      </c>
      <c r="C1247" s="124" t="s">
        <v>75</v>
      </c>
      <c r="D1247" s="124" t="s">
        <v>76</v>
      </c>
      <c r="E1247" s="124" t="s">
        <v>257</v>
      </c>
      <c r="F1247" s="124" t="s">
        <v>230</v>
      </c>
      <c r="G1247" s="124" t="s">
        <v>230</v>
      </c>
      <c r="H1247" s="124" t="s">
        <v>230</v>
      </c>
      <c r="I1247" s="175" t="s">
        <v>1141</v>
      </c>
      <c r="J1247" s="175" t="s">
        <v>1142</v>
      </c>
      <c r="K1247" s="124" t="s">
        <v>1142</v>
      </c>
      <c r="L1247" s="124" t="s">
        <v>230</v>
      </c>
      <c r="M1247" s="204" t="s">
        <v>160</v>
      </c>
      <c r="N1247" s="184">
        <v>0</v>
      </c>
      <c r="O1247" s="184" t="s">
        <v>1143</v>
      </c>
      <c r="P1247" s="184" t="s">
        <v>47</v>
      </c>
      <c r="Q1247" s="204">
        <v>0</v>
      </c>
      <c r="R1247" s="204">
        <v>0</v>
      </c>
      <c r="S1247" s="204">
        <v>133250</v>
      </c>
      <c r="T1247" s="204">
        <f t="shared" si="304"/>
        <v>0</v>
      </c>
      <c r="U1247" s="204">
        <f t="shared" si="305"/>
        <v>133250</v>
      </c>
      <c r="V1247" s="204">
        <v>133250</v>
      </c>
      <c r="W1247" s="204">
        <f t="shared" si="306"/>
        <v>0</v>
      </c>
      <c r="X1247" s="204">
        <f t="shared" si="307"/>
        <v>0</v>
      </c>
      <c r="Y1247" s="204">
        <f t="shared" si="308"/>
        <v>0</v>
      </c>
      <c r="Z1247" s="204">
        <v>133250</v>
      </c>
      <c r="AA1247" s="204">
        <f t="shared" si="317"/>
        <v>0</v>
      </c>
      <c r="AB1247" s="208">
        <f t="shared" si="302"/>
        <v>133250</v>
      </c>
      <c r="AC1247" s="209">
        <f t="shared" si="303"/>
        <v>0</v>
      </c>
      <c r="AD1247" s="210">
        <v>133250</v>
      </c>
      <c r="AE1247" s="184">
        <v>0.1</v>
      </c>
      <c r="AF1247" s="205">
        <f t="shared" si="311"/>
        <v>13325</v>
      </c>
      <c r="AG1247" s="204">
        <f t="shared" si="316"/>
        <v>13325</v>
      </c>
      <c r="AH1247" s="204"/>
      <c r="AI1247" s="204"/>
      <c r="AJ1247" s="124" t="s">
        <v>1143</v>
      </c>
    </row>
    <row r="1248" spans="1:37" s="124" customFormat="1" ht="14.25" x14ac:dyDescent="0.3">
      <c r="A1248" s="124">
        <v>2017</v>
      </c>
      <c r="B1248" s="124" t="s">
        <v>38</v>
      </c>
      <c r="C1248" s="124" t="s">
        <v>54</v>
      </c>
      <c r="D1248" s="124" t="s">
        <v>102</v>
      </c>
      <c r="E1248" s="124" t="s">
        <v>115</v>
      </c>
      <c r="F1248" s="124" t="s">
        <v>380</v>
      </c>
      <c r="G1248" s="124" t="s">
        <v>380</v>
      </c>
      <c r="H1248" s="124" t="s">
        <v>380</v>
      </c>
      <c r="I1248" s="175" t="s">
        <v>1141</v>
      </c>
      <c r="J1248" s="175" t="s">
        <v>1142</v>
      </c>
      <c r="K1248" s="124" t="s">
        <v>1142</v>
      </c>
      <c r="L1248" s="124" t="s">
        <v>380</v>
      </c>
      <c r="M1248" s="204" t="s">
        <v>46</v>
      </c>
      <c r="N1248" s="184">
        <v>0</v>
      </c>
      <c r="O1248" s="184" t="s">
        <v>47</v>
      </c>
      <c r="P1248" s="184" t="s">
        <v>47</v>
      </c>
      <c r="Q1248" s="204">
        <v>0</v>
      </c>
      <c r="R1248" s="204">
        <v>0</v>
      </c>
      <c r="S1248" s="204">
        <v>5000</v>
      </c>
      <c r="T1248" s="204">
        <f t="shared" si="304"/>
        <v>0</v>
      </c>
      <c r="U1248" s="204">
        <f t="shared" si="305"/>
        <v>5000</v>
      </c>
      <c r="V1248" s="204">
        <v>4854.3689320388303</v>
      </c>
      <c r="W1248" s="204">
        <f t="shared" si="306"/>
        <v>145.63106796116972</v>
      </c>
      <c r="X1248" s="204">
        <f t="shared" si="307"/>
        <v>145.63106796116972</v>
      </c>
      <c r="Y1248" s="204">
        <f t="shared" si="308"/>
        <v>0</v>
      </c>
      <c r="Z1248" s="204">
        <v>5000</v>
      </c>
      <c r="AA1248" s="204">
        <f t="shared" si="317"/>
        <v>-145.63106796116972</v>
      </c>
      <c r="AB1248" s="208">
        <f t="shared" si="302"/>
        <v>5000</v>
      </c>
      <c r="AC1248" s="209">
        <f t="shared" si="303"/>
        <v>0</v>
      </c>
      <c r="AD1248" s="204">
        <v>4854.3689320388303</v>
      </c>
      <c r="AE1248" s="184">
        <v>0</v>
      </c>
      <c r="AF1248" s="205">
        <f t="shared" si="311"/>
        <v>0</v>
      </c>
      <c r="AG1248" s="204">
        <f t="shared" si="316"/>
        <v>0</v>
      </c>
      <c r="AH1248" s="204"/>
      <c r="AI1248" s="204"/>
      <c r="AJ1248" s="124" t="s">
        <v>47</v>
      </c>
    </row>
    <row r="1249" spans="1:36" s="124" customFormat="1" ht="14.25" x14ac:dyDescent="0.3">
      <c r="A1249" s="124">
        <v>2017</v>
      </c>
      <c r="B1249" s="124" t="s">
        <v>38</v>
      </c>
      <c r="C1249" s="124" t="s">
        <v>59</v>
      </c>
      <c r="D1249" s="124" t="s">
        <v>106</v>
      </c>
      <c r="E1249" s="124" t="s">
        <v>190</v>
      </c>
      <c r="F1249" s="124" t="s">
        <v>355</v>
      </c>
      <c r="G1249" s="124" t="s">
        <v>356</v>
      </c>
      <c r="H1249" s="124" t="s">
        <v>356</v>
      </c>
      <c r="I1249" s="175" t="s">
        <v>1141</v>
      </c>
      <c r="J1249" s="175" t="s">
        <v>1142</v>
      </c>
      <c r="K1249" s="124" t="s">
        <v>1142</v>
      </c>
      <c r="L1249" s="124" t="s">
        <v>357</v>
      </c>
      <c r="M1249" s="204" t="s">
        <v>46</v>
      </c>
      <c r="N1249" s="184">
        <v>0</v>
      </c>
      <c r="O1249" s="184" t="s">
        <v>47</v>
      </c>
      <c r="P1249" s="184" t="s">
        <v>47</v>
      </c>
      <c r="Q1249" s="204">
        <v>0</v>
      </c>
      <c r="R1249" s="204">
        <v>0</v>
      </c>
      <c r="S1249" s="204">
        <v>10000</v>
      </c>
      <c r="T1249" s="204">
        <f t="shared" si="304"/>
        <v>0</v>
      </c>
      <c r="U1249" s="204">
        <f t="shared" si="305"/>
        <v>10000</v>
      </c>
      <c r="V1249" s="204">
        <v>9708.7378640776697</v>
      </c>
      <c r="W1249" s="204">
        <f t="shared" si="306"/>
        <v>291.26213592233034</v>
      </c>
      <c r="X1249" s="204">
        <f t="shared" si="307"/>
        <v>291.26213592233034</v>
      </c>
      <c r="Y1249" s="204">
        <f t="shared" si="308"/>
        <v>0</v>
      </c>
      <c r="Z1249" s="204">
        <v>10000</v>
      </c>
      <c r="AA1249" s="204">
        <f t="shared" si="317"/>
        <v>-291.26213592233034</v>
      </c>
      <c r="AB1249" s="208">
        <f t="shared" si="302"/>
        <v>10000</v>
      </c>
      <c r="AC1249" s="209">
        <f t="shared" si="303"/>
        <v>0</v>
      </c>
      <c r="AD1249" s="204">
        <v>9708.7378640776697</v>
      </c>
      <c r="AE1249" s="184">
        <v>0</v>
      </c>
      <c r="AF1249" s="205">
        <f t="shared" si="311"/>
        <v>0</v>
      </c>
      <c r="AG1249" s="204">
        <f t="shared" si="316"/>
        <v>0</v>
      </c>
      <c r="AH1249" s="204"/>
      <c r="AI1249" s="204"/>
      <c r="AJ1249" s="124" t="s">
        <v>47</v>
      </c>
    </row>
    <row r="1250" spans="1:36" s="124" customFormat="1" ht="14.25" x14ac:dyDescent="0.3">
      <c r="A1250" s="124">
        <v>2017</v>
      </c>
      <c r="B1250" s="124" t="s">
        <v>38</v>
      </c>
      <c r="C1250" s="124" t="s">
        <v>110</v>
      </c>
      <c r="D1250" s="124" t="s">
        <v>111</v>
      </c>
      <c r="E1250" s="124" t="s">
        <v>281</v>
      </c>
      <c r="F1250" s="124" t="s">
        <v>897</v>
      </c>
      <c r="G1250" s="124" t="s">
        <v>897</v>
      </c>
      <c r="H1250" s="124" t="s">
        <v>897</v>
      </c>
      <c r="I1250" s="175" t="s">
        <v>1141</v>
      </c>
      <c r="J1250" s="175" t="s">
        <v>1142</v>
      </c>
      <c r="K1250" s="124" t="s">
        <v>1142</v>
      </c>
      <c r="L1250" s="124" t="s">
        <v>897</v>
      </c>
      <c r="M1250" s="204" t="s">
        <v>46</v>
      </c>
      <c r="N1250" s="183">
        <v>0.02</v>
      </c>
      <c r="O1250" s="184" t="s">
        <v>173</v>
      </c>
      <c r="P1250" s="184" t="s">
        <v>51</v>
      </c>
      <c r="Q1250" s="204">
        <v>0</v>
      </c>
      <c r="R1250" s="204">
        <v>0</v>
      </c>
      <c r="S1250" s="204">
        <v>20000</v>
      </c>
      <c r="T1250" s="204">
        <f t="shared" si="304"/>
        <v>400</v>
      </c>
      <c r="U1250" s="204">
        <f t="shared" si="305"/>
        <v>20400</v>
      </c>
      <c r="V1250" s="204">
        <v>19417.48</v>
      </c>
      <c r="W1250" s="204">
        <f t="shared" si="306"/>
        <v>982.52000000000044</v>
      </c>
      <c r="X1250" s="204">
        <f t="shared" si="307"/>
        <v>963.25490196078476</v>
      </c>
      <c r="Y1250" s="204">
        <f t="shared" si="308"/>
        <v>19.265098039215673</v>
      </c>
      <c r="Z1250" s="204">
        <v>20000</v>
      </c>
      <c r="AA1250" s="204">
        <f t="shared" si="317"/>
        <v>-582.52000000000044</v>
      </c>
      <c r="AB1250" s="208">
        <f t="shared" si="302"/>
        <v>19607.843137254902</v>
      </c>
      <c r="AC1250" s="209">
        <f t="shared" si="303"/>
        <v>392.1568627450979</v>
      </c>
      <c r="AD1250" s="204">
        <v>19417.48</v>
      </c>
      <c r="AE1250" s="184">
        <v>0</v>
      </c>
      <c r="AF1250" s="205">
        <f t="shared" si="311"/>
        <v>0</v>
      </c>
      <c r="AG1250" s="204">
        <f t="shared" si="316"/>
        <v>-392.1568627450979</v>
      </c>
      <c r="AH1250" s="204"/>
      <c r="AI1250" s="204"/>
      <c r="AJ1250" s="124" t="s">
        <v>173</v>
      </c>
    </row>
    <row r="1251" spans="1:36" s="124" customFormat="1" ht="14.25" x14ac:dyDescent="0.3">
      <c r="A1251" s="124">
        <v>2017</v>
      </c>
      <c r="B1251" s="124" t="s">
        <v>38</v>
      </c>
      <c r="C1251" s="124" t="s">
        <v>137</v>
      </c>
      <c r="D1251" s="124" t="s">
        <v>270</v>
      </c>
      <c r="E1251" s="124" t="s">
        <v>270</v>
      </c>
      <c r="F1251" s="124" t="s">
        <v>1144</v>
      </c>
      <c r="G1251" s="124" t="s">
        <v>1144</v>
      </c>
      <c r="H1251" s="124" t="s">
        <v>1144</v>
      </c>
      <c r="I1251" s="175" t="s">
        <v>1141</v>
      </c>
      <c r="J1251" s="175" t="s">
        <v>1142</v>
      </c>
      <c r="K1251" s="124" t="s">
        <v>1142</v>
      </c>
      <c r="L1251" s="124" t="s">
        <v>1144</v>
      </c>
      <c r="M1251" s="204" t="s">
        <v>46</v>
      </c>
      <c r="N1251" s="184">
        <v>0</v>
      </c>
      <c r="O1251" s="184" t="s">
        <v>47</v>
      </c>
      <c r="P1251" s="184" t="s">
        <v>47</v>
      </c>
      <c r="Q1251" s="204">
        <v>0</v>
      </c>
      <c r="R1251" s="204">
        <v>0</v>
      </c>
      <c r="S1251" s="204">
        <v>60000</v>
      </c>
      <c r="T1251" s="204">
        <f t="shared" si="304"/>
        <v>0</v>
      </c>
      <c r="U1251" s="204">
        <f t="shared" si="305"/>
        <v>60000</v>
      </c>
      <c r="V1251" s="204">
        <v>58543.7</v>
      </c>
      <c r="W1251" s="204">
        <f t="shared" si="306"/>
        <v>1456.3000000000029</v>
      </c>
      <c r="X1251" s="204">
        <f t="shared" si="307"/>
        <v>1456.3000000000029</v>
      </c>
      <c r="Y1251" s="204">
        <f t="shared" si="308"/>
        <v>0</v>
      </c>
      <c r="Z1251" s="204">
        <f>60000-3340</f>
        <v>56660</v>
      </c>
      <c r="AA1251" s="204">
        <f t="shared" si="317"/>
        <v>1883.6999999999971</v>
      </c>
      <c r="AB1251" s="208">
        <f t="shared" si="302"/>
        <v>56660</v>
      </c>
      <c r="AC1251" s="209">
        <f t="shared" si="303"/>
        <v>0</v>
      </c>
      <c r="AD1251" s="204">
        <v>55203.7</v>
      </c>
      <c r="AE1251" s="184">
        <v>0</v>
      </c>
      <c r="AF1251" s="205">
        <f t="shared" si="311"/>
        <v>0</v>
      </c>
      <c r="AG1251" s="204">
        <f t="shared" si="316"/>
        <v>0</v>
      </c>
      <c r="AH1251" s="204"/>
      <c r="AI1251" s="204"/>
      <c r="AJ1251" s="124" t="s">
        <v>47</v>
      </c>
    </row>
    <row r="1252" spans="1:36" s="124" customFormat="1" ht="14.25" x14ac:dyDescent="0.3">
      <c r="A1252" s="124">
        <v>2017</v>
      </c>
      <c r="B1252" s="124" t="s">
        <v>38</v>
      </c>
      <c r="C1252" s="124" t="s">
        <v>59</v>
      </c>
      <c r="D1252" s="124" t="s">
        <v>60</v>
      </c>
      <c r="E1252" s="124" t="s">
        <v>192</v>
      </c>
      <c r="F1252" s="124" t="s">
        <v>1145</v>
      </c>
      <c r="G1252" s="124" t="s">
        <v>1145</v>
      </c>
      <c r="H1252" s="124" t="s">
        <v>1145</v>
      </c>
      <c r="I1252" s="175" t="s">
        <v>1141</v>
      </c>
      <c r="J1252" s="175" t="s">
        <v>1142</v>
      </c>
      <c r="K1252" s="124" t="s">
        <v>1142</v>
      </c>
      <c r="L1252" s="124" t="s">
        <v>1145</v>
      </c>
      <c r="M1252" s="204" t="s">
        <v>46</v>
      </c>
      <c r="N1252" s="184">
        <v>0</v>
      </c>
      <c r="O1252" s="183">
        <v>0</v>
      </c>
      <c r="P1252" s="184" t="s">
        <v>47</v>
      </c>
      <c r="Q1252" s="204">
        <v>0</v>
      </c>
      <c r="R1252" s="204">
        <v>0</v>
      </c>
      <c r="S1252" s="204">
        <v>5000</v>
      </c>
      <c r="T1252" s="204">
        <f t="shared" si="304"/>
        <v>0</v>
      </c>
      <c r="U1252" s="204">
        <f t="shared" si="305"/>
        <v>5000</v>
      </c>
      <c r="V1252" s="204">
        <v>4854.3689320388303</v>
      </c>
      <c r="W1252" s="204">
        <f t="shared" si="306"/>
        <v>145.63106796116972</v>
      </c>
      <c r="X1252" s="204">
        <f t="shared" si="307"/>
        <v>145.63106796116972</v>
      </c>
      <c r="Y1252" s="204">
        <f t="shared" si="308"/>
        <v>0</v>
      </c>
      <c r="Z1252" s="204">
        <v>5000</v>
      </c>
      <c r="AA1252" s="204">
        <f t="shared" si="317"/>
        <v>-145.63106796116972</v>
      </c>
      <c r="AB1252" s="208">
        <f t="shared" si="302"/>
        <v>5000</v>
      </c>
      <c r="AC1252" s="209">
        <f t="shared" si="303"/>
        <v>0</v>
      </c>
      <c r="AD1252" s="204">
        <v>4854.3689320388303</v>
      </c>
      <c r="AE1252" s="184">
        <v>0</v>
      </c>
      <c r="AF1252" s="205">
        <f t="shared" si="311"/>
        <v>0</v>
      </c>
      <c r="AG1252" s="204">
        <f t="shared" si="316"/>
        <v>0</v>
      </c>
      <c r="AH1252" s="204"/>
      <c r="AI1252" s="204"/>
      <c r="AJ1252" s="124" t="s">
        <v>120</v>
      </c>
    </row>
    <row r="1253" spans="1:36" s="124" customFormat="1" ht="14.25" x14ac:dyDescent="0.3">
      <c r="A1253" s="124">
        <v>2017</v>
      </c>
      <c r="B1253" s="124" t="s">
        <v>38</v>
      </c>
      <c r="C1253" s="124" t="s">
        <v>59</v>
      </c>
      <c r="D1253" s="124" t="s">
        <v>106</v>
      </c>
      <c r="E1253" s="124" t="s">
        <v>239</v>
      </c>
      <c r="F1253" s="124" t="s">
        <v>240</v>
      </c>
      <c r="G1253" s="124" t="s">
        <v>240</v>
      </c>
      <c r="H1253" s="124" t="s">
        <v>240</v>
      </c>
      <c r="I1253" s="175" t="s">
        <v>1141</v>
      </c>
      <c r="J1253" s="175" t="s">
        <v>1142</v>
      </c>
      <c r="K1253" s="124" t="s">
        <v>1142</v>
      </c>
      <c r="L1253" s="124" t="s">
        <v>240</v>
      </c>
      <c r="M1253" s="204" t="s">
        <v>46</v>
      </c>
      <c r="N1253" s="184">
        <v>0</v>
      </c>
      <c r="O1253" s="184" t="s">
        <v>47</v>
      </c>
      <c r="P1253" s="184" t="s">
        <v>47</v>
      </c>
      <c r="Q1253" s="204">
        <v>0</v>
      </c>
      <c r="R1253" s="204">
        <v>0</v>
      </c>
      <c r="S1253" s="204">
        <v>4543.1499999999996</v>
      </c>
      <c r="T1253" s="204">
        <f t="shared" si="304"/>
        <v>0</v>
      </c>
      <c r="U1253" s="204">
        <f t="shared" si="305"/>
        <v>4543.1499999999996</v>
      </c>
      <c r="V1253" s="204">
        <v>4410.83</v>
      </c>
      <c r="W1253" s="204">
        <f t="shared" si="306"/>
        <v>132.31999999999971</v>
      </c>
      <c r="X1253" s="204">
        <f t="shared" si="307"/>
        <v>132.31999999999971</v>
      </c>
      <c r="Y1253" s="204">
        <f t="shared" si="308"/>
        <v>0</v>
      </c>
      <c r="Z1253" s="204">
        <v>4543.1499999999996</v>
      </c>
      <c r="AA1253" s="204">
        <f t="shared" si="317"/>
        <v>-132.31999999999971</v>
      </c>
      <c r="AB1253" s="208">
        <f t="shared" si="302"/>
        <v>4543.1499999999996</v>
      </c>
      <c r="AC1253" s="209">
        <f t="shared" si="303"/>
        <v>0</v>
      </c>
      <c r="AD1253" s="204">
        <v>4410.83</v>
      </c>
      <c r="AE1253" s="184">
        <v>0</v>
      </c>
      <c r="AF1253" s="205">
        <f t="shared" si="311"/>
        <v>0</v>
      </c>
      <c r="AG1253" s="204">
        <f t="shared" si="316"/>
        <v>0</v>
      </c>
      <c r="AH1253" s="204"/>
      <c r="AI1253" s="204"/>
      <c r="AJ1253" s="124" t="s">
        <v>120</v>
      </c>
    </row>
    <row r="1254" spans="1:36" s="124" customFormat="1" ht="14.25" x14ac:dyDescent="0.3">
      <c r="A1254" s="124">
        <v>2017</v>
      </c>
      <c r="B1254" s="124" t="s">
        <v>38</v>
      </c>
      <c r="C1254" s="124" t="s">
        <v>59</v>
      </c>
      <c r="D1254" s="124" t="s">
        <v>106</v>
      </c>
      <c r="E1254" s="124" t="s">
        <v>131</v>
      </c>
      <c r="F1254" s="124" t="s">
        <v>473</v>
      </c>
      <c r="G1254" s="124" t="s">
        <v>473</v>
      </c>
      <c r="H1254" s="124" t="s">
        <v>473</v>
      </c>
      <c r="I1254" s="175" t="s">
        <v>1141</v>
      </c>
      <c r="J1254" s="175" t="s">
        <v>1142</v>
      </c>
      <c r="K1254" s="124" t="s">
        <v>1142</v>
      </c>
      <c r="L1254" s="124" t="s">
        <v>473</v>
      </c>
      <c r="M1254" s="204" t="s">
        <v>46</v>
      </c>
      <c r="N1254" s="184">
        <v>0</v>
      </c>
      <c r="O1254" s="184" t="s">
        <v>47</v>
      </c>
      <c r="P1254" s="184" t="s">
        <v>47</v>
      </c>
      <c r="Q1254" s="204">
        <v>0</v>
      </c>
      <c r="R1254" s="204">
        <v>0</v>
      </c>
      <c r="S1254" s="204">
        <v>15000</v>
      </c>
      <c r="T1254" s="204">
        <f t="shared" si="304"/>
        <v>0</v>
      </c>
      <c r="U1254" s="204">
        <f t="shared" si="305"/>
        <v>15000</v>
      </c>
      <c r="V1254" s="204">
        <v>14563.11</v>
      </c>
      <c r="W1254" s="204">
        <f t="shared" si="306"/>
        <v>436.88999999999942</v>
      </c>
      <c r="X1254" s="204">
        <f t="shared" si="307"/>
        <v>436.88999999999942</v>
      </c>
      <c r="Y1254" s="204">
        <f t="shared" si="308"/>
        <v>0</v>
      </c>
      <c r="Z1254" s="204">
        <v>15000</v>
      </c>
      <c r="AA1254" s="204">
        <f t="shared" si="317"/>
        <v>-436.88999999999942</v>
      </c>
      <c r="AB1254" s="208">
        <f t="shared" si="302"/>
        <v>15000</v>
      </c>
      <c r="AC1254" s="209">
        <f t="shared" si="303"/>
        <v>0</v>
      </c>
      <c r="AD1254" s="204">
        <v>14563.11</v>
      </c>
      <c r="AE1254" s="184">
        <v>0</v>
      </c>
      <c r="AF1254" s="205">
        <f t="shared" si="311"/>
        <v>0</v>
      </c>
      <c r="AG1254" s="204">
        <f t="shared" si="316"/>
        <v>0</v>
      </c>
      <c r="AH1254" s="204"/>
      <c r="AI1254" s="204"/>
      <c r="AJ1254" s="124" t="s">
        <v>120</v>
      </c>
    </row>
    <row r="1255" spans="1:36" s="124" customFormat="1" ht="14.25" x14ac:dyDescent="0.3">
      <c r="A1255" s="124">
        <v>2017</v>
      </c>
      <c r="B1255" s="124" t="s">
        <v>38</v>
      </c>
      <c r="C1255" s="124" t="s">
        <v>59</v>
      </c>
      <c r="D1255" s="124" t="s">
        <v>106</v>
      </c>
      <c r="E1255" s="124" t="s">
        <v>239</v>
      </c>
      <c r="F1255" s="124" t="s">
        <v>352</v>
      </c>
      <c r="G1255" s="124" t="s">
        <v>352</v>
      </c>
      <c r="H1255" s="124" t="s">
        <v>352</v>
      </c>
      <c r="I1255" s="175" t="s">
        <v>1141</v>
      </c>
      <c r="J1255" s="175" t="s">
        <v>1142</v>
      </c>
      <c r="K1255" s="124" t="s">
        <v>1142</v>
      </c>
      <c r="L1255" s="124" t="s">
        <v>352</v>
      </c>
      <c r="M1255" s="204" t="s">
        <v>46</v>
      </c>
      <c r="N1255" s="184">
        <v>0</v>
      </c>
      <c r="O1255" s="184" t="s">
        <v>47</v>
      </c>
      <c r="P1255" s="184" t="s">
        <v>47</v>
      </c>
      <c r="Q1255" s="204">
        <v>0</v>
      </c>
      <c r="R1255" s="204">
        <v>0</v>
      </c>
      <c r="S1255" s="204">
        <v>20000</v>
      </c>
      <c r="T1255" s="204">
        <f t="shared" si="304"/>
        <v>0</v>
      </c>
      <c r="U1255" s="204">
        <f t="shared" si="305"/>
        <v>20000</v>
      </c>
      <c r="V1255" s="204">
        <v>19417.48</v>
      </c>
      <c r="W1255" s="204">
        <f t="shared" si="306"/>
        <v>582.52000000000044</v>
      </c>
      <c r="X1255" s="204">
        <f t="shared" si="307"/>
        <v>582.52000000000044</v>
      </c>
      <c r="Y1255" s="204">
        <f t="shared" si="308"/>
        <v>0</v>
      </c>
      <c r="Z1255" s="204">
        <v>20000</v>
      </c>
      <c r="AA1255" s="204">
        <f t="shared" si="317"/>
        <v>-582.52000000000044</v>
      </c>
      <c r="AB1255" s="208">
        <f t="shared" si="302"/>
        <v>20000</v>
      </c>
      <c r="AC1255" s="209">
        <f t="shared" si="303"/>
        <v>0</v>
      </c>
      <c r="AD1255" s="204">
        <v>19417.48</v>
      </c>
      <c r="AE1255" s="184">
        <v>0</v>
      </c>
      <c r="AF1255" s="205">
        <f t="shared" si="311"/>
        <v>0</v>
      </c>
      <c r="AG1255" s="204">
        <f t="shared" si="316"/>
        <v>0</v>
      </c>
      <c r="AH1255" s="204"/>
      <c r="AI1255" s="204"/>
      <c r="AJ1255" s="124" t="s">
        <v>120</v>
      </c>
    </row>
    <row r="1256" spans="1:36" s="124" customFormat="1" ht="14.25" x14ac:dyDescent="0.3">
      <c r="A1256" s="124">
        <v>2017</v>
      </c>
      <c r="B1256" s="124" t="s">
        <v>38</v>
      </c>
      <c r="C1256" s="124" t="s">
        <v>59</v>
      </c>
      <c r="D1256" s="124" t="s">
        <v>106</v>
      </c>
      <c r="E1256" s="124" t="s">
        <v>239</v>
      </c>
      <c r="F1256" s="124" t="s">
        <v>352</v>
      </c>
      <c r="G1256" s="124" t="s">
        <v>352</v>
      </c>
      <c r="H1256" s="124" t="s">
        <v>352</v>
      </c>
      <c r="I1256" s="175" t="s">
        <v>1141</v>
      </c>
      <c r="J1256" s="175" t="s">
        <v>1142</v>
      </c>
      <c r="K1256" s="124" t="s">
        <v>1142</v>
      </c>
      <c r="L1256" s="124" t="s">
        <v>352</v>
      </c>
      <c r="M1256" s="204" t="s">
        <v>160</v>
      </c>
      <c r="N1256" s="184">
        <v>0</v>
      </c>
      <c r="O1256" s="184" t="s">
        <v>241</v>
      </c>
      <c r="P1256" s="184" t="s">
        <v>47</v>
      </c>
      <c r="Q1256" s="204">
        <v>0</v>
      </c>
      <c r="R1256" s="204">
        <v>0</v>
      </c>
      <c r="S1256" s="204">
        <v>562000</v>
      </c>
      <c r="T1256" s="204">
        <f t="shared" si="304"/>
        <v>0</v>
      </c>
      <c r="U1256" s="204">
        <f t="shared" si="305"/>
        <v>562000</v>
      </c>
      <c r="V1256" s="204">
        <v>562000</v>
      </c>
      <c r="W1256" s="204">
        <f t="shared" si="306"/>
        <v>0</v>
      </c>
      <c r="X1256" s="204">
        <f t="shared" si="307"/>
        <v>0</v>
      </c>
      <c r="Y1256" s="204">
        <f t="shared" si="308"/>
        <v>0</v>
      </c>
      <c r="Z1256" s="204">
        <v>562000</v>
      </c>
      <c r="AA1256" s="204">
        <f t="shared" si="317"/>
        <v>0</v>
      </c>
      <c r="AB1256" s="208">
        <f t="shared" si="302"/>
        <v>562000</v>
      </c>
      <c r="AC1256" s="209">
        <f t="shared" si="303"/>
        <v>0</v>
      </c>
      <c r="AD1256" s="210">
        <v>562000</v>
      </c>
      <c r="AE1256" s="184">
        <v>0.1</v>
      </c>
      <c r="AF1256" s="205">
        <f t="shared" si="311"/>
        <v>56200</v>
      </c>
      <c r="AG1256" s="204">
        <f t="shared" si="316"/>
        <v>56200</v>
      </c>
      <c r="AH1256" s="204"/>
      <c r="AI1256" s="204"/>
      <c r="AJ1256" s="124" t="s">
        <v>241</v>
      </c>
    </row>
    <row r="1257" spans="1:36" s="124" customFormat="1" ht="14.25" x14ac:dyDescent="0.3">
      <c r="A1257" s="124">
        <v>2017</v>
      </c>
      <c r="B1257" s="124" t="s">
        <v>38</v>
      </c>
      <c r="C1257" s="124" t="s">
        <v>75</v>
      </c>
      <c r="D1257" s="124" t="s">
        <v>76</v>
      </c>
      <c r="E1257" s="124" t="s">
        <v>225</v>
      </c>
      <c r="F1257" s="124" t="s">
        <v>159</v>
      </c>
      <c r="G1257" s="124" t="s">
        <v>159</v>
      </c>
      <c r="H1257" s="124" t="s">
        <v>159</v>
      </c>
      <c r="I1257" s="175" t="s">
        <v>1141</v>
      </c>
      <c r="J1257" s="175" t="s">
        <v>1142</v>
      </c>
      <c r="K1257" s="124" t="s">
        <v>1142</v>
      </c>
      <c r="L1257" s="124" t="s">
        <v>159</v>
      </c>
      <c r="M1257" s="204" t="s">
        <v>46</v>
      </c>
      <c r="N1257" s="184">
        <v>0</v>
      </c>
      <c r="O1257" s="184" t="s">
        <v>1121</v>
      </c>
      <c r="P1257" s="184" t="s">
        <v>47</v>
      </c>
      <c r="Q1257" s="204">
        <v>0</v>
      </c>
      <c r="R1257" s="204">
        <v>0</v>
      </c>
      <c r="S1257" s="204">
        <v>5000</v>
      </c>
      <c r="T1257" s="204">
        <f t="shared" si="304"/>
        <v>0</v>
      </c>
      <c r="U1257" s="204">
        <f t="shared" si="305"/>
        <v>5000</v>
      </c>
      <c r="V1257" s="204">
        <v>4854.37</v>
      </c>
      <c r="W1257" s="204">
        <f t="shared" si="306"/>
        <v>145.63000000000011</v>
      </c>
      <c r="X1257" s="204">
        <f t="shared" si="307"/>
        <v>145.63000000000011</v>
      </c>
      <c r="Y1257" s="204">
        <f t="shared" si="308"/>
        <v>0</v>
      </c>
      <c r="Z1257" s="204">
        <v>5000</v>
      </c>
      <c r="AA1257" s="204">
        <f t="shared" si="317"/>
        <v>-145.63000000000011</v>
      </c>
      <c r="AB1257" s="208">
        <f t="shared" si="302"/>
        <v>5000</v>
      </c>
      <c r="AC1257" s="209">
        <f t="shared" si="303"/>
        <v>0</v>
      </c>
      <c r="AD1257" s="204">
        <v>4854.37</v>
      </c>
      <c r="AE1257" s="184">
        <v>0</v>
      </c>
      <c r="AF1257" s="205">
        <f t="shared" si="311"/>
        <v>0</v>
      </c>
      <c r="AG1257" s="204">
        <f t="shared" si="316"/>
        <v>0</v>
      </c>
      <c r="AH1257" s="204"/>
      <c r="AI1257" s="204"/>
      <c r="AJ1257" s="124" t="s">
        <v>1121</v>
      </c>
    </row>
    <row r="1258" spans="1:36" s="124" customFormat="1" ht="14.25" x14ac:dyDescent="0.3">
      <c r="A1258" s="124">
        <v>2017</v>
      </c>
      <c r="B1258" s="124" t="s">
        <v>38</v>
      </c>
      <c r="C1258" s="124" t="s">
        <v>75</v>
      </c>
      <c r="D1258" s="124" t="s">
        <v>76</v>
      </c>
      <c r="E1258" s="124" t="s">
        <v>225</v>
      </c>
      <c r="F1258" s="124" t="s">
        <v>159</v>
      </c>
      <c r="G1258" s="124" t="s">
        <v>159</v>
      </c>
      <c r="H1258" s="124" t="s">
        <v>159</v>
      </c>
      <c r="I1258" s="175" t="s">
        <v>1141</v>
      </c>
      <c r="J1258" s="175" t="s">
        <v>1142</v>
      </c>
      <c r="K1258" s="124" t="s">
        <v>1142</v>
      </c>
      <c r="L1258" s="124" t="s">
        <v>159</v>
      </c>
      <c r="M1258" s="204" t="s">
        <v>160</v>
      </c>
      <c r="N1258" s="184">
        <v>0</v>
      </c>
      <c r="O1258" s="184" t="s">
        <v>1143</v>
      </c>
      <c r="P1258" s="184" t="s">
        <v>47</v>
      </c>
      <c r="Q1258" s="204">
        <v>0</v>
      </c>
      <c r="R1258" s="204">
        <v>0</v>
      </c>
      <c r="S1258" s="204">
        <v>3107000</v>
      </c>
      <c r="T1258" s="204">
        <f t="shared" si="304"/>
        <v>0</v>
      </c>
      <c r="U1258" s="204">
        <f t="shared" si="305"/>
        <v>3107000</v>
      </c>
      <c r="V1258" s="204">
        <v>3107000</v>
      </c>
      <c r="W1258" s="204">
        <f t="shared" si="306"/>
        <v>0</v>
      </c>
      <c r="X1258" s="204">
        <f t="shared" si="307"/>
        <v>0</v>
      </c>
      <c r="Y1258" s="204">
        <f t="shared" si="308"/>
        <v>0</v>
      </c>
      <c r="Z1258" s="204">
        <v>3107000</v>
      </c>
      <c r="AA1258" s="204">
        <f t="shared" si="317"/>
        <v>0</v>
      </c>
      <c r="AB1258" s="208">
        <f t="shared" si="302"/>
        <v>3107000</v>
      </c>
      <c r="AC1258" s="209">
        <f t="shared" si="303"/>
        <v>0</v>
      </c>
      <c r="AD1258" s="210">
        <v>3107000</v>
      </c>
      <c r="AE1258" s="184">
        <v>0.1</v>
      </c>
      <c r="AF1258" s="205">
        <f t="shared" si="311"/>
        <v>310700</v>
      </c>
      <c r="AG1258" s="204">
        <f t="shared" si="316"/>
        <v>310700</v>
      </c>
      <c r="AH1258" s="204"/>
      <c r="AI1258" s="204"/>
      <c r="AJ1258" s="124" t="s">
        <v>1143</v>
      </c>
    </row>
    <row r="1259" spans="1:36" s="124" customFormat="1" ht="14.25" x14ac:dyDescent="0.3">
      <c r="A1259" s="124">
        <v>2017</v>
      </c>
      <c r="B1259" s="124" t="s">
        <v>38</v>
      </c>
      <c r="C1259" s="124" t="s">
        <v>54</v>
      </c>
      <c r="D1259" s="124" t="s">
        <v>102</v>
      </c>
      <c r="E1259" s="124" t="s">
        <v>187</v>
      </c>
      <c r="F1259" s="124" t="s">
        <v>1146</v>
      </c>
      <c r="G1259" s="124" t="s">
        <v>1146</v>
      </c>
      <c r="H1259" s="124" t="s">
        <v>1146</v>
      </c>
      <c r="I1259" s="175" t="s">
        <v>1141</v>
      </c>
      <c r="J1259" s="175" t="s">
        <v>1142</v>
      </c>
      <c r="K1259" s="124" t="s">
        <v>1142</v>
      </c>
      <c r="L1259" s="124" t="s">
        <v>1147</v>
      </c>
      <c r="M1259" s="204" t="s">
        <v>46</v>
      </c>
      <c r="N1259" s="184">
        <v>0</v>
      </c>
      <c r="O1259" s="184" t="s">
        <v>47</v>
      </c>
      <c r="P1259" s="184" t="s">
        <v>47</v>
      </c>
      <c r="Q1259" s="204">
        <v>0</v>
      </c>
      <c r="R1259" s="204">
        <v>0</v>
      </c>
      <c r="S1259" s="204">
        <v>50000</v>
      </c>
      <c r="T1259" s="204">
        <f t="shared" si="304"/>
        <v>0</v>
      </c>
      <c r="U1259" s="204">
        <f t="shared" si="305"/>
        <v>50000</v>
      </c>
      <c r="V1259" s="204">
        <v>49126.21</v>
      </c>
      <c r="W1259" s="204">
        <f t="shared" si="306"/>
        <v>873.79000000000087</v>
      </c>
      <c r="X1259" s="204">
        <f t="shared" si="307"/>
        <v>873.79000000000087</v>
      </c>
      <c r="Y1259" s="204">
        <f t="shared" si="308"/>
        <v>0</v>
      </c>
      <c r="Z1259" s="204">
        <v>50000</v>
      </c>
      <c r="AA1259" s="204">
        <f t="shared" si="317"/>
        <v>-873.79000000000087</v>
      </c>
      <c r="AB1259" s="208">
        <f t="shared" si="302"/>
        <v>50000</v>
      </c>
      <c r="AC1259" s="209">
        <f t="shared" si="303"/>
        <v>0</v>
      </c>
      <c r="AD1259" s="204">
        <v>49126.21</v>
      </c>
      <c r="AE1259" s="184">
        <v>0</v>
      </c>
      <c r="AF1259" s="205">
        <f t="shared" si="311"/>
        <v>0</v>
      </c>
      <c r="AG1259" s="204">
        <f t="shared" si="316"/>
        <v>0</v>
      </c>
      <c r="AH1259" s="204"/>
      <c r="AI1259" s="204"/>
      <c r="AJ1259" s="124" t="s">
        <v>47</v>
      </c>
    </row>
    <row r="1260" spans="1:36" s="124" customFormat="1" ht="14.25" x14ac:dyDescent="0.3">
      <c r="A1260" s="124">
        <v>2017</v>
      </c>
      <c r="B1260" s="124" t="s">
        <v>252</v>
      </c>
      <c r="C1260" s="124" t="s">
        <v>110</v>
      </c>
      <c r="D1260" s="124" t="s">
        <v>111</v>
      </c>
      <c r="E1260" s="124" t="s">
        <v>112</v>
      </c>
      <c r="F1260" s="124" t="s">
        <v>1095</v>
      </c>
      <c r="G1260" s="124" t="s">
        <v>1096</v>
      </c>
      <c r="H1260" s="124" t="s">
        <v>1096</v>
      </c>
      <c r="I1260" s="175" t="s">
        <v>1141</v>
      </c>
      <c r="J1260" s="175" t="s">
        <v>1142</v>
      </c>
      <c r="K1260" s="124" t="s">
        <v>1142</v>
      </c>
      <c r="L1260" s="124" t="s">
        <v>1095</v>
      </c>
      <c r="M1260" s="204" t="s">
        <v>160</v>
      </c>
      <c r="N1260" s="184">
        <v>0</v>
      </c>
      <c r="O1260" s="184" t="s">
        <v>1139</v>
      </c>
      <c r="P1260" s="184" t="s">
        <v>47</v>
      </c>
      <c r="Q1260" s="204">
        <v>0</v>
      </c>
      <c r="R1260" s="204">
        <v>0</v>
      </c>
      <c r="S1260" s="204">
        <v>175000</v>
      </c>
      <c r="T1260" s="204">
        <f t="shared" si="304"/>
        <v>0</v>
      </c>
      <c r="U1260" s="204">
        <f t="shared" si="305"/>
        <v>175000</v>
      </c>
      <c r="V1260" s="204">
        <v>175000</v>
      </c>
      <c r="W1260" s="204">
        <f t="shared" si="306"/>
        <v>0</v>
      </c>
      <c r="X1260" s="204">
        <f t="shared" si="307"/>
        <v>0</v>
      </c>
      <c r="Y1260" s="204">
        <f t="shared" si="308"/>
        <v>0</v>
      </c>
      <c r="Z1260" s="204">
        <v>175000</v>
      </c>
      <c r="AA1260" s="204">
        <f t="shared" si="317"/>
        <v>0</v>
      </c>
      <c r="AB1260" s="208">
        <f t="shared" si="302"/>
        <v>175000</v>
      </c>
      <c r="AC1260" s="209">
        <f t="shared" si="303"/>
        <v>0</v>
      </c>
      <c r="AD1260" s="204">
        <v>175000</v>
      </c>
      <c r="AE1260" s="184">
        <v>0.1</v>
      </c>
      <c r="AF1260" s="205">
        <f t="shared" si="311"/>
        <v>17500</v>
      </c>
      <c r="AG1260" s="204">
        <f t="shared" si="316"/>
        <v>17500</v>
      </c>
      <c r="AH1260" s="204"/>
      <c r="AI1260" s="204"/>
      <c r="AJ1260" s="124" t="s">
        <v>1139</v>
      </c>
    </row>
    <row r="1261" spans="1:36" s="124" customFormat="1" ht="14.25" x14ac:dyDescent="0.3">
      <c r="A1261" s="124">
        <v>2017</v>
      </c>
      <c r="B1261" s="124" t="s">
        <v>38</v>
      </c>
      <c r="C1261" s="124" t="s">
        <v>88</v>
      </c>
      <c r="D1261" s="124" t="s">
        <v>128</v>
      </c>
      <c r="E1261" s="124" t="s">
        <v>124</v>
      </c>
      <c r="F1261" s="124" t="s">
        <v>169</v>
      </c>
      <c r="G1261" s="124" t="s">
        <v>169</v>
      </c>
      <c r="H1261" s="124" t="s">
        <v>169</v>
      </c>
      <c r="I1261" s="175" t="s">
        <v>1141</v>
      </c>
      <c r="J1261" s="175" t="s">
        <v>1142</v>
      </c>
      <c r="K1261" s="124" t="s">
        <v>1142</v>
      </c>
      <c r="L1261" s="124" t="s">
        <v>169</v>
      </c>
      <c r="M1261" s="204" t="s">
        <v>46</v>
      </c>
      <c r="N1261" s="184">
        <v>0</v>
      </c>
      <c r="O1261" s="184" t="s">
        <v>47</v>
      </c>
      <c r="P1261" s="184" t="s">
        <v>47</v>
      </c>
      <c r="Q1261" s="204">
        <v>0</v>
      </c>
      <c r="R1261" s="204">
        <v>0</v>
      </c>
      <c r="S1261" s="204">
        <v>0</v>
      </c>
      <c r="T1261" s="204">
        <f t="shared" si="304"/>
        <v>0</v>
      </c>
      <c r="U1261" s="204">
        <f t="shared" si="305"/>
        <v>0</v>
      </c>
      <c r="V1261" s="204">
        <v>0</v>
      </c>
      <c r="W1261" s="204">
        <f t="shared" si="306"/>
        <v>0</v>
      </c>
      <c r="X1261" s="204">
        <f t="shared" si="307"/>
        <v>0</v>
      </c>
      <c r="Y1261" s="204">
        <f t="shared" si="308"/>
        <v>0</v>
      </c>
      <c r="Z1261" s="204">
        <v>0</v>
      </c>
      <c r="AA1261" s="204">
        <f t="shared" si="317"/>
        <v>0</v>
      </c>
      <c r="AB1261" s="208">
        <f t="shared" si="302"/>
        <v>0</v>
      </c>
      <c r="AC1261" s="209">
        <f t="shared" si="303"/>
        <v>0</v>
      </c>
      <c r="AD1261" s="204">
        <v>0</v>
      </c>
      <c r="AE1261" s="184">
        <v>0</v>
      </c>
      <c r="AF1261" s="205">
        <f t="shared" si="311"/>
        <v>0</v>
      </c>
      <c r="AG1261" s="204">
        <f t="shared" si="316"/>
        <v>0</v>
      </c>
      <c r="AH1261" s="204"/>
      <c r="AI1261" s="204"/>
      <c r="AJ1261" s="124" t="s">
        <v>47</v>
      </c>
    </row>
    <row r="1262" spans="1:36" s="124" customFormat="1" ht="14.25" x14ac:dyDescent="0.3">
      <c r="A1262" s="124">
        <v>2017</v>
      </c>
      <c r="B1262" s="124" t="s">
        <v>38</v>
      </c>
      <c r="C1262" s="124" t="s">
        <v>88</v>
      </c>
      <c r="D1262" s="124" t="s">
        <v>128</v>
      </c>
      <c r="E1262" s="124" t="s">
        <v>194</v>
      </c>
      <c r="F1262" s="124" t="s">
        <v>169</v>
      </c>
      <c r="G1262" s="124" t="s">
        <v>169</v>
      </c>
      <c r="H1262" s="124" t="s">
        <v>169</v>
      </c>
      <c r="I1262" s="175" t="s">
        <v>1141</v>
      </c>
      <c r="J1262" s="175" t="s">
        <v>1142</v>
      </c>
      <c r="K1262" s="124" t="s">
        <v>1142</v>
      </c>
      <c r="L1262" s="124" t="s">
        <v>169</v>
      </c>
      <c r="M1262" s="204" t="s">
        <v>160</v>
      </c>
      <c r="N1262" s="183">
        <v>0</v>
      </c>
      <c r="O1262" s="184" t="s">
        <v>522</v>
      </c>
      <c r="P1262" s="184" t="s">
        <v>47</v>
      </c>
      <c r="Q1262" s="204">
        <v>0</v>
      </c>
      <c r="R1262" s="204">
        <v>0</v>
      </c>
      <c r="S1262" s="204">
        <v>271800</v>
      </c>
      <c r="T1262" s="204">
        <f t="shared" si="304"/>
        <v>0</v>
      </c>
      <c r="U1262" s="204">
        <f t="shared" si="305"/>
        <v>271800</v>
      </c>
      <c r="V1262" s="204">
        <v>226500</v>
      </c>
      <c r="W1262" s="204">
        <f t="shared" si="306"/>
        <v>45300</v>
      </c>
      <c r="X1262" s="204">
        <f t="shared" si="307"/>
        <v>45300</v>
      </c>
      <c r="Y1262" s="204">
        <f t="shared" si="308"/>
        <v>0</v>
      </c>
      <c r="Z1262" s="204">
        <v>271800</v>
      </c>
      <c r="AA1262" s="204">
        <f t="shared" si="317"/>
        <v>-45300</v>
      </c>
      <c r="AB1262" s="208">
        <f t="shared" si="302"/>
        <v>271800</v>
      </c>
      <c r="AC1262" s="209">
        <f t="shared" si="303"/>
        <v>0</v>
      </c>
      <c r="AD1262" s="204">
        <v>226500</v>
      </c>
      <c r="AE1262" s="184">
        <v>0.1</v>
      </c>
      <c r="AF1262" s="205">
        <f t="shared" si="311"/>
        <v>22650</v>
      </c>
      <c r="AG1262" s="204">
        <f t="shared" si="316"/>
        <v>22650</v>
      </c>
      <c r="AH1262" s="204"/>
      <c r="AI1262" s="204"/>
      <c r="AJ1262" s="124" t="s">
        <v>522</v>
      </c>
    </row>
    <row r="1263" spans="1:36" s="124" customFormat="1" ht="14.25" x14ac:dyDescent="0.3">
      <c r="A1263" s="124">
        <v>2017</v>
      </c>
      <c r="B1263" s="124" t="s">
        <v>38</v>
      </c>
      <c r="C1263" s="124" t="s">
        <v>59</v>
      </c>
      <c r="D1263" s="124" t="s">
        <v>210</v>
      </c>
      <c r="E1263" s="124" t="s">
        <v>239</v>
      </c>
      <c r="F1263" s="124" t="s">
        <v>763</v>
      </c>
      <c r="G1263" s="124" t="s">
        <v>763</v>
      </c>
      <c r="H1263" s="124" t="s">
        <v>763</v>
      </c>
      <c r="I1263" s="175" t="s">
        <v>1141</v>
      </c>
      <c r="J1263" s="175" t="s">
        <v>1142</v>
      </c>
      <c r="K1263" s="124" t="s">
        <v>1142</v>
      </c>
      <c r="L1263" s="124" t="s">
        <v>763</v>
      </c>
      <c r="M1263" s="204" t="s">
        <v>160</v>
      </c>
      <c r="N1263" s="184">
        <v>0</v>
      </c>
      <c r="O1263" s="184" t="s">
        <v>241</v>
      </c>
      <c r="P1263" s="184" t="s">
        <v>47</v>
      </c>
      <c r="Q1263" s="204">
        <v>0</v>
      </c>
      <c r="R1263" s="204">
        <v>0</v>
      </c>
      <c r="S1263" s="204">
        <v>633786</v>
      </c>
      <c r="T1263" s="204">
        <f t="shared" si="304"/>
        <v>0</v>
      </c>
      <c r="U1263" s="204">
        <f t="shared" si="305"/>
        <v>633786</v>
      </c>
      <c r="V1263" s="204">
        <v>590929</v>
      </c>
      <c r="W1263" s="204">
        <f t="shared" si="306"/>
        <v>42857</v>
      </c>
      <c r="X1263" s="204">
        <f t="shared" si="307"/>
        <v>42857</v>
      </c>
      <c r="Y1263" s="204">
        <f t="shared" si="308"/>
        <v>0</v>
      </c>
      <c r="Z1263" s="204">
        <v>633786</v>
      </c>
      <c r="AA1263" s="204">
        <f t="shared" si="317"/>
        <v>-42857</v>
      </c>
      <c r="AB1263" s="208">
        <f t="shared" si="302"/>
        <v>633786</v>
      </c>
      <c r="AC1263" s="209">
        <f t="shared" si="303"/>
        <v>0</v>
      </c>
      <c r="AD1263" s="210">
        <v>590929</v>
      </c>
      <c r="AE1263" s="184">
        <v>0.1</v>
      </c>
      <c r="AF1263" s="205">
        <f t="shared" si="311"/>
        <v>59092.9</v>
      </c>
      <c r="AG1263" s="204">
        <f t="shared" si="316"/>
        <v>59092.9</v>
      </c>
      <c r="AH1263" s="204"/>
      <c r="AI1263" s="204"/>
      <c r="AJ1263" s="124" t="s">
        <v>241</v>
      </c>
    </row>
    <row r="1264" spans="1:36" s="124" customFormat="1" ht="14.25" x14ac:dyDescent="0.3">
      <c r="A1264" s="124">
        <v>2017</v>
      </c>
      <c r="B1264" s="124" t="s">
        <v>38</v>
      </c>
      <c r="C1264" s="124" t="s">
        <v>59</v>
      </c>
      <c r="D1264" s="124" t="s">
        <v>210</v>
      </c>
      <c r="E1264" s="124" t="s">
        <v>239</v>
      </c>
      <c r="F1264" s="124" t="s">
        <v>763</v>
      </c>
      <c r="G1264" s="124" t="s">
        <v>763</v>
      </c>
      <c r="H1264" s="124" t="s">
        <v>763</v>
      </c>
      <c r="I1264" s="175" t="s">
        <v>1141</v>
      </c>
      <c r="J1264" s="175" t="s">
        <v>1142</v>
      </c>
      <c r="K1264" s="124" t="s">
        <v>1142</v>
      </c>
      <c r="L1264" s="124" t="s">
        <v>763</v>
      </c>
      <c r="M1264" s="204" t="s">
        <v>46</v>
      </c>
      <c r="N1264" s="184">
        <v>0</v>
      </c>
      <c r="O1264" s="184" t="s">
        <v>47</v>
      </c>
      <c r="P1264" s="184" t="s">
        <v>47</v>
      </c>
      <c r="Q1264" s="204">
        <v>0</v>
      </c>
      <c r="R1264" s="204">
        <v>0</v>
      </c>
      <c r="S1264" s="204">
        <v>10000</v>
      </c>
      <c r="T1264" s="204">
        <f t="shared" si="304"/>
        <v>0</v>
      </c>
      <c r="U1264" s="204">
        <f t="shared" si="305"/>
        <v>10000</v>
      </c>
      <c r="V1264" s="204">
        <v>9708.74</v>
      </c>
      <c r="W1264" s="204">
        <f t="shared" si="306"/>
        <v>291.26000000000022</v>
      </c>
      <c r="X1264" s="204">
        <f t="shared" si="307"/>
        <v>291.26000000000022</v>
      </c>
      <c r="Y1264" s="204">
        <f t="shared" si="308"/>
        <v>0</v>
      </c>
      <c r="Z1264" s="204">
        <f>10000-2911</f>
        <v>7089</v>
      </c>
      <c r="AA1264" s="204">
        <f t="shared" si="317"/>
        <v>2619.7399999999998</v>
      </c>
      <c r="AB1264" s="208">
        <f t="shared" si="302"/>
        <v>7089</v>
      </c>
      <c r="AC1264" s="209">
        <f t="shared" si="303"/>
        <v>0</v>
      </c>
      <c r="AD1264" s="204">
        <v>6797.74</v>
      </c>
      <c r="AE1264" s="184">
        <v>0</v>
      </c>
      <c r="AF1264" s="205">
        <f t="shared" si="311"/>
        <v>0</v>
      </c>
      <c r="AG1264" s="204">
        <f t="shared" si="316"/>
        <v>0</v>
      </c>
      <c r="AH1264" s="204"/>
      <c r="AI1264" s="204"/>
      <c r="AJ1264" s="124" t="s">
        <v>47</v>
      </c>
    </row>
    <row r="1265" spans="1:36" s="124" customFormat="1" ht="14.25" x14ac:dyDescent="0.3">
      <c r="A1265" s="124">
        <v>2017</v>
      </c>
      <c r="B1265" s="124" t="s">
        <v>38</v>
      </c>
      <c r="C1265" s="124" t="s">
        <v>59</v>
      </c>
      <c r="D1265" s="124" t="s">
        <v>106</v>
      </c>
      <c r="E1265" s="124" t="s">
        <v>131</v>
      </c>
      <c r="F1265" s="124" t="s">
        <v>132</v>
      </c>
      <c r="G1265" s="124" t="s">
        <v>132</v>
      </c>
      <c r="H1265" s="124" t="s">
        <v>132</v>
      </c>
      <c r="I1265" s="175" t="s">
        <v>1141</v>
      </c>
      <c r="J1265" s="175" t="s">
        <v>1142</v>
      </c>
      <c r="K1265" s="124" t="s">
        <v>1142</v>
      </c>
      <c r="L1265" s="124" t="s">
        <v>132</v>
      </c>
      <c r="M1265" s="204" t="s">
        <v>160</v>
      </c>
      <c r="N1265" s="184">
        <v>0</v>
      </c>
      <c r="O1265" s="184" t="s">
        <v>1143</v>
      </c>
      <c r="P1265" s="184" t="s">
        <v>47</v>
      </c>
      <c r="Q1265" s="204">
        <v>0</v>
      </c>
      <c r="R1265" s="204">
        <v>0</v>
      </c>
      <c r="S1265" s="204">
        <v>16000</v>
      </c>
      <c r="T1265" s="204">
        <f t="shared" si="304"/>
        <v>0</v>
      </c>
      <c r="U1265" s="204">
        <f t="shared" si="305"/>
        <v>16000</v>
      </c>
      <c r="V1265" s="204">
        <v>16000</v>
      </c>
      <c r="W1265" s="204">
        <f t="shared" si="306"/>
        <v>0</v>
      </c>
      <c r="X1265" s="204">
        <f t="shared" si="307"/>
        <v>0</v>
      </c>
      <c r="Y1265" s="204">
        <f t="shared" si="308"/>
        <v>0</v>
      </c>
      <c r="Z1265" s="204">
        <v>16000</v>
      </c>
      <c r="AA1265" s="204">
        <f t="shared" si="317"/>
        <v>0</v>
      </c>
      <c r="AB1265" s="208">
        <f t="shared" si="302"/>
        <v>16000</v>
      </c>
      <c r="AC1265" s="209">
        <f t="shared" si="303"/>
        <v>0</v>
      </c>
      <c r="AD1265" s="210">
        <v>16000</v>
      </c>
      <c r="AE1265" s="184">
        <v>0.1</v>
      </c>
      <c r="AF1265" s="205">
        <f t="shared" si="311"/>
        <v>1600</v>
      </c>
      <c r="AG1265" s="204">
        <f t="shared" si="316"/>
        <v>1600</v>
      </c>
      <c r="AH1265" s="204"/>
      <c r="AI1265" s="204"/>
      <c r="AJ1265" s="124" t="s">
        <v>1143</v>
      </c>
    </row>
    <row r="1266" spans="1:36" s="124" customFormat="1" ht="14.25" x14ac:dyDescent="0.3">
      <c r="A1266" s="124">
        <v>2017</v>
      </c>
      <c r="B1266" s="124" t="s">
        <v>38</v>
      </c>
      <c r="C1266" s="124" t="s">
        <v>75</v>
      </c>
      <c r="D1266" s="124" t="s">
        <v>76</v>
      </c>
      <c r="E1266" s="124" t="s">
        <v>647</v>
      </c>
      <c r="F1266" s="124" t="s">
        <v>443</v>
      </c>
      <c r="G1266" s="124" t="s">
        <v>443</v>
      </c>
      <c r="H1266" s="124" t="s">
        <v>443</v>
      </c>
      <c r="I1266" s="175" t="s">
        <v>1141</v>
      </c>
      <c r="J1266" s="175" t="s">
        <v>1142</v>
      </c>
      <c r="K1266" s="124" t="s">
        <v>1142</v>
      </c>
      <c r="L1266" s="124" t="s">
        <v>443</v>
      </c>
      <c r="M1266" s="204" t="s">
        <v>160</v>
      </c>
      <c r="N1266" s="183">
        <v>0</v>
      </c>
      <c r="O1266" s="184" t="s">
        <v>1148</v>
      </c>
      <c r="P1266" s="184" t="s">
        <v>47</v>
      </c>
      <c r="Q1266" s="204">
        <v>0</v>
      </c>
      <c r="R1266" s="204">
        <v>0</v>
      </c>
      <c r="S1266" s="204">
        <v>375600</v>
      </c>
      <c r="T1266" s="204">
        <f t="shared" si="304"/>
        <v>0</v>
      </c>
      <c r="U1266" s="204">
        <f t="shared" si="305"/>
        <v>375600</v>
      </c>
      <c r="V1266" s="204">
        <v>313000</v>
      </c>
      <c r="W1266" s="204">
        <f t="shared" si="306"/>
        <v>62600</v>
      </c>
      <c r="X1266" s="204">
        <f t="shared" si="307"/>
        <v>62600</v>
      </c>
      <c r="Y1266" s="204">
        <f t="shared" si="308"/>
        <v>0</v>
      </c>
      <c r="Z1266" s="204">
        <v>375600</v>
      </c>
      <c r="AA1266" s="204">
        <f t="shared" si="317"/>
        <v>-62600</v>
      </c>
      <c r="AB1266" s="208">
        <f t="shared" si="302"/>
        <v>375600</v>
      </c>
      <c r="AC1266" s="209">
        <f t="shared" si="303"/>
        <v>0</v>
      </c>
      <c r="AD1266" s="210">
        <v>313000</v>
      </c>
      <c r="AE1266" s="184">
        <v>0.1</v>
      </c>
      <c r="AF1266" s="205">
        <f t="shared" si="311"/>
        <v>31300</v>
      </c>
      <c r="AG1266" s="204">
        <f t="shared" si="316"/>
        <v>31300</v>
      </c>
      <c r="AH1266" s="204"/>
      <c r="AI1266" s="204"/>
      <c r="AJ1266" s="124" t="s">
        <v>1148</v>
      </c>
    </row>
    <row r="1267" spans="1:36" s="124" customFormat="1" ht="14.25" x14ac:dyDescent="0.3">
      <c r="A1267" s="124">
        <v>2017</v>
      </c>
      <c r="B1267" s="124" t="s">
        <v>199</v>
      </c>
      <c r="C1267" s="124" t="s">
        <v>54</v>
      </c>
      <c r="D1267" s="124" t="s">
        <v>102</v>
      </c>
      <c r="E1267" s="124" t="s">
        <v>103</v>
      </c>
      <c r="F1267" s="124" t="s">
        <v>389</v>
      </c>
      <c r="G1267" s="124" t="s">
        <v>390</v>
      </c>
      <c r="H1267" s="176" t="s">
        <v>391</v>
      </c>
      <c r="I1267" s="175" t="s">
        <v>1141</v>
      </c>
      <c r="J1267" s="175" t="s">
        <v>1142</v>
      </c>
      <c r="K1267" s="124" t="s">
        <v>1142</v>
      </c>
      <c r="L1267" s="124" t="s">
        <v>392</v>
      </c>
      <c r="M1267" s="204" t="s">
        <v>46</v>
      </c>
      <c r="N1267" s="184">
        <v>0</v>
      </c>
      <c r="O1267" s="184" t="s">
        <v>47</v>
      </c>
      <c r="P1267" s="184" t="s">
        <v>47</v>
      </c>
      <c r="Q1267" s="204">
        <v>0</v>
      </c>
      <c r="R1267" s="204">
        <v>0</v>
      </c>
      <c r="S1267" s="204">
        <v>10000</v>
      </c>
      <c r="T1267" s="204">
        <f t="shared" si="304"/>
        <v>0</v>
      </c>
      <c r="U1267" s="204">
        <f t="shared" si="305"/>
        <v>10000</v>
      </c>
      <c r="V1267" s="204">
        <v>9708.7378640776697</v>
      </c>
      <c r="W1267" s="204">
        <f t="shared" si="306"/>
        <v>291.26213592233034</v>
      </c>
      <c r="X1267" s="204">
        <f t="shared" si="307"/>
        <v>291.26213592233034</v>
      </c>
      <c r="Y1267" s="204">
        <f t="shared" si="308"/>
        <v>0</v>
      </c>
      <c r="Z1267" s="204">
        <v>10000</v>
      </c>
      <c r="AA1267" s="204">
        <f t="shared" si="317"/>
        <v>-291.26213592233034</v>
      </c>
      <c r="AB1267" s="208">
        <f t="shared" si="302"/>
        <v>10000</v>
      </c>
      <c r="AC1267" s="209">
        <f t="shared" si="303"/>
        <v>0</v>
      </c>
      <c r="AD1267" s="204">
        <v>9708.7378640776697</v>
      </c>
      <c r="AE1267" s="184">
        <v>0</v>
      </c>
      <c r="AF1267" s="205">
        <f t="shared" si="311"/>
        <v>0</v>
      </c>
      <c r="AG1267" s="204">
        <f t="shared" si="316"/>
        <v>0</v>
      </c>
      <c r="AH1267" s="204"/>
      <c r="AI1267" s="204"/>
      <c r="AJ1267" s="124" t="s">
        <v>47</v>
      </c>
    </row>
    <row r="1268" spans="1:36" s="124" customFormat="1" ht="14.25" x14ac:dyDescent="0.3">
      <c r="A1268" s="124">
        <v>2017</v>
      </c>
      <c r="B1268" s="124" t="s">
        <v>252</v>
      </c>
      <c r="C1268" s="124" t="s">
        <v>75</v>
      </c>
      <c r="D1268" s="124" t="s">
        <v>256</v>
      </c>
      <c r="E1268" s="124" t="s">
        <v>257</v>
      </c>
      <c r="F1268" s="124" t="s">
        <v>1149</v>
      </c>
      <c r="G1268" s="175" t="s">
        <v>1150</v>
      </c>
      <c r="H1268" s="175" t="s">
        <v>1151</v>
      </c>
      <c r="I1268" s="175" t="s">
        <v>1141</v>
      </c>
      <c r="J1268" s="175" t="s">
        <v>1152</v>
      </c>
      <c r="K1268" s="124" t="s">
        <v>1152</v>
      </c>
      <c r="L1268" s="124" t="s">
        <v>1149</v>
      </c>
      <c r="M1268" s="204" t="s">
        <v>160</v>
      </c>
      <c r="N1268" s="184">
        <v>0</v>
      </c>
      <c r="O1268" s="184" t="s">
        <v>1143</v>
      </c>
      <c r="P1268" s="184" t="s">
        <v>47</v>
      </c>
      <c r="Q1268" s="204">
        <v>0</v>
      </c>
      <c r="R1268" s="204">
        <v>0</v>
      </c>
      <c r="S1268" s="204">
        <v>456573</v>
      </c>
      <c r="T1268" s="204">
        <f t="shared" si="304"/>
        <v>0</v>
      </c>
      <c r="U1268" s="204">
        <f t="shared" si="305"/>
        <v>456573</v>
      </c>
      <c r="V1268" s="204">
        <v>456573</v>
      </c>
      <c r="W1268" s="204">
        <f t="shared" si="306"/>
        <v>0</v>
      </c>
      <c r="X1268" s="204">
        <f t="shared" si="307"/>
        <v>0</v>
      </c>
      <c r="Y1268" s="204">
        <f t="shared" si="308"/>
        <v>0</v>
      </c>
      <c r="Z1268" s="204">
        <v>456573</v>
      </c>
      <c r="AA1268" s="204">
        <f t="shared" si="317"/>
        <v>0</v>
      </c>
      <c r="AB1268" s="208">
        <f t="shared" si="302"/>
        <v>456573</v>
      </c>
      <c r="AC1268" s="209">
        <f t="shared" si="303"/>
        <v>0</v>
      </c>
      <c r="AD1268" s="210">
        <v>456573</v>
      </c>
      <c r="AE1268" s="184">
        <v>0</v>
      </c>
      <c r="AF1268" s="205">
        <f t="shared" si="311"/>
        <v>0</v>
      </c>
      <c r="AG1268" s="204">
        <f t="shared" si="316"/>
        <v>0</v>
      </c>
      <c r="AH1268" s="204"/>
      <c r="AI1268" s="204"/>
      <c r="AJ1268" s="124" t="s">
        <v>1143</v>
      </c>
    </row>
    <row r="1269" spans="1:36" s="124" customFormat="1" ht="14.25" x14ac:dyDescent="0.3">
      <c r="A1269" s="124">
        <v>2017</v>
      </c>
      <c r="B1269" s="124" t="s">
        <v>38</v>
      </c>
      <c r="C1269" s="124" t="s">
        <v>75</v>
      </c>
      <c r="D1269" s="124" t="s">
        <v>76</v>
      </c>
      <c r="E1269" s="124" t="s">
        <v>257</v>
      </c>
      <c r="F1269" s="124" t="s">
        <v>230</v>
      </c>
      <c r="G1269" s="124" t="s">
        <v>230</v>
      </c>
      <c r="H1269" s="124" t="s">
        <v>230</v>
      </c>
      <c r="I1269" s="175" t="s">
        <v>1141</v>
      </c>
      <c r="J1269" s="175" t="s">
        <v>1152</v>
      </c>
      <c r="K1269" s="124" t="s">
        <v>1152</v>
      </c>
      <c r="L1269" s="124" t="s">
        <v>230</v>
      </c>
      <c r="M1269" s="204" t="s">
        <v>160</v>
      </c>
      <c r="N1269" s="184">
        <v>0</v>
      </c>
      <c r="O1269" s="184" t="s">
        <v>1143</v>
      </c>
      <c r="P1269" s="184" t="s">
        <v>47</v>
      </c>
      <c r="Q1269" s="204">
        <v>0</v>
      </c>
      <c r="R1269" s="204">
        <v>0</v>
      </c>
      <c r="S1269" s="204">
        <v>50500</v>
      </c>
      <c r="T1269" s="204">
        <f t="shared" si="304"/>
        <v>0</v>
      </c>
      <c r="U1269" s="204">
        <f t="shared" si="305"/>
        <v>50500</v>
      </c>
      <c r="V1269" s="204">
        <v>50500</v>
      </c>
      <c r="W1269" s="204">
        <f t="shared" si="306"/>
        <v>0</v>
      </c>
      <c r="X1269" s="204">
        <f t="shared" si="307"/>
        <v>0</v>
      </c>
      <c r="Y1269" s="204">
        <f t="shared" si="308"/>
        <v>0</v>
      </c>
      <c r="Z1269" s="204">
        <v>50500</v>
      </c>
      <c r="AA1269" s="204">
        <f t="shared" si="317"/>
        <v>0</v>
      </c>
      <c r="AB1269" s="208">
        <f t="shared" si="302"/>
        <v>50500</v>
      </c>
      <c r="AC1269" s="209">
        <f t="shared" si="303"/>
        <v>0</v>
      </c>
      <c r="AD1269" s="210">
        <v>50500</v>
      </c>
      <c r="AE1269" s="184">
        <v>0</v>
      </c>
      <c r="AF1269" s="205">
        <f t="shared" si="311"/>
        <v>0</v>
      </c>
      <c r="AG1269" s="204">
        <f t="shared" si="316"/>
        <v>0</v>
      </c>
      <c r="AH1269" s="204"/>
      <c r="AI1269" s="204"/>
      <c r="AJ1269" s="124" t="s">
        <v>1143</v>
      </c>
    </row>
    <row r="1270" spans="1:36" s="124" customFormat="1" ht="14.25" x14ac:dyDescent="0.3">
      <c r="A1270" s="124">
        <v>2017</v>
      </c>
      <c r="B1270" s="124" t="s">
        <v>199</v>
      </c>
      <c r="C1270" s="124" t="s">
        <v>39</v>
      </c>
      <c r="D1270" s="124" t="s">
        <v>81</v>
      </c>
      <c r="E1270" s="124" t="s">
        <v>82</v>
      </c>
      <c r="F1270" s="124" t="s">
        <v>1153</v>
      </c>
      <c r="G1270" s="124" t="s">
        <v>1154</v>
      </c>
      <c r="H1270" s="124" t="s">
        <v>1155</v>
      </c>
      <c r="I1270" s="175" t="s">
        <v>1141</v>
      </c>
      <c r="J1270" s="175" t="s">
        <v>1152</v>
      </c>
      <c r="K1270" s="124" t="s">
        <v>1152</v>
      </c>
      <c r="L1270" s="124" t="s">
        <v>1153</v>
      </c>
      <c r="M1270" s="204" t="s">
        <v>46</v>
      </c>
      <c r="N1270" s="184">
        <v>0</v>
      </c>
      <c r="O1270" s="184" t="s">
        <v>47</v>
      </c>
      <c r="P1270" s="184" t="s">
        <v>47</v>
      </c>
      <c r="Q1270" s="204">
        <v>0</v>
      </c>
      <c r="R1270" s="204">
        <v>0</v>
      </c>
      <c r="S1270" s="204">
        <v>70000</v>
      </c>
      <c r="T1270" s="204">
        <f t="shared" si="304"/>
        <v>0</v>
      </c>
      <c r="U1270" s="204">
        <f t="shared" si="305"/>
        <v>70000</v>
      </c>
      <c r="V1270" s="204">
        <v>66666.67</v>
      </c>
      <c r="W1270" s="204">
        <f t="shared" si="306"/>
        <v>3333.3300000000017</v>
      </c>
      <c r="X1270" s="204">
        <f t="shared" si="307"/>
        <v>3333.3300000000017</v>
      </c>
      <c r="Y1270" s="204">
        <f t="shared" si="308"/>
        <v>0</v>
      </c>
      <c r="Z1270" s="204">
        <v>70000</v>
      </c>
      <c r="AA1270" s="204">
        <f t="shared" si="317"/>
        <v>-3333.3300000000017</v>
      </c>
      <c r="AB1270" s="208">
        <f t="shared" si="302"/>
        <v>70000</v>
      </c>
      <c r="AC1270" s="209">
        <f t="shared" si="303"/>
        <v>0</v>
      </c>
      <c r="AD1270" s="210">
        <v>66666.67</v>
      </c>
      <c r="AE1270" s="184">
        <v>0</v>
      </c>
      <c r="AF1270" s="205">
        <f t="shared" si="311"/>
        <v>0</v>
      </c>
      <c r="AG1270" s="204">
        <f t="shared" si="316"/>
        <v>0</v>
      </c>
      <c r="AH1270" s="204"/>
      <c r="AI1270" s="204"/>
      <c r="AJ1270" s="124" t="s">
        <v>47</v>
      </c>
    </row>
    <row r="1271" spans="1:36" s="124" customFormat="1" ht="14.25" x14ac:dyDescent="0.3">
      <c r="A1271" s="124">
        <v>2017</v>
      </c>
      <c r="B1271" s="124" t="s">
        <v>38</v>
      </c>
      <c r="C1271" s="124" t="s">
        <v>75</v>
      </c>
      <c r="D1271" s="124" t="s">
        <v>76</v>
      </c>
      <c r="E1271" s="124" t="s">
        <v>225</v>
      </c>
      <c r="F1271" s="124" t="s">
        <v>251</v>
      </c>
      <c r="G1271" s="124" t="s">
        <v>251</v>
      </c>
      <c r="H1271" s="124" t="s">
        <v>251</v>
      </c>
      <c r="I1271" s="175" t="s">
        <v>1141</v>
      </c>
      <c r="J1271" s="175" t="s">
        <v>1152</v>
      </c>
      <c r="K1271" s="124" t="s">
        <v>1152</v>
      </c>
      <c r="L1271" s="124" t="s">
        <v>230</v>
      </c>
      <c r="M1271" s="204" t="s">
        <v>160</v>
      </c>
      <c r="N1271" s="184">
        <v>0</v>
      </c>
      <c r="O1271" s="184" t="s">
        <v>1143</v>
      </c>
      <c r="P1271" s="184" t="s">
        <v>47</v>
      </c>
      <c r="Q1271" s="204">
        <v>0</v>
      </c>
      <c r="R1271" s="204">
        <v>0</v>
      </c>
      <c r="S1271" s="204">
        <v>934000</v>
      </c>
      <c r="T1271" s="204">
        <f t="shared" si="304"/>
        <v>0</v>
      </c>
      <c r="U1271" s="204">
        <f t="shared" si="305"/>
        <v>934000</v>
      </c>
      <c r="V1271" s="204">
        <v>934000</v>
      </c>
      <c r="W1271" s="204">
        <f t="shared" si="306"/>
        <v>0</v>
      </c>
      <c r="X1271" s="204">
        <f t="shared" si="307"/>
        <v>0</v>
      </c>
      <c r="Y1271" s="204">
        <f t="shared" si="308"/>
        <v>0</v>
      </c>
      <c r="Z1271" s="204">
        <v>934000</v>
      </c>
      <c r="AA1271" s="204">
        <f t="shared" si="317"/>
        <v>0</v>
      </c>
      <c r="AB1271" s="208">
        <f t="shared" si="302"/>
        <v>934000</v>
      </c>
      <c r="AC1271" s="209">
        <f t="shared" si="303"/>
        <v>0</v>
      </c>
      <c r="AD1271" s="210">
        <v>934000</v>
      </c>
      <c r="AE1271" s="184">
        <v>0</v>
      </c>
      <c r="AF1271" s="205">
        <f t="shared" si="311"/>
        <v>0</v>
      </c>
      <c r="AG1271" s="204">
        <f t="shared" si="316"/>
        <v>0</v>
      </c>
      <c r="AH1271" s="204"/>
      <c r="AI1271" s="204"/>
      <c r="AJ1271" s="124" t="s">
        <v>1143</v>
      </c>
    </row>
    <row r="1272" spans="1:36" s="124" customFormat="1" ht="14.25" x14ac:dyDescent="0.3">
      <c r="A1272" s="124">
        <v>2017</v>
      </c>
      <c r="B1272" s="124" t="s">
        <v>38</v>
      </c>
      <c r="C1272" s="124" t="s">
        <v>54</v>
      </c>
      <c r="D1272" s="124" t="s">
        <v>102</v>
      </c>
      <c r="E1272" s="124" t="s">
        <v>115</v>
      </c>
      <c r="F1272" s="124" t="s">
        <v>338</v>
      </c>
      <c r="G1272" s="124" t="s">
        <v>338</v>
      </c>
      <c r="H1272" s="124" t="s">
        <v>338</v>
      </c>
      <c r="I1272" s="175" t="s">
        <v>1141</v>
      </c>
      <c r="J1272" s="175" t="s">
        <v>1152</v>
      </c>
      <c r="K1272" s="124" t="s">
        <v>1152</v>
      </c>
      <c r="L1272" s="124" t="s">
        <v>338</v>
      </c>
      <c r="M1272" s="204" t="s">
        <v>46</v>
      </c>
      <c r="N1272" s="184">
        <v>0</v>
      </c>
      <c r="O1272" s="184" t="s">
        <v>47</v>
      </c>
      <c r="P1272" s="184" t="s">
        <v>47</v>
      </c>
      <c r="Q1272" s="204">
        <v>0</v>
      </c>
      <c r="R1272" s="204">
        <v>0</v>
      </c>
      <c r="S1272" s="204">
        <v>18000</v>
      </c>
      <c r="T1272" s="204">
        <f t="shared" si="304"/>
        <v>0</v>
      </c>
      <c r="U1272" s="204">
        <f t="shared" si="305"/>
        <v>18000</v>
      </c>
      <c r="V1272" s="204">
        <v>17142.86</v>
      </c>
      <c r="W1272" s="204">
        <f t="shared" si="306"/>
        <v>857.13999999999942</v>
      </c>
      <c r="X1272" s="204">
        <f t="shared" si="307"/>
        <v>857.13999999999942</v>
      </c>
      <c r="Y1272" s="204">
        <f t="shared" si="308"/>
        <v>0</v>
      </c>
      <c r="Z1272" s="204">
        <v>18000</v>
      </c>
      <c r="AA1272" s="204">
        <f t="shared" si="317"/>
        <v>-857.13999999999942</v>
      </c>
      <c r="AB1272" s="208">
        <f t="shared" si="302"/>
        <v>18000</v>
      </c>
      <c r="AC1272" s="209">
        <f t="shared" si="303"/>
        <v>0</v>
      </c>
      <c r="AD1272" s="204">
        <v>17142.86</v>
      </c>
      <c r="AE1272" s="184">
        <v>0</v>
      </c>
      <c r="AF1272" s="205">
        <f t="shared" si="311"/>
        <v>0</v>
      </c>
      <c r="AG1272" s="204">
        <f t="shared" si="316"/>
        <v>0</v>
      </c>
      <c r="AH1272" s="204"/>
      <c r="AI1272" s="204"/>
      <c r="AJ1272" s="124" t="s">
        <v>47</v>
      </c>
    </row>
    <row r="1273" spans="1:36" s="124" customFormat="1" ht="14.25" x14ac:dyDescent="0.3">
      <c r="A1273" s="124">
        <v>2017</v>
      </c>
      <c r="B1273" s="124" t="s">
        <v>38</v>
      </c>
      <c r="C1273" s="124" t="s">
        <v>54</v>
      </c>
      <c r="D1273" s="124" t="s">
        <v>55</v>
      </c>
      <c r="E1273" s="124" t="s">
        <v>56</v>
      </c>
      <c r="F1273" s="124" t="s">
        <v>57</v>
      </c>
      <c r="G1273" s="124" t="s">
        <v>57</v>
      </c>
      <c r="H1273" s="124" t="s">
        <v>57</v>
      </c>
      <c r="I1273" s="175" t="s">
        <v>1156</v>
      </c>
      <c r="J1273" s="175" t="s">
        <v>1157</v>
      </c>
      <c r="K1273" s="124" t="s">
        <v>1157</v>
      </c>
      <c r="L1273" s="124" t="s">
        <v>57</v>
      </c>
      <c r="M1273" s="124" t="s">
        <v>46</v>
      </c>
      <c r="N1273" s="184">
        <v>0.02</v>
      </c>
      <c r="O1273" s="184" t="s">
        <v>173</v>
      </c>
      <c r="P1273" s="184" t="s">
        <v>51</v>
      </c>
      <c r="Q1273" s="204">
        <v>0</v>
      </c>
      <c r="R1273" s="204">
        <v>0</v>
      </c>
      <c r="S1273" s="204">
        <v>20000</v>
      </c>
      <c r="T1273" s="204">
        <v>400</v>
      </c>
      <c r="U1273" s="204">
        <v>20400</v>
      </c>
      <c r="V1273" s="204">
        <v>20000</v>
      </c>
      <c r="W1273" s="204">
        <v>400</v>
      </c>
      <c r="X1273" s="204">
        <v>392.15686274509801</v>
      </c>
      <c r="Y1273" s="204">
        <v>7.8431372549019898</v>
      </c>
      <c r="Z1273" s="204">
        <v>20000</v>
      </c>
      <c r="AA1273" s="204">
        <v>0</v>
      </c>
      <c r="AB1273" s="208">
        <f t="shared" si="302"/>
        <v>19607.843137254902</v>
      </c>
      <c r="AC1273" s="209">
        <f t="shared" si="303"/>
        <v>392.1568627450979</v>
      </c>
      <c r="AD1273" s="204">
        <v>16540</v>
      </c>
      <c r="AE1273" s="184">
        <v>0</v>
      </c>
      <c r="AF1273" s="205">
        <f t="shared" si="311"/>
        <v>0</v>
      </c>
      <c r="AG1273" s="204">
        <v>-392.15686274509801</v>
      </c>
      <c r="AH1273" s="204"/>
      <c r="AI1273" s="204"/>
      <c r="AJ1273" s="124" t="s">
        <v>173</v>
      </c>
    </row>
    <row r="1274" spans="1:36" s="124" customFormat="1" ht="14.25" x14ac:dyDescent="0.3">
      <c r="A1274" s="124">
        <v>2017</v>
      </c>
      <c r="B1274" s="124" t="s">
        <v>199</v>
      </c>
      <c r="C1274" s="124" t="s">
        <v>59</v>
      </c>
      <c r="D1274" s="124" t="s">
        <v>181</v>
      </c>
      <c r="E1274" s="124" t="s">
        <v>131</v>
      </c>
      <c r="F1274" s="124" t="s">
        <v>1158</v>
      </c>
      <c r="G1274" s="124" t="s">
        <v>1159</v>
      </c>
      <c r="H1274" s="124" t="s">
        <v>1159</v>
      </c>
      <c r="I1274" s="175" t="s">
        <v>1156</v>
      </c>
      <c r="J1274" s="175" t="s">
        <v>1157</v>
      </c>
      <c r="K1274" s="124" t="s">
        <v>1157</v>
      </c>
      <c r="L1274" s="124" t="s">
        <v>1158</v>
      </c>
      <c r="M1274" s="124" t="s">
        <v>46</v>
      </c>
      <c r="N1274" s="184">
        <v>0</v>
      </c>
      <c r="O1274" s="184" t="s">
        <v>1139</v>
      </c>
      <c r="P1274" s="184" t="s">
        <v>47</v>
      </c>
      <c r="Q1274" s="204">
        <v>0</v>
      </c>
      <c r="R1274" s="204">
        <v>0</v>
      </c>
      <c r="S1274" s="204">
        <v>85000</v>
      </c>
      <c r="T1274" s="204">
        <v>0</v>
      </c>
      <c r="U1274" s="204">
        <v>85000</v>
      </c>
      <c r="V1274" s="204">
        <v>85000</v>
      </c>
      <c r="W1274" s="204">
        <v>0</v>
      </c>
      <c r="X1274" s="204">
        <v>0</v>
      </c>
      <c r="Y1274" s="204">
        <v>0</v>
      </c>
      <c r="Z1274" s="204">
        <v>85000</v>
      </c>
      <c r="AA1274" s="204">
        <v>0</v>
      </c>
      <c r="AB1274" s="208">
        <f t="shared" si="302"/>
        <v>85000</v>
      </c>
      <c r="AC1274" s="209">
        <f t="shared" si="303"/>
        <v>0</v>
      </c>
      <c r="AD1274" s="204">
        <v>70295</v>
      </c>
      <c r="AE1274" s="184">
        <v>0</v>
      </c>
      <c r="AF1274" s="205">
        <f t="shared" si="311"/>
        <v>0</v>
      </c>
      <c r="AG1274" s="204">
        <v>0</v>
      </c>
      <c r="AH1274" s="204"/>
      <c r="AI1274" s="204"/>
      <c r="AJ1274" s="124" t="s">
        <v>1139</v>
      </c>
    </row>
    <row r="1275" spans="1:36" s="124" customFormat="1" ht="14.25" x14ac:dyDescent="0.3">
      <c r="A1275" s="124">
        <v>2017</v>
      </c>
      <c r="B1275" s="124" t="s">
        <v>38</v>
      </c>
      <c r="C1275" s="124" t="s">
        <v>54</v>
      </c>
      <c r="D1275" s="124" t="s">
        <v>102</v>
      </c>
      <c r="E1275" s="124" t="s">
        <v>115</v>
      </c>
      <c r="F1275" s="124" t="s">
        <v>379</v>
      </c>
      <c r="G1275" s="124" t="s">
        <v>379</v>
      </c>
      <c r="H1275" s="124" t="s">
        <v>379</v>
      </c>
      <c r="I1275" s="175" t="s">
        <v>1156</v>
      </c>
      <c r="J1275" s="175" t="s">
        <v>1160</v>
      </c>
      <c r="K1275" s="124" t="s">
        <v>1160</v>
      </c>
      <c r="L1275" s="124" t="s">
        <v>379</v>
      </c>
      <c r="M1275" s="124" t="s">
        <v>46</v>
      </c>
      <c r="N1275" s="184">
        <v>0</v>
      </c>
      <c r="O1275" s="184" t="s">
        <v>47</v>
      </c>
      <c r="P1275" s="184" t="s">
        <v>47</v>
      </c>
      <c r="Q1275" s="204">
        <v>0</v>
      </c>
      <c r="R1275" s="204">
        <v>0</v>
      </c>
      <c r="S1275" s="204">
        <v>20000</v>
      </c>
      <c r="T1275" s="204">
        <v>0</v>
      </c>
      <c r="U1275" s="204">
        <v>20000</v>
      </c>
      <c r="V1275" s="204">
        <v>20000</v>
      </c>
      <c r="W1275" s="204">
        <v>0</v>
      </c>
      <c r="X1275" s="204">
        <v>0</v>
      </c>
      <c r="Y1275" s="204">
        <v>0</v>
      </c>
      <c r="Z1275" s="204">
        <v>20000</v>
      </c>
      <c r="AA1275" s="204">
        <v>0</v>
      </c>
      <c r="AB1275" s="208">
        <f t="shared" si="302"/>
        <v>20000</v>
      </c>
      <c r="AC1275" s="209">
        <f t="shared" si="303"/>
        <v>0</v>
      </c>
      <c r="AD1275" s="204">
        <v>16540</v>
      </c>
      <c r="AE1275" s="184">
        <v>0</v>
      </c>
      <c r="AF1275" s="205">
        <f t="shared" si="311"/>
        <v>0</v>
      </c>
      <c r="AG1275" s="204">
        <v>0</v>
      </c>
      <c r="AH1275" s="204"/>
      <c r="AI1275" s="204"/>
      <c r="AJ1275" s="124" t="s">
        <v>47</v>
      </c>
    </row>
    <row r="1276" spans="1:36" s="124" customFormat="1" ht="14.25" x14ac:dyDescent="0.3">
      <c r="A1276" s="175">
        <v>2017</v>
      </c>
      <c r="B1276" s="175" t="s">
        <v>38</v>
      </c>
      <c r="C1276" s="175" t="s">
        <v>75</v>
      </c>
      <c r="D1276" s="175" t="s">
        <v>76</v>
      </c>
      <c r="E1276" s="175" t="s">
        <v>150</v>
      </c>
      <c r="F1276" s="175" t="s">
        <v>151</v>
      </c>
      <c r="G1276" s="175" t="s">
        <v>151</v>
      </c>
      <c r="H1276" s="175" t="s">
        <v>151</v>
      </c>
      <c r="I1276" s="175" t="s">
        <v>1156</v>
      </c>
      <c r="J1276" s="175" t="s">
        <v>1160</v>
      </c>
      <c r="K1276" s="124" t="s">
        <v>1160</v>
      </c>
      <c r="L1276" s="124" t="s">
        <v>151</v>
      </c>
      <c r="M1276" s="124" t="s">
        <v>46</v>
      </c>
      <c r="N1276" s="184">
        <v>0.1</v>
      </c>
      <c r="O1276" s="184" t="s">
        <v>69</v>
      </c>
      <c r="P1276" s="184" t="s">
        <v>51</v>
      </c>
      <c r="Q1276" s="204">
        <v>0</v>
      </c>
      <c r="R1276" s="204">
        <v>0</v>
      </c>
      <c r="S1276" s="204">
        <v>420000</v>
      </c>
      <c r="T1276" s="204">
        <v>42000</v>
      </c>
      <c r="U1276" s="204">
        <v>462000</v>
      </c>
      <c r="V1276" s="204">
        <v>420000</v>
      </c>
      <c r="W1276" s="204">
        <v>42000</v>
      </c>
      <c r="X1276" s="204">
        <v>38181.818181818198</v>
      </c>
      <c r="Y1276" s="204">
        <v>3818.1818181818198</v>
      </c>
      <c r="Z1276" s="204">
        <v>420000</v>
      </c>
      <c r="AA1276" s="204">
        <v>0</v>
      </c>
      <c r="AB1276" s="208">
        <f>Z1276</f>
        <v>420000</v>
      </c>
      <c r="AC1276" s="209">
        <f t="shared" si="303"/>
        <v>0</v>
      </c>
      <c r="AD1276" s="204">
        <v>347340</v>
      </c>
      <c r="AE1276" s="184">
        <v>0</v>
      </c>
      <c r="AF1276" s="205">
        <f t="shared" si="311"/>
        <v>0</v>
      </c>
      <c r="AG1276" s="204">
        <v>-38181.818181818198</v>
      </c>
      <c r="AH1276" s="204"/>
      <c r="AI1276" s="204"/>
      <c r="AJ1276" s="124" t="s">
        <v>69</v>
      </c>
    </row>
    <row r="1277" spans="1:36" s="124" customFormat="1" ht="14.25" x14ac:dyDescent="0.3">
      <c r="A1277" s="124">
        <v>2017</v>
      </c>
      <c r="B1277" s="124" t="s">
        <v>38</v>
      </c>
      <c r="C1277" s="124" t="s">
        <v>54</v>
      </c>
      <c r="D1277" s="124" t="s">
        <v>55</v>
      </c>
      <c r="E1277" s="124" t="s">
        <v>64</v>
      </c>
      <c r="F1277" s="124" t="s">
        <v>534</v>
      </c>
      <c r="G1277" s="124" t="s">
        <v>534</v>
      </c>
      <c r="H1277" s="124" t="s">
        <v>534</v>
      </c>
      <c r="I1277" s="175" t="s">
        <v>1156</v>
      </c>
      <c r="J1277" s="175" t="s">
        <v>1161</v>
      </c>
      <c r="K1277" s="124" t="s">
        <v>1161</v>
      </c>
      <c r="L1277" s="124" t="s">
        <v>534</v>
      </c>
      <c r="M1277" s="204" t="s">
        <v>46</v>
      </c>
      <c r="N1277" s="184">
        <v>0</v>
      </c>
      <c r="O1277" s="184" t="s">
        <v>47</v>
      </c>
      <c r="P1277" s="184" t="s">
        <v>47</v>
      </c>
      <c r="Q1277" s="204">
        <v>0</v>
      </c>
      <c r="R1277" s="204">
        <v>0</v>
      </c>
      <c r="S1277" s="204">
        <v>10000</v>
      </c>
      <c r="T1277" s="204">
        <v>0</v>
      </c>
      <c r="U1277" s="204">
        <v>10000</v>
      </c>
      <c r="V1277" s="204">
        <v>10000</v>
      </c>
      <c r="W1277" s="204">
        <v>0</v>
      </c>
      <c r="X1277" s="204">
        <v>0</v>
      </c>
      <c r="Y1277" s="204">
        <v>0</v>
      </c>
      <c r="Z1277" s="204">
        <v>10000</v>
      </c>
      <c r="AA1277" s="204">
        <v>0</v>
      </c>
      <c r="AB1277" s="208">
        <f t="shared" si="302"/>
        <v>10000</v>
      </c>
      <c r="AC1277" s="209">
        <f t="shared" si="303"/>
        <v>0</v>
      </c>
      <c r="AD1277" s="204">
        <v>8270</v>
      </c>
      <c r="AE1277" s="184">
        <v>0</v>
      </c>
      <c r="AF1277" s="205">
        <f t="shared" si="311"/>
        <v>0</v>
      </c>
      <c r="AG1277" s="204">
        <v>1000</v>
      </c>
      <c r="AH1277" s="204"/>
      <c r="AI1277" s="204"/>
      <c r="AJ1277" s="124" t="s">
        <v>47</v>
      </c>
    </row>
    <row r="1278" spans="1:36" s="124" customFormat="1" ht="14.25" x14ac:dyDescent="0.3">
      <c r="A1278" s="124">
        <v>2017</v>
      </c>
      <c r="B1278" s="124" t="s">
        <v>199</v>
      </c>
      <c r="C1278" s="124" t="s">
        <v>59</v>
      </c>
      <c r="D1278" s="124" t="s">
        <v>106</v>
      </c>
      <c r="E1278" s="124" t="s">
        <v>239</v>
      </c>
      <c r="F1278" s="124" t="s">
        <v>476</v>
      </c>
      <c r="G1278" s="124" t="s">
        <v>1162</v>
      </c>
      <c r="H1278" s="124" t="s">
        <v>1162</v>
      </c>
      <c r="I1278" s="175" t="s">
        <v>1156</v>
      </c>
      <c r="J1278" s="175" t="s">
        <v>1161</v>
      </c>
      <c r="K1278" s="124" t="s">
        <v>1161</v>
      </c>
      <c r="L1278" s="124" t="s">
        <v>476</v>
      </c>
      <c r="M1278" s="204" t="s">
        <v>160</v>
      </c>
      <c r="N1278" s="184">
        <v>0.02</v>
      </c>
      <c r="O1278" s="184" t="s">
        <v>1091</v>
      </c>
      <c r="P1278" s="184" t="s">
        <v>495</v>
      </c>
      <c r="Q1278" s="204">
        <v>0</v>
      </c>
      <c r="R1278" s="204">
        <v>0</v>
      </c>
      <c r="S1278" s="204">
        <v>3142316.63</v>
      </c>
      <c r="T1278" s="204">
        <v>62846.332600000002</v>
      </c>
      <c r="U1278" s="204">
        <v>3205162.9626000002</v>
      </c>
      <c r="V1278" s="204">
        <v>3200437.5</v>
      </c>
      <c r="W1278" s="204">
        <v>4725.4625999997397</v>
      </c>
      <c r="X1278" s="204">
        <v>4632.8064705879797</v>
      </c>
      <c r="Y1278" s="204">
        <v>92.656129411760006</v>
      </c>
      <c r="Z1278" s="204">
        <v>3200437.5</v>
      </c>
      <c r="AA1278" s="204">
        <v>0</v>
      </c>
      <c r="AB1278" s="208">
        <f t="shared" si="302"/>
        <v>3200437.5</v>
      </c>
      <c r="AC1278" s="209">
        <f t="shared" si="303"/>
        <v>64008.75</v>
      </c>
      <c r="AD1278" s="204">
        <v>2646761.8125</v>
      </c>
      <c r="AE1278" s="184">
        <v>0</v>
      </c>
      <c r="AF1278" s="205">
        <f t="shared" si="311"/>
        <v>0</v>
      </c>
      <c r="AG1278" s="204">
        <v>97268.198529411602</v>
      </c>
      <c r="AH1278" s="204"/>
      <c r="AI1278" s="204"/>
      <c r="AJ1278" s="124" t="s">
        <v>1091</v>
      </c>
    </row>
    <row r="1279" spans="1:36" s="124" customFormat="1" ht="14.25" x14ac:dyDescent="0.3">
      <c r="A1279" s="124">
        <v>2017</v>
      </c>
      <c r="B1279" s="124" t="s">
        <v>199</v>
      </c>
      <c r="C1279" s="124" t="s">
        <v>59</v>
      </c>
      <c r="D1279" s="124" t="s">
        <v>106</v>
      </c>
      <c r="E1279" s="124" t="s">
        <v>239</v>
      </c>
      <c r="F1279" s="124" t="s">
        <v>476</v>
      </c>
      <c r="G1279" s="124" t="s">
        <v>1163</v>
      </c>
      <c r="H1279" s="124" t="s">
        <v>1163</v>
      </c>
      <c r="I1279" s="175" t="s">
        <v>1156</v>
      </c>
      <c r="J1279" s="175" t="s">
        <v>1161</v>
      </c>
      <c r="K1279" s="124" t="s">
        <v>1161</v>
      </c>
      <c r="L1279" s="124" t="s">
        <v>476</v>
      </c>
      <c r="M1279" s="204" t="s">
        <v>185</v>
      </c>
      <c r="N1279" s="184">
        <v>0.02</v>
      </c>
      <c r="O1279" s="184" t="s">
        <v>1091</v>
      </c>
      <c r="P1279" s="184" t="s">
        <v>495</v>
      </c>
      <c r="Q1279" s="204">
        <v>0</v>
      </c>
      <c r="R1279" s="204">
        <v>0</v>
      </c>
      <c r="S1279" s="204">
        <v>753384.63</v>
      </c>
      <c r="T1279" s="204">
        <v>15067.6926</v>
      </c>
      <c r="U1279" s="204">
        <v>768452.32259999996</v>
      </c>
      <c r="V1279" s="204">
        <v>768759.84</v>
      </c>
      <c r="W1279" s="204">
        <v>-307.51740000012802</v>
      </c>
      <c r="X1279" s="204">
        <v>-301.48764705894899</v>
      </c>
      <c r="Y1279" s="204">
        <v>-6.0297529411789696</v>
      </c>
      <c r="Z1279" s="204">
        <v>768759.84</v>
      </c>
      <c r="AA1279" s="204">
        <v>0</v>
      </c>
      <c r="AB1279" s="208">
        <f t="shared" si="302"/>
        <v>768759.84</v>
      </c>
      <c r="AC1279" s="209">
        <f t="shared" si="303"/>
        <v>15375.1968</v>
      </c>
      <c r="AD1279" s="204">
        <v>635764.38768000004</v>
      </c>
      <c r="AE1279" s="184">
        <v>0</v>
      </c>
      <c r="AF1279" s="205">
        <f t="shared" si="311"/>
        <v>0</v>
      </c>
      <c r="AG1279" s="204">
        <v>61802.261647058796</v>
      </c>
      <c r="AH1279" s="204"/>
      <c r="AI1279" s="204"/>
      <c r="AJ1279" s="124" t="s">
        <v>1091</v>
      </c>
    </row>
    <row r="1280" spans="1:36" s="124" customFormat="1" ht="14.25" x14ac:dyDescent="0.3">
      <c r="A1280" s="124">
        <v>2017</v>
      </c>
      <c r="B1280" s="124" t="s">
        <v>199</v>
      </c>
      <c r="C1280" s="124" t="s">
        <v>59</v>
      </c>
      <c r="D1280" s="124" t="s">
        <v>106</v>
      </c>
      <c r="E1280" s="124" t="s">
        <v>239</v>
      </c>
      <c r="F1280" s="124" t="s">
        <v>476</v>
      </c>
      <c r="G1280" s="124" t="s">
        <v>1163</v>
      </c>
      <c r="H1280" s="124" t="s">
        <v>1163</v>
      </c>
      <c r="I1280" s="175" t="s">
        <v>1156</v>
      </c>
      <c r="J1280" s="175" t="s">
        <v>1161</v>
      </c>
      <c r="K1280" s="124" t="s">
        <v>1161</v>
      </c>
      <c r="L1280" s="124" t="s">
        <v>476</v>
      </c>
      <c r="M1280" s="204" t="s">
        <v>160</v>
      </c>
      <c r="N1280" s="184">
        <v>0.02</v>
      </c>
      <c r="O1280" s="184" t="s">
        <v>1091</v>
      </c>
      <c r="P1280" s="184" t="s">
        <v>495</v>
      </c>
      <c r="Q1280" s="204">
        <v>0</v>
      </c>
      <c r="R1280" s="204">
        <v>0</v>
      </c>
      <c r="S1280" s="204">
        <v>2227.9299999999998</v>
      </c>
      <c r="T1280" s="204">
        <v>44.558599999999998</v>
      </c>
      <c r="U1280" s="204">
        <v>2272.4886000000001</v>
      </c>
      <c r="V1280" s="204">
        <v>2273.4</v>
      </c>
      <c r="W1280" s="204">
        <v>-0.91140000000041299</v>
      </c>
      <c r="X1280" s="204">
        <v>-0.89352941176511003</v>
      </c>
      <c r="Y1280" s="204">
        <v>-1.7870588235302201E-2</v>
      </c>
      <c r="Z1280" s="204">
        <v>2273.4</v>
      </c>
      <c r="AA1280" s="204">
        <v>0</v>
      </c>
      <c r="AB1280" s="208">
        <f t="shared" ref="AB1280:AB1338" si="318">IF(P1280="返货",Z1280/(1+N1280),IF(P1280="返现",Z1280,IF(P1280="折扣",Z1280*N1280,IF(P1280="无",Z1280))))</f>
        <v>2273.4</v>
      </c>
      <c r="AC1280" s="209">
        <f t="shared" ref="AC1280:AC1343" si="319">IF(P1280="返现",Z1280*N1280,Z1280-AB1280)</f>
        <v>45.468000000000004</v>
      </c>
      <c r="AD1280" s="204">
        <v>1880.1017999999999</v>
      </c>
      <c r="AE1280" s="184">
        <v>0</v>
      </c>
      <c r="AF1280" s="205">
        <f t="shared" si="311"/>
        <v>0</v>
      </c>
      <c r="AG1280" s="204">
        <v>69.093529411764806</v>
      </c>
      <c r="AH1280" s="204"/>
      <c r="AI1280" s="204"/>
      <c r="AJ1280" s="124" t="s">
        <v>1091</v>
      </c>
    </row>
    <row r="1281" spans="1:36" s="124" customFormat="1" ht="14.25" x14ac:dyDescent="0.3">
      <c r="A1281" s="124">
        <v>2017</v>
      </c>
      <c r="B1281" s="124" t="s">
        <v>199</v>
      </c>
      <c r="C1281" s="124" t="s">
        <v>59</v>
      </c>
      <c r="D1281" s="124" t="s">
        <v>106</v>
      </c>
      <c r="E1281" s="124" t="s">
        <v>239</v>
      </c>
      <c r="F1281" s="124" t="s">
        <v>476</v>
      </c>
      <c r="G1281" s="124" t="s">
        <v>1163</v>
      </c>
      <c r="H1281" s="124" t="s">
        <v>1163</v>
      </c>
      <c r="I1281" s="175" t="s">
        <v>1156</v>
      </c>
      <c r="J1281" s="175" t="s">
        <v>1161</v>
      </c>
      <c r="K1281" s="124" t="s">
        <v>1161</v>
      </c>
      <c r="L1281" s="124" t="s">
        <v>476</v>
      </c>
      <c r="M1281" s="204" t="s">
        <v>183</v>
      </c>
      <c r="N1281" s="184">
        <v>0.02</v>
      </c>
      <c r="O1281" s="184" t="s">
        <v>1091</v>
      </c>
      <c r="P1281" s="184" t="s">
        <v>495</v>
      </c>
      <c r="Q1281" s="204">
        <v>0</v>
      </c>
      <c r="R1281" s="204">
        <v>0</v>
      </c>
      <c r="S1281" s="204">
        <v>1564080</v>
      </c>
      <c r="T1281" s="204">
        <v>31281.599999999999</v>
      </c>
      <c r="U1281" s="204">
        <v>1595361.6</v>
      </c>
      <c r="V1281" s="204">
        <v>1596000</v>
      </c>
      <c r="W1281" s="204">
        <v>-638.39999999990698</v>
      </c>
      <c r="X1281" s="204">
        <v>-625.88235294108495</v>
      </c>
      <c r="Y1281" s="204">
        <v>-12.5176470588217</v>
      </c>
      <c r="Z1281" s="204">
        <v>1596000</v>
      </c>
      <c r="AA1281" s="204">
        <v>0</v>
      </c>
      <c r="AB1281" s="208">
        <f t="shared" si="318"/>
        <v>1596000</v>
      </c>
      <c r="AC1281" s="209">
        <f t="shared" si="319"/>
        <v>31920</v>
      </c>
      <c r="AD1281" s="204">
        <v>1319892</v>
      </c>
      <c r="AE1281" s="184">
        <v>0</v>
      </c>
      <c r="AF1281" s="205">
        <f t="shared" si="311"/>
        <v>0</v>
      </c>
      <c r="AG1281" s="204">
        <v>208105.882352941</v>
      </c>
      <c r="AH1281" s="204"/>
      <c r="AI1281" s="204"/>
      <c r="AJ1281" s="124" t="s">
        <v>1091</v>
      </c>
    </row>
    <row r="1282" spans="1:36" s="124" customFormat="1" ht="14.25" x14ac:dyDescent="0.3">
      <c r="A1282" s="124">
        <v>2017</v>
      </c>
      <c r="B1282" s="124" t="s">
        <v>38</v>
      </c>
      <c r="C1282" s="124" t="s">
        <v>137</v>
      </c>
      <c r="D1282" s="124" t="s">
        <v>270</v>
      </c>
      <c r="E1282" s="124" t="s">
        <v>270</v>
      </c>
      <c r="F1282" s="124" t="s">
        <v>1160</v>
      </c>
      <c r="G1282" s="124" t="s">
        <v>1164</v>
      </c>
      <c r="H1282" s="124" t="s">
        <v>1164</v>
      </c>
      <c r="I1282" s="175" t="s">
        <v>1156</v>
      </c>
      <c r="J1282" s="175" t="s">
        <v>1161</v>
      </c>
      <c r="K1282" s="124" t="s">
        <v>1161</v>
      </c>
      <c r="L1282" s="124" t="s">
        <v>1160</v>
      </c>
      <c r="M1282" s="204" t="s">
        <v>160</v>
      </c>
      <c r="N1282" s="184">
        <v>0.05</v>
      </c>
      <c r="O1282" s="184" t="s">
        <v>63</v>
      </c>
      <c r="P1282" s="184" t="s">
        <v>51</v>
      </c>
      <c r="Q1282" s="204">
        <v>0</v>
      </c>
      <c r="R1282" s="204">
        <v>0</v>
      </c>
      <c r="S1282" s="204">
        <v>1673360</v>
      </c>
      <c r="T1282" s="204">
        <v>83668</v>
      </c>
      <c r="U1282" s="204">
        <v>1757028</v>
      </c>
      <c r="V1282" s="204">
        <v>1673360</v>
      </c>
      <c r="W1282" s="204">
        <v>83668</v>
      </c>
      <c r="X1282" s="204">
        <v>79683.809523809497</v>
      </c>
      <c r="Y1282" s="204">
        <v>3984.1904761904698</v>
      </c>
      <c r="Z1282" s="204">
        <v>1673360</v>
      </c>
      <c r="AA1282" s="204">
        <v>0</v>
      </c>
      <c r="AB1282" s="208">
        <f t="shared" si="318"/>
        <v>1593676.1904761903</v>
      </c>
      <c r="AC1282" s="209">
        <f t="shared" si="319"/>
        <v>79683.809523809701</v>
      </c>
      <c r="AD1282" s="204">
        <v>1383868.72</v>
      </c>
      <c r="AE1282" s="184">
        <v>0</v>
      </c>
      <c r="AF1282" s="205">
        <f t="shared" si="311"/>
        <v>0</v>
      </c>
      <c r="AG1282" s="204">
        <v>3984.1904761903002</v>
      </c>
      <c r="AH1282" s="204"/>
      <c r="AI1282" s="204"/>
      <c r="AJ1282" s="124" t="s">
        <v>63</v>
      </c>
    </row>
    <row r="1283" spans="1:36" s="124" customFormat="1" ht="14.25" x14ac:dyDescent="0.3">
      <c r="A1283" s="175">
        <v>2017</v>
      </c>
      <c r="B1283" s="175" t="s">
        <v>38</v>
      </c>
      <c r="C1283" s="175" t="s">
        <v>110</v>
      </c>
      <c r="D1283" s="175" t="s">
        <v>111</v>
      </c>
      <c r="E1283" s="175" t="s">
        <v>281</v>
      </c>
      <c r="F1283" s="175" t="s">
        <v>895</v>
      </c>
      <c r="G1283" s="175" t="s">
        <v>895</v>
      </c>
      <c r="H1283" s="175" t="s">
        <v>895</v>
      </c>
      <c r="I1283" s="175" t="s">
        <v>1156</v>
      </c>
      <c r="J1283" s="175" t="s">
        <v>1161</v>
      </c>
      <c r="K1283" s="175" t="s">
        <v>1161</v>
      </c>
      <c r="L1283" s="175" t="s">
        <v>895</v>
      </c>
      <c r="M1283" s="192" t="s">
        <v>46</v>
      </c>
      <c r="N1283" s="184">
        <v>0.03</v>
      </c>
      <c r="O1283" s="184" t="s">
        <v>189</v>
      </c>
      <c r="P1283" s="184" t="s">
        <v>51</v>
      </c>
      <c r="Q1283" s="204">
        <v>0</v>
      </c>
      <c r="R1283" s="204">
        <v>0</v>
      </c>
      <c r="S1283" s="204">
        <v>48545</v>
      </c>
      <c r="T1283" s="204">
        <v>1456.35</v>
      </c>
      <c r="U1283" s="204">
        <v>50001.35</v>
      </c>
      <c r="V1283" s="215">
        <v>50000</v>
      </c>
      <c r="W1283" s="204">
        <v>1.3499999999985399</v>
      </c>
      <c r="X1283" s="204">
        <v>1.31067961164907</v>
      </c>
      <c r="Y1283" s="204">
        <v>3.9320388349472199E-2</v>
      </c>
      <c r="Z1283" s="204">
        <v>50000</v>
      </c>
      <c r="AA1283" s="204">
        <v>0</v>
      </c>
      <c r="AB1283" s="208">
        <v>48545</v>
      </c>
      <c r="AC1283" s="209">
        <f t="shared" si="319"/>
        <v>1455</v>
      </c>
      <c r="AD1283" s="204">
        <v>41350</v>
      </c>
      <c r="AE1283" s="184">
        <v>0</v>
      </c>
      <c r="AF1283" s="205">
        <f t="shared" si="311"/>
        <v>0</v>
      </c>
      <c r="AG1283" s="204">
        <v>3543.6893203883401</v>
      </c>
      <c r="AH1283" s="204"/>
      <c r="AI1283" s="204"/>
      <c r="AJ1283" s="124" t="s">
        <v>189</v>
      </c>
    </row>
    <row r="1284" spans="1:36" s="124" customFormat="1" ht="14.25" x14ac:dyDescent="0.3">
      <c r="A1284" s="124">
        <v>2017</v>
      </c>
      <c r="B1284" s="124" t="s">
        <v>38</v>
      </c>
      <c r="C1284" s="124" t="s">
        <v>110</v>
      </c>
      <c r="D1284" s="124" t="s">
        <v>280</v>
      </c>
      <c r="E1284" s="124" t="s">
        <v>253</v>
      </c>
      <c r="F1284" s="124" t="s">
        <v>283</v>
      </c>
      <c r="G1284" s="124" t="s">
        <v>283</v>
      </c>
      <c r="H1284" s="124" t="s">
        <v>283</v>
      </c>
      <c r="I1284" s="175" t="s">
        <v>1156</v>
      </c>
      <c r="J1284" s="175" t="s">
        <v>1161</v>
      </c>
      <c r="K1284" s="124" t="s">
        <v>1161</v>
      </c>
      <c r="L1284" s="124" t="s">
        <v>283</v>
      </c>
      <c r="M1284" s="204" t="s">
        <v>185</v>
      </c>
      <c r="N1284" s="184">
        <v>0.02</v>
      </c>
      <c r="O1284" s="184" t="s">
        <v>173</v>
      </c>
      <c r="P1284" s="184" t="s">
        <v>51</v>
      </c>
      <c r="Q1284" s="204">
        <v>0</v>
      </c>
      <c r="R1284" s="204">
        <v>0</v>
      </c>
      <c r="S1284" s="204">
        <v>46757</v>
      </c>
      <c r="T1284" s="204">
        <v>935.14</v>
      </c>
      <c r="U1284" s="204">
        <v>47692.14</v>
      </c>
      <c r="V1284" s="204">
        <v>46757</v>
      </c>
      <c r="W1284" s="204">
        <v>935.13999999999896</v>
      </c>
      <c r="X1284" s="204">
        <v>916.80392156862695</v>
      </c>
      <c r="Y1284" s="204">
        <v>18.336078431372599</v>
      </c>
      <c r="Z1284" s="204">
        <v>46757</v>
      </c>
      <c r="AA1284" s="204">
        <v>0</v>
      </c>
      <c r="AB1284" s="208">
        <f t="shared" si="318"/>
        <v>45840.196078431371</v>
      </c>
      <c r="AC1284" s="209">
        <f t="shared" si="319"/>
        <v>916.80392156862945</v>
      </c>
      <c r="AD1284" s="204">
        <v>38668.038999999997</v>
      </c>
      <c r="AE1284" s="184">
        <v>0</v>
      </c>
      <c r="AF1284" s="205">
        <f t="shared" si="311"/>
        <v>0</v>
      </c>
      <c r="AG1284" s="204">
        <v>3758.8960784313699</v>
      </c>
      <c r="AH1284" s="204"/>
      <c r="AI1284" s="204"/>
      <c r="AJ1284" s="124" t="s">
        <v>173</v>
      </c>
    </row>
    <row r="1285" spans="1:36" s="124" customFormat="1" ht="14.25" x14ac:dyDescent="0.3">
      <c r="A1285" s="124">
        <v>2017</v>
      </c>
      <c r="B1285" s="124" t="s">
        <v>38</v>
      </c>
      <c r="C1285" s="124" t="s">
        <v>110</v>
      </c>
      <c r="D1285" s="124" t="s">
        <v>280</v>
      </c>
      <c r="E1285" s="124" t="s">
        <v>253</v>
      </c>
      <c r="F1285" s="124" t="s">
        <v>283</v>
      </c>
      <c r="G1285" s="124" t="s">
        <v>283</v>
      </c>
      <c r="H1285" s="124" t="s">
        <v>283</v>
      </c>
      <c r="I1285" s="175" t="s">
        <v>1156</v>
      </c>
      <c r="J1285" s="175" t="s">
        <v>1161</v>
      </c>
      <c r="K1285" s="124" t="s">
        <v>1161</v>
      </c>
      <c r="L1285" s="124" t="s">
        <v>283</v>
      </c>
      <c r="M1285" s="204" t="s">
        <v>160</v>
      </c>
      <c r="N1285" s="184">
        <v>0.02</v>
      </c>
      <c r="O1285" s="184" t="s">
        <v>173</v>
      </c>
      <c r="P1285" s="184" t="s">
        <v>51</v>
      </c>
      <c r="Q1285" s="204">
        <v>0</v>
      </c>
      <c r="R1285" s="204">
        <v>0</v>
      </c>
      <c r="S1285" s="204">
        <v>1797112.5</v>
      </c>
      <c r="T1285" s="204">
        <v>35942.25</v>
      </c>
      <c r="U1285" s="204">
        <v>1833054.75</v>
      </c>
      <c r="V1285" s="204">
        <v>1797114.5</v>
      </c>
      <c r="W1285" s="204">
        <v>35940.25</v>
      </c>
      <c r="X1285" s="204">
        <v>35235.539215686302</v>
      </c>
      <c r="Y1285" s="204">
        <v>704.710784313727</v>
      </c>
      <c r="Z1285" s="204">
        <v>1797114.5</v>
      </c>
      <c r="AA1285" s="204">
        <v>0</v>
      </c>
      <c r="AB1285" s="208">
        <f t="shared" si="318"/>
        <v>1761876.9607843137</v>
      </c>
      <c r="AC1285" s="209">
        <f t="shared" si="319"/>
        <v>35237.539215686265</v>
      </c>
      <c r="AD1285" s="204">
        <v>1486213.6915</v>
      </c>
      <c r="AE1285" s="184">
        <v>0</v>
      </c>
      <c r="AF1285" s="205">
        <f t="shared" si="311"/>
        <v>0</v>
      </c>
      <c r="AG1285" s="204">
        <v>54618.185784313697</v>
      </c>
      <c r="AH1285" s="204"/>
      <c r="AI1285" s="204"/>
      <c r="AJ1285" s="124" t="s">
        <v>173</v>
      </c>
    </row>
    <row r="1286" spans="1:36" s="124" customFormat="1" ht="14.25" x14ac:dyDescent="0.3">
      <c r="A1286" s="124">
        <v>2017</v>
      </c>
      <c r="B1286" s="124" t="s">
        <v>252</v>
      </c>
      <c r="C1286" s="124" t="s">
        <v>54</v>
      </c>
      <c r="D1286" s="124" t="s">
        <v>55</v>
      </c>
      <c r="E1286" s="124" t="s">
        <v>368</v>
      </c>
      <c r="F1286" s="124" t="s">
        <v>1165</v>
      </c>
      <c r="G1286" s="124" t="s">
        <v>1166</v>
      </c>
      <c r="H1286" s="124" t="s">
        <v>1166</v>
      </c>
      <c r="I1286" s="175" t="s">
        <v>1156</v>
      </c>
      <c r="J1286" s="175" t="s">
        <v>1161</v>
      </c>
      <c r="K1286" s="124" t="s">
        <v>1161</v>
      </c>
      <c r="L1286" s="124" t="s">
        <v>1165</v>
      </c>
      <c r="M1286" s="204" t="s">
        <v>46</v>
      </c>
      <c r="N1286" s="184">
        <v>0</v>
      </c>
      <c r="O1286" s="184" t="s">
        <v>47</v>
      </c>
      <c r="P1286" s="184" t="s">
        <v>47</v>
      </c>
      <c r="Q1286" s="204">
        <v>0</v>
      </c>
      <c r="R1286" s="204">
        <v>0</v>
      </c>
      <c r="S1286" s="204">
        <v>5000</v>
      </c>
      <c r="T1286" s="204">
        <v>0</v>
      </c>
      <c r="U1286" s="204">
        <v>5000</v>
      </c>
      <c r="V1286" s="204">
        <v>5000</v>
      </c>
      <c r="W1286" s="204">
        <v>0</v>
      </c>
      <c r="X1286" s="204">
        <v>0</v>
      </c>
      <c r="Y1286" s="204">
        <v>0</v>
      </c>
      <c r="Z1286" s="204">
        <v>5000</v>
      </c>
      <c r="AA1286" s="204">
        <v>0</v>
      </c>
      <c r="AB1286" s="208">
        <f t="shared" si="318"/>
        <v>5000</v>
      </c>
      <c r="AC1286" s="209">
        <f t="shared" si="319"/>
        <v>0</v>
      </c>
      <c r="AD1286" s="204">
        <v>4135</v>
      </c>
      <c r="AE1286" s="184">
        <v>0</v>
      </c>
      <c r="AF1286" s="205">
        <f t="shared" si="311"/>
        <v>0</v>
      </c>
      <c r="AG1286" s="204">
        <v>500</v>
      </c>
      <c r="AH1286" s="204"/>
      <c r="AI1286" s="204"/>
      <c r="AJ1286" s="124" t="s">
        <v>47</v>
      </c>
    </row>
    <row r="1287" spans="1:36" s="124" customFormat="1" ht="14.25" x14ac:dyDescent="0.3">
      <c r="A1287" s="124">
        <v>2017</v>
      </c>
      <c r="B1287" s="124" t="s">
        <v>38</v>
      </c>
      <c r="C1287" s="124" t="s">
        <v>54</v>
      </c>
      <c r="D1287" s="124" t="s">
        <v>55</v>
      </c>
      <c r="E1287" s="124" t="s">
        <v>368</v>
      </c>
      <c r="F1287" s="124" t="s">
        <v>489</v>
      </c>
      <c r="G1287" s="124" t="s">
        <v>489</v>
      </c>
      <c r="H1287" s="124" t="s">
        <v>489</v>
      </c>
      <c r="I1287" s="175" t="s">
        <v>1156</v>
      </c>
      <c r="J1287" s="175" t="s">
        <v>1161</v>
      </c>
      <c r="K1287" s="124" t="s">
        <v>1161</v>
      </c>
      <c r="L1287" s="124" t="s">
        <v>489</v>
      </c>
      <c r="M1287" s="204" t="s">
        <v>46</v>
      </c>
      <c r="N1287" s="184">
        <v>0.1</v>
      </c>
      <c r="O1287" s="184" t="s">
        <v>69</v>
      </c>
      <c r="P1287" s="184" t="s">
        <v>51</v>
      </c>
      <c r="Q1287" s="204">
        <v>0</v>
      </c>
      <c r="R1287" s="204">
        <v>0</v>
      </c>
      <c r="S1287" s="204">
        <v>40000</v>
      </c>
      <c r="T1287" s="204">
        <v>4000</v>
      </c>
      <c r="U1287" s="204">
        <v>44000</v>
      </c>
      <c r="V1287" s="215">
        <v>40000</v>
      </c>
      <c r="W1287" s="204">
        <v>4000</v>
      </c>
      <c r="X1287" s="204">
        <v>3636.3636363636401</v>
      </c>
      <c r="Y1287" s="204">
        <v>363.63636363636402</v>
      </c>
      <c r="Z1287" s="204">
        <v>40000</v>
      </c>
      <c r="AA1287" s="204">
        <v>0</v>
      </c>
      <c r="AB1287" s="208">
        <f t="shared" si="318"/>
        <v>36363.63636363636</v>
      </c>
      <c r="AC1287" s="209">
        <f t="shared" si="319"/>
        <v>3636.3636363636397</v>
      </c>
      <c r="AD1287" s="204">
        <v>33080</v>
      </c>
      <c r="AE1287" s="184">
        <v>0</v>
      </c>
      <c r="AF1287" s="205">
        <f t="shared" si="311"/>
        <v>0</v>
      </c>
      <c r="AG1287" s="204">
        <v>363.63636363635999</v>
      </c>
      <c r="AH1287" s="204"/>
      <c r="AI1287" s="204"/>
      <c r="AJ1287" s="124" t="s">
        <v>69</v>
      </c>
    </row>
    <row r="1288" spans="1:36" s="124" customFormat="1" ht="14.25" x14ac:dyDescent="0.3">
      <c r="A1288" s="124">
        <v>2017</v>
      </c>
      <c r="B1288" s="124" t="s">
        <v>38</v>
      </c>
      <c r="C1288" s="124" t="s">
        <v>110</v>
      </c>
      <c r="D1288" s="124" t="s">
        <v>111</v>
      </c>
      <c r="E1288" s="124" t="s">
        <v>112</v>
      </c>
      <c r="F1288" s="124" t="s">
        <v>113</v>
      </c>
      <c r="G1288" s="124" t="s">
        <v>113</v>
      </c>
      <c r="H1288" s="124" t="s">
        <v>113</v>
      </c>
      <c r="I1288" s="175" t="s">
        <v>1156</v>
      </c>
      <c r="J1288" s="175" t="s">
        <v>1161</v>
      </c>
      <c r="K1288" s="124" t="s">
        <v>1161</v>
      </c>
      <c r="L1288" s="124" t="s">
        <v>248</v>
      </c>
      <c r="M1288" s="204" t="s">
        <v>46</v>
      </c>
      <c r="N1288" s="184">
        <v>0</v>
      </c>
      <c r="O1288" s="184" t="s">
        <v>47</v>
      </c>
      <c r="P1288" s="184" t="s">
        <v>47</v>
      </c>
      <c r="Q1288" s="204">
        <v>0</v>
      </c>
      <c r="R1288" s="204">
        <v>0</v>
      </c>
      <c r="S1288" s="204">
        <v>10000</v>
      </c>
      <c r="T1288" s="204">
        <v>0</v>
      </c>
      <c r="U1288" s="204">
        <v>10000</v>
      </c>
      <c r="V1288" s="204">
        <v>10000</v>
      </c>
      <c r="W1288" s="204">
        <v>0</v>
      </c>
      <c r="X1288" s="204">
        <v>0</v>
      </c>
      <c r="Y1288" s="204">
        <v>0</v>
      </c>
      <c r="Z1288" s="204">
        <v>10000</v>
      </c>
      <c r="AA1288" s="204">
        <v>0</v>
      </c>
      <c r="AB1288" s="208">
        <f t="shared" si="318"/>
        <v>10000</v>
      </c>
      <c r="AC1288" s="209">
        <f t="shared" si="319"/>
        <v>0</v>
      </c>
      <c r="AD1288" s="204">
        <v>8270</v>
      </c>
      <c r="AE1288" s="184">
        <v>0</v>
      </c>
      <c r="AF1288" s="205">
        <f t="shared" ref="AF1288:AF1351" si="320">AD1288*AE1288</f>
        <v>0</v>
      </c>
      <c r="AG1288" s="204">
        <v>1000</v>
      </c>
      <c r="AH1288" s="204"/>
      <c r="AI1288" s="204"/>
      <c r="AJ1288" s="124" t="s">
        <v>47</v>
      </c>
    </row>
    <row r="1289" spans="1:36" s="124" customFormat="1" ht="14.25" x14ac:dyDescent="0.3">
      <c r="A1289" s="124">
        <v>2017</v>
      </c>
      <c r="B1289" s="124" t="s">
        <v>199</v>
      </c>
      <c r="C1289" s="124" t="s">
        <v>75</v>
      </c>
      <c r="D1289" s="124" t="s">
        <v>76</v>
      </c>
      <c r="E1289" s="124" t="s">
        <v>315</v>
      </c>
      <c r="F1289" s="124" t="s">
        <v>547</v>
      </c>
      <c r="G1289" s="175" t="s">
        <v>548</v>
      </c>
      <c r="H1289" s="176" t="s">
        <v>549</v>
      </c>
      <c r="I1289" s="175" t="s">
        <v>1156</v>
      </c>
      <c r="J1289" s="175" t="s">
        <v>1161</v>
      </c>
      <c r="K1289" s="124" t="s">
        <v>1161</v>
      </c>
      <c r="L1289" s="124" t="s">
        <v>547</v>
      </c>
      <c r="M1289" s="204" t="s">
        <v>46</v>
      </c>
      <c r="N1289" s="184">
        <v>0</v>
      </c>
      <c r="O1289" s="184" t="s">
        <v>47</v>
      </c>
      <c r="P1289" s="184" t="s">
        <v>47</v>
      </c>
      <c r="Q1289" s="204">
        <v>0</v>
      </c>
      <c r="R1289" s="204">
        <v>0</v>
      </c>
      <c r="S1289" s="204">
        <v>100358.5</v>
      </c>
      <c r="T1289" s="204">
        <v>0</v>
      </c>
      <c r="U1289" s="204">
        <v>100358.5</v>
      </c>
      <c r="V1289" s="215">
        <v>100359</v>
      </c>
      <c r="W1289" s="204">
        <v>-0.5</v>
      </c>
      <c r="X1289" s="204">
        <v>-0.5</v>
      </c>
      <c r="Y1289" s="204">
        <v>0</v>
      </c>
      <c r="Z1289" s="204">
        <v>100359</v>
      </c>
      <c r="AA1289" s="204">
        <v>0</v>
      </c>
      <c r="AB1289" s="208">
        <f t="shared" si="318"/>
        <v>100359</v>
      </c>
      <c r="AC1289" s="209">
        <f t="shared" si="319"/>
        <v>0</v>
      </c>
      <c r="AD1289" s="204">
        <v>82996.892999999996</v>
      </c>
      <c r="AE1289" s="184">
        <v>0</v>
      </c>
      <c r="AF1289" s="205">
        <f t="shared" si="320"/>
        <v>0</v>
      </c>
      <c r="AG1289" s="204">
        <v>10035.9</v>
      </c>
      <c r="AH1289" s="204"/>
      <c r="AI1289" s="204"/>
      <c r="AJ1289" s="124" t="s">
        <v>47</v>
      </c>
    </row>
    <row r="1290" spans="1:36" s="124" customFormat="1" ht="14.25" x14ac:dyDescent="0.3">
      <c r="A1290" s="124">
        <v>2017</v>
      </c>
      <c r="B1290" s="124" t="s">
        <v>38</v>
      </c>
      <c r="C1290" s="124" t="s">
        <v>59</v>
      </c>
      <c r="D1290" s="124" t="s">
        <v>154</v>
      </c>
      <c r="E1290" s="124" t="s">
        <v>192</v>
      </c>
      <c r="F1290" s="124" t="s">
        <v>338</v>
      </c>
      <c r="G1290" s="124" t="s">
        <v>339</v>
      </c>
      <c r="H1290" s="124" t="s">
        <v>339</v>
      </c>
      <c r="I1290" s="175" t="s">
        <v>1156</v>
      </c>
      <c r="J1290" s="175" t="s">
        <v>1161</v>
      </c>
      <c r="K1290" s="124" t="s">
        <v>1161</v>
      </c>
      <c r="L1290" s="124" t="s">
        <v>338</v>
      </c>
      <c r="M1290" s="204" t="s">
        <v>46</v>
      </c>
      <c r="N1290" s="184">
        <v>0</v>
      </c>
      <c r="O1290" s="213">
        <v>0</v>
      </c>
      <c r="P1290" s="184" t="s">
        <v>47</v>
      </c>
      <c r="Q1290" s="204">
        <v>0</v>
      </c>
      <c r="R1290" s="204">
        <v>0</v>
      </c>
      <c r="S1290" s="204">
        <v>35000</v>
      </c>
      <c r="T1290" s="204">
        <v>0</v>
      </c>
      <c r="U1290" s="204">
        <v>35000</v>
      </c>
      <c r="V1290" s="204">
        <v>35000</v>
      </c>
      <c r="W1290" s="204">
        <v>0</v>
      </c>
      <c r="X1290" s="204">
        <v>0</v>
      </c>
      <c r="Y1290" s="204">
        <v>0</v>
      </c>
      <c r="Z1290" s="204">
        <v>35000</v>
      </c>
      <c r="AA1290" s="204">
        <v>0</v>
      </c>
      <c r="AB1290" s="208">
        <f t="shared" si="318"/>
        <v>35000</v>
      </c>
      <c r="AC1290" s="209">
        <f t="shared" si="319"/>
        <v>0</v>
      </c>
      <c r="AD1290" s="204">
        <v>28945</v>
      </c>
      <c r="AE1290" s="184">
        <v>0</v>
      </c>
      <c r="AF1290" s="205">
        <f t="shared" si="320"/>
        <v>0</v>
      </c>
      <c r="AG1290" s="204">
        <v>3500</v>
      </c>
      <c r="AH1290" s="204"/>
      <c r="AI1290" s="204"/>
      <c r="AJ1290" s="124" t="s">
        <v>120</v>
      </c>
    </row>
    <row r="1291" spans="1:36" s="124" customFormat="1" ht="14.25" x14ac:dyDescent="0.3">
      <c r="A1291" s="124">
        <v>2017</v>
      </c>
      <c r="B1291" s="124" t="s">
        <v>199</v>
      </c>
      <c r="C1291" s="124" t="s">
        <v>200</v>
      </c>
      <c r="D1291" s="124" t="s">
        <v>201</v>
      </c>
      <c r="E1291" s="124" t="s">
        <v>812</v>
      </c>
      <c r="F1291" s="124" t="s">
        <v>202</v>
      </c>
      <c r="G1291" s="124" t="s">
        <v>203</v>
      </c>
      <c r="H1291" s="124" t="s">
        <v>203</v>
      </c>
      <c r="I1291" s="175" t="s">
        <v>1156</v>
      </c>
      <c r="J1291" s="175" t="s">
        <v>1161</v>
      </c>
      <c r="K1291" s="124" t="s">
        <v>1161</v>
      </c>
      <c r="L1291" s="124" t="s">
        <v>202</v>
      </c>
      <c r="M1291" s="204" t="s">
        <v>46</v>
      </c>
      <c r="N1291" s="184">
        <v>0.05</v>
      </c>
      <c r="O1291" s="184" t="s">
        <v>63</v>
      </c>
      <c r="P1291" s="184" t="s">
        <v>51</v>
      </c>
      <c r="Q1291" s="204">
        <v>0</v>
      </c>
      <c r="R1291" s="204">
        <v>0</v>
      </c>
      <c r="S1291" s="204">
        <v>250000</v>
      </c>
      <c r="T1291" s="204">
        <v>12500</v>
      </c>
      <c r="U1291" s="204">
        <v>262500</v>
      </c>
      <c r="V1291" s="204">
        <v>250000</v>
      </c>
      <c r="W1291" s="204">
        <v>12500</v>
      </c>
      <c r="X1291" s="204">
        <v>11904.761904761899</v>
      </c>
      <c r="Y1291" s="204">
        <v>595.23809523809496</v>
      </c>
      <c r="Z1291" s="204">
        <v>250000</v>
      </c>
      <c r="AA1291" s="204">
        <v>0</v>
      </c>
      <c r="AB1291" s="208">
        <f t="shared" si="318"/>
        <v>238095.23809523808</v>
      </c>
      <c r="AC1291" s="209">
        <f t="shared" si="319"/>
        <v>11904.761904761923</v>
      </c>
      <c r="AD1291" s="204">
        <v>206750</v>
      </c>
      <c r="AE1291" s="184">
        <v>0</v>
      </c>
      <c r="AF1291" s="205">
        <f t="shared" si="320"/>
        <v>0</v>
      </c>
      <c r="AG1291" s="204">
        <v>13095.238095238101</v>
      </c>
      <c r="AH1291" s="204"/>
      <c r="AI1291" s="204"/>
      <c r="AJ1291" s="124" t="s">
        <v>63</v>
      </c>
    </row>
    <row r="1292" spans="1:36" s="124" customFormat="1" ht="14.25" x14ac:dyDescent="0.3">
      <c r="A1292" s="124">
        <v>2017</v>
      </c>
      <c r="B1292" s="124" t="s">
        <v>252</v>
      </c>
      <c r="C1292" s="124" t="s">
        <v>54</v>
      </c>
      <c r="D1292" s="124" t="s">
        <v>55</v>
      </c>
      <c r="E1292" s="124" t="s">
        <v>370</v>
      </c>
      <c r="F1292" s="124" t="s">
        <v>242</v>
      </c>
      <c r="G1292" s="175" t="s">
        <v>371</v>
      </c>
      <c r="H1292" s="176" t="s">
        <v>372</v>
      </c>
      <c r="I1292" s="175" t="s">
        <v>1156</v>
      </c>
      <c r="J1292" s="175" t="s">
        <v>1161</v>
      </c>
      <c r="K1292" s="124" t="s">
        <v>1161</v>
      </c>
      <c r="L1292" s="124" t="s">
        <v>1167</v>
      </c>
      <c r="M1292" s="204" t="s">
        <v>160</v>
      </c>
      <c r="N1292" s="214">
        <v>0.78400000000000003</v>
      </c>
      <c r="O1292" s="184" t="s">
        <v>1168</v>
      </c>
      <c r="P1292" s="184" t="s">
        <v>259</v>
      </c>
      <c r="Q1292" s="204">
        <v>0</v>
      </c>
      <c r="R1292" s="204">
        <v>0</v>
      </c>
      <c r="S1292" s="204">
        <v>1702089.66</v>
      </c>
      <c r="T1292" s="204">
        <v>0</v>
      </c>
      <c r="U1292" s="204">
        <v>1702089.66</v>
      </c>
      <c r="V1292" s="204">
        <f>1678867+45424</f>
        <v>1724291</v>
      </c>
      <c r="W1292" s="204">
        <v>23222.659999999902</v>
      </c>
      <c r="X1292" s="204">
        <v>23222.659999999902</v>
      </c>
      <c r="Y1292" s="204">
        <v>0</v>
      </c>
      <c r="Z1292" s="204">
        <f>1678867+45424</f>
        <v>1724291</v>
      </c>
      <c r="AA1292" s="204">
        <v>0</v>
      </c>
      <c r="AB1292" s="208">
        <f t="shared" si="318"/>
        <v>1351844.1440000001</v>
      </c>
      <c r="AC1292" s="209">
        <f t="shared" si="319"/>
        <v>372446.85599999991</v>
      </c>
      <c r="AD1292" s="204">
        <v>1425988.6569999999</v>
      </c>
      <c r="AE1292" s="184">
        <v>0</v>
      </c>
      <c r="AF1292" s="205">
        <f t="shared" si="320"/>
        <v>0</v>
      </c>
      <c r="AG1292" s="204">
        <v>83943.35</v>
      </c>
      <c r="AH1292" s="204"/>
      <c r="AI1292" s="204"/>
      <c r="AJ1292" s="124" t="s">
        <v>1168</v>
      </c>
    </row>
    <row r="1293" spans="1:36" s="124" customFormat="1" ht="14.25" x14ac:dyDescent="0.3">
      <c r="A1293" s="124">
        <v>2017</v>
      </c>
      <c r="B1293" s="124" t="s">
        <v>38</v>
      </c>
      <c r="C1293" s="124" t="s">
        <v>54</v>
      </c>
      <c r="D1293" s="124" t="s">
        <v>55</v>
      </c>
      <c r="E1293" s="124" t="s">
        <v>368</v>
      </c>
      <c r="F1293" s="124" t="s">
        <v>1169</v>
      </c>
      <c r="G1293" s="124" t="s">
        <v>1169</v>
      </c>
      <c r="H1293" s="124" t="s">
        <v>1169</v>
      </c>
      <c r="I1293" s="175" t="s">
        <v>1156</v>
      </c>
      <c r="J1293" s="175" t="s">
        <v>1161</v>
      </c>
      <c r="K1293" s="124" t="s">
        <v>1161</v>
      </c>
      <c r="L1293" s="124" t="s">
        <v>1169</v>
      </c>
      <c r="M1293" s="204" t="s">
        <v>46</v>
      </c>
      <c r="N1293" s="184">
        <v>0.02</v>
      </c>
      <c r="O1293" s="184" t="s">
        <v>173</v>
      </c>
      <c r="P1293" s="184" t="s">
        <v>51</v>
      </c>
      <c r="Q1293" s="204">
        <v>0</v>
      </c>
      <c r="R1293" s="204">
        <v>0</v>
      </c>
      <c r="S1293" s="204">
        <v>10000</v>
      </c>
      <c r="T1293" s="204">
        <v>200</v>
      </c>
      <c r="U1293" s="204">
        <v>10200</v>
      </c>
      <c r="V1293" s="204">
        <v>10000</v>
      </c>
      <c r="W1293" s="204">
        <v>200</v>
      </c>
      <c r="X1293" s="204">
        <v>196.07843137254901</v>
      </c>
      <c r="Y1293" s="204">
        <v>3.92156862745099</v>
      </c>
      <c r="Z1293" s="204">
        <v>10000</v>
      </c>
      <c r="AA1293" s="204">
        <v>0</v>
      </c>
      <c r="AB1293" s="208">
        <f t="shared" si="318"/>
        <v>9803.9215686274511</v>
      </c>
      <c r="AC1293" s="209">
        <f t="shared" si="319"/>
        <v>196.07843137254895</v>
      </c>
      <c r="AD1293" s="204">
        <v>8270</v>
      </c>
      <c r="AE1293" s="184">
        <v>0</v>
      </c>
      <c r="AF1293" s="205">
        <f t="shared" si="320"/>
        <v>0</v>
      </c>
      <c r="AG1293" s="204">
        <v>803.92156862745105</v>
      </c>
      <c r="AH1293" s="204"/>
      <c r="AI1293" s="204"/>
      <c r="AJ1293" s="124" t="s">
        <v>173</v>
      </c>
    </row>
    <row r="1294" spans="1:36" s="124" customFormat="1" ht="14.25" x14ac:dyDescent="0.3">
      <c r="A1294" s="124">
        <v>2017</v>
      </c>
      <c r="B1294" s="124" t="s">
        <v>38</v>
      </c>
      <c r="C1294" s="124" t="s">
        <v>54</v>
      </c>
      <c r="D1294" s="124" t="s">
        <v>55</v>
      </c>
      <c r="E1294" s="124" t="s">
        <v>368</v>
      </c>
      <c r="F1294" s="124" t="s">
        <v>1170</v>
      </c>
      <c r="G1294" s="124" t="s">
        <v>1170</v>
      </c>
      <c r="H1294" s="124" t="s">
        <v>1170</v>
      </c>
      <c r="I1294" s="175" t="s">
        <v>1156</v>
      </c>
      <c r="J1294" s="175" t="s">
        <v>1161</v>
      </c>
      <c r="K1294" s="124" t="s">
        <v>1161</v>
      </c>
      <c r="L1294" s="124" t="s">
        <v>1170</v>
      </c>
      <c r="M1294" s="204" t="s">
        <v>46</v>
      </c>
      <c r="N1294" s="184">
        <v>0</v>
      </c>
      <c r="O1294" s="184" t="s">
        <v>47</v>
      </c>
      <c r="P1294" s="184" t="s">
        <v>47</v>
      </c>
      <c r="Q1294" s="204">
        <v>0</v>
      </c>
      <c r="R1294" s="204">
        <v>0</v>
      </c>
      <c r="S1294" s="204">
        <v>20000</v>
      </c>
      <c r="T1294" s="204">
        <v>0</v>
      </c>
      <c r="U1294" s="204">
        <v>20000</v>
      </c>
      <c r="V1294" s="204">
        <v>20000</v>
      </c>
      <c r="W1294" s="204">
        <v>0</v>
      </c>
      <c r="X1294" s="204">
        <v>0</v>
      </c>
      <c r="Y1294" s="204">
        <v>0</v>
      </c>
      <c r="Z1294" s="204">
        <v>20000</v>
      </c>
      <c r="AA1294" s="204">
        <v>0</v>
      </c>
      <c r="AB1294" s="208">
        <f t="shared" si="318"/>
        <v>20000</v>
      </c>
      <c r="AC1294" s="209">
        <f t="shared" si="319"/>
        <v>0</v>
      </c>
      <c r="AD1294" s="204">
        <v>16540</v>
      </c>
      <c r="AE1294" s="184">
        <v>0</v>
      </c>
      <c r="AF1294" s="205">
        <f t="shared" si="320"/>
        <v>0</v>
      </c>
      <c r="AG1294" s="204">
        <v>2000</v>
      </c>
      <c r="AH1294" s="204"/>
      <c r="AI1294" s="204"/>
      <c r="AJ1294" s="124" t="s">
        <v>120</v>
      </c>
    </row>
    <row r="1295" spans="1:36" s="124" customFormat="1" ht="14.25" x14ac:dyDescent="0.3">
      <c r="A1295" s="124">
        <v>2017</v>
      </c>
      <c r="B1295" s="124" t="s">
        <v>252</v>
      </c>
      <c r="C1295" s="124" t="s">
        <v>110</v>
      </c>
      <c r="D1295" s="124" t="s">
        <v>111</v>
      </c>
      <c r="E1295" s="124" t="s">
        <v>112</v>
      </c>
      <c r="F1295" s="124" t="s">
        <v>284</v>
      </c>
      <c r="G1295" s="124" t="s">
        <v>285</v>
      </c>
      <c r="H1295" s="124" t="s">
        <v>285</v>
      </c>
      <c r="I1295" s="175" t="s">
        <v>1156</v>
      </c>
      <c r="J1295" s="175" t="s">
        <v>1161</v>
      </c>
      <c r="K1295" s="124" t="s">
        <v>1161</v>
      </c>
      <c r="L1295" s="124" t="s">
        <v>284</v>
      </c>
      <c r="M1295" s="204" t="s">
        <v>46</v>
      </c>
      <c r="N1295" s="184">
        <v>0</v>
      </c>
      <c r="O1295" s="184" t="s">
        <v>47</v>
      </c>
      <c r="P1295" s="184" t="s">
        <v>47</v>
      </c>
      <c r="Q1295" s="204">
        <v>0</v>
      </c>
      <c r="R1295" s="204">
        <v>0</v>
      </c>
      <c r="S1295" s="204">
        <v>120000</v>
      </c>
      <c r="T1295" s="204">
        <v>0</v>
      </c>
      <c r="U1295" s="204">
        <v>120000</v>
      </c>
      <c r="V1295" s="204">
        <v>120000</v>
      </c>
      <c r="W1295" s="204">
        <v>0</v>
      </c>
      <c r="X1295" s="204">
        <v>0</v>
      </c>
      <c r="Y1295" s="204">
        <v>0</v>
      </c>
      <c r="Z1295" s="204">
        <v>120000</v>
      </c>
      <c r="AA1295" s="204">
        <v>0</v>
      </c>
      <c r="AB1295" s="208">
        <f t="shared" si="318"/>
        <v>120000</v>
      </c>
      <c r="AC1295" s="209">
        <f t="shared" si="319"/>
        <v>0</v>
      </c>
      <c r="AD1295" s="204">
        <v>99240</v>
      </c>
      <c r="AE1295" s="184">
        <v>0</v>
      </c>
      <c r="AF1295" s="205">
        <f t="shared" si="320"/>
        <v>0</v>
      </c>
      <c r="AG1295" s="204">
        <v>12000</v>
      </c>
      <c r="AH1295" s="204"/>
      <c r="AI1295" s="204"/>
      <c r="AJ1295" s="124" t="s">
        <v>47</v>
      </c>
    </row>
    <row r="1296" spans="1:36" s="124" customFormat="1" ht="14.25" x14ac:dyDescent="0.3">
      <c r="A1296" s="124">
        <v>2017</v>
      </c>
      <c r="B1296" s="124" t="s">
        <v>38</v>
      </c>
      <c r="C1296" s="124" t="s">
        <v>54</v>
      </c>
      <c r="D1296" s="124" t="s">
        <v>55</v>
      </c>
      <c r="E1296" s="124" t="s">
        <v>368</v>
      </c>
      <c r="F1296" s="124" t="s">
        <v>430</v>
      </c>
      <c r="G1296" s="124" t="s">
        <v>430</v>
      </c>
      <c r="H1296" s="124" t="s">
        <v>430</v>
      </c>
      <c r="I1296" s="175" t="s">
        <v>1156</v>
      </c>
      <c r="J1296" s="175" t="s">
        <v>1161</v>
      </c>
      <c r="K1296" s="124" t="s">
        <v>1161</v>
      </c>
      <c r="L1296" s="124" t="s">
        <v>430</v>
      </c>
      <c r="M1296" s="204" t="s">
        <v>46</v>
      </c>
      <c r="N1296" s="184">
        <v>0.02</v>
      </c>
      <c r="O1296" s="184" t="s">
        <v>173</v>
      </c>
      <c r="P1296" s="184" t="s">
        <v>51</v>
      </c>
      <c r="Q1296" s="204">
        <v>0</v>
      </c>
      <c r="R1296" s="204">
        <v>0</v>
      </c>
      <c r="S1296" s="204">
        <v>5000</v>
      </c>
      <c r="T1296" s="204">
        <v>100</v>
      </c>
      <c r="U1296" s="204">
        <v>5100</v>
      </c>
      <c r="V1296" s="204">
        <v>5000</v>
      </c>
      <c r="W1296" s="204">
        <v>100</v>
      </c>
      <c r="X1296" s="204">
        <v>98.039215686274503</v>
      </c>
      <c r="Y1296" s="204">
        <v>1.9607843137255001</v>
      </c>
      <c r="Z1296" s="204">
        <v>5000</v>
      </c>
      <c r="AA1296" s="204">
        <v>0</v>
      </c>
      <c r="AB1296" s="208">
        <v>5000</v>
      </c>
      <c r="AC1296" s="209">
        <f t="shared" si="319"/>
        <v>0</v>
      </c>
      <c r="AD1296" s="204">
        <v>4135</v>
      </c>
      <c r="AE1296" s="184">
        <v>0</v>
      </c>
      <c r="AF1296" s="205">
        <f t="shared" si="320"/>
        <v>0</v>
      </c>
      <c r="AG1296" s="204">
        <v>401.96078431372598</v>
      </c>
      <c r="AH1296" s="204"/>
      <c r="AI1296" s="204"/>
      <c r="AJ1296" s="124" t="s">
        <v>173</v>
      </c>
    </row>
    <row r="1297" spans="1:38" s="124" customFormat="1" ht="14.25" x14ac:dyDescent="0.3">
      <c r="A1297" s="124">
        <v>2017</v>
      </c>
      <c r="B1297" s="124" t="s">
        <v>199</v>
      </c>
      <c r="C1297" s="124" t="s">
        <v>59</v>
      </c>
      <c r="D1297" s="124" t="s">
        <v>106</v>
      </c>
      <c r="E1297" s="124" t="s">
        <v>239</v>
      </c>
      <c r="F1297" s="124" t="s">
        <v>1171</v>
      </c>
      <c r="G1297" s="124" t="s">
        <v>1172</v>
      </c>
      <c r="H1297" s="124" t="s">
        <v>1172</v>
      </c>
      <c r="I1297" s="175" t="s">
        <v>1156</v>
      </c>
      <c r="J1297" s="175" t="s">
        <v>1161</v>
      </c>
      <c r="K1297" s="124" t="s">
        <v>1161</v>
      </c>
      <c r="L1297" s="124" t="s">
        <v>1171</v>
      </c>
      <c r="M1297" s="204" t="s">
        <v>46</v>
      </c>
      <c r="N1297" s="184">
        <v>0.02</v>
      </c>
      <c r="O1297" s="184" t="s">
        <v>1091</v>
      </c>
      <c r="P1297" s="184" t="s">
        <v>495</v>
      </c>
      <c r="Q1297" s="204">
        <v>0</v>
      </c>
      <c r="R1297" s="204">
        <v>0</v>
      </c>
      <c r="S1297" s="204">
        <v>200000</v>
      </c>
      <c r="T1297" s="204">
        <v>4000</v>
      </c>
      <c r="U1297" s="204">
        <v>204000</v>
      </c>
      <c r="V1297" s="204">
        <v>200000</v>
      </c>
      <c r="W1297" s="204">
        <v>4000</v>
      </c>
      <c r="X1297" s="204">
        <v>3921.5686274509799</v>
      </c>
      <c r="Y1297" s="204">
        <v>78.431372549019699</v>
      </c>
      <c r="Z1297" s="204">
        <v>200000</v>
      </c>
      <c r="AA1297" s="204">
        <v>0</v>
      </c>
      <c r="AB1297" s="208">
        <f t="shared" si="318"/>
        <v>200000</v>
      </c>
      <c r="AC1297" s="209">
        <f t="shared" si="319"/>
        <v>4000</v>
      </c>
      <c r="AD1297" s="204">
        <v>165400</v>
      </c>
      <c r="AE1297" s="184">
        <v>0</v>
      </c>
      <c r="AF1297" s="205">
        <f t="shared" si="320"/>
        <v>0</v>
      </c>
      <c r="AG1297" s="204">
        <v>16078.431372548999</v>
      </c>
      <c r="AH1297" s="204"/>
      <c r="AI1297" s="204"/>
      <c r="AJ1297" s="124" t="s">
        <v>1091</v>
      </c>
    </row>
    <row r="1298" spans="1:38" s="124" customFormat="1" ht="14.25" x14ac:dyDescent="0.3">
      <c r="A1298" s="124">
        <v>2017</v>
      </c>
      <c r="B1298" s="124" t="s">
        <v>199</v>
      </c>
      <c r="C1298" s="124" t="s">
        <v>59</v>
      </c>
      <c r="D1298" s="124" t="s">
        <v>106</v>
      </c>
      <c r="E1298" s="124" t="s">
        <v>239</v>
      </c>
      <c r="F1298" s="124" t="s">
        <v>1171</v>
      </c>
      <c r="G1298" s="124" t="s">
        <v>1172</v>
      </c>
      <c r="H1298" s="124" t="s">
        <v>1172</v>
      </c>
      <c r="I1298" s="175" t="s">
        <v>1156</v>
      </c>
      <c r="J1298" s="175" t="s">
        <v>1161</v>
      </c>
      <c r="K1298" s="124" t="s">
        <v>1161</v>
      </c>
      <c r="L1298" s="124" t="s">
        <v>1171</v>
      </c>
      <c r="M1298" s="204" t="s">
        <v>160</v>
      </c>
      <c r="N1298" s="184">
        <v>0.02</v>
      </c>
      <c r="O1298" s="184" t="s">
        <v>1091</v>
      </c>
      <c r="P1298" s="184" t="s">
        <v>495</v>
      </c>
      <c r="Q1298" s="204">
        <v>0</v>
      </c>
      <c r="R1298" s="204">
        <v>0</v>
      </c>
      <c r="S1298" s="204">
        <v>9000</v>
      </c>
      <c r="T1298" s="204">
        <v>180</v>
      </c>
      <c r="U1298" s="204">
        <v>9180</v>
      </c>
      <c r="V1298" s="204">
        <v>9000</v>
      </c>
      <c r="W1298" s="204">
        <v>180</v>
      </c>
      <c r="X1298" s="204">
        <v>176.470588235294</v>
      </c>
      <c r="Y1298" s="204">
        <v>3.52941176470588</v>
      </c>
      <c r="Z1298" s="204">
        <v>9000</v>
      </c>
      <c r="AA1298" s="204">
        <v>0</v>
      </c>
      <c r="AB1298" s="208">
        <f t="shared" si="318"/>
        <v>9000</v>
      </c>
      <c r="AC1298" s="209">
        <f t="shared" si="319"/>
        <v>180</v>
      </c>
      <c r="AD1298" s="204">
        <v>7443</v>
      </c>
      <c r="AE1298" s="184">
        <v>0</v>
      </c>
      <c r="AF1298" s="205">
        <f t="shared" si="320"/>
        <v>0</v>
      </c>
      <c r="AG1298" s="204">
        <v>273.52941176470603</v>
      </c>
      <c r="AH1298" s="204"/>
      <c r="AI1298" s="204"/>
      <c r="AJ1298" s="124" t="s">
        <v>1091</v>
      </c>
    </row>
    <row r="1299" spans="1:38" s="125" customFormat="1" ht="14.25" x14ac:dyDescent="0.3">
      <c r="A1299" s="124">
        <v>2017</v>
      </c>
      <c r="B1299" s="124" t="s">
        <v>38</v>
      </c>
      <c r="C1299" s="124" t="s">
        <v>59</v>
      </c>
      <c r="D1299" s="124" t="s">
        <v>60</v>
      </c>
      <c r="E1299" s="124" t="s">
        <v>468</v>
      </c>
      <c r="F1299" s="124" t="s">
        <v>1173</v>
      </c>
      <c r="G1299" s="124" t="s">
        <v>1173</v>
      </c>
      <c r="H1299" s="124" t="s">
        <v>1173</v>
      </c>
      <c r="I1299" s="175" t="s">
        <v>1174</v>
      </c>
      <c r="J1299" s="176" t="s">
        <v>44</v>
      </c>
      <c r="K1299" s="124" t="s">
        <v>1175</v>
      </c>
      <c r="L1299" s="124" t="s">
        <v>1176</v>
      </c>
      <c r="M1299" s="124" t="s">
        <v>46</v>
      </c>
      <c r="N1299" s="184">
        <v>0</v>
      </c>
      <c r="O1299" s="184" t="s">
        <v>47</v>
      </c>
      <c r="P1299" s="184" t="s">
        <v>47</v>
      </c>
      <c r="Q1299" s="204">
        <v>0</v>
      </c>
      <c r="R1299" s="204">
        <v>0</v>
      </c>
      <c r="S1299" s="204">
        <v>10000</v>
      </c>
      <c r="T1299" s="204">
        <v>0</v>
      </c>
      <c r="U1299" s="204">
        <v>10000</v>
      </c>
      <c r="V1299" s="204">
        <v>10000</v>
      </c>
      <c r="W1299" s="204">
        <v>0</v>
      </c>
      <c r="X1299" s="204">
        <v>0</v>
      </c>
      <c r="Y1299" s="204">
        <v>0</v>
      </c>
      <c r="Z1299" s="204">
        <v>10000</v>
      </c>
      <c r="AA1299" s="204">
        <v>0</v>
      </c>
      <c r="AB1299" s="208">
        <f t="shared" si="318"/>
        <v>10000</v>
      </c>
      <c r="AC1299" s="209">
        <f t="shared" si="319"/>
        <v>0</v>
      </c>
      <c r="AD1299" s="216">
        <v>10000</v>
      </c>
      <c r="AE1299" s="217">
        <v>0</v>
      </c>
      <c r="AF1299" s="204">
        <f t="shared" si="320"/>
        <v>0</v>
      </c>
      <c r="AG1299" s="204"/>
      <c r="AH1299" s="204"/>
      <c r="AI1299" s="204"/>
      <c r="AJ1299" s="220" t="s">
        <v>47</v>
      </c>
      <c r="AK1299" s="124"/>
      <c r="AL1299" s="124"/>
    </row>
    <row r="1300" spans="1:38" s="125" customFormat="1" ht="14.25" x14ac:dyDescent="0.3">
      <c r="A1300" s="124">
        <v>2017</v>
      </c>
      <c r="B1300" s="124" t="s">
        <v>38</v>
      </c>
      <c r="C1300" s="124" t="s">
        <v>39</v>
      </c>
      <c r="D1300" s="124" t="s">
        <v>40</v>
      </c>
      <c r="E1300" s="124" t="s">
        <v>41</v>
      </c>
      <c r="F1300" s="124" t="s">
        <v>42</v>
      </c>
      <c r="G1300" s="124" t="s">
        <v>42</v>
      </c>
      <c r="H1300" s="124" t="s">
        <v>42</v>
      </c>
      <c r="I1300" s="175" t="s">
        <v>1174</v>
      </c>
      <c r="J1300" s="176" t="s">
        <v>44</v>
      </c>
      <c r="K1300" s="124" t="s">
        <v>1175</v>
      </c>
      <c r="L1300" s="124" t="s">
        <v>1177</v>
      </c>
      <c r="M1300" s="124" t="s">
        <v>185</v>
      </c>
      <c r="N1300" s="184">
        <v>0</v>
      </c>
      <c r="O1300" s="184" t="s">
        <v>47</v>
      </c>
      <c r="P1300" s="184" t="s">
        <v>47</v>
      </c>
      <c r="Q1300" s="204">
        <v>0</v>
      </c>
      <c r="R1300" s="204">
        <v>0</v>
      </c>
      <c r="S1300" s="204">
        <v>20000</v>
      </c>
      <c r="T1300" s="204">
        <v>0</v>
      </c>
      <c r="U1300" s="204">
        <v>20000</v>
      </c>
      <c r="V1300" s="204">
        <v>20000</v>
      </c>
      <c r="W1300" s="204">
        <v>0</v>
      </c>
      <c r="X1300" s="204">
        <v>0</v>
      </c>
      <c r="Y1300" s="204">
        <v>0</v>
      </c>
      <c r="Z1300" s="204">
        <v>20000</v>
      </c>
      <c r="AA1300" s="204">
        <v>0</v>
      </c>
      <c r="AB1300" s="208">
        <f t="shared" si="318"/>
        <v>20000</v>
      </c>
      <c r="AC1300" s="209">
        <f t="shared" si="319"/>
        <v>0</v>
      </c>
      <c r="AD1300" s="216">
        <v>20000</v>
      </c>
      <c r="AE1300" s="217">
        <v>0</v>
      </c>
      <c r="AF1300" s="204">
        <f t="shared" si="320"/>
        <v>0</v>
      </c>
      <c r="AG1300" s="204"/>
      <c r="AH1300" s="204"/>
      <c r="AI1300" s="204"/>
      <c r="AJ1300" s="220" t="s">
        <v>47</v>
      </c>
      <c r="AK1300" s="124"/>
      <c r="AL1300" s="124"/>
    </row>
    <row r="1301" spans="1:38" s="125" customFormat="1" ht="14.25" x14ac:dyDescent="0.3">
      <c r="A1301" s="124">
        <v>2017</v>
      </c>
      <c r="B1301" s="212" t="s">
        <v>38</v>
      </c>
      <c r="C1301" s="212" t="s">
        <v>54</v>
      </c>
      <c r="D1301" s="212" t="s">
        <v>55</v>
      </c>
      <c r="E1301" s="212" t="s">
        <v>64</v>
      </c>
      <c r="F1301" s="212" t="s">
        <v>1178</v>
      </c>
      <c r="G1301" s="212" t="s">
        <v>1178</v>
      </c>
      <c r="H1301" s="212" t="s">
        <v>1178</v>
      </c>
      <c r="I1301" s="175" t="s">
        <v>1174</v>
      </c>
      <c r="J1301" s="176" t="s">
        <v>44</v>
      </c>
      <c r="K1301" s="212" t="s">
        <v>1175</v>
      </c>
      <c r="L1301" s="212" t="s">
        <v>1179</v>
      </c>
      <c r="M1301" s="212" t="s">
        <v>46</v>
      </c>
      <c r="N1301" s="184">
        <v>0</v>
      </c>
      <c r="O1301" s="184" t="s">
        <v>173</v>
      </c>
      <c r="P1301" s="184" t="s">
        <v>51</v>
      </c>
      <c r="Q1301" s="210">
        <v>0</v>
      </c>
      <c r="R1301" s="210">
        <v>0</v>
      </c>
      <c r="S1301" s="210">
        <v>10000</v>
      </c>
      <c r="T1301" s="210">
        <v>200</v>
      </c>
      <c r="U1301" s="210">
        <v>10200</v>
      </c>
      <c r="V1301" s="210">
        <v>10000</v>
      </c>
      <c r="W1301" s="210">
        <v>200</v>
      </c>
      <c r="X1301" s="210">
        <v>196.07843137254901</v>
      </c>
      <c r="Y1301" s="210">
        <v>3.92156862745099</v>
      </c>
      <c r="Z1301" s="210">
        <v>7252.2</v>
      </c>
      <c r="AA1301" s="210">
        <v>2747.8</v>
      </c>
      <c r="AB1301" s="208">
        <f t="shared" si="318"/>
        <v>7252.2</v>
      </c>
      <c r="AC1301" s="209">
        <f t="shared" si="319"/>
        <v>0</v>
      </c>
      <c r="AD1301" s="218">
        <v>7110</v>
      </c>
      <c r="AE1301" s="217">
        <v>0</v>
      </c>
      <c r="AF1301" s="204">
        <f t="shared" si="320"/>
        <v>0</v>
      </c>
      <c r="AG1301" s="204"/>
      <c r="AH1301" s="210"/>
      <c r="AI1301" s="210"/>
      <c r="AJ1301" s="221" t="s">
        <v>173</v>
      </c>
      <c r="AK1301" s="212"/>
      <c r="AL1301" s="212"/>
    </row>
    <row r="1302" spans="1:38" s="125" customFormat="1" ht="14.25" x14ac:dyDescent="0.3">
      <c r="A1302" s="124">
        <v>2017</v>
      </c>
      <c r="B1302" s="124" t="s">
        <v>38</v>
      </c>
      <c r="C1302" s="124" t="s">
        <v>59</v>
      </c>
      <c r="D1302" s="124" t="s">
        <v>154</v>
      </c>
      <c r="E1302" s="124" t="s">
        <v>107</v>
      </c>
      <c r="F1302" s="124" t="s">
        <v>1180</v>
      </c>
      <c r="G1302" s="124" t="s">
        <v>1180</v>
      </c>
      <c r="H1302" s="124" t="s">
        <v>1180</v>
      </c>
      <c r="I1302" s="175" t="s">
        <v>1174</v>
      </c>
      <c r="J1302" s="176" t="s">
        <v>44</v>
      </c>
      <c r="K1302" s="124" t="s">
        <v>1175</v>
      </c>
      <c r="L1302" s="124" t="s">
        <v>1181</v>
      </c>
      <c r="M1302" s="124" t="s">
        <v>46</v>
      </c>
      <c r="N1302" s="184">
        <v>0.02</v>
      </c>
      <c r="O1302" s="184" t="s">
        <v>173</v>
      </c>
      <c r="P1302" s="184" t="s">
        <v>51</v>
      </c>
      <c r="Q1302" s="204">
        <v>0</v>
      </c>
      <c r="R1302" s="204">
        <v>0</v>
      </c>
      <c r="S1302" s="204">
        <v>50000</v>
      </c>
      <c r="T1302" s="204">
        <v>1000</v>
      </c>
      <c r="U1302" s="204">
        <v>51000</v>
      </c>
      <c r="V1302" s="204">
        <v>51000</v>
      </c>
      <c r="W1302" s="204">
        <v>1000</v>
      </c>
      <c r="X1302" s="204">
        <v>980.39215686274497</v>
      </c>
      <c r="Y1302" s="204">
        <v>19.6078431372549</v>
      </c>
      <c r="Z1302" s="204">
        <v>39296</v>
      </c>
      <c r="AA1302" s="204">
        <v>9278.7199999999993</v>
      </c>
      <c r="AB1302" s="208">
        <f t="shared" si="318"/>
        <v>38525.490196078434</v>
      </c>
      <c r="AC1302" s="209">
        <f t="shared" si="319"/>
        <v>770.50980392156634</v>
      </c>
      <c r="AD1302" s="216">
        <v>38525.490196078397</v>
      </c>
      <c r="AE1302" s="217">
        <v>0</v>
      </c>
      <c r="AF1302" s="204">
        <f t="shared" si="320"/>
        <v>0</v>
      </c>
      <c r="AG1302" s="204"/>
      <c r="AH1302" s="204"/>
      <c r="AI1302" s="204"/>
      <c r="AJ1302" s="220" t="s">
        <v>173</v>
      </c>
      <c r="AK1302" s="124"/>
      <c r="AL1302" s="124"/>
    </row>
    <row r="1303" spans="1:38" s="125" customFormat="1" ht="14.25" x14ac:dyDescent="0.3">
      <c r="A1303" s="124">
        <v>2017</v>
      </c>
      <c r="B1303" s="124" t="s">
        <v>38</v>
      </c>
      <c r="C1303" s="124" t="s">
        <v>59</v>
      </c>
      <c r="D1303" s="124" t="s">
        <v>154</v>
      </c>
      <c r="E1303" s="124" t="s">
        <v>107</v>
      </c>
      <c r="F1303" s="124" t="s">
        <v>1180</v>
      </c>
      <c r="G1303" s="124" t="s">
        <v>1180</v>
      </c>
      <c r="H1303" s="124" t="s">
        <v>1180</v>
      </c>
      <c r="I1303" s="175" t="s">
        <v>1174</v>
      </c>
      <c r="J1303" s="176" t="s">
        <v>44</v>
      </c>
      <c r="K1303" s="124" t="s">
        <v>1175</v>
      </c>
      <c r="L1303" s="124" t="s">
        <v>1181</v>
      </c>
      <c r="M1303" s="124" t="s">
        <v>185</v>
      </c>
      <c r="N1303" s="183">
        <v>0.04</v>
      </c>
      <c r="O1303" s="183">
        <v>0.04</v>
      </c>
      <c r="P1303" s="184" t="s">
        <v>51</v>
      </c>
      <c r="Q1303" s="204">
        <v>0</v>
      </c>
      <c r="R1303" s="204">
        <v>0</v>
      </c>
      <c r="S1303" s="204"/>
      <c r="T1303" s="204"/>
      <c r="U1303" s="204"/>
      <c r="V1303" s="204">
        <v>0</v>
      </c>
      <c r="W1303" s="204"/>
      <c r="X1303" s="204"/>
      <c r="Y1303" s="204"/>
      <c r="Z1303" s="204">
        <v>1504</v>
      </c>
      <c r="AA1303" s="204"/>
      <c r="AB1303" s="208">
        <f t="shared" si="318"/>
        <v>1446.1538461538462</v>
      </c>
      <c r="AC1303" s="209">
        <f t="shared" si="319"/>
        <v>57.846153846153811</v>
      </c>
      <c r="AD1303" s="216">
        <v>1446.1538461538501</v>
      </c>
      <c r="AE1303" s="217">
        <v>0</v>
      </c>
      <c r="AF1303" s="204">
        <f t="shared" si="320"/>
        <v>0</v>
      </c>
      <c r="AG1303" s="204"/>
      <c r="AH1303" s="204"/>
      <c r="AI1303" s="204"/>
      <c r="AJ1303" s="220"/>
      <c r="AK1303" s="124"/>
      <c r="AL1303" s="124"/>
    </row>
    <row r="1304" spans="1:38" s="125" customFormat="1" ht="14.25" x14ac:dyDescent="0.3">
      <c r="A1304" s="124">
        <v>2017</v>
      </c>
      <c r="B1304" s="124" t="s">
        <v>38</v>
      </c>
      <c r="C1304" s="124" t="s">
        <v>59</v>
      </c>
      <c r="D1304" s="124" t="s">
        <v>60</v>
      </c>
      <c r="E1304" s="124" t="s">
        <v>107</v>
      </c>
      <c r="F1304" s="124" t="s">
        <v>981</v>
      </c>
      <c r="G1304" s="124" t="s">
        <v>981</v>
      </c>
      <c r="H1304" s="124" t="s">
        <v>981</v>
      </c>
      <c r="I1304" s="175" t="s">
        <v>1174</v>
      </c>
      <c r="J1304" s="176" t="s">
        <v>44</v>
      </c>
      <c r="K1304" s="124" t="s">
        <v>1175</v>
      </c>
      <c r="L1304" s="124" t="s">
        <v>1182</v>
      </c>
      <c r="M1304" s="124" t="s">
        <v>185</v>
      </c>
      <c r="N1304" s="184">
        <v>0.04</v>
      </c>
      <c r="O1304" s="184" t="s">
        <v>186</v>
      </c>
      <c r="P1304" s="184" t="s">
        <v>51</v>
      </c>
      <c r="Q1304" s="204">
        <v>0</v>
      </c>
      <c r="R1304" s="204">
        <v>0</v>
      </c>
      <c r="S1304" s="204">
        <v>40000</v>
      </c>
      <c r="T1304" s="204">
        <v>1600</v>
      </c>
      <c r="U1304" s="204">
        <v>41600</v>
      </c>
      <c r="V1304" s="204">
        <v>41600</v>
      </c>
      <c r="W1304" s="204">
        <v>1600</v>
      </c>
      <c r="X1304" s="204">
        <v>1538.4615384615399</v>
      </c>
      <c r="Y1304" s="204">
        <v>61.538461538461704</v>
      </c>
      <c r="Z1304" s="204">
        <v>11191.57</v>
      </c>
      <c r="AA1304" s="204">
        <v>28808.43</v>
      </c>
      <c r="AB1304" s="208">
        <f t="shared" si="318"/>
        <v>10761.125</v>
      </c>
      <c r="AC1304" s="209">
        <f t="shared" si="319"/>
        <v>430.44499999999971</v>
      </c>
      <c r="AD1304" s="216">
        <v>10761.125</v>
      </c>
      <c r="AE1304" s="217">
        <v>0</v>
      </c>
      <c r="AF1304" s="204">
        <f t="shared" si="320"/>
        <v>0</v>
      </c>
      <c r="AG1304" s="204"/>
      <c r="AH1304" s="204"/>
      <c r="AI1304" s="204"/>
      <c r="AJ1304" s="220" t="s">
        <v>186</v>
      </c>
      <c r="AK1304" s="124"/>
      <c r="AL1304" s="124"/>
    </row>
    <row r="1305" spans="1:38" s="125" customFormat="1" ht="14.25" x14ac:dyDescent="0.3">
      <c r="A1305" s="124">
        <v>2017</v>
      </c>
      <c r="B1305" s="212" t="s">
        <v>38</v>
      </c>
      <c r="C1305" s="212" t="s">
        <v>54</v>
      </c>
      <c r="D1305" s="212" t="s">
        <v>55</v>
      </c>
      <c r="E1305" s="212" t="s">
        <v>56</v>
      </c>
      <c r="F1305" s="212" t="s">
        <v>57</v>
      </c>
      <c r="G1305" s="212" t="s">
        <v>57</v>
      </c>
      <c r="H1305" s="212" t="s">
        <v>57</v>
      </c>
      <c r="I1305" s="175" t="s">
        <v>1174</v>
      </c>
      <c r="J1305" s="176" t="s">
        <v>44</v>
      </c>
      <c r="K1305" s="212" t="s">
        <v>1175</v>
      </c>
      <c r="L1305" s="212" t="s">
        <v>1183</v>
      </c>
      <c r="M1305" s="212" t="s">
        <v>46</v>
      </c>
      <c r="N1305" s="184">
        <v>0.02</v>
      </c>
      <c r="O1305" s="184" t="s">
        <v>173</v>
      </c>
      <c r="P1305" s="184" t="s">
        <v>51</v>
      </c>
      <c r="Q1305" s="210">
        <v>0</v>
      </c>
      <c r="R1305" s="210">
        <v>0</v>
      </c>
      <c r="S1305" s="210">
        <v>170000</v>
      </c>
      <c r="T1305" s="210">
        <v>3400</v>
      </c>
      <c r="U1305" s="210">
        <v>173400</v>
      </c>
      <c r="V1305" s="204">
        <v>330000</v>
      </c>
      <c r="W1305" s="210">
        <v>3400</v>
      </c>
      <c r="X1305" s="210">
        <v>3333.3333333333298</v>
      </c>
      <c r="Y1305" s="210">
        <v>66.666666666666501</v>
      </c>
      <c r="Z1305" s="207">
        <v>260617.60000000001</v>
      </c>
      <c r="AA1305" s="207">
        <v>62525</v>
      </c>
      <c r="AB1305" s="208">
        <f t="shared" si="318"/>
        <v>255507.45098039217</v>
      </c>
      <c r="AC1305" s="209">
        <f t="shared" si="319"/>
        <v>5110.1490196078375</v>
      </c>
      <c r="AD1305" s="218">
        <v>255507.45098039199</v>
      </c>
      <c r="AE1305" s="217">
        <v>0</v>
      </c>
      <c r="AF1305" s="204">
        <f t="shared" si="320"/>
        <v>0</v>
      </c>
      <c r="AG1305" s="204"/>
      <c r="AH1305" s="210"/>
      <c r="AI1305" s="210"/>
      <c r="AJ1305" s="221" t="s">
        <v>173</v>
      </c>
      <c r="AK1305" s="212"/>
      <c r="AL1305" s="212"/>
    </row>
    <row r="1306" spans="1:38" s="125" customFormat="1" ht="14.25" x14ac:dyDescent="0.3">
      <c r="A1306" s="124">
        <v>2017</v>
      </c>
      <c r="B1306" s="212" t="s">
        <v>38</v>
      </c>
      <c r="C1306" s="212" t="s">
        <v>54</v>
      </c>
      <c r="D1306" s="212" t="s">
        <v>55</v>
      </c>
      <c r="E1306" s="212" t="s">
        <v>368</v>
      </c>
      <c r="F1306" s="212" t="s">
        <v>1184</v>
      </c>
      <c r="G1306" s="212" t="s">
        <v>1184</v>
      </c>
      <c r="H1306" s="212" t="s">
        <v>1184</v>
      </c>
      <c r="I1306" s="175" t="s">
        <v>1174</v>
      </c>
      <c r="J1306" s="176" t="s">
        <v>44</v>
      </c>
      <c r="K1306" s="212" t="s">
        <v>1175</v>
      </c>
      <c r="L1306" s="124" t="s">
        <v>1185</v>
      </c>
      <c r="M1306" s="212" t="s">
        <v>46</v>
      </c>
      <c r="N1306" s="184">
        <v>0.06</v>
      </c>
      <c r="O1306" s="184" t="s">
        <v>193</v>
      </c>
      <c r="P1306" s="184" t="s">
        <v>51</v>
      </c>
      <c r="Q1306" s="210">
        <v>0</v>
      </c>
      <c r="R1306" s="210">
        <v>0</v>
      </c>
      <c r="S1306" s="210">
        <v>430000</v>
      </c>
      <c r="T1306" s="210">
        <v>25800</v>
      </c>
      <c r="U1306" s="210">
        <v>455800</v>
      </c>
      <c r="V1306" s="204">
        <v>468800.01919999998</v>
      </c>
      <c r="W1306" s="210">
        <v>25800</v>
      </c>
      <c r="X1306" s="210">
        <v>24339.622641509399</v>
      </c>
      <c r="Y1306" s="210">
        <v>1460.37735849057</v>
      </c>
      <c r="Z1306" s="207">
        <v>430502.6</v>
      </c>
      <c r="AA1306" s="207">
        <v>-502.599999999977</v>
      </c>
      <c r="AB1306" s="208">
        <f t="shared" si="318"/>
        <v>406134.52830188675</v>
      </c>
      <c r="AC1306" s="209">
        <f t="shared" si="319"/>
        <v>24368.071698113228</v>
      </c>
      <c r="AD1306" s="218">
        <v>406134.52830188698</v>
      </c>
      <c r="AE1306" s="217">
        <v>0</v>
      </c>
      <c r="AF1306" s="204">
        <f t="shared" si="320"/>
        <v>0</v>
      </c>
      <c r="AG1306" s="204"/>
      <c r="AH1306" s="210"/>
      <c r="AI1306" s="210"/>
      <c r="AJ1306" s="221" t="s">
        <v>193</v>
      </c>
      <c r="AK1306" s="212"/>
      <c r="AL1306" s="212"/>
    </row>
    <row r="1307" spans="1:38" s="125" customFormat="1" ht="14.25" x14ac:dyDescent="0.3">
      <c r="A1307" s="124">
        <v>2017</v>
      </c>
      <c r="B1307" s="124" t="s">
        <v>38</v>
      </c>
      <c r="C1307" s="124" t="s">
        <v>75</v>
      </c>
      <c r="D1307" s="124" t="s">
        <v>256</v>
      </c>
      <c r="E1307" s="124" t="s">
        <v>257</v>
      </c>
      <c r="F1307" s="124" t="s">
        <v>933</v>
      </c>
      <c r="G1307" s="124" t="s">
        <v>933</v>
      </c>
      <c r="H1307" s="124" t="s">
        <v>933</v>
      </c>
      <c r="I1307" s="175" t="s">
        <v>1174</v>
      </c>
      <c r="J1307" s="176" t="s">
        <v>44</v>
      </c>
      <c r="K1307" s="124" t="s">
        <v>1175</v>
      </c>
      <c r="L1307" s="124" t="s">
        <v>1186</v>
      </c>
      <c r="M1307" s="124" t="s">
        <v>46</v>
      </c>
      <c r="N1307" s="184">
        <v>0.02</v>
      </c>
      <c r="O1307" s="184" t="s">
        <v>173</v>
      </c>
      <c r="P1307" s="184" t="s">
        <v>51</v>
      </c>
      <c r="Q1307" s="204">
        <v>0</v>
      </c>
      <c r="R1307" s="204">
        <v>0</v>
      </c>
      <c r="S1307" s="204">
        <v>100000</v>
      </c>
      <c r="T1307" s="204">
        <v>2000</v>
      </c>
      <c r="U1307" s="204">
        <v>102000</v>
      </c>
      <c r="V1307" s="204">
        <v>604000</v>
      </c>
      <c r="W1307" s="204">
        <v>2000</v>
      </c>
      <c r="X1307" s="204">
        <v>1960.7843137254899</v>
      </c>
      <c r="Y1307" s="204">
        <v>39.2156862745098</v>
      </c>
      <c r="Z1307" s="205">
        <v>499323.3</v>
      </c>
      <c r="AA1307" s="205">
        <v>100000</v>
      </c>
      <c r="AB1307" s="208">
        <f t="shared" si="318"/>
        <v>489532.6470588235</v>
      </c>
      <c r="AC1307" s="209">
        <f t="shared" si="319"/>
        <v>9790.6529411764932</v>
      </c>
      <c r="AD1307" s="216">
        <v>489532.64705882297</v>
      </c>
      <c r="AE1307" s="217">
        <v>0</v>
      </c>
      <c r="AF1307" s="204">
        <f t="shared" si="320"/>
        <v>0</v>
      </c>
      <c r="AG1307" s="204"/>
      <c r="AH1307" s="204"/>
      <c r="AI1307" s="204"/>
      <c r="AJ1307" s="220" t="s">
        <v>173</v>
      </c>
      <c r="AK1307" s="124"/>
      <c r="AL1307" s="124"/>
    </row>
    <row r="1308" spans="1:38" s="125" customFormat="1" ht="14.25" x14ac:dyDescent="0.3">
      <c r="A1308" s="124">
        <v>2017</v>
      </c>
      <c r="B1308" s="124" t="s">
        <v>38</v>
      </c>
      <c r="C1308" s="124" t="s">
        <v>59</v>
      </c>
      <c r="D1308" s="124" t="s">
        <v>181</v>
      </c>
      <c r="E1308" s="124" t="s">
        <v>131</v>
      </c>
      <c r="F1308" s="124" t="s">
        <v>1187</v>
      </c>
      <c r="G1308" s="124" t="s">
        <v>1187</v>
      </c>
      <c r="H1308" s="124" t="s">
        <v>1187</v>
      </c>
      <c r="I1308" s="175" t="s">
        <v>1174</v>
      </c>
      <c r="J1308" s="176" t="s">
        <v>44</v>
      </c>
      <c r="K1308" s="124" t="s">
        <v>1175</v>
      </c>
      <c r="L1308" s="124" t="s">
        <v>1188</v>
      </c>
      <c r="M1308" s="124" t="s">
        <v>46</v>
      </c>
      <c r="N1308" s="184">
        <v>0.04</v>
      </c>
      <c r="O1308" s="184" t="s">
        <v>186</v>
      </c>
      <c r="P1308" s="184" t="s">
        <v>51</v>
      </c>
      <c r="Q1308" s="204">
        <v>0</v>
      </c>
      <c r="R1308" s="204">
        <v>0</v>
      </c>
      <c r="S1308" s="204">
        <v>40000</v>
      </c>
      <c r="T1308" s="204">
        <v>1600</v>
      </c>
      <c r="U1308" s="204">
        <v>41600</v>
      </c>
      <c r="V1308" s="204">
        <v>40800</v>
      </c>
      <c r="W1308" s="204">
        <v>1600</v>
      </c>
      <c r="X1308" s="204">
        <v>1538.4615384615399</v>
      </c>
      <c r="Y1308" s="204">
        <v>61.538461538461704</v>
      </c>
      <c r="Z1308" s="204">
        <v>40800</v>
      </c>
      <c r="AA1308" s="204">
        <v>-800</v>
      </c>
      <c r="AB1308" s="208">
        <f t="shared" si="318"/>
        <v>39230.769230769227</v>
      </c>
      <c r="AC1308" s="209">
        <f t="shared" si="319"/>
        <v>1569.2307692307731</v>
      </c>
      <c r="AD1308" s="216">
        <v>39230.769230769198</v>
      </c>
      <c r="AE1308" s="217">
        <v>0</v>
      </c>
      <c r="AF1308" s="204">
        <f t="shared" si="320"/>
        <v>0</v>
      </c>
      <c r="AG1308" s="204"/>
      <c r="AH1308" s="204"/>
      <c r="AI1308" s="204"/>
      <c r="AJ1308" s="220" t="s">
        <v>186</v>
      </c>
      <c r="AK1308" s="124"/>
      <c r="AL1308" s="124"/>
    </row>
    <row r="1309" spans="1:38" s="125" customFormat="1" ht="14.25" x14ac:dyDescent="0.3">
      <c r="A1309" s="124">
        <v>2017</v>
      </c>
      <c r="B1309" s="124" t="s">
        <v>38</v>
      </c>
      <c r="C1309" s="124" t="s">
        <v>75</v>
      </c>
      <c r="D1309" s="124" t="s">
        <v>76</v>
      </c>
      <c r="E1309" s="124" t="s">
        <v>175</v>
      </c>
      <c r="F1309" s="124" t="s">
        <v>177</v>
      </c>
      <c r="G1309" s="124" t="s">
        <v>177</v>
      </c>
      <c r="H1309" s="124" t="s">
        <v>177</v>
      </c>
      <c r="I1309" s="175" t="s">
        <v>1174</v>
      </c>
      <c r="J1309" s="176" t="s">
        <v>44</v>
      </c>
      <c r="K1309" s="124" t="s">
        <v>1175</v>
      </c>
      <c r="L1309" s="124" t="s">
        <v>1189</v>
      </c>
      <c r="M1309" s="124" t="s">
        <v>46</v>
      </c>
      <c r="N1309" s="184">
        <v>0.06</v>
      </c>
      <c r="O1309" s="184" t="s">
        <v>193</v>
      </c>
      <c r="P1309" s="184" t="s">
        <v>51</v>
      </c>
      <c r="Q1309" s="204">
        <v>0</v>
      </c>
      <c r="R1309" s="204">
        <v>0</v>
      </c>
      <c r="S1309" s="204">
        <v>100000</v>
      </c>
      <c r="T1309" s="204">
        <v>6000</v>
      </c>
      <c r="U1309" s="204">
        <v>106000</v>
      </c>
      <c r="V1309" s="204">
        <v>5800000</v>
      </c>
      <c r="W1309" s="204">
        <v>6000</v>
      </c>
      <c r="X1309" s="204">
        <v>5660.3773584905703</v>
      </c>
      <c r="Y1309" s="204">
        <v>339.622641509434</v>
      </c>
      <c r="Z1309" s="204">
        <v>5799884.0999999996</v>
      </c>
      <c r="AA1309" s="204">
        <v>100000</v>
      </c>
      <c r="AB1309" s="208">
        <f t="shared" si="318"/>
        <v>5471588.7735849051</v>
      </c>
      <c r="AC1309" s="209">
        <f t="shared" si="319"/>
        <v>328295.32641509455</v>
      </c>
      <c r="AD1309" s="216">
        <v>5471588.7735849097</v>
      </c>
      <c r="AE1309" s="217">
        <v>0</v>
      </c>
      <c r="AF1309" s="204">
        <f t="shared" si="320"/>
        <v>0</v>
      </c>
      <c r="AG1309" s="204"/>
      <c r="AH1309" s="204"/>
      <c r="AI1309" s="204"/>
      <c r="AJ1309" s="220" t="s">
        <v>193</v>
      </c>
      <c r="AK1309" s="124"/>
      <c r="AL1309" s="124"/>
    </row>
    <row r="1310" spans="1:38" s="125" customFormat="1" ht="14.25" x14ac:dyDescent="0.3">
      <c r="A1310" s="124">
        <v>2017</v>
      </c>
      <c r="B1310" s="124" t="s">
        <v>38</v>
      </c>
      <c r="C1310" s="124" t="s">
        <v>110</v>
      </c>
      <c r="D1310" s="124" t="s">
        <v>111</v>
      </c>
      <c r="E1310" s="124" t="s">
        <v>112</v>
      </c>
      <c r="F1310" s="124" t="s">
        <v>1009</v>
      </c>
      <c r="G1310" s="124" t="s">
        <v>1009</v>
      </c>
      <c r="H1310" s="124" t="s">
        <v>1009</v>
      </c>
      <c r="I1310" s="175" t="s">
        <v>1174</v>
      </c>
      <c r="J1310" s="176" t="s">
        <v>44</v>
      </c>
      <c r="K1310" s="124" t="s">
        <v>1175</v>
      </c>
      <c r="L1310" s="124" t="s">
        <v>1190</v>
      </c>
      <c r="M1310" s="124" t="s">
        <v>46</v>
      </c>
      <c r="N1310" s="184">
        <v>0.04</v>
      </c>
      <c r="O1310" s="184" t="s">
        <v>186</v>
      </c>
      <c r="P1310" s="184" t="s">
        <v>51</v>
      </c>
      <c r="Q1310" s="204">
        <v>0</v>
      </c>
      <c r="R1310" s="204">
        <v>0</v>
      </c>
      <c r="S1310" s="204">
        <v>8949.7999999999993</v>
      </c>
      <c r="T1310" s="204">
        <v>357.99200000000002</v>
      </c>
      <c r="U1310" s="204">
        <v>9307.7919999999995</v>
      </c>
      <c r="V1310" s="204">
        <v>10800</v>
      </c>
      <c r="W1310" s="204">
        <v>357.99200000000002</v>
      </c>
      <c r="X1310" s="204">
        <v>344.22307692307697</v>
      </c>
      <c r="Y1310" s="204">
        <v>13.7689230769231</v>
      </c>
      <c r="Z1310" s="204">
        <v>697.42</v>
      </c>
      <c r="AA1310" s="204">
        <v>-357.990000000002</v>
      </c>
      <c r="AB1310" s="208">
        <f t="shared" si="318"/>
        <v>670.59615384615381</v>
      </c>
      <c r="AC1310" s="209">
        <f t="shared" si="319"/>
        <v>26.823846153846148</v>
      </c>
      <c r="AD1310" s="216">
        <v>670.59615384615404</v>
      </c>
      <c r="AE1310" s="217">
        <v>0</v>
      </c>
      <c r="AF1310" s="204">
        <f t="shared" si="320"/>
        <v>0</v>
      </c>
      <c r="AG1310" s="204"/>
      <c r="AH1310" s="204"/>
      <c r="AI1310" s="204"/>
      <c r="AJ1310" s="220" t="s">
        <v>186</v>
      </c>
      <c r="AK1310" s="124"/>
      <c r="AL1310" s="124"/>
    </row>
    <row r="1311" spans="1:38" s="125" customFormat="1" ht="14.25" x14ac:dyDescent="0.3">
      <c r="A1311" s="124">
        <v>2017</v>
      </c>
      <c r="B1311" s="124" t="s">
        <v>38</v>
      </c>
      <c r="C1311" s="124" t="s">
        <v>110</v>
      </c>
      <c r="D1311" s="124" t="s">
        <v>111</v>
      </c>
      <c r="E1311" s="124" t="s">
        <v>112</v>
      </c>
      <c r="F1311" s="124" t="s">
        <v>630</v>
      </c>
      <c r="G1311" s="124" t="s">
        <v>630</v>
      </c>
      <c r="H1311" s="124" t="s">
        <v>630</v>
      </c>
      <c r="I1311" s="175" t="s">
        <v>1174</v>
      </c>
      <c r="J1311" s="176" t="s">
        <v>44</v>
      </c>
      <c r="K1311" s="124" t="s">
        <v>1175</v>
      </c>
      <c r="L1311" s="124" t="s">
        <v>1191</v>
      </c>
      <c r="M1311" s="124" t="s">
        <v>46</v>
      </c>
      <c r="N1311" s="184">
        <v>0.04</v>
      </c>
      <c r="O1311" s="184" t="s">
        <v>1192</v>
      </c>
      <c r="P1311" s="184" t="s">
        <v>495</v>
      </c>
      <c r="Q1311" s="204">
        <v>0</v>
      </c>
      <c r="R1311" s="204">
        <v>0</v>
      </c>
      <c r="S1311" s="204">
        <v>123859.69</v>
      </c>
      <c r="T1311" s="204">
        <v>4954.3876</v>
      </c>
      <c r="U1311" s="204">
        <v>128814.0776</v>
      </c>
      <c r="V1311" s="204">
        <v>10000.0056</v>
      </c>
      <c r="W1311" s="204">
        <v>4954.3876</v>
      </c>
      <c r="X1311" s="204">
        <v>4763.8342307692301</v>
      </c>
      <c r="Y1311" s="204">
        <v>190.55336923076899</v>
      </c>
      <c r="Z1311" s="204">
        <v>10000</v>
      </c>
      <c r="AA1311" s="204">
        <v>-4954.3100000000004</v>
      </c>
      <c r="AB1311" s="208">
        <f t="shared" si="318"/>
        <v>10000</v>
      </c>
      <c r="AC1311" s="209">
        <f t="shared" si="319"/>
        <v>400</v>
      </c>
      <c r="AD1311" s="216">
        <v>10000</v>
      </c>
      <c r="AE1311" s="217">
        <v>0</v>
      </c>
      <c r="AF1311" s="204">
        <f t="shared" si="320"/>
        <v>0</v>
      </c>
      <c r="AG1311" s="204"/>
      <c r="AH1311" s="204"/>
      <c r="AI1311" s="204"/>
      <c r="AJ1311" s="220" t="s">
        <v>1192</v>
      </c>
      <c r="AK1311" s="124"/>
      <c r="AL1311" s="124"/>
    </row>
    <row r="1312" spans="1:38" s="125" customFormat="1" ht="14.25" x14ac:dyDescent="0.3">
      <c r="A1312" s="124">
        <v>2017</v>
      </c>
      <c r="B1312" s="124" t="s">
        <v>38</v>
      </c>
      <c r="C1312" s="124" t="s">
        <v>110</v>
      </c>
      <c r="D1312" s="124" t="s">
        <v>111</v>
      </c>
      <c r="E1312" s="124" t="s">
        <v>253</v>
      </c>
      <c r="F1312" s="124" t="s">
        <v>630</v>
      </c>
      <c r="G1312" s="124" t="s">
        <v>630</v>
      </c>
      <c r="H1312" s="124" t="s">
        <v>630</v>
      </c>
      <c r="I1312" s="175" t="s">
        <v>1174</v>
      </c>
      <c r="J1312" s="176" t="s">
        <v>44</v>
      </c>
      <c r="K1312" s="124" t="s">
        <v>1175</v>
      </c>
      <c r="L1312" s="124" t="s">
        <v>1191</v>
      </c>
      <c r="M1312" s="124" t="s">
        <v>185</v>
      </c>
      <c r="N1312" s="184">
        <v>0.08</v>
      </c>
      <c r="O1312" s="184" t="s">
        <v>53</v>
      </c>
      <c r="P1312" s="184" t="s">
        <v>51</v>
      </c>
      <c r="Q1312" s="204">
        <v>0</v>
      </c>
      <c r="R1312" s="204">
        <v>0</v>
      </c>
      <c r="S1312" s="204">
        <v>13888.89</v>
      </c>
      <c r="T1312" s="204">
        <v>1111.1112000000001</v>
      </c>
      <c r="U1312" s="204">
        <v>15000.001200000001</v>
      </c>
      <c r="V1312" s="204">
        <v>0</v>
      </c>
      <c r="W1312" s="204">
        <v>1111.1112000000001</v>
      </c>
      <c r="X1312" s="204">
        <v>1028.80666666667</v>
      </c>
      <c r="Y1312" s="204">
        <v>82.304533333333396</v>
      </c>
      <c r="Z1312" s="204">
        <v>0</v>
      </c>
      <c r="AA1312" s="204">
        <v>7177.03</v>
      </c>
      <c r="AB1312" s="208">
        <f t="shared" si="318"/>
        <v>0</v>
      </c>
      <c r="AC1312" s="209">
        <f t="shared" si="319"/>
        <v>0</v>
      </c>
      <c r="AD1312" s="216">
        <v>0</v>
      </c>
      <c r="AE1312" s="217">
        <v>0</v>
      </c>
      <c r="AF1312" s="204">
        <f t="shared" si="320"/>
        <v>0</v>
      </c>
      <c r="AG1312" s="204"/>
      <c r="AH1312" s="204"/>
      <c r="AI1312" s="204"/>
      <c r="AJ1312" s="220" t="s">
        <v>53</v>
      </c>
      <c r="AK1312" s="124"/>
      <c r="AL1312" s="124"/>
    </row>
    <row r="1313" spans="1:38" s="125" customFormat="1" ht="14.25" x14ac:dyDescent="0.3">
      <c r="A1313" s="124">
        <v>2017</v>
      </c>
      <c r="B1313" s="124" t="s">
        <v>38</v>
      </c>
      <c r="C1313" s="124" t="s">
        <v>433</v>
      </c>
      <c r="D1313" s="124" t="s">
        <v>1193</v>
      </c>
      <c r="E1313" s="124" t="s">
        <v>435</v>
      </c>
      <c r="F1313" s="124" t="s">
        <v>1194</v>
      </c>
      <c r="G1313" s="124" t="s">
        <v>1194</v>
      </c>
      <c r="H1313" s="124" t="s">
        <v>1194</v>
      </c>
      <c r="I1313" s="175" t="s">
        <v>1174</v>
      </c>
      <c r="J1313" s="176" t="s">
        <v>44</v>
      </c>
      <c r="K1313" s="124" t="s">
        <v>1175</v>
      </c>
      <c r="L1313" s="124" t="s">
        <v>1195</v>
      </c>
      <c r="M1313" s="124" t="s">
        <v>185</v>
      </c>
      <c r="N1313" s="184">
        <v>0.12</v>
      </c>
      <c r="O1313" s="184" t="s">
        <v>117</v>
      </c>
      <c r="P1313" s="184" t="s">
        <v>51</v>
      </c>
      <c r="Q1313" s="204">
        <v>0</v>
      </c>
      <c r="R1313" s="204">
        <v>0</v>
      </c>
      <c r="S1313" s="204">
        <v>1672.71</v>
      </c>
      <c r="T1313" s="204">
        <v>200.7252</v>
      </c>
      <c r="U1313" s="204">
        <v>1873.4351999999999</v>
      </c>
      <c r="V1313" s="204">
        <v>1873.4351999999999</v>
      </c>
      <c r="W1313" s="204">
        <v>200.7252</v>
      </c>
      <c r="X1313" s="204">
        <v>179.21892857142899</v>
      </c>
      <c r="Y1313" s="204">
        <v>21.506271428571502</v>
      </c>
      <c r="Z1313" s="204">
        <v>1873</v>
      </c>
      <c r="AA1313" s="204">
        <v>-200.29</v>
      </c>
      <c r="AB1313" s="208">
        <f t="shared" si="318"/>
        <v>1672.3214285714284</v>
      </c>
      <c r="AC1313" s="209">
        <f t="shared" si="319"/>
        <v>200.67857142857156</v>
      </c>
      <c r="AD1313" s="216">
        <v>1672.32142857143</v>
      </c>
      <c r="AE1313" s="217">
        <v>0</v>
      </c>
      <c r="AF1313" s="204">
        <f t="shared" si="320"/>
        <v>0</v>
      </c>
      <c r="AG1313" s="204"/>
      <c r="AH1313" s="204"/>
      <c r="AI1313" s="204"/>
      <c r="AJ1313" s="220" t="s">
        <v>117</v>
      </c>
      <c r="AK1313" s="124"/>
      <c r="AL1313" s="124"/>
    </row>
    <row r="1314" spans="1:38" s="125" customFormat="1" ht="14.25" x14ac:dyDescent="0.3">
      <c r="A1314" s="124">
        <v>2017</v>
      </c>
      <c r="B1314" s="124" t="s">
        <v>38</v>
      </c>
      <c r="C1314" s="124" t="s">
        <v>39</v>
      </c>
      <c r="D1314" s="124" t="s">
        <v>40</v>
      </c>
      <c r="E1314" s="124" t="s">
        <v>71</v>
      </c>
      <c r="F1314" s="124" t="s">
        <v>1196</v>
      </c>
      <c r="G1314" s="124" t="s">
        <v>1196</v>
      </c>
      <c r="H1314" s="124" t="s">
        <v>1196</v>
      </c>
      <c r="I1314" s="175" t="s">
        <v>1174</v>
      </c>
      <c r="J1314" s="176" t="s">
        <v>44</v>
      </c>
      <c r="K1314" s="124" t="s">
        <v>1175</v>
      </c>
      <c r="L1314" s="124" t="s">
        <v>1197</v>
      </c>
      <c r="M1314" s="124" t="s">
        <v>185</v>
      </c>
      <c r="N1314" s="184">
        <v>0.11</v>
      </c>
      <c r="O1314" s="184" t="s">
        <v>94</v>
      </c>
      <c r="P1314" s="184" t="s">
        <v>51</v>
      </c>
      <c r="Q1314" s="204">
        <v>0</v>
      </c>
      <c r="R1314" s="204">
        <v>0</v>
      </c>
      <c r="S1314" s="204">
        <v>4505</v>
      </c>
      <c r="T1314" s="204">
        <v>495.55</v>
      </c>
      <c r="U1314" s="204">
        <v>5000.55</v>
      </c>
      <c r="V1314" s="204">
        <v>5000.55</v>
      </c>
      <c r="W1314" s="204">
        <v>495.55</v>
      </c>
      <c r="X1314" s="204">
        <v>446.44144144144201</v>
      </c>
      <c r="Y1314" s="204">
        <v>49.108558558558599</v>
      </c>
      <c r="Z1314" s="204">
        <v>5000</v>
      </c>
      <c r="AA1314" s="204">
        <v>-495</v>
      </c>
      <c r="AB1314" s="208">
        <f t="shared" si="318"/>
        <v>4504.5045045045044</v>
      </c>
      <c r="AC1314" s="209">
        <f t="shared" si="319"/>
        <v>495.49549549549556</v>
      </c>
      <c r="AD1314" s="216">
        <v>4504.5045045044999</v>
      </c>
      <c r="AE1314" s="217">
        <v>0</v>
      </c>
      <c r="AF1314" s="204">
        <f t="shared" si="320"/>
        <v>0</v>
      </c>
      <c r="AG1314" s="204"/>
      <c r="AH1314" s="204"/>
      <c r="AI1314" s="204"/>
      <c r="AJ1314" s="220" t="s">
        <v>94</v>
      </c>
      <c r="AK1314" s="124"/>
      <c r="AL1314" s="124"/>
    </row>
    <row r="1315" spans="1:38" s="125" customFormat="1" ht="14.25" x14ac:dyDescent="0.3">
      <c r="A1315" s="124">
        <v>2017</v>
      </c>
      <c r="B1315" s="124" t="s">
        <v>38</v>
      </c>
      <c r="C1315" s="124" t="s">
        <v>110</v>
      </c>
      <c r="D1315" s="124" t="s">
        <v>280</v>
      </c>
      <c r="E1315" s="124" t="s">
        <v>281</v>
      </c>
      <c r="F1315" s="124" t="s">
        <v>1198</v>
      </c>
      <c r="G1315" s="124" t="s">
        <v>1198</v>
      </c>
      <c r="H1315" s="124" t="s">
        <v>1198</v>
      </c>
      <c r="I1315" s="175" t="s">
        <v>1174</v>
      </c>
      <c r="J1315" s="176" t="s">
        <v>44</v>
      </c>
      <c r="K1315" s="124" t="s">
        <v>1175</v>
      </c>
      <c r="L1315" s="124" t="s">
        <v>1199</v>
      </c>
      <c r="M1315" s="124" t="s">
        <v>185</v>
      </c>
      <c r="N1315" s="184">
        <v>0.13</v>
      </c>
      <c r="O1315" s="184" t="s">
        <v>1200</v>
      </c>
      <c r="P1315" s="184" t="s">
        <v>51</v>
      </c>
      <c r="Q1315" s="204">
        <v>0</v>
      </c>
      <c r="R1315" s="204">
        <v>0</v>
      </c>
      <c r="S1315" s="204">
        <v>571710</v>
      </c>
      <c r="T1315" s="204">
        <v>74322.3</v>
      </c>
      <c r="U1315" s="204">
        <v>646032.30000000005</v>
      </c>
      <c r="V1315" s="204">
        <v>30001.5</v>
      </c>
      <c r="W1315" s="204">
        <v>74322.3</v>
      </c>
      <c r="X1315" s="204">
        <v>65771.946902654905</v>
      </c>
      <c r="Y1315" s="204">
        <v>8550.3530973451307</v>
      </c>
      <c r="Z1315" s="204">
        <v>15760.44</v>
      </c>
      <c r="AA1315" s="204">
        <v>42639.78</v>
      </c>
      <c r="AB1315" s="208">
        <f t="shared" si="318"/>
        <v>13947.292035398232</v>
      </c>
      <c r="AC1315" s="209">
        <f t="shared" si="319"/>
        <v>1813.1479646017688</v>
      </c>
      <c r="AD1315" s="216">
        <v>13947.292035398201</v>
      </c>
      <c r="AE1315" s="217">
        <v>0</v>
      </c>
      <c r="AF1315" s="204">
        <f t="shared" si="320"/>
        <v>0</v>
      </c>
      <c r="AG1315" s="204"/>
      <c r="AH1315" s="204"/>
      <c r="AI1315" s="204"/>
      <c r="AJ1315" s="220" t="s">
        <v>1200</v>
      </c>
      <c r="AK1315" s="124"/>
      <c r="AL1315" s="124"/>
    </row>
    <row r="1316" spans="1:38" s="125" customFormat="1" ht="14.25" x14ac:dyDescent="0.3">
      <c r="A1316" s="124">
        <v>2017</v>
      </c>
      <c r="B1316" s="124" t="s">
        <v>38</v>
      </c>
      <c r="C1316" s="124" t="s">
        <v>39</v>
      </c>
      <c r="D1316" s="124" t="s">
        <v>40</v>
      </c>
      <c r="E1316" s="124" t="s">
        <v>48</v>
      </c>
      <c r="F1316" s="124" t="s">
        <v>87</v>
      </c>
      <c r="G1316" s="124" t="s">
        <v>87</v>
      </c>
      <c r="H1316" s="124" t="s">
        <v>87</v>
      </c>
      <c r="I1316" s="175" t="s">
        <v>1174</v>
      </c>
      <c r="J1316" s="176" t="s">
        <v>44</v>
      </c>
      <c r="K1316" s="124" t="s">
        <v>1175</v>
      </c>
      <c r="L1316" s="124" t="s">
        <v>1201</v>
      </c>
      <c r="M1316" s="124" t="s">
        <v>185</v>
      </c>
      <c r="N1316" s="184">
        <v>0.08</v>
      </c>
      <c r="O1316" s="184" t="s">
        <v>53</v>
      </c>
      <c r="P1316" s="184" t="s">
        <v>51</v>
      </c>
      <c r="Q1316" s="204">
        <v>0</v>
      </c>
      <c r="R1316" s="204">
        <v>0</v>
      </c>
      <c r="S1316" s="204">
        <v>50000</v>
      </c>
      <c r="T1316" s="204">
        <v>4000</v>
      </c>
      <c r="U1316" s="204">
        <v>54000</v>
      </c>
      <c r="V1316" s="204">
        <v>54000</v>
      </c>
      <c r="W1316" s="204">
        <v>4000</v>
      </c>
      <c r="X1316" s="204">
        <v>3703.7037037036998</v>
      </c>
      <c r="Y1316" s="204">
        <v>296.29629629629699</v>
      </c>
      <c r="Z1316" s="204">
        <v>38854.620000000003</v>
      </c>
      <c r="AA1316" s="204">
        <v>11145.38</v>
      </c>
      <c r="AB1316" s="208">
        <f t="shared" si="318"/>
        <v>35976.5</v>
      </c>
      <c r="AC1316" s="209">
        <f t="shared" si="319"/>
        <v>2878.1200000000026</v>
      </c>
      <c r="AD1316" s="216">
        <v>35976.5</v>
      </c>
      <c r="AE1316" s="217">
        <v>0</v>
      </c>
      <c r="AF1316" s="204">
        <f t="shared" si="320"/>
        <v>0</v>
      </c>
      <c r="AG1316" s="204"/>
      <c r="AH1316" s="204"/>
      <c r="AI1316" s="204"/>
      <c r="AJ1316" s="220" t="s">
        <v>53</v>
      </c>
      <c r="AK1316" s="124"/>
      <c r="AL1316" s="124"/>
    </row>
    <row r="1317" spans="1:38" s="125" customFormat="1" ht="14.25" x14ac:dyDescent="0.3">
      <c r="A1317" s="124">
        <v>2017</v>
      </c>
      <c r="B1317" s="124" t="s">
        <v>38</v>
      </c>
      <c r="C1317" s="124" t="s">
        <v>59</v>
      </c>
      <c r="D1317" s="124" t="s">
        <v>106</v>
      </c>
      <c r="E1317" s="124" t="s">
        <v>1202</v>
      </c>
      <c r="F1317" s="124" t="s">
        <v>1203</v>
      </c>
      <c r="G1317" s="124" t="s">
        <v>1203</v>
      </c>
      <c r="H1317" s="124" t="s">
        <v>1203</v>
      </c>
      <c r="I1317" s="175" t="s">
        <v>1174</v>
      </c>
      <c r="J1317" s="176" t="s">
        <v>44</v>
      </c>
      <c r="K1317" s="124" t="s">
        <v>1175</v>
      </c>
      <c r="L1317" s="124" t="s">
        <v>1204</v>
      </c>
      <c r="M1317" s="124" t="s">
        <v>46</v>
      </c>
      <c r="N1317" s="184">
        <v>0.06</v>
      </c>
      <c r="O1317" s="184" t="s">
        <v>193</v>
      </c>
      <c r="P1317" s="184" t="s">
        <v>51</v>
      </c>
      <c r="Q1317" s="204">
        <v>0</v>
      </c>
      <c r="R1317" s="204">
        <v>0</v>
      </c>
      <c r="S1317" s="204">
        <v>24915.42</v>
      </c>
      <c r="T1317" s="204">
        <v>1494.9251999999999</v>
      </c>
      <c r="U1317" s="204">
        <v>26410.3452</v>
      </c>
      <c r="V1317" s="204">
        <v>26410.3452</v>
      </c>
      <c r="W1317" s="204">
        <v>1494.9251999999999</v>
      </c>
      <c r="X1317" s="204">
        <v>1410.30679245283</v>
      </c>
      <c r="Y1317" s="204">
        <v>84.618407547169895</v>
      </c>
      <c r="Z1317" s="204">
        <v>18547</v>
      </c>
      <c r="AA1317" s="204">
        <v>6368.42</v>
      </c>
      <c r="AB1317" s="208">
        <f t="shared" si="318"/>
        <v>17497.169811320753</v>
      </c>
      <c r="AC1317" s="209">
        <f t="shared" si="319"/>
        <v>1049.8301886792469</v>
      </c>
      <c r="AD1317" s="216">
        <v>17497.1698113208</v>
      </c>
      <c r="AE1317" s="217">
        <v>0</v>
      </c>
      <c r="AF1317" s="204">
        <f t="shared" si="320"/>
        <v>0</v>
      </c>
      <c r="AG1317" s="204"/>
      <c r="AH1317" s="204"/>
      <c r="AI1317" s="204"/>
      <c r="AJ1317" s="220" t="s">
        <v>193</v>
      </c>
      <c r="AK1317" s="124"/>
      <c r="AL1317" s="124"/>
    </row>
    <row r="1318" spans="1:38" s="125" customFormat="1" ht="14.25" x14ac:dyDescent="0.3">
      <c r="A1318" s="124">
        <v>2017</v>
      </c>
      <c r="B1318" s="124" t="s">
        <v>38</v>
      </c>
      <c r="C1318" s="124" t="s">
        <v>88</v>
      </c>
      <c r="D1318" s="124" t="s">
        <v>89</v>
      </c>
      <c r="E1318" s="124" t="s">
        <v>277</v>
      </c>
      <c r="F1318" s="124" t="s">
        <v>91</v>
      </c>
      <c r="G1318" s="124" t="s">
        <v>91</v>
      </c>
      <c r="H1318" s="124" t="s">
        <v>91</v>
      </c>
      <c r="I1318" s="175" t="s">
        <v>1174</v>
      </c>
      <c r="J1318" s="176" t="s">
        <v>44</v>
      </c>
      <c r="K1318" s="124" t="s">
        <v>1175</v>
      </c>
      <c r="L1318" s="124" t="s">
        <v>1205</v>
      </c>
      <c r="M1318" s="124" t="s">
        <v>46</v>
      </c>
      <c r="N1318" s="183">
        <v>0</v>
      </c>
      <c r="O1318" s="184" t="s">
        <v>47</v>
      </c>
      <c r="P1318" s="184" t="s">
        <v>47</v>
      </c>
      <c r="Q1318" s="204">
        <v>0</v>
      </c>
      <c r="R1318" s="204">
        <v>0</v>
      </c>
      <c r="S1318" s="204">
        <v>20000</v>
      </c>
      <c r="T1318" s="204">
        <v>400</v>
      </c>
      <c r="U1318" s="204">
        <v>20400</v>
      </c>
      <c r="V1318" s="204">
        <v>20000</v>
      </c>
      <c r="W1318" s="204">
        <v>400</v>
      </c>
      <c r="X1318" s="204">
        <v>392.15686274509801</v>
      </c>
      <c r="Y1318" s="204">
        <v>7.8431372549019898</v>
      </c>
      <c r="Z1318" s="204">
        <v>13988.5</v>
      </c>
      <c r="AA1318" s="204">
        <v>6011.5</v>
      </c>
      <c r="AB1318" s="208">
        <f t="shared" si="318"/>
        <v>13988.5</v>
      </c>
      <c r="AC1318" s="209">
        <f t="shared" si="319"/>
        <v>0</v>
      </c>
      <c r="AD1318" s="216">
        <v>13988.5</v>
      </c>
      <c r="AE1318" s="217">
        <v>0</v>
      </c>
      <c r="AF1318" s="204">
        <f t="shared" si="320"/>
        <v>0</v>
      </c>
      <c r="AG1318" s="204"/>
      <c r="AH1318" s="204"/>
      <c r="AI1318" s="204"/>
      <c r="AJ1318" s="220" t="s">
        <v>47</v>
      </c>
      <c r="AK1318" s="124"/>
      <c r="AL1318" s="124"/>
    </row>
    <row r="1319" spans="1:38" s="125" customFormat="1" ht="14.25" x14ac:dyDescent="0.3">
      <c r="A1319" s="124">
        <v>2017</v>
      </c>
      <c r="B1319" s="124" t="s">
        <v>38</v>
      </c>
      <c r="C1319" s="124" t="s">
        <v>88</v>
      </c>
      <c r="D1319" s="124" t="s">
        <v>89</v>
      </c>
      <c r="E1319" s="124" t="s">
        <v>124</v>
      </c>
      <c r="F1319" s="124" t="s">
        <v>1206</v>
      </c>
      <c r="G1319" s="124" t="s">
        <v>1206</v>
      </c>
      <c r="H1319" s="124" t="s">
        <v>1206</v>
      </c>
      <c r="I1319" s="175" t="s">
        <v>1174</v>
      </c>
      <c r="J1319" s="176" t="s">
        <v>44</v>
      </c>
      <c r="K1319" s="124" t="s">
        <v>1175</v>
      </c>
      <c r="L1319" s="124" t="s">
        <v>1207</v>
      </c>
      <c r="M1319" s="124" t="s">
        <v>46</v>
      </c>
      <c r="N1319" s="184">
        <v>0.04</v>
      </c>
      <c r="O1319" s="184" t="s">
        <v>186</v>
      </c>
      <c r="P1319" s="184" t="s">
        <v>51</v>
      </c>
      <c r="Q1319" s="204">
        <v>0</v>
      </c>
      <c r="R1319" s="204">
        <v>0</v>
      </c>
      <c r="S1319" s="204">
        <v>10000</v>
      </c>
      <c r="T1319" s="204">
        <v>400</v>
      </c>
      <c r="U1319" s="204">
        <v>10400</v>
      </c>
      <c r="V1319" s="204">
        <v>10200</v>
      </c>
      <c r="W1319" s="204">
        <v>400</v>
      </c>
      <c r="X1319" s="204">
        <v>384.61538461538498</v>
      </c>
      <c r="Y1319" s="204">
        <v>15.384615384615399</v>
      </c>
      <c r="Z1319" s="204">
        <v>10200</v>
      </c>
      <c r="AA1319" s="204">
        <v>-200</v>
      </c>
      <c r="AB1319" s="208">
        <f t="shared" si="318"/>
        <v>9807.6923076923067</v>
      </c>
      <c r="AC1319" s="209">
        <f t="shared" si="319"/>
        <v>392.30769230769329</v>
      </c>
      <c r="AD1319" s="216">
        <v>9807.6923076923104</v>
      </c>
      <c r="AE1319" s="217">
        <v>0</v>
      </c>
      <c r="AF1319" s="204">
        <f t="shared" si="320"/>
        <v>0</v>
      </c>
      <c r="AG1319" s="204"/>
      <c r="AH1319" s="204"/>
      <c r="AI1319" s="204"/>
      <c r="AJ1319" s="220" t="s">
        <v>186</v>
      </c>
      <c r="AK1319" s="124"/>
      <c r="AL1319" s="124"/>
    </row>
    <row r="1320" spans="1:38" s="125" customFormat="1" ht="14.25" x14ac:dyDescent="0.3">
      <c r="A1320" s="124">
        <v>2017</v>
      </c>
      <c r="B1320" s="124" t="s">
        <v>38</v>
      </c>
      <c r="C1320" s="124" t="s">
        <v>88</v>
      </c>
      <c r="D1320" s="124" t="s">
        <v>95</v>
      </c>
      <c r="E1320" s="124" t="s">
        <v>98</v>
      </c>
      <c r="F1320" s="124" t="s">
        <v>97</v>
      </c>
      <c r="G1320" s="124" t="s">
        <v>97</v>
      </c>
      <c r="H1320" s="124" t="s">
        <v>97</v>
      </c>
      <c r="I1320" s="175" t="s">
        <v>1174</v>
      </c>
      <c r="J1320" s="176" t="s">
        <v>44</v>
      </c>
      <c r="K1320" s="124" t="s">
        <v>1175</v>
      </c>
      <c r="L1320" s="124" t="s">
        <v>1208</v>
      </c>
      <c r="M1320" s="124" t="s">
        <v>46</v>
      </c>
      <c r="N1320" s="184">
        <v>0.02</v>
      </c>
      <c r="O1320" s="184" t="s">
        <v>613</v>
      </c>
      <c r="P1320" s="184" t="s">
        <v>51</v>
      </c>
      <c r="Q1320" s="204">
        <v>0</v>
      </c>
      <c r="R1320" s="204">
        <v>0</v>
      </c>
      <c r="S1320" s="204">
        <v>30000</v>
      </c>
      <c r="T1320" s="204">
        <v>600</v>
      </c>
      <c r="U1320" s="204">
        <v>30600</v>
      </c>
      <c r="V1320" s="204">
        <v>30600</v>
      </c>
      <c r="W1320" s="204">
        <v>600</v>
      </c>
      <c r="X1320" s="204">
        <v>588.23529411764696</v>
      </c>
      <c r="Y1320" s="204">
        <v>11.764705882352899</v>
      </c>
      <c r="Z1320" s="204">
        <v>15355.55</v>
      </c>
      <c r="AA1320" s="204">
        <v>14644.45</v>
      </c>
      <c r="AB1320" s="208">
        <f t="shared" si="318"/>
        <v>15054.460784313724</v>
      </c>
      <c r="AC1320" s="209">
        <f t="shared" si="319"/>
        <v>301.08921568627557</v>
      </c>
      <c r="AD1320" s="216">
        <v>15054.4607843137</v>
      </c>
      <c r="AE1320" s="217">
        <v>0</v>
      </c>
      <c r="AF1320" s="204">
        <f t="shared" si="320"/>
        <v>0</v>
      </c>
      <c r="AG1320" s="204"/>
      <c r="AH1320" s="204"/>
      <c r="AI1320" s="204"/>
      <c r="AJ1320" s="220" t="s">
        <v>613</v>
      </c>
      <c r="AK1320" s="124"/>
      <c r="AL1320" s="124"/>
    </row>
    <row r="1321" spans="1:38" s="125" customFormat="1" ht="14.25" x14ac:dyDescent="0.3">
      <c r="A1321" s="124">
        <v>2017</v>
      </c>
      <c r="B1321" s="124" t="s">
        <v>38</v>
      </c>
      <c r="C1321" s="124" t="s">
        <v>88</v>
      </c>
      <c r="D1321" s="124" t="s">
        <v>95</v>
      </c>
      <c r="E1321" s="124" t="s">
        <v>98</v>
      </c>
      <c r="F1321" s="124" t="s">
        <v>99</v>
      </c>
      <c r="G1321" s="124" t="s">
        <v>99</v>
      </c>
      <c r="H1321" s="124" t="s">
        <v>99</v>
      </c>
      <c r="I1321" s="175" t="s">
        <v>1174</v>
      </c>
      <c r="J1321" s="176" t="s">
        <v>44</v>
      </c>
      <c r="K1321" s="124" t="s">
        <v>1175</v>
      </c>
      <c r="L1321" s="124" t="s">
        <v>1209</v>
      </c>
      <c r="M1321" s="124" t="s">
        <v>46</v>
      </c>
      <c r="N1321" s="184">
        <v>0.05</v>
      </c>
      <c r="O1321" s="184" t="s">
        <v>1210</v>
      </c>
      <c r="P1321" s="184" t="s">
        <v>51</v>
      </c>
      <c r="Q1321" s="204">
        <v>0</v>
      </c>
      <c r="R1321" s="204">
        <v>0</v>
      </c>
      <c r="S1321" s="204">
        <v>300000</v>
      </c>
      <c r="T1321" s="204">
        <v>15000</v>
      </c>
      <c r="U1321" s="204">
        <v>315000</v>
      </c>
      <c r="V1321" s="204">
        <v>306000</v>
      </c>
      <c r="W1321" s="204">
        <v>15000</v>
      </c>
      <c r="X1321" s="204">
        <v>14285.714285714301</v>
      </c>
      <c r="Y1321" s="204">
        <v>714.28571428571604</v>
      </c>
      <c r="Z1321" s="204">
        <v>243578.9</v>
      </c>
      <c r="AA1321" s="204">
        <v>56421.1</v>
      </c>
      <c r="AB1321" s="208">
        <f t="shared" si="318"/>
        <v>231979.90476190473</v>
      </c>
      <c r="AC1321" s="209">
        <f t="shared" si="319"/>
        <v>11598.99523809526</v>
      </c>
      <c r="AD1321" s="216">
        <v>231979.904761905</v>
      </c>
      <c r="AE1321" s="217">
        <v>0</v>
      </c>
      <c r="AF1321" s="204">
        <f t="shared" si="320"/>
        <v>0</v>
      </c>
      <c r="AG1321" s="204"/>
      <c r="AH1321" s="204"/>
      <c r="AI1321" s="204"/>
      <c r="AJ1321" s="220" t="s">
        <v>1210</v>
      </c>
      <c r="AK1321" s="124"/>
      <c r="AL1321" s="124"/>
    </row>
    <row r="1322" spans="1:38" s="125" customFormat="1" ht="14.25" x14ac:dyDescent="0.3">
      <c r="A1322" s="124">
        <v>2017</v>
      </c>
      <c r="B1322" s="124" t="s">
        <v>38</v>
      </c>
      <c r="C1322" s="124" t="s">
        <v>59</v>
      </c>
      <c r="D1322" s="124" t="s">
        <v>154</v>
      </c>
      <c r="E1322" s="124" t="s">
        <v>468</v>
      </c>
      <c r="F1322" s="124" t="s">
        <v>1211</v>
      </c>
      <c r="G1322" s="124" t="s">
        <v>1211</v>
      </c>
      <c r="H1322" s="124" t="s">
        <v>1211</v>
      </c>
      <c r="I1322" s="175" t="s">
        <v>1174</v>
      </c>
      <c r="J1322" s="176" t="s">
        <v>44</v>
      </c>
      <c r="K1322" s="124" t="s">
        <v>1175</v>
      </c>
      <c r="L1322" s="124" t="s">
        <v>1212</v>
      </c>
      <c r="M1322" s="124" t="s">
        <v>46</v>
      </c>
      <c r="N1322" s="184">
        <v>0.02</v>
      </c>
      <c r="O1322" s="184" t="s">
        <v>173</v>
      </c>
      <c r="P1322" s="184" t="s">
        <v>51</v>
      </c>
      <c r="Q1322" s="204">
        <v>0</v>
      </c>
      <c r="R1322" s="204">
        <v>0</v>
      </c>
      <c r="S1322" s="204">
        <v>10000</v>
      </c>
      <c r="T1322" s="204">
        <v>200</v>
      </c>
      <c r="U1322" s="204">
        <v>10200</v>
      </c>
      <c r="V1322" s="204">
        <v>10200</v>
      </c>
      <c r="W1322" s="204">
        <v>200</v>
      </c>
      <c r="X1322" s="204">
        <v>196.07843137254901</v>
      </c>
      <c r="Y1322" s="204">
        <v>3.92156862745099</v>
      </c>
      <c r="Z1322" s="204">
        <v>18.600000000000001</v>
      </c>
      <c r="AA1322" s="204">
        <v>9981.4</v>
      </c>
      <c r="AB1322" s="208">
        <f t="shared" si="318"/>
        <v>18.235294117647062</v>
      </c>
      <c r="AC1322" s="209">
        <f t="shared" si="319"/>
        <v>0.36470588235293988</v>
      </c>
      <c r="AD1322" s="216">
        <v>18.235294117647101</v>
      </c>
      <c r="AE1322" s="217">
        <v>0</v>
      </c>
      <c r="AF1322" s="204">
        <f t="shared" si="320"/>
        <v>0</v>
      </c>
      <c r="AG1322" s="204"/>
      <c r="AH1322" s="204"/>
      <c r="AI1322" s="204"/>
      <c r="AJ1322" s="220" t="s">
        <v>173</v>
      </c>
      <c r="AK1322" s="124"/>
      <c r="AL1322" s="124"/>
    </row>
    <row r="1323" spans="1:38" s="125" customFormat="1" ht="14.25" x14ac:dyDescent="0.3">
      <c r="A1323" s="124">
        <v>2017</v>
      </c>
      <c r="B1323" s="212" t="s">
        <v>38</v>
      </c>
      <c r="C1323" s="212" t="s">
        <v>54</v>
      </c>
      <c r="D1323" s="212" t="s">
        <v>102</v>
      </c>
      <c r="E1323" s="212" t="s">
        <v>115</v>
      </c>
      <c r="F1323" s="212" t="s">
        <v>502</v>
      </c>
      <c r="G1323" s="212" t="s">
        <v>502</v>
      </c>
      <c r="H1323" s="212" t="s">
        <v>502</v>
      </c>
      <c r="I1323" s="175" t="s">
        <v>1174</v>
      </c>
      <c r="J1323" s="176" t="s">
        <v>44</v>
      </c>
      <c r="K1323" s="212" t="s">
        <v>1175</v>
      </c>
      <c r="L1323" s="212" t="s">
        <v>1213</v>
      </c>
      <c r="M1323" s="212" t="s">
        <v>46</v>
      </c>
      <c r="N1323" s="184">
        <v>0.06</v>
      </c>
      <c r="O1323" s="184" t="s">
        <v>193</v>
      </c>
      <c r="P1323" s="184" t="s">
        <v>51</v>
      </c>
      <c r="Q1323" s="210">
        <v>0</v>
      </c>
      <c r="R1323" s="210">
        <v>0</v>
      </c>
      <c r="S1323" s="210">
        <v>20000</v>
      </c>
      <c r="T1323" s="210">
        <v>1200</v>
      </c>
      <c r="U1323" s="210">
        <v>21200</v>
      </c>
      <c r="V1323" s="204">
        <v>20400</v>
      </c>
      <c r="W1323" s="210">
        <v>1200</v>
      </c>
      <c r="X1323" s="210">
        <v>1132.0754716981101</v>
      </c>
      <c r="Y1323" s="210">
        <v>67.924528301886795</v>
      </c>
      <c r="Z1323" s="210">
        <v>12143.8</v>
      </c>
      <c r="AA1323" s="210">
        <v>7856.2</v>
      </c>
      <c r="AB1323" s="208">
        <f t="shared" si="318"/>
        <v>11456.415094339622</v>
      </c>
      <c r="AC1323" s="209">
        <f t="shared" si="319"/>
        <v>687.38490566037763</v>
      </c>
      <c r="AD1323" s="218">
        <v>11456.4150943396</v>
      </c>
      <c r="AE1323" s="217">
        <v>0</v>
      </c>
      <c r="AF1323" s="204">
        <f t="shared" si="320"/>
        <v>0</v>
      </c>
      <c r="AG1323" s="204"/>
      <c r="AH1323" s="210"/>
      <c r="AI1323" s="210"/>
      <c r="AJ1323" s="221" t="s">
        <v>193</v>
      </c>
      <c r="AK1323" s="212"/>
      <c r="AL1323" s="212"/>
    </row>
    <row r="1324" spans="1:38" s="125" customFormat="1" ht="14.25" x14ac:dyDescent="0.3">
      <c r="A1324" s="124">
        <v>2017</v>
      </c>
      <c r="B1324" s="124" t="s">
        <v>38</v>
      </c>
      <c r="C1324" s="124" t="s">
        <v>88</v>
      </c>
      <c r="D1324" s="124" t="s">
        <v>89</v>
      </c>
      <c r="E1324" s="124" t="s">
        <v>124</v>
      </c>
      <c r="F1324" s="124" t="s">
        <v>125</v>
      </c>
      <c r="G1324" s="124" t="s">
        <v>125</v>
      </c>
      <c r="H1324" s="124" t="s">
        <v>125</v>
      </c>
      <c r="I1324" s="175" t="s">
        <v>1174</v>
      </c>
      <c r="J1324" s="176" t="s">
        <v>44</v>
      </c>
      <c r="K1324" s="124" t="s">
        <v>1175</v>
      </c>
      <c r="L1324" s="124" t="s">
        <v>1214</v>
      </c>
      <c r="M1324" s="124" t="s">
        <v>46</v>
      </c>
      <c r="N1324" s="183">
        <v>0.04</v>
      </c>
      <c r="O1324" s="183">
        <v>0.04</v>
      </c>
      <c r="P1324" s="184" t="s">
        <v>51</v>
      </c>
      <c r="Q1324" s="204">
        <v>0</v>
      </c>
      <c r="R1324" s="204">
        <v>0</v>
      </c>
      <c r="S1324" s="204">
        <v>50000</v>
      </c>
      <c r="T1324" s="204">
        <v>0</v>
      </c>
      <c r="U1324" s="204">
        <v>50000</v>
      </c>
      <c r="V1324" s="204">
        <v>51000</v>
      </c>
      <c r="W1324" s="204">
        <v>0</v>
      </c>
      <c r="X1324" s="204">
        <v>0</v>
      </c>
      <c r="Y1324" s="204">
        <v>0</v>
      </c>
      <c r="Z1324" s="204">
        <v>5595</v>
      </c>
      <c r="AA1324" s="204">
        <v>44405</v>
      </c>
      <c r="AB1324" s="208">
        <f t="shared" si="318"/>
        <v>5379.8076923076924</v>
      </c>
      <c r="AC1324" s="209">
        <f t="shared" si="319"/>
        <v>215.19230769230762</v>
      </c>
      <c r="AD1324" s="216">
        <v>5379.8076923076896</v>
      </c>
      <c r="AE1324" s="217">
        <v>0</v>
      </c>
      <c r="AF1324" s="204">
        <f t="shared" si="320"/>
        <v>0</v>
      </c>
      <c r="AG1324" s="204"/>
      <c r="AH1324" s="204"/>
      <c r="AI1324" s="204"/>
      <c r="AJ1324" s="220" t="s">
        <v>1215</v>
      </c>
      <c r="AK1324" s="124"/>
      <c r="AL1324" s="124"/>
    </row>
    <row r="1325" spans="1:38" s="125" customFormat="1" ht="14.25" x14ac:dyDescent="0.3">
      <c r="A1325" s="124">
        <v>2017</v>
      </c>
      <c r="B1325" s="124" t="s">
        <v>38</v>
      </c>
      <c r="C1325" s="124" t="s">
        <v>137</v>
      </c>
      <c r="D1325" s="124" t="s">
        <v>138</v>
      </c>
      <c r="E1325" s="124" t="s">
        <v>139</v>
      </c>
      <c r="F1325" s="124" t="s">
        <v>1216</v>
      </c>
      <c r="G1325" s="124" t="s">
        <v>1216</v>
      </c>
      <c r="H1325" s="124" t="s">
        <v>1216</v>
      </c>
      <c r="I1325" s="175" t="s">
        <v>1174</v>
      </c>
      <c r="J1325" s="176" t="s">
        <v>44</v>
      </c>
      <c r="K1325" s="124" t="s">
        <v>1175</v>
      </c>
      <c r="L1325" s="124" t="s">
        <v>1217</v>
      </c>
      <c r="M1325" s="124" t="s">
        <v>46</v>
      </c>
      <c r="N1325" s="184">
        <v>0.04</v>
      </c>
      <c r="O1325" s="184" t="s">
        <v>1218</v>
      </c>
      <c r="P1325" s="184" t="s">
        <v>51</v>
      </c>
      <c r="Q1325" s="204">
        <v>0</v>
      </c>
      <c r="R1325" s="204">
        <v>800</v>
      </c>
      <c r="S1325" s="204">
        <v>704500</v>
      </c>
      <c r="T1325" s="204">
        <v>28180</v>
      </c>
      <c r="U1325" s="204">
        <v>733480</v>
      </c>
      <c r="V1325" s="204">
        <v>704500</v>
      </c>
      <c r="W1325" s="204">
        <v>28980</v>
      </c>
      <c r="X1325" s="204">
        <v>27865.384615384599</v>
      </c>
      <c r="Y1325" s="204">
        <v>1114.61538461539</v>
      </c>
      <c r="Z1325" s="204">
        <v>901490.2</v>
      </c>
      <c r="AA1325" s="204">
        <v>39131.4</v>
      </c>
      <c r="AB1325" s="208">
        <f t="shared" si="318"/>
        <v>866817.49999999988</v>
      </c>
      <c r="AC1325" s="209">
        <f t="shared" si="319"/>
        <v>34672.70000000007</v>
      </c>
      <c r="AD1325" s="216">
        <v>866817.5</v>
      </c>
      <c r="AE1325" s="217">
        <v>0</v>
      </c>
      <c r="AF1325" s="204">
        <f t="shared" si="320"/>
        <v>0</v>
      </c>
      <c r="AG1325" s="204"/>
      <c r="AH1325" s="204"/>
      <c r="AI1325" s="204"/>
      <c r="AJ1325" s="220" t="s">
        <v>1218</v>
      </c>
      <c r="AK1325" s="124"/>
      <c r="AL1325" s="124"/>
    </row>
    <row r="1326" spans="1:38" s="125" customFormat="1" ht="14.25" x14ac:dyDescent="0.3">
      <c r="A1326" s="124">
        <v>2017</v>
      </c>
      <c r="B1326" s="124" t="s">
        <v>38</v>
      </c>
      <c r="C1326" s="124" t="s">
        <v>59</v>
      </c>
      <c r="D1326" s="124" t="s">
        <v>60</v>
      </c>
      <c r="E1326" s="124" t="s">
        <v>107</v>
      </c>
      <c r="F1326" s="124" t="s">
        <v>1219</v>
      </c>
      <c r="G1326" s="124" t="s">
        <v>1219</v>
      </c>
      <c r="H1326" s="124" t="s">
        <v>1219</v>
      </c>
      <c r="I1326" s="175" t="s">
        <v>1174</v>
      </c>
      <c r="J1326" s="176" t="s">
        <v>44</v>
      </c>
      <c r="K1326" s="124" t="s">
        <v>1175</v>
      </c>
      <c r="L1326" s="124" t="s">
        <v>1220</v>
      </c>
      <c r="M1326" s="124" t="s">
        <v>185</v>
      </c>
      <c r="N1326" s="184">
        <v>0.08</v>
      </c>
      <c r="O1326" s="184" t="s">
        <v>53</v>
      </c>
      <c r="P1326" s="184" t="s">
        <v>51</v>
      </c>
      <c r="Q1326" s="204">
        <v>0</v>
      </c>
      <c r="R1326" s="204">
        <v>0</v>
      </c>
      <c r="S1326" s="204">
        <v>10000</v>
      </c>
      <c r="T1326" s="204">
        <v>800</v>
      </c>
      <c r="U1326" s="204">
        <v>10800</v>
      </c>
      <c r="V1326" s="204">
        <v>10800</v>
      </c>
      <c r="W1326" s="204">
        <v>800</v>
      </c>
      <c r="X1326" s="204">
        <v>740.74074074074099</v>
      </c>
      <c r="Y1326" s="204">
        <v>59.259259259259402</v>
      </c>
      <c r="Z1326" s="204">
        <v>2328.88</v>
      </c>
      <c r="AA1326" s="204">
        <v>7671.12</v>
      </c>
      <c r="AB1326" s="208">
        <f t="shared" si="318"/>
        <v>2156.3703703703704</v>
      </c>
      <c r="AC1326" s="209">
        <f t="shared" si="319"/>
        <v>172.50962962962967</v>
      </c>
      <c r="AD1326" s="216">
        <v>2156.37037037037</v>
      </c>
      <c r="AE1326" s="217">
        <v>0</v>
      </c>
      <c r="AF1326" s="204">
        <f t="shared" si="320"/>
        <v>0</v>
      </c>
      <c r="AG1326" s="204"/>
      <c r="AH1326" s="204"/>
      <c r="AI1326" s="204"/>
      <c r="AJ1326" s="220" t="s">
        <v>53</v>
      </c>
      <c r="AK1326" s="124"/>
      <c r="AL1326" s="124"/>
    </row>
    <row r="1327" spans="1:38" s="125" customFormat="1" ht="14.25" x14ac:dyDescent="0.3">
      <c r="A1327" s="124">
        <v>2017</v>
      </c>
      <c r="B1327" s="124" t="s">
        <v>38</v>
      </c>
      <c r="C1327" s="124" t="s">
        <v>59</v>
      </c>
      <c r="D1327" s="124" t="s">
        <v>60</v>
      </c>
      <c r="E1327" s="124" t="s">
        <v>468</v>
      </c>
      <c r="F1327" s="124" t="s">
        <v>1059</v>
      </c>
      <c r="G1327" s="124" t="s">
        <v>1059</v>
      </c>
      <c r="H1327" s="124" t="s">
        <v>1059</v>
      </c>
      <c r="I1327" s="175" t="s">
        <v>1174</v>
      </c>
      <c r="J1327" s="176" t="s">
        <v>44</v>
      </c>
      <c r="K1327" s="124" t="s">
        <v>1175</v>
      </c>
      <c r="L1327" s="124" t="s">
        <v>1221</v>
      </c>
      <c r="M1327" s="124" t="s">
        <v>185</v>
      </c>
      <c r="N1327" s="184">
        <v>0.04</v>
      </c>
      <c r="O1327" s="184" t="s">
        <v>186</v>
      </c>
      <c r="P1327" s="184" t="s">
        <v>51</v>
      </c>
      <c r="Q1327" s="204">
        <v>0</v>
      </c>
      <c r="R1327" s="204">
        <v>0</v>
      </c>
      <c r="S1327" s="204">
        <v>10000</v>
      </c>
      <c r="T1327" s="204">
        <v>400</v>
      </c>
      <c r="U1327" s="204">
        <v>10400</v>
      </c>
      <c r="V1327" s="204">
        <v>0</v>
      </c>
      <c r="W1327" s="204">
        <v>400</v>
      </c>
      <c r="X1327" s="204">
        <v>384.61538461538498</v>
      </c>
      <c r="Y1327" s="204">
        <v>15.384615384615399</v>
      </c>
      <c r="Z1327" s="204">
        <v>0</v>
      </c>
      <c r="AA1327" s="204">
        <v>10000</v>
      </c>
      <c r="AB1327" s="208">
        <f t="shared" si="318"/>
        <v>0</v>
      </c>
      <c r="AC1327" s="209">
        <f t="shared" si="319"/>
        <v>0</v>
      </c>
      <c r="AD1327" s="216">
        <v>0</v>
      </c>
      <c r="AE1327" s="217">
        <v>0</v>
      </c>
      <c r="AF1327" s="204">
        <f t="shared" si="320"/>
        <v>0</v>
      </c>
      <c r="AG1327" s="204"/>
      <c r="AH1327" s="204"/>
      <c r="AI1327" s="204"/>
      <c r="AJ1327" s="220" t="s">
        <v>186</v>
      </c>
      <c r="AK1327" s="124"/>
      <c r="AL1327" s="124"/>
    </row>
    <row r="1328" spans="1:38" s="125" customFormat="1" ht="14.25" x14ac:dyDescent="0.3">
      <c r="A1328" s="124">
        <v>2017</v>
      </c>
      <c r="B1328" s="124" t="s">
        <v>38</v>
      </c>
      <c r="C1328" s="124" t="s">
        <v>88</v>
      </c>
      <c r="D1328" s="124" t="s">
        <v>89</v>
      </c>
      <c r="E1328" s="124" t="s">
        <v>124</v>
      </c>
      <c r="F1328" s="124" t="s">
        <v>1222</v>
      </c>
      <c r="G1328" s="124" t="s">
        <v>1222</v>
      </c>
      <c r="H1328" s="124" t="s">
        <v>1222</v>
      </c>
      <c r="I1328" s="175" t="s">
        <v>1174</v>
      </c>
      <c r="J1328" s="176" t="s">
        <v>44</v>
      </c>
      <c r="K1328" s="124" t="s">
        <v>1175</v>
      </c>
      <c r="L1328" s="124" t="s">
        <v>1223</v>
      </c>
      <c r="M1328" s="124" t="s">
        <v>46</v>
      </c>
      <c r="N1328" s="184">
        <v>0.02</v>
      </c>
      <c r="O1328" s="184" t="s">
        <v>173</v>
      </c>
      <c r="P1328" s="184" t="s">
        <v>51</v>
      </c>
      <c r="Q1328" s="204">
        <v>0</v>
      </c>
      <c r="R1328" s="204">
        <v>0</v>
      </c>
      <c r="S1328" s="204">
        <v>42175.199999999997</v>
      </c>
      <c r="T1328" s="204">
        <v>843.50400000000002</v>
      </c>
      <c r="U1328" s="204">
        <v>43018.703999999998</v>
      </c>
      <c r="V1328" s="204">
        <v>43018.703999999998</v>
      </c>
      <c r="W1328" s="204">
        <v>843.50400000000104</v>
      </c>
      <c r="X1328" s="204">
        <v>826.964705882354</v>
      </c>
      <c r="Y1328" s="204">
        <v>16.539294117647</v>
      </c>
      <c r="Z1328" s="204">
        <v>43018.7</v>
      </c>
      <c r="AA1328" s="204">
        <v>-843.5</v>
      </c>
      <c r="AB1328" s="208">
        <f t="shared" si="318"/>
        <v>42175.196078431371</v>
      </c>
      <c r="AC1328" s="209">
        <f t="shared" si="319"/>
        <v>843.50392156862654</v>
      </c>
      <c r="AD1328" s="216">
        <v>42175.1960784314</v>
      </c>
      <c r="AE1328" s="217">
        <v>0</v>
      </c>
      <c r="AF1328" s="204">
        <f t="shared" si="320"/>
        <v>0</v>
      </c>
      <c r="AG1328" s="204"/>
      <c r="AH1328" s="204"/>
      <c r="AI1328" s="204"/>
      <c r="AJ1328" s="220" t="s">
        <v>173</v>
      </c>
      <c r="AK1328" s="124"/>
      <c r="AL1328" s="124"/>
    </row>
    <row r="1329" spans="1:38" s="125" customFormat="1" ht="14.25" x14ac:dyDescent="0.3">
      <c r="A1329" s="124">
        <v>2017</v>
      </c>
      <c r="B1329" s="124" t="s">
        <v>38</v>
      </c>
      <c r="C1329" s="124" t="s">
        <v>59</v>
      </c>
      <c r="D1329" s="124" t="s">
        <v>106</v>
      </c>
      <c r="E1329" s="124" t="s">
        <v>131</v>
      </c>
      <c r="F1329" s="124" t="s">
        <v>132</v>
      </c>
      <c r="G1329" s="124" t="s">
        <v>132</v>
      </c>
      <c r="H1329" s="124" t="s">
        <v>132</v>
      </c>
      <c r="I1329" s="175" t="s">
        <v>1174</v>
      </c>
      <c r="J1329" s="176" t="s">
        <v>44</v>
      </c>
      <c r="K1329" s="124" t="s">
        <v>1175</v>
      </c>
      <c r="L1329" s="124" t="s">
        <v>1224</v>
      </c>
      <c r="M1329" s="124" t="s">
        <v>46</v>
      </c>
      <c r="N1329" s="184">
        <v>0.04</v>
      </c>
      <c r="O1329" s="184" t="s">
        <v>186</v>
      </c>
      <c r="P1329" s="184" t="s">
        <v>51</v>
      </c>
      <c r="Q1329" s="204">
        <v>0</v>
      </c>
      <c r="R1329" s="204">
        <v>0</v>
      </c>
      <c r="S1329" s="204">
        <v>2500000</v>
      </c>
      <c r="T1329" s="204">
        <v>100000</v>
      </c>
      <c r="U1329" s="204">
        <v>2600000</v>
      </c>
      <c r="V1329" s="204">
        <v>12445000</v>
      </c>
      <c r="W1329" s="204">
        <v>100000</v>
      </c>
      <c r="X1329" s="204">
        <v>96153.8461538462</v>
      </c>
      <c r="Y1329" s="204">
        <v>3846.1538461538398</v>
      </c>
      <c r="Z1329" s="204">
        <v>12454971.210000001</v>
      </c>
      <c r="AA1329" s="204">
        <v>253975.85</v>
      </c>
      <c r="AB1329" s="208">
        <f t="shared" si="318"/>
        <v>11975933.855769232</v>
      </c>
      <c r="AC1329" s="209">
        <f t="shared" si="319"/>
        <v>479037.35423076898</v>
      </c>
      <c r="AD1329" s="216">
        <v>11975933.8557692</v>
      </c>
      <c r="AE1329" s="217">
        <v>0</v>
      </c>
      <c r="AF1329" s="204">
        <f t="shared" si="320"/>
        <v>0</v>
      </c>
      <c r="AG1329" s="204"/>
      <c r="AH1329" s="204"/>
      <c r="AI1329" s="204"/>
      <c r="AJ1329" s="220" t="s">
        <v>186</v>
      </c>
      <c r="AK1329" s="124"/>
      <c r="AL1329" s="124"/>
    </row>
    <row r="1330" spans="1:38" s="125" customFormat="1" ht="14.25" x14ac:dyDescent="0.3">
      <c r="A1330" s="124">
        <v>2017</v>
      </c>
      <c r="B1330" s="124" t="s">
        <v>38</v>
      </c>
      <c r="C1330" s="124" t="s">
        <v>88</v>
      </c>
      <c r="D1330" s="124" t="s">
        <v>128</v>
      </c>
      <c r="E1330" s="124" t="s">
        <v>90</v>
      </c>
      <c r="F1330" s="124" t="s">
        <v>276</v>
      </c>
      <c r="G1330" s="124" t="s">
        <v>276</v>
      </c>
      <c r="H1330" s="124" t="s">
        <v>276</v>
      </c>
      <c r="I1330" s="175" t="s">
        <v>1174</v>
      </c>
      <c r="J1330" s="176" t="s">
        <v>44</v>
      </c>
      <c r="K1330" s="124" t="s">
        <v>1175</v>
      </c>
      <c r="L1330" s="124" t="s">
        <v>1225</v>
      </c>
      <c r="M1330" s="124" t="s">
        <v>46</v>
      </c>
      <c r="N1330" s="184">
        <v>0.05</v>
      </c>
      <c r="O1330" s="184" t="s">
        <v>1226</v>
      </c>
      <c r="P1330" s="184" t="s">
        <v>51</v>
      </c>
      <c r="Q1330" s="204">
        <v>0</v>
      </c>
      <c r="R1330" s="204">
        <v>0</v>
      </c>
      <c r="S1330" s="204">
        <v>250000</v>
      </c>
      <c r="T1330" s="204">
        <v>12500</v>
      </c>
      <c r="U1330" s="204">
        <v>262500</v>
      </c>
      <c r="V1330" s="204">
        <v>255000</v>
      </c>
      <c r="W1330" s="204">
        <v>12500</v>
      </c>
      <c r="X1330" s="204">
        <v>11904.761904761899</v>
      </c>
      <c r="Y1330" s="204">
        <v>595.23809523809496</v>
      </c>
      <c r="Z1330" s="204">
        <v>161675.79999999999</v>
      </c>
      <c r="AA1330" s="204">
        <v>88324.2</v>
      </c>
      <c r="AB1330" s="208">
        <f t="shared" si="318"/>
        <v>153976.95238095237</v>
      </c>
      <c r="AC1330" s="209">
        <f t="shared" si="319"/>
        <v>7698.8476190476213</v>
      </c>
      <c r="AD1330" s="216">
        <v>153976.95238095199</v>
      </c>
      <c r="AE1330" s="217">
        <v>0</v>
      </c>
      <c r="AF1330" s="204">
        <f t="shared" si="320"/>
        <v>0</v>
      </c>
      <c r="AG1330" s="204"/>
      <c r="AH1330" s="204"/>
      <c r="AI1330" s="204"/>
      <c r="AJ1330" s="220" t="s">
        <v>1226</v>
      </c>
      <c r="AK1330" s="124"/>
      <c r="AL1330" s="124"/>
    </row>
    <row r="1331" spans="1:38" s="125" customFormat="1" ht="14.25" x14ac:dyDescent="0.3">
      <c r="A1331" s="124">
        <v>2017</v>
      </c>
      <c r="B1331" s="124" t="s">
        <v>38</v>
      </c>
      <c r="C1331" s="124" t="s">
        <v>88</v>
      </c>
      <c r="D1331" s="124" t="s">
        <v>89</v>
      </c>
      <c r="E1331" s="124" t="s">
        <v>124</v>
      </c>
      <c r="F1331" s="124" t="s">
        <v>910</v>
      </c>
      <c r="G1331" s="124" t="s">
        <v>910</v>
      </c>
      <c r="H1331" s="124" t="s">
        <v>910</v>
      </c>
      <c r="I1331" s="175" t="s">
        <v>1174</v>
      </c>
      <c r="J1331" s="176" t="s">
        <v>44</v>
      </c>
      <c r="K1331" s="124" t="s">
        <v>1175</v>
      </c>
      <c r="L1331" s="124" t="s">
        <v>1227</v>
      </c>
      <c r="M1331" s="124" t="s">
        <v>46</v>
      </c>
      <c r="N1331" s="184">
        <v>0.02</v>
      </c>
      <c r="O1331" s="184" t="s">
        <v>173</v>
      </c>
      <c r="P1331" s="184" t="s">
        <v>51</v>
      </c>
      <c r="Q1331" s="204">
        <v>0</v>
      </c>
      <c r="R1331" s="204">
        <v>0</v>
      </c>
      <c r="S1331" s="204">
        <v>20000</v>
      </c>
      <c r="T1331" s="204">
        <v>400</v>
      </c>
      <c r="U1331" s="204">
        <v>20400</v>
      </c>
      <c r="V1331" s="204">
        <v>20400</v>
      </c>
      <c r="W1331" s="204">
        <v>400</v>
      </c>
      <c r="X1331" s="204">
        <v>392.15686274509801</v>
      </c>
      <c r="Y1331" s="204">
        <v>7.8431372549019898</v>
      </c>
      <c r="Z1331" s="204">
        <v>18404.25</v>
      </c>
      <c r="AA1331" s="137">
        <v>0</v>
      </c>
      <c r="AB1331" s="208">
        <f>IF(P1331="返货",Z1331/(1+N1331),IF(P1331="返现",Z1331,IF(P1331="折扣",Z1331*N1331,IF(P1331="无",Z1331))))+1995.75/1.02</f>
        <v>20000</v>
      </c>
      <c r="AC1331" s="209">
        <f t="shared" si="319"/>
        <v>-1595.75</v>
      </c>
      <c r="AD1331" s="216">
        <v>18043.3823529412</v>
      </c>
      <c r="AE1331" s="217">
        <v>0</v>
      </c>
      <c r="AF1331" s="204">
        <f t="shared" si="320"/>
        <v>0</v>
      </c>
      <c r="AG1331" s="204"/>
      <c r="AH1331" s="204"/>
      <c r="AI1331" s="204"/>
      <c r="AJ1331" s="220" t="s">
        <v>173</v>
      </c>
      <c r="AK1331" s="124"/>
      <c r="AL1331" s="124"/>
    </row>
    <row r="1332" spans="1:38" s="125" customFormat="1" ht="14.25" x14ac:dyDescent="0.3">
      <c r="A1332" s="124">
        <v>2017</v>
      </c>
      <c r="B1332" s="124" t="s">
        <v>38</v>
      </c>
      <c r="C1332" s="124" t="s">
        <v>137</v>
      </c>
      <c r="D1332" s="124" t="s">
        <v>138</v>
      </c>
      <c r="E1332" s="124" t="s">
        <v>139</v>
      </c>
      <c r="F1332" s="124" t="s">
        <v>140</v>
      </c>
      <c r="G1332" s="124" t="s">
        <v>141</v>
      </c>
      <c r="H1332" s="124" t="s">
        <v>141</v>
      </c>
      <c r="I1332" s="175" t="s">
        <v>1174</v>
      </c>
      <c r="J1332" s="176" t="s">
        <v>44</v>
      </c>
      <c r="K1332" s="124" t="s">
        <v>1175</v>
      </c>
      <c r="L1332" s="124" t="s">
        <v>1228</v>
      </c>
      <c r="M1332" s="124" t="s">
        <v>185</v>
      </c>
      <c r="N1332" s="184">
        <v>0.1</v>
      </c>
      <c r="O1332" s="184" t="s">
        <v>69</v>
      </c>
      <c r="P1332" s="184" t="s">
        <v>51</v>
      </c>
      <c r="Q1332" s="204">
        <v>0</v>
      </c>
      <c r="R1332" s="204">
        <v>0</v>
      </c>
      <c r="S1332" s="204">
        <v>49111.82</v>
      </c>
      <c r="T1332" s="204">
        <v>4911.1819999999998</v>
      </c>
      <c r="U1332" s="204">
        <v>54023.002</v>
      </c>
      <c r="V1332" s="204">
        <v>132000</v>
      </c>
      <c r="W1332" s="204">
        <v>4911.1819999999998</v>
      </c>
      <c r="X1332" s="204">
        <v>4464.7109090909098</v>
      </c>
      <c r="Y1332" s="204">
        <v>446.471090909091</v>
      </c>
      <c r="Z1332" s="204">
        <v>29909</v>
      </c>
      <c r="AA1332" s="204">
        <v>-4911.18</v>
      </c>
      <c r="AB1332" s="208">
        <f t="shared" si="318"/>
        <v>27189.999999999996</v>
      </c>
      <c r="AC1332" s="209">
        <f t="shared" si="319"/>
        <v>2719.0000000000036</v>
      </c>
      <c r="AD1332" s="216">
        <v>27190</v>
      </c>
      <c r="AE1332" s="217">
        <v>0</v>
      </c>
      <c r="AF1332" s="204">
        <f t="shared" si="320"/>
        <v>0</v>
      </c>
      <c r="AG1332" s="204"/>
      <c r="AH1332" s="204"/>
      <c r="AI1332" s="204"/>
      <c r="AJ1332" s="220" t="s">
        <v>69</v>
      </c>
      <c r="AK1332" s="124"/>
      <c r="AL1332" s="124"/>
    </row>
    <row r="1333" spans="1:38" s="125" customFormat="1" ht="14.25" x14ac:dyDescent="0.3">
      <c r="A1333" s="124">
        <v>2017</v>
      </c>
      <c r="B1333" s="124" t="s">
        <v>38</v>
      </c>
      <c r="C1333" s="124" t="s">
        <v>137</v>
      </c>
      <c r="D1333" s="124" t="s">
        <v>138</v>
      </c>
      <c r="E1333" s="124" t="s">
        <v>139</v>
      </c>
      <c r="F1333" s="124" t="s">
        <v>140</v>
      </c>
      <c r="G1333" s="124" t="s">
        <v>141</v>
      </c>
      <c r="H1333" s="124" t="s">
        <v>141</v>
      </c>
      <c r="I1333" s="175" t="s">
        <v>1174</v>
      </c>
      <c r="J1333" s="176" t="s">
        <v>44</v>
      </c>
      <c r="K1333" s="124" t="s">
        <v>1175</v>
      </c>
      <c r="L1333" s="124" t="s">
        <v>1229</v>
      </c>
      <c r="M1333" s="124" t="s">
        <v>46</v>
      </c>
      <c r="N1333" s="184">
        <v>0.06</v>
      </c>
      <c r="O1333" s="184" t="s">
        <v>193</v>
      </c>
      <c r="P1333" s="184" t="s">
        <v>51</v>
      </c>
      <c r="Q1333" s="204">
        <v>0</v>
      </c>
      <c r="R1333" s="204">
        <v>0</v>
      </c>
      <c r="S1333" s="204">
        <v>5200888.18</v>
      </c>
      <c r="T1333" s="204">
        <v>312053.29080000002</v>
      </c>
      <c r="U1333" s="204">
        <v>5512941.4708000002</v>
      </c>
      <c r="V1333" s="204">
        <v>5225800</v>
      </c>
      <c r="W1333" s="204">
        <v>312053.29080000002</v>
      </c>
      <c r="X1333" s="204">
        <v>294389.89698113198</v>
      </c>
      <c r="Y1333" s="204">
        <v>17663.393818867899</v>
      </c>
      <c r="Z1333" s="204">
        <v>4973661.0999999996</v>
      </c>
      <c r="AA1333" s="204">
        <v>124672.77999999899</v>
      </c>
      <c r="AB1333" s="208">
        <f t="shared" si="318"/>
        <v>4692133.113207547</v>
      </c>
      <c r="AC1333" s="209">
        <f t="shared" si="319"/>
        <v>281527.98679245263</v>
      </c>
      <c r="AD1333" s="216">
        <v>4692133.1132075498</v>
      </c>
      <c r="AE1333" s="217">
        <v>0</v>
      </c>
      <c r="AF1333" s="204">
        <f t="shared" si="320"/>
        <v>0</v>
      </c>
      <c r="AG1333" s="204"/>
      <c r="AH1333" s="204"/>
      <c r="AI1333" s="204"/>
      <c r="AJ1333" s="220" t="s">
        <v>193</v>
      </c>
      <c r="AK1333" s="124"/>
      <c r="AL1333" s="124"/>
    </row>
    <row r="1334" spans="1:38" s="125" customFormat="1" ht="14.25" x14ac:dyDescent="0.3">
      <c r="A1334" s="124">
        <v>2017</v>
      </c>
      <c r="B1334" s="124" t="s">
        <v>38</v>
      </c>
      <c r="C1334" s="124" t="s">
        <v>88</v>
      </c>
      <c r="D1334" s="124" t="s">
        <v>95</v>
      </c>
      <c r="E1334" s="124" t="s">
        <v>194</v>
      </c>
      <c r="F1334" s="124" t="s">
        <v>143</v>
      </c>
      <c r="G1334" s="124" t="s">
        <v>143</v>
      </c>
      <c r="H1334" s="124" t="s">
        <v>143</v>
      </c>
      <c r="I1334" s="175" t="s">
        <v>1174</v>
      </c>
      <c r="J1334" s="176" t="s">
        <v>44</v>
      </c>
      <c r="K1334" s="124" t="s">
        <v>1175</v>
      </c>
      <c r="L1334" s="124" t="s">
        <v>1230</v>
      </c>
      <c r="M1334" s="124" t="s">
        <v>46</v>
      </c>
      <c r="N1334" s="184">
        <v>0.02</v>
      </c>
      <c r="O1334" s="184" t="s">
        <v>888</v>
      </c>
      <c r="P1334" s="184" t="s">
        <v>51</v>
      </c>
      <c r="Q1334" s="204">
        <v>0</v>
      </c>
      <c r="R1334" s="204">
        <v>0</v>
      </c>
      <c r="S1334" s="204">
        <v>90000</v>
      </c>
      <c r="T1334" s="204">
        <v>1800</v>
      </c>
      <c r="U1334" s="204">
        <v>91800</v>
      </c>
      <c r="V1334" s="204">
        <v>91800</v>
      </c>
      <c r="W1334" s="204">
        <v>1800</v>
      </c>
      <c r="X1334" s="204">
        <v>1764.7058823529401</v>
      </c>
      <c r="Y1334" s="204">
        <v>35.294117647058798</v>
      </c>
      <c r="Z1334" s="204">
        <v>79345.600000000006</v>
      </c>
      <c r="AA1334" s="204">
        <v>10654.4</v>
      </c>
      <c r="AB1334" s="208">
        <f t="shared" si="318"/>
        <v>77789.803921568629</v>
      </c>
      <c r="AC1334" s="209">
        <f t="shared" si="319"/>
        <v>1555.7960784313764</v>
      </c>
      <c r="AD1334" s="216">
        <v>77789.8039215686</v>
      </c>
      <c r="AE1334" s="217">
        <v>0</v>
      </c>
      <c r="AF1334" s="204">
        <f t="shared" si="320"/>
        <v>0</v>
      </c>
      <c r="AG1334" s="204"/>
      <c r="AH1334" s="204"/>
      <c r="AI1334" s="204"/>
      <c r="AJ1334" s="220" t="s">
        <v>888</v>
      </c>
      <c r="AK1334" s="124"/>
      <c r="AL1334" s="124"/>
    </row>
    <row r="1335" spans="1:38" s="125" customFormat="1" ht="14.25" x14ac:dyDescent="0.3">
      <c r="A1335" s="124">
        <v>2017</v>
      </c>
      <c r="B1335" s="124" t="s">
        <v>38</v>
      </c>
      <c r="C1335" s="124" t="s">
        <v>75</v>
      </c>
      <c r="D1335" s="124" t="s">
        <v>76</v>
      </c>
      <c r="E1335" s="124" t="s">
        <v>150</v>
      </c>
      <c r="F1335" s="124" t="s">
        <v>1231</v>
      </c>
      <c r="G1335" s="124" t="s">
        <v>1231</v>
      </c>
      <c r="H1335" s="124" t="s">
        <v>1231</v>
      </c>
      <c r="I1335" s="175" t="s">
        <v>1174</v>
      </c>
      <c r="J1335" s="176" t="s">
        <v>44</v>
      </c>
      <c r="K1335" s="124" t="s">
        <v>1175</v>
      </c>
      <c r="L1335" s="124" t="s">
        <v>1232</v>
      </c>
      <c r="M1335" s="124" t="s">
        <v>185</v>
      </c>
      <c r="N1335" s="184">
        <v>0.12</v>
      </c>
      <c r="O1335" s="184" t="s">
        <v>117</v>
      </c>
      <c r="P1335" s="184" t="s">
        <v>51</v>
      </c>
      <c r="Q1335" s="204">
        <v>0</v>
      </c>
      <c r="R1335" s="204">
        <v>0</v>
      </c>
      <c r="S1335" s="204">
        <v>30000</v>
      </c>
      <c r="T1335" s="204">
        <v>3600</v>
      </c>
      <c r="U1335" s="204">
        <v>33600</v>
      </c>
      <c r="V1335" s="204">
        <v>32400</v>
      </c>
      <c r="W1335" s="204">
        <v>3600</v>
      </c>
      <c r="X1335" s="204">
        <v>3214.2857142857101</v>
      </c>
      <c r="Y1335" s="204">
        <v>385.71428571428601</v>
      </c>
      <c r="Z1335" s="204">
        <v>16848.2</v>
      </c>
      <c r="AA1335" s="204">
        <v>13151.8</v>
      </c>
      <c r="AB1335" s="208">
        <f t="shared" si="318"/>
        <v>15043.035714285714</v>
      </c>
      <c r="AC1335" s="209">
        <f t="shared" si="319"/>
        <v>1805.164285714287</v>
      </c>
      <c r="AD1335" s="216">
        <v>15043.035714285699</v>
      </c>
      <c r="AE1335" s="217">
        <v>0</v>
      </c>
      <c r="AF1335" s="204">
        <f t="shared" si="320"/>
        <v>0</v>
      </c>
      <c r="AG1335" s="204"/>
      <c r="AH1335" s="204"/>
      <c r="AI1335" s="204"/>
      <c r="AJ1335" s="220" t="s">
        <v>117</v>
      </c>
      <c r="AK1335" s="124"/>
      <c r="AL1335" s="124"/>
    </row>
    <row r="1336" spans="1:38" s="125" customFormat="1" ht="14.25" x14ac:dyDescent="0.3">
      <c r="A1336" s="124">
        <v>2017</v>
      </c>
      <c r="B1336" s="124" t="s">
        <v>38</v>
      </c>
      <c r="C1336" s="124" t="s">
        <v>433</v>
      </c>
      <c r="D1336" s="124" t="s">
        <v>1193</v>
      </c>
      <c r="E1336" s="124" t="s">
        <v>435</v>
      </c>
      <c r="F1336" s="124" t="s">
        <v>1233</v>
      </c>
      <c r="G1336" s="124" t="s">
        <v>1233</v>
      </c>
      <c r="H1336" s="124" t="s">
        <v>1233</v>
      </c>
      <c r="I1336" s="175" t="s">
        <v>1174</v>
      </c>
      <c r="J1336" s="176" t="s">
        <v>44</v>
      </c>
      <c r="K1336" s="124" t="s">
        <v>1175</v>
      </c>
      <c r="L1336" s="124" t="s">
        <v>1234</v>
      </c>
      <c r="M1336" s="124" t="s">
        <v>185</v>
      </c>
      <c r="N1336" s="184">
        <v>0.12</v>
      </c>
      <c r="O1336" s="184" t="s">
        <v>117</v>
      </c>
      <c r="P1336" s="184" t="s">
        <v>51</v>
      </c>
      <c r="Q1336" s="204">
        <v>0</v>
      </c>
      <c r="R1336" s="204">
        <v>0</v>
      </c>
      <c r="S1336" s="204">
        <v>4464.28</v>
      </c>
      <c r="T1336" s="204">
        <v>535.71360000000004</v>
      </c>
      <c r="U1336" s="204">
        <v>4999.9935999999998</v>
      </c>
      <c r="V1336" s="204">
        <v>4999.9935999999998</v>
      </c>
      <c r="W1336" s="204">
        <v>535.71360000000004</v>
      </c>
      <c r="X1336" s="204">
        <v>478.31571428571402</v>
      </c>
      <c r="Y1336" s="204">
        <v>57.397885714285799</v>
      </c>
      <c r="Z1336" s="204">
        <v>3693.59</v>
      </c>
      <c r="AA1336" s="204">
        <v>770.69</v>
      </c>
      <c r="AB1336" s="208">
        <f t="shared" si="318"/>
        <v>3297.8482142857142</v>
      </c>
      <c r="AC1336" s="209">
        <f t="shared" si="319"/>
        <v>395.74178571428592</v>
      </c>
      <c r="AD1336" s="216">
        <v>3297.8482142857101</v>
      </c>
      <c r="AE1336" s="217">
        <v>0</v>
      </c>
      <c r="AF1336" s="204">
        <f t="shared" si="320"/>
        <v>0</v>
      </c>
      <c r="AG1336" s="204"/>
      <c r="AH1336" s="204"/>
      <c r="AI1336" s="204"/>
      <c r="AJ1336" s="220" t="s">
        <v>117</v>
      </c>
      <c r="AK1336" s="124"/>
      <c r="AL1336" s="124"/>
    </row>
    <row r="1337" spans="1:38" s="125" customFormat="1" ht="14.25" x14ac:dyDescent="0.3">
      <c r="A1337" s="175">
        <v>2017</v>
      </c>
      <c r="B1337" s="175" t="s">
        <v>38</v>
      </c>
      <c r="C1337" s="175" t="s">
        <v>75</v>
      </c>
      <c r="D1337" s="175" t="s">
        <v>76</v>
      </c>
      <c r="E1337" s="175" t="s">
        <v>150</v>
      </c>
      <c r="F1337" s="175" t="s">
        <v>151</v>
      </c>
      <c r="G1337" s="175" t="s">
        <v>1235</v>
      </c>
      <c r="H1337" s="175" t="s">
        <v>1235</v>
      </c>
      <c r="I1337" s="175" t="s">
        <v>1174</v>
      </c>
      <c r="J1337" s="176" t="s">
        <v>44</v>
      </c>
      <c r="K1337" s="124" t="s">
        <v>1175</v>
      </c>
      <c r="L1337" s="124" t="s">
        <v>1641</v>
      </c>
      <c r="M1337" s="124" t="s">
        <v>46</v>
      </c>
      <c r="N1337" s="184">
        <v>0</v>
      </c>
      <c r="O1337" s="184" t="s">
        <v>186</v>
      </c>
      <c r="P1337" s="184" t="s">
        <v>51</v>
      </c>
      <c r="Q1337" s="204">
        <v>0</v>
      </c>
      <c r="R1337" s="204">
        <v>0</v>
      </c>
      <c r="S1337" s="204">
        <v>221153.83</v>
      </c>
      <c r="T1337" s="204">
        <v>8846.1532000000007</v>
      </c>
      <c r="U1337" s="204">
        <v>229999.98319999999</v>
      </c>
      <c r="V1337" s="204">
        <v>360599.98619999998</v>
      </c>
      <c r="W1337" s="204">
        <v>8846.1532000000007</v>
      </c>
      <c r="X1337" s="204">
        <v>8505.9165384615408</v>
      </c>
      <c r="Y1337" s="204">
        <v>340.23666153846199</v>
      </c>
      <c r="Z1337" s="204">
        <v>334906.09999999998</v>
      </c>
      <c r="AA1337" s="204">
        <v>-8846.1700000000092</v>
      </c>
      <c r="AB1337" s="208">
        <f t="shared" si="318"/>
        <v>334906.09999999998</v>
      </c>
      <c r="AC1337" s="209">
        <f t="shared" si="319"/>
        <v>0</v>
      </c>
      <c r="AD1337" s="216">
        <v>322025.09615384601</v>
      </c>
      <c r="AE1337" s="217">
        <v>0</v>
      </c>
      <c r="AF1337" s="204">
        <f t="shared" si="320"/>
        <v>0</v>
      </c>
      <c r="AG1337" s="204"/>
      <c r="AH1337" s="204"/>
      <c r="AI1337" s="204"/>
      <c r="AJ1337" s="220" t="s">
        <v>186</v>
      </c>
      <c r="AK1337" s="124"/>
      <c r="AL1337" s="124"/>
    </row>
    <row r="1338" spans="1:38" s="125" customFormat="1" ht="14.25" x14ac:dyDescent="0.3">
      <c r="A1338" s="175">
        <v>2017</v>
      </c>
      <c r="B1338" s="175" t="s">
        <v>38</v>
      </c>
      <c r="C1338" s="175" t="s">
        <v>75</v>
      </c>
      <c r="D1338" s="175" t="s">
        <v>76</v>
      </c>
      <c r="E1338" s="175" t="s">
        <v>150</v>
      </c>
      <c r="F1338" s="175" t="s">
        <v>151</v>
      </c>
      <c r="G1338" s="175" t="s">
        <v>151</v>
      </c>
      <c r="H1338" s="175" t="s">
        <v>151</v>
      </c>
      <c r="I1338" s="175" t="s">
        <v>1174</v>
      </c>
      <c r="J1338" s="176" t="s">
        <v>44</v>
      </c>
      <c r="K1338" s="124" t="s">
        <v>1175</v>
      </c>
      <c r="L1338" s="124" t="s">
        <v>1642</v>
      </c>
      <c r="M1338" s="124" t="s">
        <v>46</v>
      </c>
      <c r="N1338" s="184">
        <v>0</v>
      </c>
      <c r="O1338" s="184" t="s">
        <v>193</v>
      </c>
      <c r="P1338" s="184" t="s">
        <v>51</v>
      </c>
      <c r="Q1338" s="204">
        <v>0</v>
      </c>
      <c r="R1338" s="204">
        <v>0</v>
      </c>
      <c r="S1338" s="204">
        <v>123207.55</v>
      </c>
      <c r="T1338" s="204">
        <v>7392.4530000000004</v>
      </c>
      <c r="U1338" s="204">
        <v>130600.003</v>
      </c>
      <c r="V1338" s="204">
        <v>0</v>
      </c>
      <c r="W1338" s="204">
        <v>7392.4529999999904</v>
      </c>
      <c r="X1338" s="204">
        <v>6974.0122641509397</v>
      </c>
      <c r="Y1338" s="204">
        <v>418.44073584905601</v>
      </c>
      <c r="Z1338" s="204">
        <v>0</v>
      </c>
      <c r="AA1338" s="219">
        <v>53001.15</v>
      </c>
      <c r="AB1338" s="208">
        <f t="shared" si="318"/>
        <v>0</v>
      </c>
      <c r="AC1338" s="209">
        <f t="shared" si="319"/>
        <v>0</v>
      </c>
      <c r="AD1338" s="216">
        <v>0</v>
      </c>
      <c r="AE1338" s="217">
        <v>0</v>
      </c>
      <c r="AF1338" s="204">
        <f t="shared" si="320"/>
        <v>0</v>
      </c>
      <c r="AG1338" s="204"/>
      <c r="AH1338" s="204"/>
      <c r="AI1338" s="204"/>
      <c r="AJ1338" s="220" t="s">
        <v>193</v>
      </c>
      <c r="AK1338" s="124"/>
      <c r="AL1338" s="124"/>
    </row>
    <row r="1339" spans="1:38" s="125" customFormat="1" ht="14.25" x14ac:dyDescent="0.3">
      <c r="A1339" s="124">
        <v>2017</v>
      </c>
      <c r="B1339" s="124" t="s">
        <v>38</v>
      </c>
      <c r="C1339" s="124" t="s">
        <v>39</v>
      </c>
      <c r="D1339" s="124" t="s">
        <v>81</v>
      </c>
      <c r="E1339" s="124" t="s">
        <v>48</v>
      </c>
      <c r="F1339" s="124" t="s">
        <v>944</v>
      </c>
      <c r="G1339" s="124" t="s">
        <v>944</v>
      </c>
      <c r="H1339" s="124" t="s">
        <v>944</v>
      </c>
      <c r="I1339" s="175" t="s">
        <v>1174</v>
      </c>
      <c r="J1339" s="176" t="s">
        <v>44</v>
      </c>
      <c r="K1339" s="124" t="s">
        <v>1175</v>
      </c>
      <c r="L1339" s="124" t="s">
        <v>1236</v>
      </c>
      <c r="M1339" s="124" t="s">
        <v>46</v>
      </c>
      <c r="N1339" s="184">
        <v>0.04</v>
      </c>
      <c r="O1339" s="184" t="s">
        <v>186</v>
      </c>
      <c r="P1339" s="184" t="s">
        <v>51</v>
      </c>
      <c r="Q1339" s="204">
        <v>12866.7</v>
      </c>
      <c r="R1339" s="204">
        <v>0</v>
      </c>
      <c r="S1339" s="204">
        <v>588000</v>
      </c>
      <c r="T1339" s="204">
        <v>23520</v>
      </c>
      <c r="U1339" s="204">
        <v>611520</v>
      </c>
      <c r="V1339" s="204">
        <v>539920</v>
      </c>
      <c r="W1339" s="204">
        <v>23520</v>
      </c>
      <c r="X1339" s="204">
        <v>22615.384615384599</v>
      </c>
      <c r="Y1339" s="204">
        <v>904.61538461538703</v>
      </c>
      <c r="Z1339" s="204">
        <v>387319.4</v>
      </c>
      <c r="AA1339" s="204">
        <v>213547.3</v>
      </c>
      <c r="AB1339" s="208">
        <f>IF(P1339="返货",(Z1339-Q1339)/(1+N1339),IF(P1339="返现",Z1339,IF(P1339="折扣",Z1339*N1339,IF(P1339="无",Z1339))))</f>
        <v>360050.67307692306</v>
      </c>
      <c r="AC1339" s="209">
        <f t="shared" si="319"/>
        <v>27268.72692307696</v>
      </c>
      <c r="AD1339" s="216">
        <v>360050.67307692301</v>
      </c>
      <c r="AE1339" s="217">
        <v>0</v>
      </c>
      <c r="AF1339" s="204">
        <f t="shared" si="320"/>
        <v>0</v>
      </c>
      <c r="AG1339" s="204"/>
      <c r="AH1339" s="204"/>
      <c r="AI1339" s="204"/>
      <c r="AJ1339" s="220" t="s">
        <v>186</v>
      </c>
      <c r="AK1339" s="124"/>
      <c r="AL1339" s="124"/>
    </row>
    <row r="1340" spans="1:38" s="125" customFormat="1" ht="14.25" x14ac:dyDescent="0.3">
      <c r="A1340" s="124">
        <v>2017</v>
      </c>
      <c r="B1340" s="124" t="s">
        <v>38</v>
      </c>
      <c r="C1340" s="124" t="s">
        <v>39</v>
      </c>
      <c r="D1340" s="124" t="s">
        <v>81</v>
      </c>
      <c r="E1340" s="124" t="s">
        <v>48</v>
      </c>
      <c r="F1340" s="124" t="s">
        <v>944</v>
      </c>
      <c r="G1340" s="124" t="s">
        <v>944</v>
      </c>
      <c r="H1340" s="124" t="s">
        <v>944</v>
      </c>
      <c r="I1340" s="175" t="s">
        <v>1174</v>
      </c>
      <c r="J1340" s="176" t="s">
        <v>44</v>
      </c>
      <c r="K1340" s="124" t="s">
        <v>1175</v>
      </c>
      <c r="L1340" s="124" t="s">
        <v>1236</v>
      </c>
      <c r="M1340" s="124" t="s">
        <v>185</v>
      </c>
      <c r="N1340" s="184">
        <v>0.04</v>
      </c>
      <c r="O1340" s="184">
        <v>0.04</v>
      </c>
      <c r="P1340" s="184" t="s">
        <v>51</v>
      </c>
      <c r="Q1340" s="204">
        <v>0</v>
      </c>
      <c r="R1340" s="204">
        <v>0</v>
      </c>
      <c r="S1340" s="204"/>
      <c r="T1340" s="204"/>
      <c r="U1340" s="204"/>
      <c r="V1340" s="204">
        <v>0</v>
      </c>
      <c r="W1340" s="204"/>
      <c r="X1340" s="204"/>
      <c r="Y1340" s="204"/>
      <c r="Z1340" s="204">
        <v>211566.58</v>
      </c>
      <c r="AA1340" s="204"/>
      <c r="AB1340" s="208">
        <f t="shared" ref="AB1340:AB1353" si="321">IF(P1340="返货",Z1340/(1+N1340),IF(P1340="返现",Z1340,IF(P1340="折扣",Z1340*N1340,IF(P1340="无",Z1340))))</f>
        <v>203429.40384615381</v>
      </c>
      <c r="AC1340" s="209">
        <f t="shared" si="319"/>
        <v>8137.1761538461724</v>
      </c>
      <c r="AD1340" s="216">
        <v>203429.40384615399</v>
      </c>
      <c r="AE1340" s="217">
        <v>0</v>
      </c>
      <c r="AF1340" s="204">
        <f t="shared" si="320"/>
        <v>0</v>
      </c>
      <c r="AG1340" s="204"/>
      <c r="AH1340" s="204"/>
      <c r="AI1340" s="204"/>
      <c r="AJ1340" s="220"/>
      <c r="AK1340" s="124"/>
      <c r="AL1340" s="124"/>
    </row>
    <row r="1341" spans="1:38" s="125" customFormat="1" ht="14.25" x14ac:dyDescent="0.3">
      <c r="A1341" s="124">
        <v>2017</v>
      </c>
      <c r="B1341" s="212" t="s">
        <v>38</v>
      </c>
      <c r="C1341" s="212" t="s">
        <v>54</v>
      </c>
      <c r="D1341" s="212" t="s">
        <v>102</v>
      </c>
      <c r="E1341" s="212" t="s">
        <v>187</v>
      </c>
      <c r="F1341" s="212" t="s">
        <v>1237</v>
      </c>
      <c r="G1341" s="212" t="s">
        <v>1237</v>
      </c>
      <c r="H1341" s="212" t="s">
        <v>1237</v>
      </c>
      <c r="I1341" s="175" t="s">
        <v>1174</v>
      </c>
      <c r="J1341" s="176" t="s">
        <v>44</v>
      </c>
      <c r="K1341" s="212" t="s">
        <v>1175</v>
      </c>
      <c r="L1341" s="212" t="s">
        <v>1238</v>
      </c>
      <c r="M1341" s="212" t="s">
        <v>46</v>
      </c>
      <c r="N1341" s="184">
        <v>0</v>
      </c>
      <c r="O1341" s="184" t="s">
        <v>47</v>
      </c>
      <c r="P1341" s="184" t="s">
        <v>47</v>
      </c>
      <c r="Q1341" s="210">
        <v>0</v>
      </c>
      <c r="R1341" s="210">
        <v>0</v>
      </c>
      <c r="S1341" s="210">
        <v>20000</v>
      </c>
      <c r="T1341" s="210">
        <v>0</v>
      </c>
      <c r="U1341" s="210">
        <v>20000</v>
      </c>
      <c r="V1341" s="204">
        <v>20000</v>
      </c>
      <c r="W1341" s="210">
        <v>0</v>
      </c>
      <c r="X1341" s="210">
        <v>0</v>
      </c>
      <c r="Y1341" s="210">
        <v>0</v>
      </c>
      <c r="Z1341" s="210">
        <v>5282.5</v>
      </c>
      <c r="AA1341" s="210">
        <v>14717.5</v>
      </c>
      <c r="AB1341" s="208">
        <f t="shared" si="321"/>
        <v>5282.5</v>
      </c>
      <c r="AC1341" s="209">
        <f t="shared" si="319"/>
        <v>0</v>
      </c>
      <c r="AD1341" s="218">
        <v>5282.5</v>
      </c>
      <c r="AE1341" s="217">
        <v>0</v>
      </c>
      <c r="AF1341" s="204">
        <f t="shared" si="320"/>
        <v>0</v>
      </c>
      <c r="AG1341" s="204"/>
      <c r="AH1341" s="210"/>
      <c r="AI1341" s="210"/>
      <c r="AJ1341" s="221" t="s">
        <v>47</v>
      </c>
      <c r="AK1341" s="212" t="s">
        <v>1239</v>
      </c>
      <c r="AL1341" s="212"/>
    </row>
    <row r="1342" spans="1:38" s="125" customFormat="1" ht="14.25" x14ac:dyDescent="0.3">
      <c r="A1342" s="124">
        <v>2017</v>
      </c>
      <c r="B1342" s="212" t="s">
        <v>38</v>
      </c>
      <c r="C1342" s="212" t="s">
        <v>54</v>
      </c>
      <c r="D1342" s="212" t="s">
        <v>102</v>
      </c>
      <c r="E1342" s="212" t="s">
        <v>115</v>
      </c>
      <c r="F1342" s="212" t="s">
        <v>1240</v>
      </c>
      <c r="G1342" s="212" t="s">
        <v>1240</v>
      </c>
      <c r="H1342" s="212" t="s">
        <v>1240</v>
      </c>
      <c r="I1342" s="175" t="s">
        <v>1174</v>
      </c>
      <c r="J1342" s="176" t="s">
        <v>44</v>
      </c>
      <c r="K1342" s="212" t="s">
        <v>1175</v>
      </c>
      <c r="L1342" s="124" t="s">
        <v>1241</v>
      </c>
      <c r="M1342" s="212" t="s">
        <v>185</v>
      </c>
      <c r="N1342" s="184">
        <v>0.1</v>
      </c>
      <c r="O1342" s="184" t="s">
        <v>69</v>
      </c>
      <c r="P1342" s="184" t="s">
        <v>51</v>
      </c>
      <c r="Q1342" s="210">
        <v>0</v>
      </c>
      <c r="R1342" s="210">
        <v>0</v>
      </c>
      <c r="S1342" s="210">
        <v>9090.91</v>
      </c>
      <c r="T1342" s="210">
        <v>909.09100000000001</v>
      </c>
      <c r="U1342" s="210">
        <v>10000.001</v>
      </c>
      <c r="V1342" s="204">
        <v>10000</v>
      </c>
      <c r="W1342" s="210">
        <v>909.09100000000001</v>
      </c>
      <c r="X1342" s="210">
        <v>826.44636363636403</v>
      </c>
      <c r="Y1342" s="210">
        <v>82.644636363636394</v>
      </c>
      <c r="Z1342" s="210">
        <v>27.3</v>
      </c>
      <c r="AA1342" s="210">
        <v>9063.61</v>
      </c>
      <c r="AB1342" s="208">
        <f t="shared" si="321"/>
        <v>24.818181818181817</v>
      </c>
      <c r="AC1342" s="209">
        <f t="shared" si="319"/>
        <v>2.4818181818181841</v>
      </c>
      <c r="AD1342" s="218">
        <v>24.818181818181799</v>
      </c>
      <c r="AE1342" s="217">
        <v>0</v>
      </c>
      <c r="AF1342" s="204">
        <f t="shared" si="320"/>
        <v>0</v>
      </c>
      <c r="AG1342" s="204"/>
      <c r="AH1342" s="210"/>
      <c r="AI1342" s="210"/>
      <c r="AJ1342" s="221" t="s">
        <v>69</v>
      </c>
      <c r="AK1342" s="212"/>
      <c r="AL1342" s="212"/>
    </row>
    <row r="1343" spans="1:38" s="125" customFormat="1" ht="14.25" x14ac:dyDescent="0.3">
      <c r="A1343" s="124">
        <v>2017</v>
      </c>
      <c r="B1343" s="124" t="s">
        <v>38</v>
      </c>
      <c r="C1343" s="124" t="s">
        <v>59</v>
      </c>
      <c r="D1343" s="124" t="s">
        <v>106</v>
      </c>
      <c r="E1343" s="124" t="s">
        <v>107</v>
      </c>
      <c r="F1343" s="124" t="s">
        <v>1242</v>
      </c>
      <c r="G1343" s="124" t="s">
        <v>1242</v>
      </c>
      <c r="H1343" s="124" t="s">
        <v>1242</v>
      </c>
      <c r="I1343" s="175" t="s">
        <v>1174</v>
      </c>
      <c r="J1343" s="176" t="s">
        <v>44</v>
      </c>
      <c r="K1343" s="124" t="s">
        <v>1175</v>
      </c>
      <c r="L1343" s="124" t="s">
        <v>1243</v>
      </c>
      <c r="M1343" s="124" t="s">
        <v>46</v>
      </c>
      <c r="N1343" s="184">
        <v>0.02</v>
      </c>
      <c r="O1343" s="184" t="s">
        <v>173</v>
      </c>
      <c r="P1343" s="184" t="s">
        <v>51</v>
      </c>
      <c r="Q1343" s="204">
        <v>0</v>
      </c>
      <c r="R1343" s="204">
        <v>0</v>
      </c>
      <c r="S1343" s="204">
        <v>60000</v>
      </c>
      <c r="T1343" s="204">
        <v>1200</v>
      </c>
      <c r="U1343" s="204">
        <v>61200</v>
      </c>
      <c r="V1343" s="204">
        <v>61200</v>
      </c>
      <c r="W1343" s="204">
        <v>1200</v>
      </c>
      <c r="X1343" s="204">
        <v>1176.4705882352901</v>
      </c>
      <c r="Y1343" s="204">
        <v>23.529411764705898</v>
      </c>
      <c r="Z1343" s="204">
        <v>61200</v>
      </c>
      <c r="AA1343" s="204">
        <v>-1200</v>
      </c>
      <c r="AB1343" s="208">
        <f t="shared" si="321"/>
        <v>60000</v>
      </c>
      <c r="AC1343" s="209">
        <f t="shared" si="319"/>
        <v>1200</v>
      </c>
      <c r="AD1343" s="216">
        <v>60000</v>
      </c>
      <c r="AE1343" s="217">
        <v>0</v>
      </c>
      <c r="AF1343" s="204">
        <f t="shared" si="320"/>
        <v>0</v>
      </c>
      <c r="AG1343" s="204"/>
      <c r="AH1343" s="204"/>
      <c r="AI1343" s="204"/>
      <c r="AJ1343" s="220" t="s">
        <v>173</v>
      </c>
      <c r="AK1343" s="124"/>
      <c r="AL1343" s="124"/>
    </row>
    <row r="1344" spans="1:38" s="125" customFormat="1" ht="14.25" x14ac:dyDescent="0.3">
      <c r="A1344" s="124">
        <v>2017</v>
      </c>
      <c r="B1344" s="124" t="s">
        <v>38</v>
      </c>
      <c r="C1344" s="124" t="s">
        <v>88</v>
      </c>
      <c r="D1344" s="124" t="s">
        <v>95</v>
      </c>
      <c r="E1344" s="124" t="s">
        <v>98</v>
      </c>
      <c r="F1344" s="124" t="s">
        <v>1244</v>
      </c>
      <c r="G1344" s="124" t="s">
        <v>1244</v>
      </c>
      <c r="H1344" s="124" t="s">
        <v>1244</v>
      </c>
      <c r="I1344" s="175" t="s">
        <v>1174</v>
      </c>
      <c r="J1344" s="176" t="s">
        <v>44</v>
      </c>
      <c r="K1344" s="124" t="s">
        <v>1175</v>
      </c>
      <c r="L1344" s="124" t="s">
        <v>1245</v>
      </c>
      <c r="M1344" s="124" t="s">
        <v>46</v>
      </c>
      <c r="N1344" s="184">
        <v>0.02</v>
      </c>
      <c r="O1344" s="184" t="s">
        <v>613</v>
      </c>
      <c r="P1344" s="184" t="s">
        <v>51</v>
      </c>
      <c r="Q1344" s="204">
        <v>0</v>
      </c>
      <c r="R1344" s="204">
        <v>0</v>
      </c>
      <c r="S1344" s="204">
        <v>70000</v>
      </c>
      <c r="T1344" s="204">
        <v>1400</v>
      </c>
      <c r="U1344" s="204">
        <v>71400</v>
      </c>
      <c r="V1344" s="204">
        <v>71400</v>
      </c>
      <c r="W1344" s="204">
        <v>1400</v>
      </c>
      <c r="X1344" s="204">
        <v>1372.5490196078399</v>
      </c>
      <c r="Y1344" s="204">
        <v>27.4509803921569</v>
      </c>
      <c r="Z1344" s="204">
        <v>32081.05</v>
      </c>
      <c r="AA1344" s="204">
        <v>37918.949999999997</v>
      </c>
      <c r="AB1344" s="208">
        <f t="shared" si="321"/>
        <v>31452.009803921566</v>
      </c>
      <c r="AC1344" s="209">
        <f t="shared" ref="AC1344:AC1356" si="322">IF(P1344="返现",Z1344*N1344,Z1344-AB1344)</f>
        <v>629.04019607843293</v>
      </c>
      <c r="AD1344" s="216">
        <v>31452.009803921599</v>
      </c>
      <c r="AE1344" s="217">
        <v>0</v>
      </c>
      <c r="AF1344" s="204">
        <f t="shared" si="320"/>
        <v>0</v>
      </c>
      <c r="AG1344" s="204"/>
      <c r="AH1344" s="204"/>
      <c r="AI1344" s="204"/>
      <c r="AJ1344" s="220" t="s">
        <v>613</v>
      </c>
      <c r="AK1344" s="124"/>
      <c r="AL1344" s="124"/>
    </row>
    <row r="1345" spans="1:39" s="125" customFormat="1" ht="14.25" x14ac:dyDescent="0.3">
      <c r="A1345" s="124">
        <v>2017</v>
      </c>
      <c r="B1345" s="124" t="s">
        <v>38</v>
      </c>
      <c r="C1345" s="124" t="s">
        <v>59</v>
      </c>
      <c r="D1345" s="124" t="s">
        <v>181</v>
      </c>
      <c r="E1345" s="124" t="s">
        <v>107</v>
      </c>
      <c r="F1345" s="124" t="s">
        <v>1246</v>
      </c>
      <c r="G1345" s="124" t="s">
        <v>1246</v>
      </c>
      <c r="H1345" s="124" t="s">
        <v>1246</v>
      </c>
      <c r="I1345" s="175" t="s">
        <v>1174</v>
      </c>
      <c r="J1345" s="176" t="s">
        <v>44</v>
      </c>
      <c r="K1345" s="124" t="s">
        <v>1175</v>
      </c>
      <c r="L1345" s="124" t="s">
        <v>1247</v>
      </c>
      <c r="M1345" s="124" t="s">
        <v>46</v>
      </c>
      <c r="N1345" s="184">
        <v>0.04</v>
      </c>
      <c r="O1345" s="184" t="s">
        <v>1248</v>
      </c>
      <c r="P1345" s="184" t="s">
        <v>51</v>
      </c>
      <c r="Q1345" s="204">
        <v>0</v>
      </c>
      <c r="R1345" s="204">
        <v>0</v>
      </c>
      <c r="S1345" s="204">
        <v>100000</v>
      </c>
      <c r="T1345" s="204">
        <v>4000</v>
      </c>
      <c r="U1345" s="204">
        <v>104000</v>
      </c>
      <c r="V1345" s="204">
        <v>102000</v>
      </c>
      <c r="W1345" s="204">
        <v>4000</v>
      </c>
      <c r="X1345" s="204">
        <v>3846.1538461538498</v>
      </c>
      <c r="Y1345" s="204">
        <v>153.84615384615401</v>
      </c>
      <c r="Z1345" s="204">
        <v>102000</v>
      </c>
      <c r="AA1345" s="204">
        <v>-2000</v>
      </c>
      <c r="AB1345" s="208">
        <f t="shared" si="321"/>
        <v>98076.923076923078</v>
      </c>
      <c r="AC1345" s="209">
        <f t="shared" si="322"/>
        <v>3923.076923076922</v>
      </c>
      <c r="AD1345" s="216">
        <v>98076.923076923107</v>
      </c>
      <c r="AE1345" s="217">
        <v>0</v>
      </c>
      <c r="AF1345" s="204">
        <f t="shared" si="320"/>
        <v>0</v>
      </c>
      <c r="AG1345" s="204"/>
      <c r="AH1345" s="204"/>
      <c r="AI1345" s="204"/>
      <c r="AJ1345" s="220" t="s">
        <v>1248</v>
      </c>
      <c r="AK1345" s="124"/>
      <c r="AL1345" s="124"/>
    </row>
    <row r="1346" spans="1:39" s="125" customFormat="1" ht="14.25" x14ac:dyDescent="0.3">
      <c r="A1346" s="124">
        <v>2017</v>
      </c>
      <c r="B1346" s="124" t="s">
        <v>38</v>
      </c>
      <c r="C1346" s="124" t="s">
        <v>137</v>
      </c>
      <c r="D1346" s="124" t="s">
        <v>138</v>
      </c>
      <c r="E1346" s="124"/>
      <c r="F1346" s="124" t="s">
        <v>1216</v>
      </c>
      <c r="G1346" s="124" t="s">
        <v>1216</v>
      </c>
      <c r="H1346" s="124" t="s">
        <v>1216</v>
      </c>
      <c r="I1346" s="175" t="s">
        <v>1174</v>
      </c>
      <c r="J1346" s="176" t="s">
        <v>44</v>
      </c>
      <c r="K1346" s="124" t="s">
        <v>1175</v>
      </c>
      <c r="L1346" s="124" t="s">
        <v>1217</v>
      </c>
      <c r="M1346" s="124" t="s">
        <v>185</v>
      </c>
      <c r="N1346" s="184">
        <v>0.08</v>
      </c>
      <c r="O1346" s="184" t="s">
        <v>1218</v>
      </c>
      <c r="P1346" s="184" t="s">
        <v>51</v>
      </c>
      <c r="Q1346" s="204"/>
      <c r="R1346" s="204"/>
      <c r="S1346" s="204"/>
      <c r="T1346" s="204"/>
      <c r="U1346" s="204"/>
      <c r="V1346" s="204">
        <v>0</v>
      </c>
      <c r="W1346" s="204"/>
      <c r="X1346" s="204"/>
      <c r="Y1346" s="204"/>
      <c r="Z1346" s="204">
        <v>227227.73</v>
      </c>
      <c r="AA1346" s="204"/>
      <c r="AB1346" s="208">
        <f t="shared" si="321"/>
        <v>210396.04629629629</v>
      </c>
      <c r="AC1346" s="209">
        <f t="shared" si="322"/>
        <v>16831.683703703718</v>
      </c>
      <c r="AD1346" s="216">
        <v>210396.046296296</v>
      </c>
      <c r="AE1346" s="217">
        <v>0</v>
      </c>
      <c r="AF1346" s="204">
        <f t="shared" si="320"/>
        <v>0</v>
      </c>
      <c r="AG1346" s="204"/>
      <c r="AH1346" s="204"/>
      <c r="AI1346" s="204"/>
      <c r="AJ1346" s="204"/>
      <c r="AK1346" s="220"/>
      <c r="AL1346" s="124"/>
    </row>
    <row r="1347" spans="1:39" s="125" customFormat="1" ht="14.25" x14ac:dyDescent="0.3">
      <c r="A1347" s="124">
        <v>2017</v>
      </c>
      <c r="B1347" s="124" t="s">
        <v>38</v>
      </c>
      <c r="C1347" s="124" t="s">
        <v>75</v>
      </c>
      <c r="D1347" s="124" t="s">
        <v>76</v>
      </c>
      <c r="E1347" s="124" t="s">
        <v>167</v>
      </c>
      <c r="F1347" s="124" t="s">
        <v>216</v>
      </c>
      <c r="G1347" s="124" t="s">
        <v>216</v>
      </c>
      <c r="H1347" s="124" t="s">
        <v>216</v>
      </c>
      <c r="I1347" s="175" t="s">
        <v>1174</v>
      </c>
      <c r="J1347" s="176" t="s">
        <v>44</v>
      </c>
      <c r="K1347" s="124" t="s">
        <v>1249</v>
      </c>
      <c r="L1347" s="124" t="s">
        <v>1250</v>
      </c>
      <c r="M1347" s="124" t="s">
        <v>46</v>
      </c>
      <c r="N1347" s="184">
        <v>0.02</v>
      </c>
      <c r="O1347" s="184" t="s">
        <v>173</v>
      </c>
      <c r="P1347" s="184" t="s">
        <v>51</v>
      </c>
      <c r="Q1347" s="204">
        <v>0</v>
      </c>
      <c r="R1347" s="204">
        <v>0</v>
      </c>
      <c r="S1347" s="204">
        <v>467745.06</v>
      </c>
      <c r="T1347" s="204">
        <v>9354.9012000000002</v>
      </c>
      <c r="U1347" s="204">
        <v>477099.96120000002</v>
      </c>
      <c r="V1347" s="204">
        <v>477099.96</v>
      </c>
      <c r="W1347" s="204">
        <v>9354.9012000000203</v>
      </c>
      <c r="X1347" s="204">
        <v>9171.4717647059006</v>
      </c>
      <c r="Y1347" s="204">
        <v>183.42943529411801</v>
      </c>
      <c r="Z1347" s="204">
        <v>477099.96120000002</v>
      </c>
      <c r="AA1347" s="204">
        <v>-9354.9012000000203</v>
      </c>
      <c r="AB1347" s="208">
        <f t="shared" si="321"/>
        <v>467745.06</v>
      </c>
      <c r="AC1347" s="209">
        <f t="shared" si="322"/>
        <v>9354.9012000000221</v>
      </c>
      <c r="AD1347" s="216">
        <v>467745.06</v>
      </c>
      <c r="AE1347" s="217">
        <v>0</v>
      </c>
      <c r="AF1347" s="204">
        <f t="shared" si="320"/>
        <v>0</v>
      </c>
      <c r="AG1347" s="204"/>
      <c r="AH1347" s="204"/>
      <c r="AI1347" s="204"/>
      <c r="AJ1347" s="220" t="s">
        <v>173</v>
      </c>
      <c r="AK1347" s="223"/>
      <c r="AL1347" s="223"/>
    </row>
    <row r="1348" spans="1:39" s="125" customFormat="1" ht="14.25" x14ac:dyDescent="0.3">
      <c r="A1348" s="124">
        <v>2017</v>
      </c>
      <c r="B1348" s="124" t="s">
        <v>38</v>
      </c>
      <c r="C1348" s="124" t="s">
        <v>39</v>
      </c>
      <c r="D1348" s="124" t="s">
        <v>40</v>
      </c>
      <c r="E1348" s="124" t="s">
        <v>41</v>
      </c>
      <c r="F1348" s="124" t="s">
        <v>42</v>
      </c>
      <c r="G1348" s="124" t="s">
        <v>42</v>
      </c>
      <c r="H1348" s="124" t="s">
        <v>42</v>
      </c>
      <c r="I1348" s="175" t="s">
        <v>1174</v>
      </c>
      <c r="J1348" s="176" t="s">
        <v>44</v>
      </c>
      <c r="K1348" s="124" t="s">
        <v>1249</v>
      </c>
      <c r="L1348" s="124" t="s">
        <v>1251</v>
      </c>
      <c r="M1348" s="124" t="s">
        <v>46</v>
      </c>
      <c r="N1348" s="184">
        <v>0</v>
      </c>
      <c r="O1348" s="184" t="s">
        <v>47</v>
      </c>
      <c r="P1348" s="184" t="s">
        <v>47</v>
      </c>
      <c r="Q1348" s="204">
        <v>0</v>
      </c>
      <c r="R1348" s="204">
        <v>0</v>
      </c>
      <c r="S1348" s="204">
        <v>70000</v>
      </c>
      <c r="T1348" s="204">
        <v>0</v>
      </c>
      <c r="U1348" s="204">
        <v>70000</v>
      </c>
      <c r="V1348" s="204">
        <v>70000</v>
      </c>
      <c r="W1348" s="204">
        <v>0</v>
      </c>
      <c r="X1348" s="204">
        <v>0</v>
      </c>
      <c r="Y1348" s="204">
        <v>0</v>
      </c>
      <c r="Z1348" s="204">
        <v>70000</v>
      </c>
      <c r="AA1348" s="204">
        <v>0</v>
      </c>
      <c r="AB1348" s="208">
        <f t="shared" si="321"/>
        <v>70000</v>
      </c>
      <c r="AC1348" s="209">
        <f t="shared" si="322"/>
        <v>0</v>
      </c>
      <c r="AD1348" s="216">
        <v>70000</v>
      </c>
      <c r="AE1348" s="217">
        <v>0</v>
      </c>
      <c r="AF1348" s="204">
        <f t="shared" si="320"/>
        <v>0</v>
      </c>
      <c r="AG1348" s="204"/>
      <c r="AH1348" s="204"/>
      <c r="AI1348" s="204"/>
      <c r="AJ1348" s="220" t="s">
        <v>1108</v>
      </c>
      <c r="AK1348" s="223"/>
      <c r="AL1348" s="223"/>
    </row>
    <row r="1349" spans="1:39" s="125" customFormat="1" ht="14.25" x14ac:dyDescent="0.3">
      <c r="A1349" s="124">
        <v>2017</v>
      </c>
      <c r="B1349" s="124" t="s">
        <v>38</v>
      </c>
      <c r="C1349" s="124" t="s">
        <v>88</v>
      </c>
      <c r="D1349" s="124" t="s">
        <v>128</v>
      </c>
      <c r="E1349" s="124" t="s">
        <v>277</v>
      </c>
      <c r="F1349" s="124" t="s">
        <v>599</v>
      </c>
      <c r="G1349" s="124" t="s">
        <v>599</v>
      </c>
      <c r="H1349" s="124" t="s">
        <v>599</v>
      </c>
      <c r="I1349" s="175" t="s">
        <v>1174</v>
      </c>
      <c r="J1349" s="176" t="s">
        <v>44</v>
      </c>
      <c r="K1349" s="124" t="s">
        <v>1249</v>
      </c>
      <c r="L1349" s="124" t="s">
        <v>1252</v>
      </c>
      <c r="M1349" s="124" t="s">
        <v>46</v>
      </c>
      <c r="N1349" s="184">
        <v>0.02</v>
      </c>
      <c r="O1349" s="184" t="s">
        <v>1091</v>
      </c>
      <c r="P1349" s="184" t="s">
        <v>51</v>
      </c>
      <c r="Q1349" s="204">
        <v>0</v>
      </c>
      <c r="R1349" s="204">
        <v>0</v>
      </c>
      <c r="S1349" s="204">
        <v>90000</v>
      </c>
      <c r="T1349" s="204">
        <v>1800</v>
      </c>
      <c r="U1349" s="204">
        <v>91800</v>
      </c>
      <c r="V1349" s="204">
        <v>91800</v>
      </c>
      <c r="W1349" s="204">
        <v>1800</v>
      </c>
      <c r="X1349" s="204">
        <v>1764.7058823529401</v>
      </c>
      <c r="Y1349" s="204">
        <v>35.294117647058798</v>
      </c>
      <c r="Z1349" s="204">
        <v>91800</v>
      </c>
      <c r="AA1349" s="204">
        <v>-1800</v>
      </c>
      <c r="AB1349" s="208">
        <f t="shared" si="321"/>
        <v>90000</v>
      </c>
      <c r="AC1349" s="209">
        <f t="shared" si="322"/>
        <v>1800</v>
      </c>
      <c r="AD1349" s="216">
        <v>90000</v>
      </c>
      <c r="AE1349" s="217">
        <v>0</v>
      </c>
      <c r="AF1349" s="204">
        <f t="shared" si="320"/>
        <v>0</v>
      </c>
      <c r="AG1349" s="204"/>
      <c r="AH1349" s="204"/>
      <c r="AI1349" s="204"/>
      <c r="AJ1349" s="220" t="s">
        <v>1091</v>
      </c>
      <c r="AK1349" s="223"/>
      <c r="AL1349" s="223"/>
    </row>
    <row r="1350" spans="1:39" s="125" customFormat="1" ht="14.25" x14ac:dyDescent="0.3">
      <c r="A1350" s="124">
        <v>2017</v>
      </c>
      <c r="B1350" s="124" t="s">
        <v>38</v>
      </c>
      <c r="C1350" s="124" t="s">
        <v>110</v>
      </c>
      <c r="D1350" s="124" t="s">
        <v>111</v>
      </c>
      <c r="E1350" s="124" t="s">
        <v>253</v>
      </c>
      <c r="F1350" s="124" t="s">
        <v>630</v>
      </c>
      <c r="G1350" s="124" t="s">
        <v>630</v>
      </c>
      <c r="H1350" s="124" t="s">
        <v>630</v>
      </c>
      <c r="I1350" s="175" t="s">
        <v>1174</v>
      </c>
      <c r="J1350" s="175" t="s">
        <v>1253</v>
      </c>
      <c r="K1350" s="124" t="s">
        <v>1254</v>
      </c>
      <c r="L1350" s="124" t="s">
        <v>1255</v>
      </c>
      <c r="M1350" s="124" t="s">
        <v>46</v>
      </c>
      <c r="N1350" s="184">
        <v>0.04</v>
      </c>
      <c r="O1350" s="184" t="s">
        <v>186</v>
      </c>
      <c r="P1350" s="184" t="s">
        <v>51</v>
      </c>
      <c r="Q1350" s="204">
        <v>0</v>
      </c>
      <c r="R1350" s="204">
        <v>0</v>
      </c>
      <c r="S1350" s="204">
        <v>148022.31</v>
      </c>
      <c r="T1350" s="204">
        <v>5920.8923999999997</v>
      </c>
      <c r="U1350" s="204">
        <v>153943.20240000001</v>
      </c>
      <c r="V1350" s="204">
        <v>239543.90400000001</v>
      </c>
      <c r="W1350" s="204">
        <v>5920.8924000000097</v>
      </c>
      <c r="X1350" s="204">
        <v>5693.1657692307799</v>
      </c>
      <c r="Y1350" s="204">
        <v>227.726630769232</v>
      </c>
      <c r="Z1350" s="204">
        <v>269543.90000000002</v>
      </c>
      <c r="AA1350" s="204">
        <v>10135.2076</v>
      </c>
      <c r="AB1350" s="208">
        <f t="shared" si="321"/>
        <v>259176.82692307694</v>
      </c>
      <c r="AC1350" s="209">
        <f t="shared" si="322"/>
        <v>10367.073076923087</v>
      </c>
      <c r="AD1350" s="204">
        <v>259176.82692307699</v>
      </c>
      <c r="AE1350" s="195">
        <v>0</v>
      </c>
      <c r="AF1350" s="204">
        <f t="shared" si="320"/>
        <v>0</v>
      </c>
      <c r="AG1350" s="204"/>
      <c r="AH1350" s="204"/>
      <c r="AI1350" s="204"/>
      <c r="AJ1350" s="220" t="s">
        <v>186</v>
      </c>
      <c r="AK1350" s="124"/>
      <c r="AL1350" s="124"/>
    </row>
    <row r="1351" spans="1:39" s="125" customFormat="1" ht="14.25" x14ac:dyDescent="0.3">
      <c r="A1351" s="124">
        <v>2017</v>
      </c>
      <c r="B1351" s="212" t="s">
        <v>38</v>
      </c>
      <c r="C1351" s="212" t="s">
        <v>54</v>
      </c>
      <c r="D1351" s="212" t="s">
        <v>55</v>
      </c>
      <c r="E1351" s="212" t="s">
        <v>1256</v>
      </c>
      <c r="F1351" s="212" t="s">
        <v>998</v>
      </c>
      <c r="G1351" s="212" t="s">
        <v>998</v>
      </c>
      <c r="H1351" s="212" t="s">
        <v>998</v>
      </c>
      <c r="I1351" s="175" t="s">
        <v>1174</v>
      </c>
      <c r="J1351" s="175" t="s">
        <v>1253</v>
      </c>
      <c r="K1351" s="212" t="s">
        <v>1254</v>
      </c>
      <c r="L1351" s="212" t="s">
        <v>1257</v>
      </c>
      <c r="M1351" s="212" t="s">
        <v>46</v>
      </c>
      <c r="N1351" s="184">
        <v>0</v>
      </c>
      <c r="O1351" s="184" t="s">
        <v>47</v>
      </c>
      <c r="P1351" s="184" t="s">
        <v>47</v>
      </c>
      <c r="Q1351" s="210">
        <v>0</v>
      </c>
      <c r="R1351" s="210">
        <v>0</v>
      </c>
      <c r="S1351" s="210">
        <v>20000</v>
      </c>
      <c r="T1351" s="210">
        <v>0</v>
      </c>
      <c r="U1351" s="210">
        <v>20000</v>
      </c>
      <c r="V1351" s="210">
        <v>10000</v>
      </c>
      <c r="W1351" s="210">
        <v>0</v>
      </c>
      <c r="X1351" s="210">
        <v>0</v>
      </c>
      <c r="Y1351" s="210">
        <v>0</v>
      </c>
      <c r="Z1351" s="210">
        <v>10000</v>
      </c>
      <c r="AA1351" s="210">
        <v>10000</v>
      </c>
      <c r="AB1351" s="208">
        <f t="shared" si="321"/>
        <v>10000</v>
      </c>
      <c r="AC1351" s="209">
        <f t="shared" si="322"/>
        <v>0</v>
      </c>
      <c r="AD1351" s="210">
        <v>10000</v>
      </c>
      <c r="AE1351" s="195">
        <v>0</v>
      </c>
      <c r="AF1351" s="204">
        <f t="shared" si="320"/>
        <v>0</v>
      </c>
      <c r="AG1351" s="204"/>
      <c r="AH1351" s="210"/>
      <c r="AI1351" s="210"/>
      <c r="AJ1351" s="221" t="s">
        <v>47</v>
      </c>
      <c r="AK1351" s="124"/>
      <c r="AL1351" s="124"/>
    </row>
    <row r="1352" spans="1:39" s="125" customFormat="1" ht="14.25" x14ac:dyDescent="0.3">
      <c r="A1352" s="124">
        <v>2017</v>
      </c>
      <c r="B1352" s="212" t="s">
        <v>38</v>
      </c>
      <c r="C1352" s="212" t="s">
        <v>54</v>
      </c>
      <c r="D1352" s="212" t="s">
        <v>102</v>
      </c>
      <c r="E1352" s="212" t="s">
        <v>505</v>
      </c>
      <c r="F1352" s="212" t="s">
        <v>1258</v>
      </c>
      <c r="G1352" s="212" t="s">
        <v>1258</v>
      </c>
      <c r="H1352" s="212" t="s">
        <v>1258</v>
      </c>
      <c r="I1352" s="175" t="s">
        <v>1174</v>
      </c>
      <c r="J1352" s="175" t="s">
        <v>1253</v>
      </c>
      <c r="K1352" s="212" t="s">
        <v>1254</v>
      </c>
      <c r="L1352" s="212" t="s">
        <v>1259</v>
      </c>
      <c r="M1352" s="212" t="s">
        <v>46</v>
      </c>
      <c r="N1352" s="184">
        <v>0.02</v>
      </c>
      <c r="O1352" s="184" t="s">
        <v>173</v>
      </c>
      <c r="P1352" s="184" t="s">
        <v>51</v>
      </c>
      <c r="Q1352" s="210">
        <v>0</v>
      </c>
      <c r="R1352" s="210">
        <v>0</v>
      </c>
      <c r="S1352" s="210">
        <v>160356.9</v>
      </c>
      <c r="T1352" s="210">
        <v>3207.1379999999999</v>
      </c>
      <c r="U1352" s="210">
        <v>163564.038</v>
      </c>
      <c r="V1352" s="210">
        <v>260356.9</v>
      </c>
      <c r="W1352" s="210">
        <v>3207.1380000000099</v>
      </c>
      <c r="X1352" s="210">
        <v>3144.2529411764799</v>
      </c>
      <c r="Y1352" s="210">
        <v>62.885058823529597</v>
      </c>
      <c r="Z1352" s="210">
        <v>260356.9</v>
      </c>
      <c r="AA1352" s="210">
        <v>0</v>
      </c>
      <c r="AB1352" s="208">
        <f t="shared" si="321"/>
        <v>255251.86274509804</v>
      </c>
      <c r="AC1352" s="209">
        <f t="shared" si="322"/>
        <v>5105.0372549019521</v>
      </c>
      <c r="AD1352" s="210">
        <v>255251.86274509801</v>
      </c>
      <c r="AE1352" s="195">
        <v>0</v>
      </c>
      <c r="AF1352" s="204">
        <f t="shared" ref="AF1352:AF1358" si="323">AD1352*AE1352</f>
        <v>0</v>
      </c>
      <c r="AG1352" s="204"/>
      <c r="AH1352" s="210"/>
      <c r="AI1352" s="210"/>
      <c r="AJ1352" s="221" t="s">
        <v>173</v>
      </c>
      <c r="AK1352" s="124"/>
      <c r="AL1352" s="124"/>
    </row>
    <row r="1353" spans="1:39" s="125" customFormat="1" ht="14.25" x14ac:dyDescent="0.3">
      <c r="A1353" s="124">
        <v>2017</v>
      </c>
      <c r="B1353" s="124" t="s">
        <v>38</v>
      </c>
      <c r="C1353" s="124" t="s">
        <v>88</v>
      </c>
      <c r="D1353" s="124" t="s">
        <v>89</v>
      </c>
      <c r="E1353" s="124" t="s">
        <v>124</v>
      </c>
      <c r="F1353" s="124" t="s">
        <v>1260</v>
      </c>
      <c r="G1353" s="124" t="s">
        <v>1260</v>
      </c>
      <c r="H1353" s="124" t="s">
        <v>1260</v>
      </c>
      <c r="I1353" s="175" t="s">
        <v>1174</v>
      </c>
      <c r="J1353" s="175" t="s">
        <v>1253</v>
      </c>
      <c r="K1353" s="124" t="s">
        <v>1254</v>
      </c>
      <c r="L1353" s="124" t="s">
        <v>1261</v>
      </c>
      <c r="M1353" s="124" t="s">
        <v>46</v>
      </c>
      <c r="N1353" s="183">
        <v>0.02</v>
      </c>
      <c r="O1353" s="184" t="s">
        <v>173</v>
      </c>
      <c r="P1353" s="184" t="s">
        <v>51</v>
      </c>
      <c r="Q1353" s="204">
        <v>0</v>
      </c>
      <c r="R1353" s="204">
        <v>0</v>
      </c>
      <c r="S1353" s="204">
        <v>3690.1</v>
      </c>
      <c r="T1353" s="204">
        <v>147.60400000000001</v>
      </c>
      <c r="U1353" s="204">
        <v>3837.7040000000002</v>
      </c>
      <c r="V1353" s="204">
        <v>10200</v>
      </c>
      <c r="W1353" s="204">
        <v>147.60400000000001</v>
      </c>
      <c r="X1353" s="204">
        <v>141.926923076923</v>
      </c>
      <c r="Y1353" s="204">
        <v>5.6770769230769202</v>
      </c>
      <c r="Z1353" s="204">
        <v>3763.9</v>
      </c>
      <c r="AA1353" s="204">
        <v>-73.800000000000196</v>
      </c>
      <c r="AB1353" s="208">
        <f t="shared" si="321"/>
        <v>3690.0980392156862</v>
      </c>
      <c r="AC1353" s="209">
        <f t="shared" si="322"/>
        <v>73.801960784313906</v>
      </c>
      <c r="AD1353" s="204">
        <v>3619.1346153846198</v>
      </c>
      <c r="AE1353" s="195">
        <v>0</v>
      </c>
      <c r="AF1353" s="204">
        <f t="shared" si="323"/>
        <v>0</v>
      </c>
      <c r="AG1353" s="204"/>
      <c r="AH1353" s="204"/>
      <c r="AI1353" s="204"/>
      <c r="AJ1353" s="220" t="s">
        <v>173</v>
      </c>
      <c r="AK1353" s="124"/>
      <c r="AL1353" s="124"/>
    </row>
    <row r="1354" spans="1:39" s="125" customFormat="1" ht="14.25" x14ac:dyDescent="0.3">
      <c r="A1354" s="124">
        <v>2017</v>
      </c>
      <c r="B1354" s="124" t="s">
        <v>38</v>
      </c>
      <c r="C1354" s="124" t="s">
        <v>110</v>
      </c>
      <c r="D1354" s="124" t="s">
        <v>111</v>
      </c>
      <c r="E1354" s="124" t="s">
        <v>112</v>
      </c>
      <c r="F1354" s="124" t="s">
        <v>113</v>
      </c>
      <c r="G1354" s="124" t="s">
        <v>113</v>
      </c>
      <c r="H1354" s="124" t="s">
        <v>113</v>
      </c>
      <c r="I1354" s="175" t="s">
        <v>1174</v>
      </c>
      <c r="J1354" s="175" t="s">
        <v>1253</v>
      </c>
      <c r="K1354" s="124" t="s">
        <v>1254</v>
      </c>
      <c r="L1354" s="124" t="s">
        <v>1262</v>
      </c>
      <c r="M1354" s="124" t="s">
        <v>46</v>
      </c>
      <c r="N1354" s="184">
        <v>0.02</v>
      </c>
      <c r="O1354" s="184" t="s">
        <v>1091</v>
      </c>
      <c r="P1354" s="184" t="s">
        <v>51</v>
      </c>
      <c r="Q1354" s="204">
        <v>31469.3</v>
      </c>
      <c r="R1354" s="204">
        <v>0</v>
      </c>
      <c r="S1354" s="204">
        <v>450000</v>
      </c>
      <c r="T1354" s="204">
        <v>9000</v>
      </c>
      <c r="U1354" s="204">
        <v>459000</v>
      </c>
      <c r="V1354" s="204">
        <v>900000</v>
      </c>
      <c r="W1354" s="204">
        <v>9000</v>
      </c>
      <c r="X1354" s="204">
        <v>8823.5294117647099</v>
      </c>
      <c r="Y1354" s="204">
        <v>176.470588235294</v>
      </c>
      <c r="Z1354" s="204">
        <v>935887.4</v>
      </c>
      <c r="AA1354" s="204">
        <v>97925.5</v>
      </c>
      <c r="AB1354" s="208">
        <f>IF(P1354="返货",(Z1354-Q1354)/(1+N1354),IF(P1354="返现",Z1354,IF(P1354="折扣",Z1354*N1354,IF(P1354="无",Z1354))))</f>
        <v>886684.41176470579</v>
      </c>
      <c r="AC1354" s="209">
        <f t="shared" si="322"/>
        <v>49202.988235294237</v>
      </c>
      <c r="AD1354" s="222">
        <f>(Z1354-Q1354)/1.02</f>
        <v>886684.41176470579</v>
      </c>
      <c r="AE1354" s="195">
        <v>0</v>
      </c>
      <c r="AF1354" s="204">
        <f t="shared" si="323"/>
        <v>0</v>
      </c>
      <c r="AG1354" s="204"/>
      <c r="AH1354" s="204"/>
      <c r="AI1354" s="204"/>
      <c r="AJ1354" s="220" t="s">
        <v>1091</v>
      </c>
      <c r="AK1354" s="124"/>
      <c r="AL1354" s="124"/>
    </row>
    <row r="1355" spans="1:39" s="125" customFormat="1" ht="14.25" x14ac:dyDescent="0.3">
      <c r="A1355" s="124">
        <v>2017</v>
      </c>
      <c r="B1355" s="124" t="s">
        <v>38</v>
      </c>
      <c r="C1355" s="124" t="s">
        <v>110</v>
      </c>
      <c r="D1355" s="124" t="s">
        <v>111</v>
      </c>
      <c r="E1355" s="124" t="s">
        <v>112</v>
      </c>
      <c r="F1355" s="124" t="s">
        <v>113</v>
      </c>
      <c r="G1355" s="124" t="s">
        <v>113</v>
      </c>
      <c r="H1355" s="124" t="s">
        <v>113</v>
      </c>
      <c r="I1355" s="175" t="s">
        <v>1174</v>
      </c>
      <c r="J1355" s="175" t="s">
        <v>1253</v>
      </c>
      <c r="K1355" s="124" t="s">
        <v>1254</v>
      </c>
      <c r="L1355" s="124" t="s">
        <v>1262</v>
      </c>
      <c r="M1355" s="124" t="s">
        <v>185</v>
      </c>
      <c r="N1355" s="183">
        <v>0.04</v>
      </c>
      <c r="O1355" s="183">
        <v>0.04</v>
      </c>
      <c r="P1355" s="184" t="s">
        <v>51</v>
      </c>
      <c r="Q1355" s="204"/>
      <c r="R1355" s="204"/>
      <c r="S1355" s="204"/>
      <c r="T1355" s="204">
        <v>0</v>
      </c>
      <c r="U1355" s="204">
        <v>0</v>
      </c>
      <c r="V1355" s="204">
        <v>0</v>
      </c>
      <c r="W1355" s="204">
        <v>0</v>
      </c>
      <c r="X1355" s="204">
        <v>0</v>
      </c>
      <c r="Y1355" s="204">
        <v>0</v>
      </c>
      <c r="Z1355" s="204">
        <v>50455.4</v>
      </c>
      <c r="AA1355" s="204">
        <v>-66456.2</v>
      </c>
      <c r="AB1355" s="208">
        <f>IF(P1355="返货",Z1355/(1+N1355),IF(P1355="返现",Z1355,IF(P1355="折扣",Z1355*N1355,IF(P1355="无",Z1355))))</f>
        <v>48514.807692307695</v>
      </c>
      <c r="AC1355" s="209">
        <f t="shared" si="322"/>
        <v>1940.5923076923063</v>
      </c>
      <c r="AD1355" s="204">
        <v>49466.078431372604</v>
      </c>
      <c r="AE1355" s="195">
        <v>0</v>
      </c>
      <c r="AF1355" s="204">
        <f t="shared" si="323"/>
        <v>0</v>
      </c>
      <c r="AG1355" s="204"/>
      <c r="AH1355" s="204"/>
      <c r="AI1355" s="204"/>
      <c r="AJ1355" s="220"/>
      <c r="AK1355" s="124" t="s">
        <v>1263</v>
      </c>
      <c r="AL1355" s="124"/>
    </row>
    <row r="1356" spans="1:39" s="125" customFormat="1" ht="14.25" x14ac:dyDescent="0.3">
      <c r="A1356" s="124">
        <v>2017</v>
      </c>
      <c r="B1356" s="124" t="s">
        <v>38</v>
      </c>
      <c r="C1356" s="124" t="s">
        <v>88</v>
      </c>
      <c r="D1356" s="124" t="s">
        <v>89</v>
      </c>
      <c r="E1356" s="124" t="s">
        <v>124</v>
      </c>
      <c r="F1356" s="124" t="s">
        <v>911</v>
      </c>
      <c r="G1356" s="124" t="s">
        <v>911</v>
      </c>
      <c r="H1356" s="124" t="s">
        <v>911</v>
      </c>
      <c r="I1356" s="175" t="s">
        <v>1174</v>
      </c>
      <c r="J1356" s="175" t="s">
        <v>1253</v>
      </c>
      <c r="K1356" s="124" t="s">
        <v>1254</v>
      </c>
      <c r="L1356" s="124" t="s">
        <v>1264</v>
      </c>
      <c r="M1356" s="124" t="s">
        <v>46</v>
      </c>
      <c r="N1356" s="184">
        <v>0.02</v>
      </c>
      <c r="O1356" s="184" t="s">
        <v>173</v>
      </c>
      <c r="P1356" s="184" t="s">
        <v>51</v>
      </c>
      <c r="Q1356" s="204">
        <v>0</v>
      </c>
      <c r="R1356" s="204">
        <v>0</v>
      </c>
      <c r="S1356" s="204">
        <v>10000</v>
      </c>
      <c r="T1356" s="204">
        <v>200</v>
      </c>
      <c r="U1356" s="204">
        <v>10200</v>
      </c>
      <c r="V1356" s="204">
        <v>10200</v>
      </c>
      <c r="W1356" s="204">
        <v>200</v>
      </c>
      <c r="X1356" s="204">
        <v>196.07843137254901</v>
      </c>
      <c r="Y1356" s="204">
        <v>3.92156862745099</v>
      </c>
      <c r="Z1356" s="204">
        <v>10200</v>
      </c>
      <c r="AA1356" s="204">
        <v>-200</v>
      </c>
      <c r="AB1356" s="208">
        <f>IF(P1356="返货",Z1356/(1+N1356),IF(P1356="返现",Z1356,IF(P1356="折扣",Z1356*N1356,IF(P1356="无",Z1356))))</f>
        <v>10000</v>
      </c>
      <c r="AC1356" s="209">
        <f t="shared" si="322"/>
        <v>200</v>
      </c>
      <c r="AD1356" s="204">
        <v>10000</v>
      </c>
      <c r="AE1356" s="195">
        <v>0</v>
      </c>
      <c r="AF1356" s="204">
        <f t="shared" si="323"/>
        <v>0</v>
      </c>
      <c r="AG1356" s="204"/>
      <c r="AH1356" s="204"/>
      <c r="AI1356" s="204"/>
      <c r="AJ1356" s="220" t="s">
        <v>173</v>
      </c>
      <c r="AK1356" s="124"/>
      <c r="AL1356" s="124"/>
    </row>
    <row r="1357" spans="1:39" s="119" customFormat="1" ht="15" customHeight="1" x14ac:dyDescent="0.3">
      <c r="A1357" s="119">
        <v>2017</v>
      </c>
      <c r="B1357" s="119" t="s">
        <v>199</v>
      </c>
      <c r="C1357" s="119" t="s">
        <v>75</v>
      </c>
      <c r="D1357" s="119" t="s">
        <v>76</v>
      </c>
      <c r="E1357" s="119" t="s">
        <v>167</v>
      </c>
      <c r="F1357" s="119" t="s">
        <v>635</v>
      </c>
      <c r="G1357" s="119" t="s">
        <v>636</v>
      </c>
      <c r="H1357" s="119" t="s">
        <v>638</v>
      </c>
      <c r="I1357" s="163" t="s">
        <v>204</v>
      </c>
      <c r="J1357" s="119" t="s">
        <v>575</v>
      </c>
      <c r="K1357" s="119" t="s">
        <v>576</v>
      </c>
      <c r="L1357" s="119" t="s">
        <v>637</v>
      </c>
      <c r="M1357" s="119" t="s">
        <v>185</v>
      </c>
      <c r="N1357" s="136">
        <v>0.2354</v>
      </c>
      <c r="O1357" s="135" t="s">
        <v>495</v>
      </c>
      <c r="P1357" s="135"/>
      <c r="Q1357" s="137"/>
      <c r="R1357" s="137">
        <v>0</v>
      </c>
      <c r="S1357" s="137"/>
      <c r="T1357" s="137">
        <f>S1357*N1357</f>
        <v>0</v>
      </c>
      <c r="U1357" s="137">
        <f>R1357+S1357+T1357</f>
        <v>0</v>
      </c>
      <c r="V1357" s="137">
        <v>0</v>
      </c>
      <c r="W1357" s="137">
        <f>U1357-V1357</f>
        <v>0</v>
      </c>
      <c r="X1357" s="137">
        <f>W1357/(1+N1357)</f>
        <v>0</v>
      </c>
      <c r="Y1357" s="137">
        <f>W1357-X1357</f>
        <v>0</v>
      </c>
      <c r="Z1357" s="137">
        <v>67817564.579999998</v>
      </c>
      <c r="AA1357" s="137">
        <f>Q1357+V1357-Z1357</f>
        <v>-67817564.579999998</v>
      </c>
      <c r="AB1357" s="146">
        <f>IF(O1357="返货",(Z1357-Q1357)/(1+N1357),IF(O1357="返现",(Z1357-Q1357),IF(O1357="折扣",(Z1357-Q1357)*N1357,IF(O1357="无",(Z1357-Q1357)))))</f>
        <v>67817564.579999998</v>
      </c>
      <c r="AC1357" s="147">
        <v>16495795.713732</v>
      </c>
      <c r="AD1357" s="137">
        <f>Z1357*0.980277351080772</f>
        <v>66480022.563231587</v>
      </c>
      <c r="AE1357" s="138">
        <v>0.31559999999999999</v>
      </c>
      <c r="AF1357" s="137">
        <f t="shared" si="323"/>
        <v>20981095.120955888</v>
      </c>
      <c r="AG1357" s="137">
        <v>23658435.180615399</v>
      </c>
      <c r="AH1357" s="154"/>
      <c r="AI1357" s="154"/>
      <c r="AJ1357" s="135" t="s">
        <v>53</v>
      </c>
      <c r="AK1357" s="119" t="s">
        <v>53</v>
      </c>
      <c r="AM1357" s="131"/>
    </row>
    <row r="1358" spans="1:39" s="119" customFormat="1" ht="15" customHeight="1" x14ac:dyDescent="0.3">
      <c r="A1358" s="119">
        <v>2017</v>
      </c>
      <c r="B1358" s="119" t="s">
        <v>199</v>
      </c>
      <c r="C1358" s="119" t="s">
        <v>75</v>
      </c>
      <c r="D1358" s="119" t="s">
        <v>76</v>
      </c>
      <c r="E1358" s="119" t="s">
        <v>167</v>
      </c>
      <c r="F1358" s="119" t="s">
        <v>635</v>
      </c>
      <c r="G1358" s="119" t="s">
        <v>636</v>
      </c>
      <c r="H1358" s="119" t="s">
        <v>638</v>
      </c>
      <c r="I1358" s="163" t="s">
        <v>204</v>
      </c>
      <c r="J1358" s="119" t="s">
        <v>575</v>
      </c>
      <c r="K1358" s="119" t="s">
        <v>576</v>
      </c>
      <c r="L1358" s="119" t="s">
        <v>637</v>
      </c>
      <c r="M1358" s="119" t="s">
        <v>46</v>
      </c>
      <c r="N1358" s="136">
        <v>8.7499999999999994E-2</v>
      </c>
      <c r="O1358" s="135" t="s">
        <v>495</v>
      </c>
      <c r="P1358" s="135"/>
      <c r="Q1358" s="137"/>
      <c r="R1358" s="137">
        <v>0</v>
      </c>
      <c r="S1358" s="137"/>
      <c r="T1358" s="137">
        <f>S1358*N1358</f>
        <v>0</v>
      </c>
      <c r="U1358" s="137">
        <f>R1358+S1358+T1358</f>
        <v>0</v>
      </c>
      <c r="V1358" s="137"/>
      <c r="W1358" s="137">
        <f>U1358-V1358</f>
        <v>0</v>
      </c>
      <c r="X1358" s="137">
        <f>W1358/(1+N1358)</f>
        <v>0</v>
      </c>
      <c r="Y1358" s="137">
        <f>W1358-X1358</f>
        <v>0</v>
      </c>
      <c r="Z1358" s="137">
        <v>3316875.2895999998</v>
      </c>
      <c r="AA1358" s="137">
        <f>Q1358+V1358-Z1358</f>
        <v>-3316875.2895999998</v>
      </c>
      <c r="AB1358" s="146">
        <f>IF(O1358="返货",(Z1358-Q1358)/(1+N1358),IF(O1358="返现",(Z1358-Q1358),IF(O1358="折扣",(Z1358-Q1358)*N1358,IF(O1358="无",(Z1358-Q1358)))))</f>
        <v>3316875.2895999998</v>
      </c>
      <c r="AC1358" s="147">
        <f>IF(O1358="返现",Z1358*N1358,Z1358-AB1358)</f>
        <v>290226.58783999993</v>
      </c>
      <c r="AD1358" s="137">
        <f>Z1358*0.980277351080772</f>
        <v>3251457.722754356</v>
      </c>
      <c r="AE1358" s="138">
        <v>0.1077</v>
      </c>
      <c r="AF1358" s="137">
        <f t="shared" si="323"/>
        <v>350181.99674064416</v>
      </c>
      <c r="AG1358" s="137">
        <v>496604.203635666</v>
      </c>
      <c r="AH1358" s="154"/>
      <c r="AI1358" s="154"/>
      <c r="AJ1358" s="135" t="s">
        <v>173</v>
      </c>
      <c r="AK1358" s="119" t="s">
        <v>173</v>
      </c>
      <c r="AL1358" s="119" t="s">
        <v>611</v>
      </c>
      <c r="AM1358" s="131"/>
    </row>
    <row r="1359" spans="1:39" x14ac:dyDescent="0.15">
      <c r="A1359" s="119">
        <v>2017</v>
      </c>
      <c r="B1359" s="119" t="s">
        <v>38</v>
      </c>
      <c r="C1359" s="119" t="s">
        <v>54</v>
      </c>
      <c r="D1359" s="119" t="s">
        <v>102</v>
      </c>
      <c r="E1359" s="119" t="s">
        <v>187</v>
      </c>
      <c r="F1359" s="119" t="s">
        <v>527</v>
      </c>
      <c r="G1359" s="119" t="s">
        <v>527</v>
      </c>
      <c r="H1359" s="119" t="s">
        <v>527</v>
      </c>
      <c r="I1359" s="131" t="s">
        <v>243</v>
      </c>
      <c r="J1359" s="119" t="s">
        <v>244</v>
      </c>
      <c r="K1359" s="119" t="s">
        <v>245</v>
      </c>
      <c r="L1359" s="119" t="s">
        <v>1647</v>
      </c>
      <c r="M1359" s="119" t="s">
        <v>46</v>
      </c>
      <c r="N1359" s="135">
        <v>0</v>
      </c>
      <c r="O1359" s="135" t="s">
        <v>1646</v>
      </c>
      <c r="Z1359" s="128">
        <v>10698.4</v>
      </c>
      <c r="AB1359" s="128">
        <v>10698.4</v>
      </c>
    </row>
    <row r="1360" spans="1:39" x14ac:dyDescent="0.15">
      <c r="A1360" s="119">
        <v>2017</v>
      </c>
      <c r="B1360" s="119" t="s">
        <v>38</v>
      </c>
      <c r="C1360" s="119" t="s">
        <v>54</v>
      </c>
      <c r="D1360" s="119" t="s">
        <v>102</v>
      </c>
      <c r="E1360" s="119" t="s">
        <v>187</v>
      </c>
      <c r="F1360" s="119" t="s">
        <v>527</v>
      </c>
      <c r="G1360" s="119" t="s">
        <v>527</v>
      </c>
      <c r="H1360" s="119" t="s">
        <v>527</v>
      </c>
      <c r="I1360" s="131" t="s">
        <v>243</v>
      </c>
      <c r="J1360" s="119" t="s">
        <v>244</v>
      </c>
      <c r="K1360" s="119" t="s">
        <v>245</v>
      </c>
      <c r="L1360" s="119" t="s">
        <v>1648</v>
      </c>
      <c r="M1360" s="119" t="s">
        <v>46</v>
      </c>
      <c r="N1360" s="127">
        <v>0</v>
      </c>
      <c r="O1360" s="127" t="s">
        <v>47</v>
      </c>
      <c r="Z1360" s="128">
        <v>33691.910000000003</v>
      </c>
      <c r="AB1360" s="146">
        <f t="shared" ref="AB1360:AB1362" si="324">IF(O1360="返货",Z1360/(1+N1360),IF(O1360="返现",Z1360,IF(O1360="折扣",Z1360*N1360,IF(O1360="无",Z1360))))</f>
        <v>33691.910000000003</v>
      </c>
    </row>
    <row r="1361" spans="1:31" x14ac:dyDescent="0.15">
      <c r="A1361" s="119">
        <v>2017</v>
      </c>
      <c r="B1361" s="119" t="s">
        <v>38</v>
      </c>
      <c r="C1361" s="119" t="s">
        <v>54</v>
      </c>
      <c r="D1361" s="119" t="s">
        <v>102</v>
      </c>
      <c r="E1361" s="119" t="s">
        <v>187</v>
      </c>
      <c r="F1361" s="119" t="s">
        <v>527</v>
      </c>
      <c r="G1361" s="119" t="s">
        <v>527</v>
      </c>
      <c r="H1361" s="119" t="s">
        <v>527</v>
      </c>
      <c r="I1361" s="131" t="s">
        <v>243</v>
      </c>
      <c r="J1361" s="119" t="s">
        <v>244</v>
      </c>
      <c r="K1361" s="119" t="s">
        <v>245</v>
      </c>
      <c r="L1361" s="119" t="s">
        <v>384</v>
      </c>
      <c r="M1361" s="119" t="s">
        <v>46</v>
      </c>
      <c r="N1361" s="127">
        <v>0.98</v>
      </c>
      <c r="O1361" s="135" t="s">
        <v>259</v>
      </c>
      <c r="Z1361" s="128">
        <v>43430.3</v>
      </c>
      <c r="AB1361" s="146">
        <f t="shared" si="324"/>
        <v>42561.694000000003</v>
      </c>
    </row>
    <row r="1362" spans="1:31" ht="14.25" x14ac:dyDescent="0.3">
      <c r="A1362" s="126">
        <v>2017</v>
      </c>
      <c r="B1362" s="126" t="s">
        <v>1650</v>
      </c>
      <c r="F1362" s="225" t="s">
        <v>1045</v>
      </c>
      <c r="G1362" s="226" t="s">
        <v>1651</v>
      </c>
      <c r="K1362" s="225" t="s">
        <v>1652</v>
      </c>
      <c r="L1362" s="126" t="s">
        <v>1653</v>
      </c>
      <c r="M1362" s="126" t="s">
        <v>1654</v>
      </c>
      <c r="N1362" s="127">
        <v>0.02</v>
      </c>
      <c r="O1362" s="127" t="s">
        <v>1655</v>
      </c>
      <c r="Z1362" s="128">
        <v>19.8</v>
      </c>
      <c r="AB1362" s="146">
        <f t="shared" si="324"/>
        <v>19.411764705882355</v>
      </c>
      <c r="AD1362" s="128">
        <v>19.8</v>
      </c>
      <c r="AE1362" s="127">
        <v>0</v>
      </c>
    </row>
    <row r="1363" spans="1:31" x14ac:dyDescent="0.15">
      <c r="A1363" s="119">
        <v>2017</v>
      </c>
      <c r="B1363" s="119" t="s">
        <v>38</v>
      </c>
      <c r="F1363" s="119" t="s">
        <v>65</v>
      </c>
      <c r="G1363" s="119" t="s">
        <v>66</v>
      </c>
      <c r="K1363" s="119" t="s">
        <v>172</v>
      </c>
      <c r="L1363" s="119" t="s">
        <v>65</v>
      </c>
      <c r="M1363" s="119" t="s">
        <v>46</v>
      </c>
      <c r="N1363" s="136">
        <v>0</v>
      </c>
      <c r="O1363" s="135" t="s">
        <v>1662</v>
      </c>
      <c r="Z1363" s="128">
        <v>255000</v>
      </c>
      <c r="AB1363" s="128">
        <v>255000</v>
      </c>
    </row>
  </sheetData>
  <autoFilter ref="A1:AN1363"/>
  <phoneticPr fontId="29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K47"/>
  <sheetViews>
    <sheetView workbookViewId="0">
      <selection activeCell="E25" sqref="E25"/>
    </sheetView>
  </sheetViews>
  <sheetFormatPr defaultColWidth="8.75" defaultRowHeight="14.25" x14ac:dyDescent="0.15"/>
  <cols>
    <col min="1" max="1" width="19.875" style="1" customWidth="1"/>
    <col min="2" max="2" width="7.875" style="1" customWidth="1"/>
    <col min="3" max="3" width="47.25" style="1" customWidth="1"/>
    <col min="4" max="4" width="7.875" style="1" customWidth="1"/>
    <col min="5" max="5" width="25.375" style="1" customWidth="1"/>
    <col min="6" max="6" width="7.875" style="1" customWidth="1"/>
    <col min="7" max="7" width="11.125" style="1" customWidth="1"/>
    <col min="8" max="8" width="11.5" style="1" customWidth="1"/>
    <col min="9" max="10" width="10.875" style="1" customWidth="1"/>
    <col min="11" max="11" width="11.5" style="1" customWidth="1"/>
    <col min="12" max="16384" width="8.75" style="1"/>
  </cols>
  <sheetData>
    <row r="2" spans="1:11" x14ac:dyDescent="0.15">
      <c r="A2" s="1" t="s">
        <v>1069</v>
      </c>
    </row>
    <row r="10" spans="1:11" x14ac:dyDescent="0.3">
      <c r="A10" s="2" t="s">
        <v>1599</v>
      </c>
      <c r="B10" s="2"/>
      <c r="C10" s="3" t="s">
        <v>1409</v>
      </c>
      <c r="D10" s="3" t="s">
        <v>1410</v>
      </c>
      <c r="E10" s="3" t="s">
        <v>10</v>
      </c>
      <c r="F10" s="3" t="s">
        <v>1413</v>
      </c>
      <c r="G10" s="3" t="s">
        <v>1416</v>
      </c>
      <c r="H10" s="3" t="s">
        <v>1417</v>
      </c>
      <c r="I10" s="3" t="s">
        <v>1387</v>
      </c>
      <c r="J10" s="3" t="s">
        <v>1386</v>
      </c>
      <c r="K10" s="4"/>
    </row>
    <row r="11" spans="1:11" x14ac:dyDescent="0.3">
      <c r="A11" s="4"/>
      <c r="B11" s="2"/>
      <c r="C11" s="5" t="s">
        <v>1077</v>
      </c>
      <c r="D11" s="5" t="s">
        <v>1069</v>
      </c>
      <c r="E11" s="5" t="s">
        <v>1080</v>
      </c>
      <c r="F11" s="5" t="s">
        <v>75</v>
      </c>
      <c r="G11" s="5" t="s">
        <v>1600</v>
      </c>
      <c r="H11" s="5" t="s">
        <v>1436</v>
      </c>
      <c r="I11" s="7">
        <v>100000</v>
      </c>
      <c r="J11" s="7">
        <v>100000</v>
      </c>
      <c r="K11" s="4"/>
    </row>
    <row r="12" spans="1:11" x14ac:dyDescent="0.3">
      <c r="A12" s="4"/>
      <c r="B12" s="2"/>
      <c r="C12" s="5" t="s">
        <v>1077</v>
      </c>
      <c r="D12" s="5" t="s">
        <v>1069</v>
      </c>
      <c r="E12" s="5" t="s">
        <v>1080</v>
      </c>
      <c r="F12" s="5" t="s">
        <v>75</v>
      </c>
      <c r="G12" s="5" t="s">
        <v>1601</v>
      </c>
      <c r="H12" s="5" t="s">
        <v>1436</v>
      </c>
      <c r="I12" s="7">
        <v>100000</v>
      </c>
      <c r="J12" s="7">
        <v>100000</v>
      </c>
      <c r="K12" s="4"/>
    </row>
    <row r="13" spans="1:1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3">
      <c r="A17" s="6" t="s">
        <v>1301</v>
      </c>
      <c r="B17" s="3" t="s">
        <v>1410</v>
      </c>
      <c r="C17" s="3" t="s">
        <v>10</v>
      </c>
      <c r="D17" s="3" t="s">
        <v>12</v>
      </c>
      <c r="E17" s="3" t="s">
        <v>1409</v>
      </c>
      <c r="F17" s="3" t="s">
        <v>1413</v>
      </c>
      <c r="G17" s="3" t="s">
        <v>1414</v>
      </c>
      <c r="H17" s="3" t="s">
        <v>1415</v>
      </c>
      <c r="I17" s="3" t="s">
        <v>1416</v>
      </c>
      <c r="J17" s="3" t="s">
        <v>1417</v>
      </c>
      <c r="K17" s="3" t="s">
        <v>1387</v>
      </c>
    </row>
    <row r="18" spans="1:11" x14ac:dyDescent="0.3">
      <c r="A18" s="4"/>
      <c r="B18" s="5" t="s">
        <v>1602</v>
      </c>
      <c r="C18" s="5" t="s">
        <v>1082</v>
      </c>
      <c r="D18" s="5" t="s">
        <v>178</v>
      </c>
      <c r="E18" s="5" t="s">
        <v>251</v>
      </c>
      <c r="F18" s="5" t="s">
        <v>75</v>
      </c>
      <c r="G18" s="5" t="s">
        <v>76</v>
      </c>
      <c r="H18" s="7">
        <v>680000</v>
      </c>
      <c r="I18" s="5" t="s">
        <v>1603</v>
      </c>
      <c r="J18" s="5" t="s">
        <v>1604</v>
      </c>
      <c r="K18" s="7">
        <v>505000</v>
      </c>
    </row>
    <row r="19" spans="1:11" x14ac:dyDescent="0.3">
      <c r="A19" s="4"/>
      <c r="B19" s="5" t="s">
        <v>1602</v>
      </c>
      <c r="C19" s="5" t="s">
        <v>1082</v>
      </c>
      <c r="D19" s="5" t="s">
        <v>178</v>
      </c>
      <c r="E19" s="5" t="s">
        <v>251</v>
      </c>
      <c r="F19" s="5" t="s">
        <v>75</v>
      </c>
      <c r="G19" s="5" t="s">
        <v>76</v>
      </c>
      <c r="H19" s="7">
        <v>680000</v>
      </c>
      <c r="I19" s="5" t="s">
        <v>1605</v>
      </c>
      <c r="J19" s="5" t="s">
        <v>1606</v>
      </c>
      <c r="K19" s="7">
        <v>505000</v>
      </c>
    </row>
    <row r="20" spans="1:11" x14ac:dyDescent="0.3">
      <c r="A20" s="4"/>
      <c r="B20" s="5" t="s">
        <v>1602</v>
      </c>
      <c r="C20" s="5" t="s">
        <v>1082</v>
      </c>
      <c r="D20" s="5" t="s">
        <v>178</v>
      </c>
      <c r="E20" s="5" t="s">
        <v>251</v>
      </c>
      <c r="F20" s="5" t="s">
        <v>75</v>
      </c>
      <c r="G20" s="5" t="s">
        <v>76</v>
      </c>
      <c r="H20" s="7">
        <v>680000</v>
      </c>
      <c r="I20" s="5" t="s">
        <v>1607</v>
      </c>
      <c r="J20" s="5" t="s">
        <v>1608</v>
      </c>
      <c r="K20" s="7">
        <v>505000</v>
      </c>
    </row>
    <row r="21" spans="1:11" x14ac:dyDescent="0.3">
      <c r="A21" s="4"/>
      <c r="B21" s="247"/>
      <c r="C21" s="248"/>
      <c r="D21" s="248"/>
      <c r="E21" s="248"/>
      <c r="F21" s="248"/>
      <c r="G21" s="249"/>
      <c r="H21" s="7">
        <f>SUM(H18:H20)</f>
        <v>2040000</v>
      </c>
      <c r="I21" s="5"/>
      <c r="J21" s="5"/>
      <c r="K21" s="7">
        <f>SUM(K18:K20)</f>
        <v>1515000</v>
      </c>
    </row>
    <row r="22" spans="1:11" x14ac:dyDescent="0.3">
      <c r="A22" s="4"/>
      <c r="B22" s="3" t="s">
        <v>1410</v>
      </c>
      <c r="C22" s="3" t="s">
        <v>10</v>
      </c>
      <c r="D22" s="3" t="s">
        <v>12</v>
      </c>
      <c r="E22" s="3" t="s">
        <v>1409</v>
      </c>
      <c r="F22" s="3" t="s">
        <v>1413</v>
      </c>
      <c r="G22" s="3" t="s">
        <v>1414</v>
      </c>
      <c r="H22" s="3" t="s">
        <v>1415</v>
      </c>
      <c r="I22" s="3" t="s">
        <v>1416</v>
      </c>
      <c r="J22" s="3" t="s">
        <v>1417</v>
      </c>
      <c r="K22" s="3" t="s">
        <v>1387</v>
      </c>
    </row>
    <row r="23" spans="1:11" x14ac:dyDescent="0.3">
      <c r="A23" s="6" t="s">
        <v>1286</v>
      </c>
      <c r="B23" s="5" t="s">
        <v>1602</v>
      </c>
      <c r="C23" s="5" t="s">
        <v>1081</v>
      </c>
      <c r="D23" s="5" t="s">
        <v>178</v>
      </c>
      <c r="E23" s="5" t="s">
        <v>251</v>
      </c>
      <c r="F23" s="5" t="s">
        <v>75</v>
      </c>
      <c r="G23" s="5" t="s">
        <v>76</v>
      </c>
      <c r="H23" s="7">
        <v>680000</v>
      </c>
      <c r="I23" s="5" t="s">
        <v>1609</v>
      </c>
      <c r="J23" s="5" t="s">
        <v>1610</v>
      </c>
      <c r="K23" s="7">
        <v>505000</v>
      </c>
    </row>
    <row r="24" spans="1:11" x14ac:dyDescent="0.3">
      <c r="A24" s="4"/>
      <c r="B24" s="5" t="s">
        <v>1602</v>
      </c>
      <c r="C24" s="5" t="s">
        <v>1081</v>
      </c>
      <c r="D24" s="5" t="s">
        <v>178</v>
      </c>
      <c r="E24" s="5" t="s">
        <v>251</v>
      </c>
      <c r="F24" s="5" t="s">
        <v>75</v>
      </c>
      <c r="G24" s="5" t="s">
        <v>76</v>
      </c>
      <c r="H24" s="7">
        <v>680000</v>
      </c>
      <c r="I24" s="5" t="s">
        <v>1611</v>
      </c>
      <c r="J24" s="5" t="s">
        <v>1507</v>
      </c>
      <c r="K24" s="7">
        <v>505000</v>
      </c>
    </row>
    <row r="25" spans="1:11" x14ac:dyDescent="0.3">
      <c r="A25" s="4"/>
      <c r="B25" s="5" t="s">
        <v>1602</v>
      </c>
      <c r="C25" s="5" t="s">
        <v>1081</v>
      </c>
      <c r="D25" s="5" t="s">
        <v>178</v>
      </c>
      <c r="E25" s="5" t="s">
        <v>251</v>
      </c>
      <c r="F25" s="5" t="s">
        <v>75</v>
      </c>
      <c r="G25" s="5" t="s">
        <v>76</v>
      </c>
      <c r="H25" s="7">
        <v>680000</v>
      </c>
      <c r="I25" s="5" t="s">
        <v>1612</v>
      </c>
      <c r="J25" s="5" t="s">
        <v>1520</v>
      </c>
      <c r="K25" s="7">
        <v>505000</v>
      </c>
    </row>
    <row r="26" spans="1:11" x14ac:dyDescent="0.3">
      <c r="A26" s="4"/>
      <c r="B26" s="5" t="s">
        <v>1602</v>
      </c>
      <c r="C26" s="5" t="s">
        <v>1081</v>
      </c>
      <c r="D26" s="5" t="s">
        <v>178</v>
      </c>
      <c r="E26" s="5" t="s">
        <v>251</v>
      </c>
      <c r="F26" s="5" t="s">
        <v>75</v>
      </c>
      <c r="G26" s="5" t="s">
        <v>76</v>
      </c>
      <c r="H26" s="7">
        <v>680000</v>
      </c>
      <c r="I26" s="5" t="s">
        <v>1613</v>
      </c>
      <c r="J26" s="5" t="s">
        <v>1614</v>
      </c>
      <c r="K26" s="7">
        <v>505000</v>
      </c>
    </row>
    <row r="27" spans="1:11" x14ac:dyDescent="0.3">
      <c r="A27" s="4"/>
      <c r="B27" s="5" t="s">
        <v>1602</v>
      </c>
      <c r="C27" s="5" t="s">
        <v>1081</v>
      </c>
      <c r="D27" s="5" t="s">
        <v>178</v>
      </c>
      <c r="E27" s="5" t="s">
        <v>251</v>
      </c>
      <c r="F27" s="5" t="s">
        <v>75</v>
      </c>
      <c r="G27" s="5" t="s">
        <v>76</v>
      </c>
      <c r="H27" s="7">
        <v>340000</v>
      </c>
      <c r="I27" s="5" t="s">
        <v>1523</v>
      </c>
      <c r="J27" s="5" t="s">
        <v>1524</v>
      </c>
      <c r="K27" s="7">
        <v>252500</v>
      </c>
    </row>
    <row r="28" spans="1:11" x14ac:dyDescent="0.3">
      <c r="A28" s="4"/>
      <c r="B28" s="5" t="s">
        <v>1602</v>
      </c>
      <c r="C28" s="5" t="s">
        <v>1081</v>
      </c>
      <c r="D28" s="5" t="s">
        <v>178</v>
      </c>
      <c r="E28" s="5" t="s">
        <v>251</v>
      </c>
      <c r="F28" s="5" t="s">
        <v>75</v>
      </c>
      <c r="G28" s="5" t="s">
        <v>76</v>
      </c>
      <c r="H28" s="7">
        <v>340000</v>
      </c>
      <c r="I28" s="5" t="s">
        <v>1600</v>
      </c>
      <c r="J28" s="5" t="s">
        <v>1615</v>
      </c>
      <c r="K28" s="7">
        <v>252500</v>
      </c>
    </row>
    <row r="29" spans="1:11" x14ac:dyDescent="0.3">
      <c r="A29" s="4"/>
      <c r="B29" s="5" t="s">
        <v>1602</v>
      </c>
      <c r="C29" s="5" t="s">
        <v>1081</v>
      </c>
      <c r="D29" s="5" t="s">
        <v>178</v>
      </c>
      <c r="E29" s="5" t="s">
        <v>251</v>
      </c>
      <c r="F29" s="5" t="s">
        <v>75</v>
      </c>
      <c r="G29" s="5" t="s">
        <v>76</v>
      </c>
      <c r="H29" s="7">
        <v>340000</v>
      </c>
      <c r="I29" s="5" t="s">
        <v>1616</v>
      </c>
      <c r="J29" s="5" t="s">
        <v>1617</v>
      </c>
      <c r="K29" s="7">
        <v>252500</v>
      </c>
    </row>
    <row r="30" spans="1:11" x14ac:dyDescent="0.3">
      <c r="A30" s="4"/>
      <c r="B30" s="5" t="s">
        <v>1602</v>
      </c>
      <c r="C30" s="5" t="s">
        <v>1081</v>
      </c>
      <c r="D30" s="5" t="s">
        <v>178</v>
      </c>
      <c r="E30" s="5" t="s">
        <v>251</v>
      </c>
      <c r="F30" s="5" t="s">
        <v>75</v>
      </c>
      <c r="G30" s="5" t="s">
        <v>76</v>
      </c>
      <c r="H30" s="7">
        <v>680000</v>
      </c>
      <c r="I30" s="5" t="s">
        <v>1618</v>
      </c>
      <c r="J30" s="5" t="s">
        <v>1531</v>
      </c>
      <c r="K30" s="7">
        <v>505000</v>
      </c>
    </row>
    <row r="31" spans="1:11" x14ac:dyDescent="0.3">
      <c r="A31" s="4"/>
      <c r="B31" s="5" t="s">
        <v>1602</v>
      </c>
      <c r="C31" s="5" t="s">
        <v>1081</v>
      </c>
      <c r="D31" s="5" t="s">
        <v>178</v>
      </c>
      <c r="E31" s="5" t="s">
        <v>251</v>
      </c>
      <c r="F31" s="5" t="s">
        <v>75</v>
      </c>
      <c r="G31" s="5" t="s">
        <v>76</v>
      </c>
      <c r="H31" s="7">
        <v>680000</v>
      </c>
      <c r="I31" s="5" t="s">
        <v>1619</v>
      </c>
      <c r="J31" s="5" t="s">
        <v>1620</v>
      </c>
      <c r="K31" s="7">
        <v>505000</v>
      </c>
    </row>
    <row r="32" spans="1:11" x14ac:dyDescent="0.3">
      <c r="A32" s="4"/>
      <c r="B32" s="4"/>
      <c r="C32" s="4"/>
      <c r="D32" s="4"/>
      <c r="E32" s="4"/>
      <c r="F32" s="4"/>
      <c r="G32" s="4"/>
      <c r="H32" s="8">
        <f>SUM(H23:H31)</f>
        <v>5100000</v>
      </c>
      <c r="I32" s="4"/>
      <c r="J32" s="4"/>
      <c r="K32" s="8">
        <f>SUM(K23:K31)</f>
        <v>3787500</v>
      </c>
    </row>
    <row r="33" spans="1:1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3">
      <c r="A34" s="6" t="s">
        <v>1083</v>
      </c>
      <c r="B34" s="4"/>
      <c r="C34" s="3" t="s">
        <v>1409</v>
      </c>
      <c r="D34" s="3" t="s">
        <v>1410</v>
      </c>
      <c r="E34" s="3" t="s">
        <v>10</v>
      </c>
      <c r="F34" s="3" t="s">
        <v>1413</v>
      </c>
      <c r="G34" s="3" t="s">
        <v>1416</v>
      </c>
      <c r="H34" s="3" t="s">
        <v>1417</v>
      </c>
      <c r="I34" s="3" t="s">
        <v>1386</v>
      </c>
      <c r="J34" s="3" t="s">
        <v>1387</v>
      </c>
      <c r="K34" s="4"/>
    </row>
    <row r="35" spans="1:11" x14ac:dyDescent="0.3">
      <c r="A35" s="4"/>
      <c r="B35" s="4"/>
      <c r="C35" s="5" t="s">
        <v>65</v>
      </c>
      <c r="D35" s="5" t="s">
        <v>1621</v>
      </c>
      <c r="E35" s="5" t="s">
        <v>953</v>
      </c>
      <c r="F35" s="5" t="s">
        <v>54</v>
      </c>
      <c r="G35" s="5" t="s">
        <v>1622</v>
      </c>
      <c r="H35" s="5" t="s">
        <v>1622</v>
      </c>
      <c r="I35" s="7">
        <v>8778.2999999999993</v>
      </c>
      <c r="J35" s="7">
        <v>7315.25</v>
      </c>
      <c r="K35" s="4"/>
    </row>
    <row r="38" spans="1:11" x14ac:dyDescent="0.15">
      <c r="A38" s="9" t="s">
        <v>1623</v>
      </c>
    </row>
    <row r="39" spans="1:11" x14ac:dyDescent="0.15">
      <c r="A39" s="9"/>
    </row>
    <row r="42" spans="1:11" x14ac:dyDescent="0.15">
      <c r="A42" s="9" t="s">
        <v>1076</v>
      </c>
    </row>
    <row r="47" spans="1:11" x14ac:dyDescent="0.15">
      <c r="A47" s="9" t="s">
        <v>1624</v>
      </c>
    </row>
  </sheetData>
  <mergeCells count="1">
    <mergeCell ref="B21:G21"/>
  </mergeCells>
  <phoneticPr fontId="29" type="noConversion"/>
  <pageMargins left="0.69930555555555596" right="0.69930555555555596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0" sqref="F10"/>
    </sheetView>
  </sheetViews>
  <sheetFormatPr defaultColWidth="9" defaultRowHeight="13.5" x14ac:dyDescent="0.15"/>
  <cols>
    <col min="1" max="1" width="13" customWidth="1"/>
    <col min="2" max="2" width="23.125" customWidth="1"/>
    <col min="3" max="3" width="18.875" customWidth="1"/>
  </cols>
  <sheetData>
    <row r="1" spans="1:3" x14ac:dyDescent="0.15">
      <c r="B1" t="s">
        <v>1625</v>
      </c>
      <c r="C1" t="s">
        <v>1626</v>
      </c>
    </row>
    <row r="2" spans="1:3" x14ac:dyDescent="0.15">
      <c r="A2" t="s">
        <v>1627</v>
      </c>
      <c r="B2">
        <v>3679437.63</v>
      </c>
      <c r="C2">
        <v>3679437.63</v>
      </c>
    </row>
    <row r="3" spans="1:3" x14ac:dyDescent="0.15">
      <c r="A3" t="s">
        <v>1628</v>
      </c>
      <c r="B3">
        <v>308739.5</v>
      </c>
      <c r="C3">
        <v>308739.5</v>
      </c>
    </row>
    <row r="4" spans="1:3" x14ac:dyDescent="0.15">
      <c r="A4" t="s">
        <v>1629</v>
      </c>
      <c r="B4">
        <v>1403420.98</v>
      </c>
      <c r="C4">
        <v>1403420.98</v>
      </c>
    </row>
    <row r="5" spans="1:3" x14ac:dyDescent="0.15">
      <c r="A5" t="s">
        <v>1630</v>
      </c>
      <c r="B5">
        <v>500619047.13</v>
      </c>
      <c r="C5">
        <v>500619047.13</v>
      </c>
    </row>
    <row r="6" spans="1:3" x14ac:dyDescent="0.15">
      <c r="A6" t="s">
        <v>1631</v>
      </c>
      <c r="B6">
        <v>472565110.61000001</v>
      </c>
      <c r="C6">
        <v>472565110.61000001</v>
      </c>
    </row>
    <row r="9" spans="1:3" x14ac:dyDescent="0.15">
      <c r="B9">
        <v>25179651.75</v>
      </c>
    </row>
  </sheetData>
  <phoneticPr fontId="29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D39" sqref="D39"/>
    </sheetView>
  </sheetViews>
  <sheetFormatPr defaultColWidth="9" defaultRowHeight="13.5" x14ac:dyDescent="0.15"/>
  <cols>
    <col min="1" max="1" width="18.25" customWidth="1"/>
    <col min="2" max="2" width="35.875" customWidth="1"/>
    <col min="3" max="3" width="22.625" customWidth="1"/>
    <col min="4" max="4" width="19.375" style="116" customWidth="1"/>
    <col min="5" max="5" width="20.25" style="116" customWidth="1"/>
    <col min="6" max="6" width="17.125" style="116" customWidth="1"/>
    <col min="7" max="7" width="20.25" style="116" customWidth="1"/>
    <col min="8" max="10" width="16.125" style="116" customWidth="1"/>
    <col min="11" max="11" width="17.125"/>
    <col min="12" max="12" width="12.625"/>
    <col min="13" max="13" width="11.5"/>
    <col min="15" max="15" width="11.5"/>
  </cols>
  <sheetData>
    <row r="1" spans="1:11" x14ac:dyDescent="0.15">
      <c r="A1" t="s">
        <v>1265</v>
      </c>
      <c r="B1" t="s">
        <v>1266</v>
      </c>
      <c r="C1" t="s">
        <v>1267</v>
      </c>
      <c r="D1" s="116" t="s">
        <v>27</v>
      </c>
      <c r="E1" s="116" t="s">
        <v>1268</v>
      </c>
      <c r="F1" s="116" t="s">
        <v>1269</v>
      </c>
      <c r="G1" s="116" t="s">
        <v>1270</v>
      </c>
      <c r="H1" s="116" t="s">
        <v>1271</v>
      </c>
      <c r="I1" s="116" t="s">
        <v>1272</v>
      </c>
      <c r="J1" s="116" t="s">
        <v>1273</v>
      </c>
    </row>
    <row r="2" spans="1:11" x14ac:dyDescent="0.15">
      <c r="A2" t="s">
        <v>1274</v>
      </c>
      <c r="B2" t="s">
        <v>44</v>
      </c>
      <c r="C2" t="s">
        <v>1275</v>
      </c>
      <c r="D2" s="116">
        <f>26914829.9265128-627745.06</f>
        <v>26287084.866512801</v>
      </c>
      <c r="E2" s="116">
        <v>26287084.866512801</v>
      </c>
      <c r="H2" s="116">
        <v>0</v>
      </c>
      <c r="I2" s="116">
        <v>0</v>
      </c>
      <c r="J2" s="116">
        <v>0</v>
      </c>
      <c r="K2" s="116">
        <f>(D2-E2+F2)/1.06+G2</f>
        <v>0</v>
      </c>
    </row>
    <row r="3" spans="1:11" x14ac:dyDescent="0.15">
      <c r="A3" t="s">
        <v>1276</v>
      </c>
      <c r="B3" t="s">
        <v>44</v>
      </c>
      <c r="C3" t="s">
        <v>1275</v>
      </c>
      <c r="D3" s="116">
        <v>627745.06000000006</v>
      </c>
      <c r="E3" s="116">
        <v>627745.06000000006</v>
      </c>
      <c r="H3" s="116">
        <v>0</v>
      </c>
      <c r="I3" s="116">
        <v>0</v>
      </c>
      <c r="J3" s="116">
        <v>0</v>
      </c>
      <c r="K3" s="116">
        <f t="shared" ref="K3:K39" si="0">(D3-E3+F3)/1.06+G3</f>
        <v>0</v>
      </c>
    </row>
    <row r="4" spans="1:11" x14ac:dyDescent="0.15">
      <c r="A4" t="s">
        <v>1277</v>
      </c>
      <c r="B4" t="s">
        <v>1130</v>
      </c>
      <c r="C4" t="s">
        <v>1275</v>
      </c>
      <c r="D4" s="116">
        <v>1473318.0071644001</v>
      </c>
      <c r="E4" s="116">
        <v>1474198.31447964</v>
      </c>
      <c r="H4" s="116">
        <v>0</v>
      </c>
      <c r="I4" s="116">
        <v>0</v>
      </c>
      <c r="J4" s="116">
        <v>0</v>
      </c>
      <c r="K4" s="116">
        <f t="shared" si="0"/>
        <v>-830.47859928293917</v>
      </c>
    </row>
    <row r="5" spans="1:11" x14ac:dyDescent="0.15">
      <c r="A5" t="s">
        <v>1278</v>
      </c>
      <c r="B5" t="s">
        <v>603</v>
      </c>
      <c r="C5" t="s">
        <v>1279</v>
      </c>
      <c r="D5" s="116">
        <v>2949190.76</v>
      </c>
      <c r="E5" s="116">
        <v>3007100.4</v>
      </c>
      <c r="G5" s="116">
        <v>300710.03999999998</v>
      </c>
      <c r="H5" s="116">
        <v>300710.03999999998</v>
      </c>
      <c r="I5" s="116">
        <v>0</v>
      </c>
      <c r="J5" s="116">
        <v>300710.03999999998</v>
      </c>
      <c r="K5" s="116">
        <f t="shared" si="0"/>
        <v>246078.30415094324</v>
      </c>
    </row>
    <row r="6" spans="1:11" x14ac:dyDescent="0.15">
      <c r="A6" t="s">
        <v>1278</v>
      </c>
      <c r="B6" t="s">
        <v>865</v>
      </c>
      <c r="C6" t="s">
        <v>1280</v>
      </c>
      <c r="D6" s="116">
        <v>5657044.9699999997</v>
      </c>
      <c r="E6" s="116">
        <v>5596583.8399999999</v>
      </c>
      <c r="G6" s="116">
        <v>437195.35100000002</v>
      </c>
      <c r="H6" s="116">
        <v>607148.35100000002</v>
      </c>
      <c r="I6" s="116">
        <v>169953</v>
      </c>
      <c r="J6" s="116">
        <v>437195.35100000002</v>
      </c>
      <c r="K6" s="116">
        <f t="shared" si="0"/>
        <v>494234.15288679238</v>
      </c>
    </row>
    <row r="7" spans="1:11" x14ac:dyDescent="0.15">
      <c r="A7" t="s">
        <v>1281</v>
      </c>
      <c r="B7" t="s">
        <v>603</v>
      </c>
      <c r="C7" t="s">
        <v>1282</v>
      </c>
      <c r="D7" s="116">
        <v>13139844.58</v>
      </c>
      <c r="E7" s="116">
        <v>13538103.539999999</v>
      </c>
      <c r="G7" s="116">
        <v>812467.24199999997</v>
      </c>
      <c r="H7" s="116">
        <v>812467.24199999997</v>
      </c>
      <c r="I7" s="116">
        <v>0</v>
      </c>
      <c r="J7" s="116">
        <v>812467.24199999997</v>
      </c>
      <c r="K7" s="116">
        <f t="shared" si="0"/>
        <v>436751.2420000009</v>
      </c>
    </row>
    <row r="8" spans="1:11" x14ac:dyDescent="0.15">
      <c r="A8" t="s">
        <v>1281</v>
      </c>
      <c r="B8" t="s">
        <v>573</v>
      </c>
      <c r="C8" t="s">
        <v>1280</v>
      </c>
      <c r="D8" s="116">
        <v>7647752.1793224402</v>
      </c>
      <c r="E8" s="116">
        <v>7732779.6661027502</v>
      </c>
      <c r="G8" s="116">
        <v>163762.5448</v>
      </c>
      <c r="H8" s="116">
        <v>315772.37479999999</v>
      </c>
      <c r="I8" s="116">
        <v>152009.82999999999</v>
      </c>
      <c r="J8" s="116">
        <v>163762.5448</v>
      </c>
      <c r="K8" s="116">
        <f t="shared" si="0"/>
        <v>83547.93462989619</v>
      </c>
    </row>
    <row r="9" spans="1:11" x14ac:dyDescent="0.15">
      <c r="A9" t="s">
        <v>1283</v>
      </c>
      <c r="B9" t="s">
        <v>171</v>
      </c>
      <c r="C9" t="s">
        <v>1275</v>
      </c>
      <c r="D9" s="116">
        <v>415506277.88</v>
      </c>
      <c r="E9" s="116">
        <v>381853294.07805699</v>
      </c>
      <c r="G9" s="116">
        <v>1627777.67328355</v>
      </c>
      <c r="H9" s="116">
        <v>45282613.540283598</v>
      </c>
      <c r="I9" s="116">
        <v>43654835.866999999</v>
      </c>
      <c r="J9" s="116">
        <v>1627777.67328355</v>
      </c>
      <c r="K9" s="116">
        <f t="shared" si="0"/>
        <v>33375875.599644873</v>
      </c>
    </row>
    <row r="10" spans="1:11" x14ac:dyDescent="0.15">
      <c r="A10" t="s">
        <v>1284</v>
      </c>
      <c r="B10" t="s">
        <v>1080</v>
      </c>
      <c r="C10" t="s">
        <v>1275</v>
      </c>
      <c r="D10" s="116">
        <v>200000</v>
      </c>
      <c r="E10" s="116">
        <v>200000</v>
      </c>
      <c r="H10" s="116">
        <v>0</v>
      </c>
      <c r="I10" s="116">
        <v>0</v>
      </c>
      <c r="J10" s="116">
        <v>0</v>
      </c>
      <c r="K10" s="116">
        <f t="shared" si="0"/>
        <v>0</v>
      </c>
    </row>
    <row r="11" spans="1:11" x14ac:dyDescent="0.15">
      <c r="A11" t="s">
        <v>1285</v>
      </c>
      <c r="B11" t="s">
        <v>1137</v>
      </c>
      <c r="C11" t="s">
        <v>1275</v>
      </c>
      <c r="D11" s="116">
        <v>600000</v>
      </c>
      <c r="E11" s="116">
        <v>600000</v>
      </c>
      <c r="H11" s="116">
        <v>0</v>
      </c>
      <c r="I11" s="116">
        <v>0</v>
      </c>
      <c r="J11" s="116">
        <v>0</v>
      </c>
      <c r="K11" s="116">
        <f t="shared" si="0"/>
        <v>0</v>
      </c>
    </row>
    <row r="12" spans="1:11" x14ac:dyDescent="0.15">
      <c r="A12" t="s">
        <v>1286</v>
      </c>
      <c r="B12" t="s">
        <v>1081</v>
      </c>
      <c r="C12" t="s">
        <v>1275</v>
      </c>
      <c r="D12" s="116">
        <v>5100000</v>
      </c>
      <c r="E12" s="116">
        <v>3787500</v>
      </c>
      <c r="H12" s="116">
        <v>0</v>
      </c>
      <c r="I12" s="116">
        <v>0</v>
      </c>
      <c r="J12" s="116">
        <v>0</v>
      </c>
      <c r="K12" s="116">
        <f t="shared" si="0"/>
        <v>1238207.5471698113</v>
      </c>
    </row>
    <row r="13" spans="1:11" x14ac:dyDescent="0.15">
      <c r="A13" t="s">
        <v>1119</v>
      </c>
      <c r="B13" t="s">
        <v>1120</v>
      </c>
      <c r="C13" t="s">
        <v>1275</v>
      </c>
      <c r="D13" s="116">
        <v>260863.4</v>
      </c>
      <c r="E13" s="116">
        <v>236647.8</v>
      </c>
      <c r="H13" s="116">
        <v>0</v>
      </c>
      <c r="I13" s="116">
        <v>0</v>
      </c>
      <c r="J13" s="116">
        <v>0</v>
      </c>
      <c r="K13" s="116">
        <f t="shared" si="0"/>
        <v>22844.905660377364</v>
      </c>
    </row>
    <row r="14" spans="1:11" x14ac:dyDescent="0.15">
      <c r="A14" t="s">
        <v>158</v>
      </c>
      <c r="B14" t="s">
        <v>159</v>
      </c>
      <c r="C14" t="s">
        <v>1275</v>
      </c>
      <c r="D14" s="116">
        <v>5771750</v>
      </c>
      <c r="E14" s="116">
        <v>4897000</v>
      </c>
      <c r="H14" s="116">
        <v>0</v>
      </c>
      <c r="I14" s="116">
        <v>0</v>
      </c>
      <c r="J14" s="116">
        <v>0</v>
      </c>
      <c r="K14" s="116">
        <f t="shared" si="0"/>
        <v>825235.84905660374</v>
      </c>
    </row>
    <row r="15" spans="1:11" x14ac:dyDescent="0.15">
      <c r="A15" t="s">
        <v>1069</v>
      </c>
      <c r="B15" t="s">
        <v>1070</v>
      </c>
      <c r="C15" t="s">
        <v>1275</v>
      </c>
      <c r="D15" s="116">
        <v>20000</v>
      </c>
      <c r="E15" s="116">
        <v>20000</v>
      </c>
      <c r="H15" s="116">
        <v>0</v>
      </c>
      <c r="I15" s="116">
        <v>0</v>
      </c>
      <c r="J15" s="116">
        <v>0</v>
      </c>
      <c r="K15" s="116">
        <f t="shared" si="0"/>
        <v>0</v>
      </c>
    </row>
    <row r="16" spans="1:11" x14ac:dyDescent="0.15">
      <c r="A16" t="s">
        <v>1141</v>
      </c>
      <c r="B16" t="s">
        <v>1287</v>
      </c>
      <c r="C16" t="s">
        <v>1275</v>
      </c>
      <c r="D16" s="116">
        <v>5683644.7931372598</v>
      </c>
      <c r="E16" s="116">
        <v>5527409.7800000003</v>
      </c>
      <c r="H16" s="116">
        <v>530867.9</v>
      </c>
      <c r="I16" s="116">
        <v>530867.9</v>
      </c>
      <c r="J16" s="116">
        <v>0</v>
      </c>
      <c r="K16" s="116">
        <f t="shared" si="0"/>
        <v>147391.52182760331</v>
      </c>
    </row>
    <row r="17" spans="1:11" x14ac:dyDescent="0.15">
      <c r="A17" t="s">
        <v>1156</v>
      </c>
      <c r="B17" t="s">
        <v>1157</v>
      </c>
      <c r="C17" t="s">
        <v>1275</v>
      </c>
      <c r="D17" s="116">
        <v>104607.843137255</v>
      </c>
      <c r="E17" s="116">
        <v>86835</v>
      </c>
      <c r="K17" s="116">
        <f t="shared" si="0"/>
        <v>16766.83314835377</v>
      </c>
    </row>
    <row r="18" spans="1:11" x14ac:dyDescent="0.15">
      <c r="A18" t="s">
        <v>1156</v>
      </c>
      <c r="B18" t="s">
        <v>1160</v>
      </c>
      <c r="C18" t="s">
        <v>1275</v>
      </c>
      <c r="D18" s="116">
        <v>401818.181818182</v>
      </c>
      <c r="E18" s="116">
        <v>363880</v>
      </c>
      <c r="K18" s="116">
        <f t="shared" si="0"/>
        <v>35790.737564322641</v>
      </c>
    </row>
    <row r="19" spans="1:11" x14ac:dyDescent="0.15">
      <c r="A19" t="s">
        <v>1156</v>
      </c>
      <c r="B19" t="s">
        <v>1161</v>
      </c>
      <c r="C19" t="s">
        <v>1275</v>
      </c>
      <c r="D19" s="116">
        <v>11167775.677471099</v>
      </c>
      <c r="E19" s="116">
        <v>9653862.2994800005</v>
      </c>
      <c r="H19" s="116">
        <v>2112465.6880000001</v>
      </c>
      <c r="I19" s="116">
        <v>2112465.6880000001</v>
      </c>
      <c r="J19" s="116">
        <v>0</v>
      </c>
      <c r="K19" s="116">
        <f t="shared" si="0"/>
        <v>1428220.167916131</v>
      </c>
    </row>
    <row r="20" spans="1:11" x14ac:dyDescent="0.15">
      <c r="A20" t="s">
        <v>1288</v>
      </c>
      <c r="B20" t="s">
        <v>1130</v>
      </c>
      <c r="C20" t="s">
        <v>1275</v>
      </c>
      <c r="D20" s="116">
        <v>50000</v>
      </c>
      <c r="E20" s="116">
        <v>44000</v>
      </c>
      <c r="J20" s="116">
        <v>0</v>
      </c>
      <c r="K20" s="116">
        <f t="shared" si="0"/>
        <v>5660.3773584905657</v>
      </c>
    </row>
    <row r="21" spans="1:11" x14ac:dyDescent="0.15">
      <c r="A21" t="s">
        <v>243</v>
      </c>
      <c r="B21" t="s">
        <v>244</v>
      </c>
      <c r="C21" t="s">
        <v>1289</v>
      </c>
      <c r="D21" s="116">
        <v>32853417.740571398</v>
      </c>
      <c r="E21" s="116">
        <f>20825273.34+5734458</f>
        <v>26559731.34</v>
      </c>
      <c r="H21" s="116">
        <v>3533685.64058823</v>
      </c>
      <c r="I21" s="116">
        <v>3533685.64</v>
      </c>
      <c r="J21" s="116">
        <v>5.8822985738515897E-4</v>
      </c>
      <c r="K21" s="116">
        <f t="shared" si="0"/>
        <v>5937440.0005390551</v>
      </c>
    </row>
    <row r="22" spans="1:11" x14ac:dyDescent="0.15">
      <c r="A22" t="s">
        <v>1290</v>
      </c>
      <c r="B22" t="s">
        <v>1152</v>
      </c>
      <c r="C22" t="s">
        <v>1275</v>
      </c>
      <c r="D22" s="116">
        <v>1529073</v>
      </c>
      <c r="E22" s="116">
        <v>1524882.53</v>
      </c>
      <c r="H22" s="116">
        <v>0</v>
      </c>
      <c r="J22" s="116">
        <v>0</v>
      </c>
      <c r="K22" s="116">
        <f t="shared" si="0"/>
        <v>3953.2735849056339</v>
      </c>
    </row>
    <row r="23" spans="1:11" x14ac:dyDescent="0.15">
      <c r="A23" t="s">
        <v>227</v>
      </c>
      <c r="B23" t="s">
        <v>228</v>
      </c>
      <c r="C23" t="s">
        <v>1275</v>
      </c>
      <c r="D23" s="116">
        <v>38784976.140848599</v>
      </c>
      <c r="E23" s="116">
        <v>40519408.729999997</v>
      </c>
      <c r="F23" s="116">
        <v>3657301.16</v>
      </c>
      <c r="H23" s="116">
        <v>3657301.16</v>
      </c>
      <c r="J23" s="116">
        <v>3657301.16</v>
      </c>
      <c r="K23" s="116">
        <f t="shared" si="0"/>
        <v>1814026.9536307573</v>
      </c>
    </row>
    <row r="24" spans="1:11" x14ac:dyDescent="0.15">
      <c r="A24" t="s">
        <v>1291</v>
      </c>
      <c r="B24" t="s">
        <v>205</v>
      </c>
      <c r="C24" t="s">
        <v>1275</v>
      </c>
      <c r="D24" s="116">
        <v>2897875.3265118399</v>
      </c>
      <c r="E24" s="116">
        <v>2970770.99</v>
      </c>
      <c r="F24" s="116">
        <v>320213.01620000001</v>
      </c>
      <c r="H24" s="116">
        <v>320213.01620000001</v>
      </c>
      <c r="I24" s="116">
        <v>0</v>
      </c>
      <c r="J24" s="116">
        <v>320213.01620000001</v>
      </c>
      <c r="K24" s="116">
        <f t="shared" si="0"/>
        <v>233318.25727532041</v>
      </c>
    </row>
    <row r="25" spans="1:11" x14ac:dyDescent="0.15">
      <c r="A25" t="s">
        <v>1292</v>
      </c>
      <c r="B25" t="s">
        <v>624</v>
      </c>
      <c r="C25" t="s">
        <v>1275</v>
      </c>
      <c r="D25" s="116">
        <v>863632.37733358704</v>
      </c>
      <c r="E25" s="116">
        <v>780369.57</v>
      </c>
      <c r="G25" s="116">
        <v>-26623.982199999999</v>
      </c>
      <c r="H25" s="116">
        <v>78068.217799999999</v>
      </c>
      <c r="I25" s="116">
        <v>104692.2</v>
      </c>
      <c r="J25" s="116">
        <v>-26623.982199999999</v>
      </c>
      <c r="K25" s="116">
        <f t="shared" si="0"/>
        <v>51925.836039233094</v>
      </c>
    </row>
    <row r="26" spans="1:11" x14ac:dyDescent="0.15">
      <c r="A26" t="s">
        <v>1293</v>
      </c>
      <c r="B26" t="s">
        <v>603</v>
      </c>
      <c r="C26" t="s">
        <v>1279</v>
      </c>
      <c r="D26" s="116">
        <v>1483745.51505694</v>
      </c>
      <c r="E26" s="116">
        <v>1516701.75</v>
      </c>
      <c r="G26" s="116">
        <v>161417.0313</v>
      </c>
      <c r="H26" s="116">
        <v>161417.0313</v>
      </c>
      <c r="I26" s="116">
        <v>0</v>
      </c>
      <c r="J26" s="116">
        <v>161417.0313</v>
      </c>
      <c r="K26" s="116">
        <f t="shared" si="0"/>
        <v>130326.24361786796</v>
      </c>
    </row>
    <row r="27" spans="1:11" x14ac:dyDescent="0.15">
      <c r="A27" t="s">
        <v>1292</v>
      </c>
      <c r="B27" t="s">
        <v>1075</v>
      </c>
      <c r="C27" t="s">
        <v>1275</v>
      </c>
      <c r="D27" s="116">
        <v>6535</v>
      </c>
      <c r="E27" s="116">
        <v>6535.1960784313696</v>
      </c>
      <c r="H27" s="116">
        <v>0</v>
      </c>
      <c r="I27" s="116">
        <v>0</v>
      </c>
      <c r="J27" s="116">
        <v>0</v>
      </c>
      <c r="K27" s="116">
        <f t="shared" si="0"/>
        <v>-0.18497965223551149</v>
      </c>
    </row>
    <row r="28" spans="1:11" x14ac:dyDescent="0.15">
      <c r="A28" t="s">
        <v>1294</v>
      </c>
      <c r="B28" t="s">
        <v>575</v>
      </c>
      <c r="C28" t="s">
        <v>1275</v>
      </c>
      <c r="D28" s="116">
        <v>493462078.50480002</v>
      </c>
      <c r="E28" s="116">
        <v>515428555.73000097</v>
      </c>
      <c r="F28" s="116">
        <v>113537810.380934</v>
      </c>
      <c r="H28" s="116">
        <v>113537810.380934</v>
      </c>
      <c r="I28" s="116">
        <v>12515509.2159</v>
      </c>
      <c r="J28" s="116">
        <v>101022301.165034</v>
      </c>
      <c r="K28" s="116">
        <f t="shared" si="0"/>
        <v>86388050.146917969</v>
      </c>
    </row>
    <row r="29" spans="1:11" x14ac:dyDescent="0.15">
      <c r="A29" t="s">
        <v>1295</v>
      </c>
      <c r="B29" t="s">
        <v>719</v>
      </c>
      <c r="C29" t="s">
        <v>1275</v>
      </c>
      <c r="D29" s="116">
        <v>224000</v>
      </c>
      <c r="E29" s="116">
        <v>84000</v>
      </c>
      <c r="H29" s="116">
        <v>0</v>
      </c>
      <c r="I29" s="116">
        <v>0</v>
      </c>
      <c r="J29" s="116">
        <v>0</v>
      </c>
      <c r="K29" s="116">
        <f t="shared" si="0"/>
        <v>132075.47169811319</v>
      </c>
    </row>
    <row r="30" spans="1:11" x14ac:dyDescent="0.15">
      <c r="A30" t="s">
        <v>1296</v>
      </c>
      <c r="B30" t="s">
        <v>953</v>
      </c>
      <c r="C30" t="s">
        <v>1275</v>
      </c>
      <c r="D30" s="116">
        <v>7315.25</v>
      </c>
      <c r="E30" s="116">
        <v>7315.25</v>
      </c>
      <c r="H30" s="116">
        <v>0</v>
      </c>
      <c r="I30" s="116">
        <v>0</v>
      </c>
      <c r="J30" s="116">
        <v>0</v>
      </c>
      <c r="K30" s="116">
        <f t="shared" si="0"/>
        <v>0</v>
      </c>
    </row>
    <row r="31" spans="1:11" x14ac:dyDescent="0.15">
      <c r="A31" t="s">
        <v>1073</v>
      </c>
      <c r="B31" t="s">
        <v>603</v>
      </c>
      <c r="C31" t="s">
        <v>1279</v>
      </c>
      <c r="D31" s="116">
        <v>3080982.2812188999</v>
      </c>
      <c r="E31" s="116">
        <v>2005558.49</v>
      </c>
      <c r="G31" s="116">
        <v>317428.80800000002</v>
      </c>
      <c r="H31" s="116">
        <v>387671.24080000003</v>
      </c>
      <c r="I31" s="116">
        <v>70242.432799999995</v>
      </c>
      <c r="J31" s="116">
        <v>317428.80800000002</v>
      </c>
      <c r="K31" s="116">
        <f t="shared" si="0"/>
        <v>1331979.5544329244</v>
      </c>
    </row>
    <row r="32" spans="1:11" x14ac:dyDescent="0.15">
      <c r="A32" t="s">
        <v>1073</v>
      </c>
      <c r="B32" t="s">
        <v>332</v>
      </c>
      <c r="C32" t="s">
        <v>1275</v>
      </c>
      <c r="D32" s="116">
        <v>100000</v>
      </c>
      <c r="E32" s="116">
        <v>100000</v>
      </c>
      <c r="H32" s="116">
        <v>0</v>
      </c>
      <c r="I32" s="116">
        <v>0</v>
      </c>
      <c r="J32" s="116">
        <v>0</v>
      </c>
      <c r="K32" s="116">
        <f t="shared" si="0"/>
        <v>0</v>
      </c>
    </row>
    <row r="33" spans="1:11" x14ac:dyDescent="0.15">
      <c r="A33" t="s">
        <v>1073</v>
      </c>
      <c r="B33" t="s">
        <v>205</v>
      </c>
      <c r="C33" t="s">
        <v>1280</v>
      </c>
      <c r="D33" s="116">
        <v>9848877.7879663892</v>
      </c>
      <c r="E33" s="116">
        <v>7273934.0865100501</v>
      </c>
      <c r="H33" s="116">
        <v>585137.61919999996</v>
      </c>
      <c r="I33" s="116">
        <v>585137.61919999996</v>
      </c>
      <c r="J33" s="116">
        <v>0</v>
      </c>
      <c r="K33" s="116">
        <f t="shared" si="0"/>
        <v>2429192.1711852252</v>
      </c>
    </row>
    <row r="34" spans="1:11" x14ac:dyDescent="0.15">
      <c r="A34" t="s">
        <v>1133</v>
      </c>
      <c r="B34" t="s">
        <v>677</v>
      </c>
      <c r="C34" t="s">
        <v>1275</v>
      </c>
      <c r="D34" s="116">
        <v>27778</v>
      </c>
      <c r="E34" s="116">
        <v>24600</v>
      </c>
      <c r="J34" s="116">
        <v>0</v>
      </c>
      <c r="K34" s="116">
        <f t="shared" si="0"/>
        <v>2998.1132075471696</v>
      </c>
    </row>
    <row r="35" spans="1:11" s="115" customFormat="1" x14ac:dyDescent="0.15">
      <c r="A35" s="115" t="s">
        <v>1297</v>
      </c>
      <c r="B35" s="115" t="s">
        <v>44</v>
      </c>
      <c r="C35" s="115" t="s">
        <v>1275</v>
      </c>
      <c r="D35" s="117">
        <v>11082955.751234001</v>
      </c>
      <c r="E35" s="117">
        <v>9756164.5512339491</v>
      </c>
      <c r="F35" s="117"/>
      <c r="G35" s="117"/>
      <c r="H35" s="117">
        <v>0</v>
      </c>
      <c r="I35" s="117">
        <v>0</v>
      </c>
      <c r="J35" s="117">
        <v>0</v>
      </c>
      <c r="K35" s="116">
        <f t="shared" si="0"/>
        <v>1251689.8113208031</v>
      </c>
    </row>
    <row r="36" spans="1:11" x14ac:dyDescent="0.15">
      <c r="A36" t="s">
        <v>1298</v>
      </c>
      <c r="B36" t="s">
        <v>44</v>
      </c>
      <c r="C36" t="s">
        <v>1275</v>
      </c>
      <c r="D36" s="116">
        <v>295638.065</v>
      </c>
      <c r="E36" s="116">
        <v>265305.8</v>
      </c>
      <c r="J36" s="116">
        <v>0</v>
      </c>
      <c r="K36" s="116">
        <f t="shared" si="0"/>
        <v>28615.344339622654</v>
      </c>
    </row>
    <row r="37" spans="1:11" s="115" customFormat="1" x14ac:dyDescent="0.15">
      <c r="A37" s="115" t="s">
        <v>1299</v>
      </c>
      <c r="B37" s="115" t="s">
        <v>44</v>
      </c>
      <c r="C37" s="115" t="s">
        <v>1275</v>
      </c>
      <c r="D37" s="117">
        <v>3445300.9</v>
      </c>
      <c r="E37" s="117">
        <v>3444266.59</v>
      </c>
      <c r="F37" s="117"/>
      <c r="G37" s="117"/>
      <c r="H37" s="117">
        <v>0</v>
      </c>
      <c r="I37" s="117">
        <v>0</v>
      </c>
      <c r="J37" s="117">
        <v>0</v>
      </c>
      <c r="K37" s="116">
        <f t="shared" si="0"/>
        <v>975.76415094344884</v>
      </c>
    </row>
    <row r="38" spans="1:11" x14ac:dyDescent="0.15">
      <c r="A38" t="s">
        <v>1300</v>
      </c>
      <c r="B38" t="s">
        <v>44</v>
      </c>
      <c r="C38" t="s">
        <v>1275</v>
      </c>
      <c r="D38" s="116">
        <v>5278621.9257986704</v>
      </c>
      <c r="E38" s="116">
        <v>5278621.93</v>
      </c>
      <c r="H38" s="116">
        <v>0</v>
      </c>
      <c r="I38" s="116">
        <v>0</v>
      </c>
      <c r="J38" s="116">
        <v>0</v>
      </c>
      <c r="K38" s="116">
        <f t="shared" si="0"/>
        <v>-3.9635182200175407E-3</v>
      </c>
    </row>
    <row r="39" spans="1:11" x14ac:dyDescent="0.15">
      <c r="A39" t="s">
        <v>1301</v>
      </c>
      <c r="B39" t="s">
        <v>603</v>
      </c>
      <c r="C39" t="s">
        <v>1275</v>
      </c>
      <c r="D39" s="116">
        <v>2040000</v>
      </c>
      <c r="E39" s="116">
        <v>1515000</v>
      </c>
      <c r="H39" s="116">
        <v>0</v>
      </c>
      <c r="I39" s="116">
        <v>0</v>
      </c>
      <c r="J39" s="116">
        <v>0</v>
      </c>
      <c r="K39" s="116">
        <f t="shared" si="0"/>
        <v>495283.01886792452</v>
      </c>
    </row>
    <row r="40" spans="1:11" x14ac:dyDescent="0.15">
      <c r="D40" s="116">
        <f t="shared" ref="D40:K40" si="1">SUM(D2:D39)</f>
        <v>1109961521.7649043</v>
      </c>
      <c r="E40" s="116">
        <f t="shared" si="1"/>
        <v>1084595747.1784556</v>
      </c>
      <c r="F40" s="116">
        <f t="shared" si="1"/>
        <v>117515324.557134</v>
      </c>
      <c r="G40" s="116">
        <f t="shared" si="1"/>
        <v>3794134.7081835498</v>
      </c>
      <c r="H40" s="116">
        <f t="shared" si="1"/>
        <v>172223349.44290581</v>
      </c>
      <c r="I40" s="116">
        <f t="shared" si="1"/>
        <v>63429399.392900005</v>
      </c>
      <c r="J40" s="116">
        <f t="shared" si="1"/>
        <v>108793950.05000578</v>
      </c>
      <c r="K40" s="116">
        <f t="shared" si="1"/>
        <v>138587624.46627992</v>
      </c>
    </row>
    <row r="41" spans="1:11" ht="14.25" x14ac:dyDescent="0.3">
      <c r="B41" s="225" t="s">
        <v>1652</v>
      </c>
      <c r="C41" t="s">
        <v>1275</v>
      </c>
    </row>
  </sheetData>
  <phoneticPr fontId="29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00"/>
  <sheetViews>
    <sheetView zoomScale="96" zoomScaleNormal="96" workbookViewId="0">
      <pane ySplit="1" topLeftCell="A54" activePane="bottomLeft" state="frozen"/>
      <selection pane="bottomLeft" activeCell="F78" sqref="F78"/>
    </sheetView>
  </sheetViews>
  <sheetFormatPr defaultColWidth="8.75" defaultRowHeight="12" x14ac:dyDescent="0.15"/>
  <cols>
    <col min="1" max="1" width="14.375" style="56" customWidth="1"/>
    <col min="2" max="3" width="33.125" style="56" customWidth="1"/>
    <col min="4" max="4" width="16.125" style="62" customWidth="1"/>
    <col min="5" max="5" width="8" style="56" customWidth="1"/>
    <col min="6" max="6" width="14.5" style="56" customWidth="1"/>
    <col min="7" max="7" width="14.125" style="56" customWidth="1"/>
    <col min="8" max="8" width="19.875" style="62" customWidth="1"/>
    <col min="9" max="9" width="11.5" style="63" customWidth="1"/>
    <col min="10" max="10" width="13" style="63" customWidth="1"/>
    <col min="11" max="11" width="11.5" style="63" customWidth="1"/>
    <col min="12" max="12" width="57.125" style="62" customWidth="1"/>
    <col min="13" max="16384" width="8.75" style="56"/>
  </cols>
  <sheetData>
    <row r="1" spans="1:12" ht="14.25" x14ac:dyDescent="0.15">
      <c r="A1" s="64" t="s">
        <v>1265</v>
      </c>
      <c r="B1" s="64" t="s">
        <v>1266</v>
      </c>
      <c r="C1" s="64" t="s">
        <v>1302</v>
      </c>
      <c r="D1" s="64" t="s">
        <v>1267</v>
      </c>
      <c r="E1" s="64" t="s">
        <v>12</v>
      </c>
      <c r="F1" s="65" t="s">
        <v>29</v>
      </c>
      <c r="G1" s="65" t="s">
        <v>1303</v>
      </c>
      <c r="H1" s="66" t="s">
        <v>1304</v>
      </c>
      <c r="I1" s="94" t="s">
        <v>1305</v>
      </c>
      <c r="J1" s="94" t="s">
        <v>1306</v>
      </c>
      <c r="K1" s="94" t="s">
        <v>1307</v>
      </c>
      <c r="L1" s="64" t="s">
        <v>36</v>
      </c>
    </row>
    <row r="2" spans="1:12" ht="14.25" x14ac:dyDescent="0.3">
      <c r="A2" s="67" t="s">
        <v>1308</v>
      </c>
      <c r="B2" s="68" t="s">
        <v>44</v>
      </c>
      <c r="C2" s="68" t="s">
        <v>1309</v>
      </c>
      <c r="D2" s="69" t="s">
        <v>1275</v>
      </c>
      <c r="E2" s="69" t="s">
        <v>46</v>
      </c>
      <c r="F2" s="70">
        <v>5278621.93</v>
      </c>
      <c r="G2" s="70">
        <v>5278621.93</v>
      </c>
      <c r="H2" s="71">
        <v>0</v>
      </c>
      <c r="I2" s="92">
        <f t="shared" ref="I2:I13" si="0">G2*H2</f>
        <v>0</v>
      </c>
      <c r="J2" s="92">
        <v>0</v>
      </c>
      <c r="K2" s="92">
        <f t="shared" ref="K2:K46" si="1">I2-J2</f>
        <v>0</v>
      </c>
      <c r="L2" s="95" t="s">
        <v>1310</v>
      </c>
    </row>
    <row r="3" spans="1:12" ht="14.25" x14ac:dyDescent="0.3">
      <c r="A3" s="67" t="s">
        <v>158</v>
      </c>
      <c r="B3" s="68" t="s">
        <v>159</v>
      </c>
      <c r="C3" s="68" t="s">
        <v>159</v>
      </c>
      <c r="D3" s="69" t="s">
        <v>1275</v>
      </c>
      <c r="E3" s="69" t="s">
        <v>160</v>
      </c>
      <c r="F3" s="72">
        <v>4897000</v>
      </c>
      <c r="G3" s="72">
        <v>4897000</v>
      </c>
      <c r="H3" s="73">
        <v>0</v>
      </c>
      <c r="I3" s="96">
        <f t="shared" si="0"/>
        <v>0</v>
      </c>
      <c r="J3" s="96">
        <v>0</v>
      </c>
      <c r="K3" s="96">
        <f t="shared" si="1"/>
        <v>0</v>
      </c>
      <c r="L3" s="97"/>
    </row>
    <row r="4" spans="1:12" ht="14.25" x14ac:dyDescent="0.3">
      <c r="A4" s="67" t="s">
        <v>227</v>
      </c>
      <c r="B4" s="68" t="s">
        <v>228</v>
      </c>
      <c r="C4" s="68" t="s">
        <v>228</v>
      </c>
      <c r="D4" s="69" t="s">
        <v>1275</v>
      </c>
      <c r="E4" s="69" t="s">
        <v>185</v>
      </c>
      <c r="F4" s="72">
        <v>34608063.390000001</v>
      </c>
      <c r="G4" s="72">
        <v>34608063.390000001</v>
      </c>
      <c r="H4" s="73">
        <v>0.09</v>
      </c>
      <c r="I4" s="96">
        <v>3114725.72</v>
      </c>
      <c r="J4" s="96"/>
      <c r="K4" s="96">
        <f t="shared" si="1"/>
        <v>3114725.72</v>
      </c>
      <c r="L4" s="97"/>
    </row>
    <row r="5" spans="1:12" ht="14.25" x14ac:dyDescent="0.3">
      <c r="A5" s="67" t="s">
        <v>227</v>
      </c>
      <c r="B5" s="68" t="s">
        <v>228</v>
      </c>
      <c r="C5" s="68" t="s">
        <v>228</v>
      </c>
      <c r="D5" s="69" t="s">
        <v>1275</v>
      </c>
      <c r="E5" s="69" t="s">
        <v>185</v>
      </c>
      <c r="F5" s="72">
        <v>179025.68</v>
      </c>
      <c r="G5" s="72">
        <v>179025.68</v>
      </c>
      <c r="H5" s="73">
        <v>0.13</v>
      </c>
      <c r="I5" s="96">
        <v>13749.224907407401</v>
      </c>
      <c r="J5" s="96"/>
      <c r="K5" s="96">
        <f t="shared" si="1"/>
        <v>13749.224907407401</v>
      </c>
      <c r="L5" s="97"/>
    </row>
    <row r="6" spans="1:12" ht="14.25" x14ac:dyDescent="0.3">
      <c r="A6" s="67" t="s">
        <v>227</v>
      </c>
      <c r="B6" s="68" t="s">
        <v>228</v>
      </c>
      <c r="C6" s="68" t="s">
        <v>228</v>
      </c>
      <c r="D6" s="69" t="s">
        <v>1275</v>
      </c>
      <c r="E6" s="67" t="s">
        <v>1311</v>
      </c>
      <c r="F6" s="72">
        <v>5647486.3300000001</v>
      </c>
      <c r="G6" s="72">
        <v>5647486.3300000001</v>
      </c>
      <c r="H6" s="73">
        <v>0.09</v>
      </c>
      <c r="I6" s="96">
        <v>508273.7697</v>
      </c>
      <c r="J6" s="96"/>
      <c r="K6" s="96">
        <f t="shared" si="1"/>
        <v>508273.7697</v>
      </c>
      <c r="L6" s="97"/>
    </row>
    <row r="7" spans="1:12" ht="14.25" x14ac:dyDescent="0.3">
      <c r="A7" s="67" t="s">
        <v>227</v>
      </c>
      <c r="B7" s="68" t="s">
        <v>228</v>
      </c>
      <c r="C7" s="68" t="s">
        <v>228</v>
      </c>
      <c r="D7" s="69" t="s">
        <v>1275</v>
      </c>
      <c r="E7" s="67" t="s">
        <v>1311</v>
      </c>
      <c r="F7" s="72">
        <v>84833.33</v>
      </c>
      <c r="G7" s="72">
        <v>84833.33</v>
      </c>
      <c r="H7" s="73">
        <v>0.13</v>
      </c>
      <c r="I7" s="96">
        <v>20552.446392592599</v>
      </c>
      <c r="J7" s="96">
        <v>0</v>
      </c>
      <c r="K7" s="96">
        <f t="shared" si="1"/>
        <v>20552.446392592599</v>
      </c>
      <c r="L7" s="97"/>
    </row>
    <row r="8" spans="1:12" ht="14.25" x14ac:dyDescent="0.3">
      <c r="A8" s="67" t="s">
        <v>1069</v>
      </c>
      <c r="B8" s="68" t="s">
        <v>1070</v>
      </c>
      <c r="C8" s="68" t="s">
        <v>1312</v>
      </c>
      <c r="D8" s="69" t="s">
        <v>1275</v>
      </c>
      <c r="E8" s="67" t="s">
        <v>183</v>
      </c>
      <c r="F8" s="74">
        <v>20000</v>
      </c>
      <c r="G8" s="74">
        <v>20000</v>
      </c>
      <c r="H8" s="75">
        <v>0</v>
      </c>
      <c r="I8" s="96">
        <f t="shared" si="0"/>
        <v>0</v>
      </c>
      <c r="J8" s="96">
        <v>0</v>
      </c>
      <c r="K8" s="96">
        <f t="shared" si="1"/>
        <v>0</v>
      </c>
      <c r="L8" s="97"/>
    </row>
    <row r="9" spans="1:12" ht="14.25" x14ac:dyDescent="0.3">
      <c r="A9" s="67" t="s">
        <v>1313</v>
      </c>
      <c r="B9" s="68" t="s">
        <v>44</v>
      </c>
      <c r="C9" s="68" t="s">
        <v>1314</v>
      </c>
      <c r="D9" s="69" t="s">
        <v>1275</v>
      </c>
      <c r="E9" s="69" t="s">
        <v>46</v>
      </c>
      <c r="F9" s="72">
        <v>3444266.59</v>
      </c>
      <c r="G9" s="72">
        <v>3444266.59</v>
      </c>
      <c r="H9" s="73">
        <v>0</v>
      </c>
      <c r="I9" s="96">
        <f t="shared" si="0"/>
        <v>0</v>
      </c>
      <c r="J9" s="96">
        <v>0</v>
      </c>
      <c r="K9" s="96">
        <f t="shared" si="1"/>
        <v>0</v>
      </c>
      <c r="L9" s="97"/>
    </row>
    <row r="10" spans="1:12" ht="14.25" x14ac:dyDescent="0.3">
      <c r="A10" s="67" t="s">
        <v>1315</v>
      </c>
      <c r="B10" s="68" t="s">
        <v>44</v>
      </c>
      <c r="C10" s="67" t="s">
        <v>1316</v>
      </c>
      <c r="D10" s="69" t="s">
        <v>1275</v>
      </c>
      <c r="E10" s="74" t="s">
        <v>185</v>
      </c>
      <c r="F10" s="74">
        <v>3213516.9540358102</v>
      </c>
      <c r="G10" s="74">
        <v>3213516.9540358102</v>
      </c>
      <c r="H10" s="73">
        <v>0</v>
      </c>
      <c r="I10" s="96">
        <f t="shared" si="0"/>
        <v>0</v>
      </c>
      <c r="J10" s="96">
        <v>0</v>
      </c>
      <c r="K10" s="96">
        <f t="shared" si="1"/>
        <v>0</v>
      </c>
      <c r="L10" s="97"/>
    </row>
    <row r="11" spans="1:12" ht="14.25" x14ac:dyDescent="0.3">
      <c r="A11" s="67" t="s">
        <v>1315</v>
      </c>
      <c r="B11" s="68" t="s">
        <v>44</v>
      </c>
      <c r="C11" s="67" t="s">
        <v>1316</v>
      </c>
      <c r="D11" s="69" t="s">
        <v>1275</v>
      </c>
      <c r="E11" s="74" t="s">
        <v>46</v>
      </c>
      <c r="F11" s="74">
        <v>522615.24719813903</v>
      </c>
      <c r="G11" s="74">
        <v>522615.24719813903</v>
      </c>
      <c r="H11" s="73">
        <v>0</v>
      </c>
      <c r="I11" s="96">
        <f t="shared" si="0"/>
        <v>0</v>
      </c>
      <c r="J11" s="96">
        <v>0</v>
      </c>
      <c r="K11" s="96">
        <f t="shared" si="1"/>
        <v>0</v>
      </c>
      <c r="L11" s="97"/>
    </row>
    <row r="12" spans="1:12" ht="14.25" x14ac:dyDescent="0.3">
      <c r="A12" s="67" t="s">
        <v>1315</v>
      </c>
      <c r="B12" s="68" t="s">
        <v>44</v>
      </c>
      <c r="C12" s="67" t="s">
        <v>1316</v>
      </c>
      <c r="D12" s="69" t="s">
        <v>1275</v>
      </c>
      <c r="E12" s="76" t="s">
        <v>183</v>
      </c>
      <c r="F12" s="74">
        <v>26351.35</v>
      </c>
      <c r="G12" s="74">
        <v>26351.35</v>
      </c>
      <c r="H12" s="73">
        <v>0</v>
      </c>
      <c r="I12" s="96">
        <f t="shared" si="0"/>
        <v>0</v>
      </c>
      <c r="J12" s="96">
        <v>0</v>
      </c>
      <c r="K12" s="96">
        <f t="shared" si="1"/>
        <v>0</v>
      </c>
      <c r="L12" s="98"/>
    </row>
    <row r="13" spans="1:12" ht="14.25" x14ac:dyDescent="0.3">
      <c r="A13" s="67" t="s">
        <v>1315</v>
      </c>
      <c r="B13" s="68" t="s">
        <v>44</v>
      </c>
      <c r="C13" s="67" t="s">
        <v>1316</v>
      </c>
      <c r="D13" s="69" t="s">
        <v>1275</v>
      </c>
      <c r="E13" s="76" t="s">
        <v>178</v>
      </c>
      <c r="F13" s="74">
        <v>5993681</v>
      </c>
      <c r="G13" s="74">
        <v>5993681</v>
      </c>
      <c r="H13" s="73">
        <v>0</v>
      </c>
      <c r="I13" s="90">
        <f t="shared" si="0"/>
        <v>0</v>
      </c>
      <c r="J13" s="96">
        <v>0</v>
      </c>
      <c r="K13" s="96">
        <f t="shared" si="1"/>
        <v>0</v>
      </c>
      <c r="L13" s="69"/>
    </row>
    <row r="14" spans="1:12" ht="14.25" x14ac:dyDescent="0.3">
      <c r="A14" s="67" t="s">
        <v>1317</v>
      </c>
      <c r="B14" s="68" t="s">
        <v>575</v>
      </c>
      <c r="C14" s="68" t="s">
        <v>575</v>
      </c>
      <c r="D14" s="69" t="s">
        <v>1275</v>
      </c>
      <c r="E14" s="69" t="s">
        <v>46</v>
      </c>
      <c r="F14" s="74">
        <v>242516775.00926101</v>
      </c>
      <c r="G14" s="74">
        <v>247223320.2872</v>
      </c>
      <c r="H14" s="77">
        <v>0.100650209412708</v>
      </c>
      <c r="I14" s="90">
        <v>24883078.9586116</v>
      </c>
      <c r="J14" s="92">
        <v>3839008.1467499998</v>
      </c>
      <c r="K14" s="96">
        <f t="shared" si="1"/>
        <v>21044070.811861601</v>
      </c>
      <c r="L14" s="67" t="s">
        <v>1318</v>
      </c>
    </row>
    <row r="15" spans="1:12" ht="14.25" x14ac:dyDescent="0.3">
      <c r="A15" s="67" t="s">
        <v>1317</v>
      </c>
      <c r="B15" s="68" t="s">
        <v>575</v>
      </c>
      <c r="C15" s="68" t="s">
        <v>575</v>
      </c>
      <c r="D15" s="69" t="s">
        <v>1275</v>
      </c>
      <c r="E15" s="69" t="s">
        <v>185</v>
      </c>
      <c r="F15" s="74">
        <v>248466839.58537501</v>
      </c>
      <c r="G15" s="74">
        <v>253423518.08622</v>
      </c>
      <c r="H15" s="77">
        <v>0.32208067012066499</v>
      </c>
      <c r="I15" s="90">
        <v>81622816.529546097</v>
      </c>
      <c r="J15" s="92">
        <v>8302232.68957105</v>
      </c>
      <c r="K15" s="96">
        <f t="shared" si="1"/>
        <v>73320583.839975044</v>
      </c>
      <c r="L15" s="99"/>
    </row>
    <row r="16" spans="1:12" ht="14.25" x14ac:dyDescent="0.3">
      <c r="A16" s="67" t="s">
        <v>1317</v>
      </c>
      <c r="B16" s="68" t="s">
        <v>575</v>
      </c>
      <c r="C16" s="68" t="s">
        <v>575</v>
      </c>
      <c r="D16" s="69" t="s">
        <v>1275</v>
      </c>
      <c r="E16" s="69" t="s">
        <v>160</v>
      </c>
      <c r="F16" s="74">
        <v>7413164.7830611896</v>
      </c>
      <c r="G16" s="74">
        <v>7656713.6399999997</v>
      </c>
      <c r="H16" s="77">
        <v>0.100650209412708</v>
      </c>
      <c r="I16" s="90">
        <v>770649.83127913496</v>
      </c>
      <c r="J16" s="92">
        <v>61929.677250000001</v>
      </c>
      <c r="K16" s="96">
        <f t="shared" si="1"/>
        <v>708720.15402913501</v>
      </c>
      <c r="L16" s="99"/>
    </row>
    <row r="17" spans="1:12" ht="14.25" x14ac:dyDescent="0.3">
      <c r="A17" s="67" t="s">
        <v>1317</v>
      </c>
      <c r="B17" s="68" t="s">
        <v>575</v>
      </c>
      <c r="C17" s="68" t="s">
        <v>575</v>
      </c>
      <c r="D17" s="69" t="s">
        <v>1275</v>
      </c>
      <c r="E17" s="69" t="s">
        <v>595</v>
      </c>
      <c r="F17" s="74">
        <v>17031776.352303501</v>
      </c>
      <c r="G17" s="74">
        <v>17280046.460000001</v>
      </c>
      <c r="H17" s="77">
        <v>0.36234075388574799</v>
      </c>
      <c r="I17" s="90">
        <v>6261265.06149715</v>
      </c>
      <c r="J17" s="92">
        <v>312338.70232895599</v>
      </c>
      <c r="K17" s="96">
        <f t="shared" si="1"/>
        <v>5948926.3591681942</v>
      </c>
      <c r="L17" s="69"/>
    </row>
    <row r="18" spans="1:12" ht="14.25" x14ac:dyDescent="0.3">
      <c r="A18" s="78" t="s">
        <v>1319</v>
      </c>
      <c r="B18" s="79" t="s">
        <v>1130</v>
      </c>
      <c r="C18" s="79" t="s">
        <v>1130</v>
      </c>
      <c r="D18" s="80" t="s">
        <v>1320</v>
      </c>
      <c r="E18" s="80" t="s">
        <v>1321</v>
      </c>
      <c r="F18" s="70">
        <f>9693932.05+676211.09</f>
        <v>10370143.140000001</v>
      </c>
      <c r="G18" s="70">
        <v>0</v>
      </c>
      <c r="H18" s="81"/>
      <c r="I18" s="70"/>
      <c r="J18" s="70"/>
      <c r="K18" s="72">
        <f t="shared" si="1"/>
        <v>0</v>
      </c>
      <c r="L18" s="69"/>
    </row>
    <row r="19" spans="1:12" ht="14.25" x14ac:dyDescent="0.3">
      <c r="A19" s="67" t="s">
        <v>1322</v>
      </c>
      <c r="B19" s="68" t="s">
        <v>624</v>
      </c>
      <c r="C19" s="68" t="s">
        <v>1323</v>
      </c>
      <c r="D19" s="69" t="s">
        <v>1275</v>
      </c>
      <c r="E19" s="69" t="s">
        <v>46</v>
      </c>
      <c r="F19" s="74">
        <v>689359.96</v>
      </c>
      <c r="G19" s="74">
        <v>689359.96</v>
      </c>
      <c r="H19" s="77">
        <v>7.0000000000000007E-2</v>
      </c>
      <c r="I19" s="90">
        <v>53277.611799999999</v>
      </c>
      <c r="J19" s="92">
        <v>71748.78</v>
      </c>
      <c r="K19" s="96">
        <f t="shared" si="1"/>
        <v>-18471.1682</v>
      </c>
      <c r="L19" s="69" t="s">
        <v>1324</v>
      </c>
    </row>
    <row r="20" spans="1:12" ht="14.25" x14ac:dyDescent="0.3">
      <c r="A20" s="67" t="s">
        <v>1322</v>
      </c>
      <c r="B20" s="68" t="s">
        <v>624</v>
      </c>
      <c r="C20" s="68" t="s">
        <v>1323</v>
      </c>
      <c r="D20" s="69" t="s">
        <v>1275</v>
      </c>
      <c r="E20" s="69" t="s">
        <v>185</v>
      </c>
      <c r="F20" s="74">
        <v>91009.61</v>
      </c>
      <c r="G20" s="74">
        <v>91009.61</v>
      </c>
      <c r="H20" s="77">
        <v>0.2</v>
      </c>
      <c r="I20" s="90">
        <v>24790.606</v>
      </c>
      <c r="J20" s="92">
        <v>32943.42</v>
      </c>
      <c r="K20" s="96">
        <f t="shared" si="1"/>
        <v>-8152.8139999999985</v>
      </c>
      <c r="L20" s="69" t="s">
        <v>1325</v>
      </c>
    </row>
    <row r="21" spans="1:12" ht="14.25" x14ac:dyDescent="0.3">
      <c r="A21" s="67" t="s">
        <v>1322</v>
      </c>
      <c r="B21" s="68" t="s">
        <v>603</v>
      </c>
      <c r="C21" s="68" t="s">
        <v>1326</v>
      </c>
      <c r="D21" s="69" t="s">
        <v>1279</v>
      </c>
      <c r="E21" s="69" t="s">
        <v>46</v>
      </c>
      <c r="F21" s="74">
        <v>308842.05</v>
      </c>
      <c r="G21" s="74">
        <v>308842.05</v>
      </c>
      <c r="H21" s="77">
        <v>7.0000000000000007E-2</v>
      </c>
      <c r="I21" s="90">
        <v>21618.943500000001</v>
      </c>
      <c r="J21" s="90">
        <v>0</v>
      </c>
      <c r="K21" s="96">
        <f t="shared" si="1"/>
        <v>21618.943500000001</v>
      </c>
      <c r="L21" s="69"/>
    </row>
    <row r="22" spans="1:12" ht="14.25" x14ac:dyDescent="0.3">
      <c r="A22" s="67" t="s">
        <v>1322</v>
      </c>
      <c r="B22" s="68" t="s">
        <v>603</v>
      </c>
      <c r="C22" s="68" t="s">
        <v>1326</v>
      </c>
      <c r="D22" s="69" t="s">
        <v>1279</v>
      </c>
      <c r="E22" s="69" t="s">
        <v>185</v>
      </c>
      <c r="F22" s="74">
        <v>190453.56</v>
      </c>
      <c r="G22" s="74">
        <v>190453.56</v>
      </c>
      <c r="H22" s="77">
        <v>0.2</v>
      </c>
      <c r="I22" s="90">
        <v>38090.712</v>
      </c>
      <c r="J22" s="90">
        <v>0</v>
      </c>
      <c r="K22" s="96">
        <f t="shared" si="1"/>
        <v>38090.712</v>
      </c>
      <c r="L22" s="69"/>
    </row>
    <row r="23" spans="1:12" ht="14.25" x14ac:dyDescent="0.3">
      <c r="A23" s="67" t="s">
        <v>1322</v>
      </c>
      <c r="B23" s="68" t="s">
        <v>603</v>
      </c>
      <c r="C23" s="68" t="s">
        <v>1327</v>
      </c>
      <c r="D23" s="69" t="s">
        <v>1279</v>
      </c>
      <c r="E23" s="69" t="s">
        <v>46</v>
      </c>
      <c r="F23" s="74">
        <v>264603.90000000002</v>
      </c>
      <c r="G23" s="74">
        <v>264603.90000000002</v>
      </c>
      <c r="H23" s="77">
        <v>0</v>
      </c>
      <c r="I23" s="90">
        <v>0</v>
      </c>
      <c r="J23" s="90">
        <v>0</v>
      </c>
      <c r="K23" s="96">
        <f t="shared" si="1"/>
        <v>0</v>
      </c>
      <c r="L23" s="69"/>
    </row>
    <row r="24" spans="1:12" ht="14.25" x14ac:dyDescent="0.3">
      <c r="A24" s="67" t="s">
        <v>1322</v>
      </c>
      <c r="B24" s="68" t="s">
        <v>603</v>
      </c>
      <c r="C24" s="68" t="s">
        <v>1327</v>
      </c>
      <c r="D24" s="69" t="s">
        <v>1279</v>
      </c>
      <c r="E24" s="69" t="s">
        <v>185</v>
      </c>
      <c r="F24" s="74">
        <v>44135.6</v>
      </c>
      <c r="G24" s="74">
        <v>44135.6</v>
      </c>
      <c r="H24" s="77">
        <v>0</v>
      </c>
      <c r="I24" s="90">
        <v>0</v>
      </c>
      <c r="J24" s="90">
        <v>0</v>
      </c>
      <c r="K24" s="96">
        <f t="shared" si="1"/>
        <v>0</v>
      </c>
      <c r="L24" s="69"/>
    </row>
    <row r="25" spans="1:12" s="57" customFormat="1" ht="14.25" x14ac:dyDescent="0.3">
      <c r="A25" s="78" t="s">
        <v>1328</v>
      </c>
      <c r="B25" s="79" t="s">
        <v>1130</v>
      </c>
      <c r="C25" s="79" t="s">
        <v>1130</v>
      </c>
      <c r="D25" s="80" t="s">
        <v>1320</v>
      </c>
      <c r="E25" s="80" t="s">
        <v>1321</v>
      </c>
      <c r="F25" s="70">
        <v>19063.599999999999</v>
      </c>
      <c r="G25" s="70">
        <v>0</v>
      </c>
      <c r="H25" s="81"/>
      <c r="I25" s="70"/>
      <c r="J25" s="70"/>
      <c r="K25" s="72">
        <f t="shared" si="1"/>
        <v>0</v>
      </c>
      <c r="L25" s="80"/>
    </row>
    <row r="26" spans="1:12" ht="14.25" x14ac:dyDescent="0.3">
      <c r="A26" s="67" t="s">
        <v>1329</v>
      </c>
      <c r="B26" s="68" t="s">
        <v>205</v>
      </c>
      <c r="C26" s="68" t="s">
        <v>1330</v>
      </c>
      <c r="D26" s="69" t="s">
        <v>1275</v>
      </c>
      <c r="E26" s="69" t="s">
        <v>46</v>
      </c>
      <c r="F26" s="74">
        <v>2107239.86</v>
      </c>
      <c r="G26" s="74">
        <v>2107239.86</v>
      </c>
      <c r="H26" s="77">
        <v>7.0000000000000007E-2</v>
      </c>
      <c r="I26" s="90">
        <v>147506.79019999999</v>
      </c>
      <c r="J26" s="90">
        <v>0</v>
      </c>
      <c r="K26" s="96">
        <f t="shared" si="1"/>
        <v>147506.79019999999</v>
      </c>
      <c r="L26" s="69"/>
    </row>
    <row r="27" spans="1:12" ht="14.25" x14ac:dyDescent="0.3">
      <c r="A27" s="67" t="s">
        <v>1329</v>
      </c>
      <c r="B27" s="68" t="s">
        <v>205</v>
      </c>
      <c r="C27" s="68" t="s">
        <v>1330</v>
      </c>
      <c r="D27" s="69" t="s">
        <v>1275</v>
      </c>
      <c r="E27" s="69" t="s">
        <v>185</v>
      </c>
      <c r="F27" s="74">
        <v>863531.13</v>
      </c>
      <c r="G27" s="74">
        <v>863531.13</v>
      </c>
      <c r="H27" s="77">
        <v>0.2</v>
      </c>
      <c r="I27" s="90">
        <v>172706.226</v>
      </c>
      <c r="J27" s="90">
        <v>0</v>
      </c>
      <c r="K27" s="96">
        <f t="shared" si="1"/>
        <v>172706.226</v>
      </c>
      <c r="L27" s="69"/>
    </row>
    <row r="28" spans="1:12" ht="14.25" x14ac:dyDescent="0.3">
      <c r="A28" s="67" t="s">
        <v>1329</v>
      </c>
      <c r="B28" s="68" t="s">
        <v>603</v>
      </c>
      <c r="C28" s="68" t="s">
        <v>1331</v>
      </c>
      <c r="D28" s="69" t="s">
        <v>1279</v>
      </c>
      <c r="E28" s="69" t="s">
        <v>46</v>
      </c>
      <c r="F28" s="74">
        <v>307891.94</v>
      </c>
      <c r="G28" s="74">
        <v>307891.94</v>
      </c>
      <c r="H28" s="77">
        <v>7.0000000000000007E-2</v>
      </c>
      <c r="I28" s="90">
        <v>21552.435799999999</v>
      </c>
      <c r="J28" s="90">
        <v>0</v>
      </c>
      <c r="K28" s="96">
        <f t="shared" si="1"/>
        <v>21552.435799999999</v>
      </c>
      <c r="L28" s="69"/>
    </row>
    <row r="29" spans="1:12" ht="14.25" x14ac:dyDescent="0.3">
      <c r="A29" s="67" t="s">
        <v>1329</v>
      </c>
      <c r="B29" s="68" t="s">
        <v>603</v>
      </c>
      <c r="C29" s="68" t="s">
        <v>1331</v>
      </c>
      <c r="D29" s="69" t="s">
        <v>1279</v>
      </c>
      <c r="E29" s="69" t="s">
        <v>185</v>
      </c>
      <c r="F29" s="74">
        <v>400774.7</v>
      </c>
      <c r="G29" s="74">
        <v>400774.7</v>
      </c>
      <c r="H29" s="77">
        <v>0.2</v>
      </c>
      <c r="I29" s="90">
        <v>80154.94</v>
      </c>
      <c r="J29" s="90">
        <v>0</v>
      </c>
      <c r="K29" s="96">
        <f t="shared" si="1"/>
        <v>80154.94</v>
      </c>
      <c r="L29" s="69"/>
    </row>
    <row r="30" spans="1:12" ht="14.25" x14ac:dyDescent="0.3">
      <c r="A30" s="67" t="s">
        <v>243</v>
      </c>
      <c r="B30" s="68" t="s">
        <v>244</v>
      </c>
      <c r="C30" s="68" t="s">
        <v>1332</v>
      </c>
      <c r="D30" s="69" t="s">
        <v>1333</v>
      </c>
      <c r="E30" s="69" t="s">
        <v>46</v>
      </c>
      <c r="F30" s="74">
        <v>5734458</v>
      </c>
      <c r="G30" s="74">
        <v>0</v>
      </c>
      <c r="H30" s="77">
        <v>0</v>
      </c>
      <c r="I30" s="90">
        <v>0</v>
      </c>
      <c r="J30" s="90">
        <v>0</v>
      </c>
      <c r="K30" s="96">
        <f t="shared" si="1"/>
        <v>0</v>
      </c>
      <c r="L30" s="69"/>
    </row>
    <row r="31" spans="1:12" ht="14.25" x14ac:dyDescent="0.3">
      <c r="A31" s="67" t="s">
        <v>243</v>
      </c>
      <c r="B31" s="68" t="s">
        <v>244</v>
      </c>
      <c r="C31" s="68" t="s">
        <v>1334</v>
      </c>
      <c r="D31" s="69" t="s">
        <v>1289</v>
      </c>
      <c r="E31" s="69" t="s">
        <v>46</v>
      </c>
      <c r="F31" s="74">
        <v>18315273.34</v>
      </c>
      <c r="G31" s="74">
        <v>20024218.629999999</v>
      </c>
      <c r="H31" s="77">
        <v>0.17647058823529399</v>
      </c>
      <c r="I31" s="90">
        <v>3533685.64058823</v>
      </c>
      <c r="J31" s="90">
        <v>3533685.64</v>
      </c>
      <c r="K31" s="96">
        <f t="shared" si="1"/>
        <v>5.8822985738515854E-4</v>
      </c>
      <c r="L31" s="67" t="s">
        <v>1335</v>
      </c>
    </row>
    <row r="32" spans="1:12" ht="14.25" x14ac:dyDescent="0.3">
      <c r="A32" s="67" t="s">
        <v>243</v>
      </c>
      <c r="B32" s="68" t="s">
        <v>244</v>
      </c>
      <c r="C32" s="68" t="s">
        <v>1334</v>
      </c>
      <c r="D32" s="69" t="s">
        <v>1289</v>
      </c>
      <c r="E32" s="69" t="s">
        <v>160</v>
      </c>
      <c r="F32" s="74">
        <v>2510000</v>
      </c>
      <c r="G32" s="74">
        <v>0</v>
      </c>
      <c r="H32" s="77">
        <v>0</v>
      </c>
      <c r="I32" s="90">
        <v>0</v>
      </c>
      <c r="J32" s="90">
        <v>0</v>
      </c>
      <c r="K32" s="96">
        <f t="shared" si="1"/>
        <v>0</v>
      </c>
      <c r="L32" s="67" t="s">
        <v>1336</v>
      </c>
    </row>
    <row r="33" spans="1:13" ht="14.25" x14ac:dyDescent="0.3">
      <c r="A33" s="69" t="s">
        <v>1337</v>
      </c>
      <c r="B33" s="68" t="s">
        <v>171</v>
      </c>
      <c r="C33" s="68" t="s">
        <v>171</v>
      </c>
      <c r="D33" s="69" t="s">
        <v>1275</v>
      </c>
      <c r="E33" s="69" t="s">
        <v>46</v>
      </c>
      <c r="F33" s="74">
        <v>367615644.98000002</v>
      </c>
      <c r="G33" s="74">
        <v>388548762.32999998</v>
      </c>
      <c r="H33" s="77">
        <v>0.11269173273981201</v>
      </c>
      <c r="I33" s="90">
        <f>G33*H33</f>
        <v>43786233.280877091</v>
      </c>
      <c r="J33" s="92">
        <v>41721069.555057302</v>
      </c>
      <c r="K33" s="96">
        <f t="shared" si="1"/>
        <v>2065163.7258197889</v>
      </c>
      <c r="L33" s="69" t="s">
        <v>1338</v>
      </c>
      <c r="M33" s="100" t="s">
        <v>1339</v>
      </c>
    </row>
    <row r="34" spans="1:13" ht="14.25" x14ac:dyDescent="0.3">
      <c r="A34" s="69" t="s">
        <v>1337</v>
      </c>
      <c r="B34" s="68" t="s">
        <v>171</v>
      </c>
      <c r="C34" s="68" t="s">
        <v>171</v>
      </c>
      <c r="D34" s="69" t="s">
        <v>1275</v>
      </c>
      <c r="E34" s="69" t="s">
        <v>185</v>
      </c>
      <c r="F34" s="74">
        <v>9457464.2804576904</v>
      </c>
      <c r="G34" s="74">
        <v>9792223.7364000008</v>
      </c>
      <c r="H34" s="77">
        <v>0.11269173273981201</v>
      </c>
      <c r="I34" s="90">
        <f t="shared" ref="I34:I35" si="2">G34*H34</f>
        <v>1103502.6602308322</v>
      </c>
      <c r="J34" s="92">
        <v>927119.22954230697</v>
      </c>
      <c r="K34" s="96">
        <f t="shared" si="1"/>
        <v>176383.4306885252</v>
      </c>
      <c r="L34" s="69" t="s">
        <v>1338</v>
      </c>
      <c r="M34" s="100"/>
    </row>
    <row r="35" spans="1:13" ht="14.25" x14ac:dyDescent="0.3">
      <c r="A35" s="69" t="s">
        <v>1337</v>
      </c>
      <c r="B35" s="68" t="s">
        <v>171</v>
      </c>
      <c r="C35" s="68" t="s">
        <v>171</v>
      </c>
      <c r="D35" s="69" t="s">
        <v>1275</v>
      </c>
      <c r="E35" s="69" t="s">
        <v>160</v>
      </c>
      <c r="F35" s="74">
        <v>4780184.8175996002</v>
      </c>
      <c r="G35" s="74">
        <v>3486303.65</v>
      </c>
      <c r="H35" s="77">
        <v>0.11269173273981201</v>
      </c>
      <c r="I35" s="90">
        <f t="shared" si="2"/>
        <v>392877.59917563107</v>
      </c>
      <c r="J35" s="92">
        <v>1006647.0824004</v>
      </c>
      <c r="K35" s="96">
        <f t="shared" si="1"/>
        <v>-613769.48322476889</v>
      </c>
      <c r="L35" s="69" t="s">
        <v>1338</v>
      </c>
      <c r="M35" s="100">
        <v>5790132.9069999997</v>
      </c>
    </row>
    <row r="36" spans="1:13" s="57" customFormat="1" ht="14.25" x14ac:dyDescent="0.3">
      <c r="A36" s="80" t="s">
        <v>1340</v>
      </c>
      <c r="B36" s="79" t="s">
        <v>1130</v>
      </c>
      <c r="C36" s="79" t="s">
        <v>1130</v>
      </c>
      <c r="D36" s="80" t="s">
        <v>1320</v>
      </c>
      <c r="E36" s="80" t="s">
        <v>1321</v>
      </c>
      <c r="F36" s="70">
        <v>21320943.48</v>
      </c>
      <c r="G36" s="70">
        <v>0</v>
      </c>
      <c r="H36" s="81"/>
      <c r="I36" s="70"/>
      <c r="J36" s="70"/>
      <c r="K36" s="72">
        <f t="shared" si="1"/>
        <v>0</v>
      </c>
      <c r="L36" s="80"/>
    </row>
    <row r="37" spans="1:13" ht="14.25" x14ac:dyDescent="0.3">
      <c r="A37" s="69" t="s">
        <v>1341</v>
      </c>
      <c r="B37" s="68" t="s">
        <v>603</v>
      </c>
      <c r="C37" s="68" t="s">
        <v>1342</v>
      </c>
      <c r="D37" s="69" t="s">
        <v>1343</v>
      </c>
      <c r="E37" s="69" t="s">
        <v>46</v>
      </c>
      <c r="F37" s="74">
        <v>3345018.2</v>
      </c>
      <c r="G37" s="74">
        <v>3345018.2</v>
      </c>
      <c r="H37" s="77">
        <v>0.06</v>
      </c>
      <c r="I37" s="90">
        <v>200701.092</v>
      </c>
      <c r="J37" s="90">
        <v>0</v>
      </c>
      <c r="K37" s="96">
        <f t="shared" si="1"/>
        <v>200701.092</v>
      </c>
      <c r="L37" s="69"/>
    </row>
    <row r="38" spans="1:13" ht="14.25" x14ac:dyDescent="0.3">
      <c r="A38" s="69" t="s">
        <v>1341</v>
      </c>
      <c r="B38" s="68" t="s">
        <v>603</v>
      </c>
      <c r="C38" s="68" t="s">
        <v>1344</v>
      </c>
      <c r="D38" s="69" t="s">
        <v>1282</v>
      </c>
      <c r="E38" s="69" t="s">
        <v>46</v>
      </c>
      <c r="F38" s="74">
        <v>10188559.6</v>
      </c>
      <c r="G38" s="74">
        <v>10188559.6</v>
      </c>
      <c r="H38" s="77">
        <v>0.06</v>
      </c>
      <c r="I38" s="90">
        <v>611313.576</v>
      </c>
      <c r="J38" s="90">
        <v>0</v>
      </c>
      <c r="K38" s="96">
        <f t="shared" si="1"/>
        <v>611313.576</v>
      </c>
      <c r="L38" s="69"/>
    </row>
    <row r="39" spans="1:13" ht="14.25" x14ac:dyDescent="0.3">
      <c r="A39" s="69" t="s">
        <v>1341</v>
      </c>
      <c r="B39" s="68" t="s">
        <v>603</v>
      </c>
      <c r="C39" s="68" t="s">
        <v>1344</v>
      </c>
      <c r="D39" s="69" t="s">
        <v>1282</v>
      </c>
      <c r="E39" s="69" t="s">
        <v>185</v>
      </c>
      <c r="F39" s="74">
        <v>4525.74</v>
      </c>
      <c r="G39" s="74">
        <v>4525.74</v>
      </c>
      <c r="H39" s="77">
        <v>0.1</v>
      </c>
      <c r="I39" s="90">
        <v>452.57400000000001</v>
      </c>
      <c r="J39" s="90">
        <v>0</v>
      </c>
      <c r="K39" s="96">
        <f t="shared" si="1"/>
        <v>452.57400000000001</v>
      </c>
      <c r="L39" s="69"/>
    </row>
    <row r="40" spans="1:13" s="57" customFormat="1" ht="14.25" x14ac:dyDescent="0.3">
      <c r="A40" s="80" t="s">
        <v>1345</v>
      </c>
      <c r="B40" s="79" t="s">
        <v>1130</v>
      </c>
      <c r="C40" s="79" t="s">
        <v>1130</v>
      </c>
      <c r="D40" s="80" t="s">
        <v>1320</v>
      </c>
      <c r="E40" s="80" t="s">
        <v>1321</v>
      </c>
      <c r="F40" s="70">
        <v>129529.5</v>
      </c>
      <c r="G40" s="70">
        <v>0</v>
      </c>
      <c r="H40" s="81"/>
      <c r="I40" s="70"/>
      <c r="J40" s="70"/>
      <c r="K40" s="72">
        <f t="shared" si="1"/>
        <v>0</v>
      </c>
      <c r="L40" s="80"/>
    </row>
    <row r="41" spans="1:13" ht="14.25" x14ac:dyDescent="0.3">
      <c r="A41" s="69" t="s">
        <v>1346</v>
      </c>
      <c r="B41" s="68" t="s">
        <v>865</v>
      </c>
      <c r="C41" s="68" t="s">
        <v>865</v>
      </c>
      <c r="D41" s="69" t="s">
        <v>1280</v>
      </c>
      <c r="E41" s="69" t="s">
        <v>46</v>
      </c>
      <c r="F41" s="82">
        <v>5388836.21</v>
      </c>
      <c r="G41" s="82">
        <v>5869878.2999999998</v>
      </c>
      <c r="H41" s="77">
        <v>0.1</v>
      </c>
      <c r="I41" s="90">
        <f>G41*H41</f>
        <v>586987.82999999996</v>
      </c>
      <c r="J41" s="92">
        <v>169953</v>
      </c>
      <c r="K41" s="96">
        <f t="shared" si="1"/>
        <v>417034.82999999996</v>
      </c>
      <c r="L41" s="69" t="s">
        <v>1347</v>
      </c>
    </row>
    <row r="42" spans="1:13" ht="14.25" x14ac:dyDescent="0.3">
      <c r="A42" s="69" t="s">
        <v>1346</v>
      </c>
      <c r="B42" s="68" t="s">
        <v>865</v>
      </c>
      <c r="C42" s="68" t="s">
        <v>865</v>
      </c>
      <c r="D42" s="69" t="s">
        <v>1280</v>
      </c>
      <c r="E42" s="69" t="s">
        <v>185</v>
      </c>
      <c r="F42" s="82">
        <v>139089.64000000001</v>
      </c>
      <c r="G42" s="82">
        <v>134535.99</v>
      </c>
      <c r="H42" s="77">
        <v>0.1</v>
      </c>
      <c r="I42" s="90">
        <f>G42*H42</f>
        <v>13453.599</v>
      </c>
      <c r="J42" s="90">
        <v>0</v>
      </c>
      <c r="K42" s="96">
        <f t="shared" si="1"/>
        <v>13453.599</v>
      </c>
      <c r="L42" s="69"/>
    </row>
    <row r="43" spans="1:13" ht="14.25" x14ac:dyDescent="0.3">
      <c r="A43" s="69" t="s">
        <v>1346</v>
      </c>
      <c r="B43" s="68" t="s">
        <v>865</v>
      </c>
      <c r="C43" s="68" t="s">
        <v>865</v>
      </c>
      <c r="D43" s="69" t="s">
        <v>1280</v>
      </c>
      <c r="E43" s="69" t="s">
        <v>160</v>
      </c>
      <c r="F43" s="82">
        <v>70330</v>
      </c>
      <c r="G43" s="82">
        <v>0</v>
      </c>
      <c r="H43" s="77">
        <v>0</v>
      </c>
      <c r="I43" s="90">
        <v>0</v>
      </c>
      <c r="J43" s="90">
        <v>0</v>
      </c>
      <c r="K43" s="96">
        <f t="shared" si="1"/>
        <v>0</v>
      </c>
      <c r="L43" s="69"/>
    </row>
    <row r="44" spans="1:13" ht="14.25" x14ac:dyDescent="0.3">
      <c r="A44" s="69" t="s">
        <v>1346</v>
      </c>
      <c r="B44" s="68" t="s">
        <v>603</v>
      </c>
      <c r="C44" s="68" t="s">
        <v>1348</v>
      </c>
      <c r="D44" s="69" t="s">
        <v>1279</v>
      </c>
      <c r="E44" s="69" t="s">
        <v>46</v>
      </c>
      <c r="F44" s="74">
        <v>2981700</v>
      </c>
      <c r="G44" s="74">
        <v>2981700</v>
      </c>
      <c r="H44" s="77">
        <v>0.1</v>
      </c>
      <c r="I44" s="90">
        <v>298170</v>
      </c>
      <c r="J44" s="90">
        <v>0</v>
      </c>
      <c r="K44" s="96">
        <f t="shared" si="1"/>
        <v>298170</v>
      </c>
      <c r="L44" s="69"/>
    </row>
    <row r="45" spans="1:13" ht="14.25" x14ac:dyDescent="0.3">
      <c r="A45" s="69" t="s">
        <v>1346</v>
      </c>
      <c r="B45" s="68" t="s">
        <v>603</v>
      </c>
      <c r="C45" s="68" t="s">
        <v>1348</v>
      </c>
      <c r="D45" s="69" t="s">
        <v>1279</v>
      </c>
      <c r="E45" s="69" t="s">
        <v>185</v>
      </c>
      <c r="F45" s="74">
        <v>25400.400000000001</v>
      </c>
      <c r="G45" s="74">
        <v>25400.400000000001</v>
      </c>
      <c r="H45" s="77">
        <v>0.1</v>
      </c>
      <c r="I45" s="90">
        <v>2540.04</v>
      </c>
      <c r="J45" s="90">
        <v>0</v>
      </c>
      <c r="K45" s="96">
        <f t="shared" si="1"/>
        <v>2540.04</v>
      </c>
      <c r="L45" s="69"/>
    </row>
    <row r="46" spans="1:13" s="57" customFormat="1" ht="14.25" x14ac:dyDescent="0.3">
      <c r="A46" s="80" t="s">
        <v>1349</v>
      </c>
      <c r="B46" s="79" t="s">
        <v>1130</v>
      </c>
      <c r="C46" s="79" t="s">
        <v>1130</v>
      </c>
      <c r="D46" s="80" t="s">
        <v>1320</v>
      </c>
      <c r="E46" s="80" t="s">
        <v>1321</v>
      </c>
      <c r="F46" s="70">
        <v>554952.093154</v>
      </c>
      <c r="G46" s="70">
        <v>0</v>
      </c>
      <c r="H46" s="81"/>
      <c r="I46" s="70"/>
      <c r="J46" s="70"/>
      <c r="K46" s="72">
        <f t="shared" si="1"/>
        <v>0</v>
      </c>
      <c r="L46" s="80"/>
    </row>
    <row r="47" spans="1:13" ht="14.25" x14ac:dyDescent="0.3">
      <c r="A47" s="67" t="s">
        <v>1073</v>
      </c>
      <c r="B47" s="68" t="s">
        <v>332</v>
      </c>
      <c r="C47" s="68" t="s">
        <v>332</v>
      </c>
      <c r="D47" s="69" t="s">
        <v>1275</v>
      </c>
      <c r="E47" s="69" t="s">
        <v>160</v>
      </c>
      <c r="F47" s="74">
        <v>100000</v>
      </c>
      <c r="G47" s="74">
        <v>100000</v>
      </c>
      <c r="H47" s="77">
        <v>0</v>
      </c>
      <c r="I47" s="90">
        <v>0</v>
      </c>
      <c r="J47" s="90">
        <v>0</v>
      </c>
      <c r="K47" s="90">
        <v>0</v>
      </c>
      <c r="L47" s="69"/>
    </row>
    <row r="48" spans="1:13" ht="14.25" x14ac:dyDescent="0.3">
      <c r="A48" s="67" t="s">
        <v>1322</v>
      </c>
      <c r="B48" s="68" t="s">
        <v>1075</v>
      </c>
      <c r="C48" s="68" t="s">
        <v>1075</v>
      </c>
      <c r="D48" s="69" t="s">
        <v>1275</v>
      </c>
      <c r="E48" s="69" t="s">
        <v>46</v>
      </c>
      <c r="F48" s="74">
        <v>6535.1960784313696</v>
      </c>
      <c r="G48" s="74">
        <v>6535.1960784313696</v>
      </c>
      <c r="H48" s="77">
        <v>0</v>
      </c>
      <c r="I48" s="90">
        <v>0</v>
      </c>
      <c r="J48" s="90">
        <v>0</v>
      </c>
      <c r="K48" s="90">
        <v>0</v>
      </c>
      <c r="L48" s="69"/>
    </row>
    <row r="49" spans="1:12" ht="14.25" x14ac:dyDescent="0.3">
      <c r="A49" s="67" t="s">
        <v>1350</v>
      </c>
      <c r="B49" s="68" t="s">
        <v>719</v>
      </c>
      <c r="C49" s="68" t="s">
        <v>719</v>
      </c>
      <c r="D49" s="69" t="s">
        <v>1275</v>
      </c>
      <c r="E49" s="69" t="s">
        <v>160</v>
      </c>
      <c r="F49" s="74">
        <v>84000</v>
      </c>
      <c r="G49" s="74">
        <v>84000</v>
      </c>
      <c r="H49" s="77">
        <v>0</v>
      </c>
      <c r="I49" s="90">
        <v>0</v>
      </c>
      <c r="J49" s="90">
        <v>0</v>
      </c>
      <c r="K49" s="90">
        <v>0</v>
      </c>
      <c r="L49" s="69"/>
    </row>
    <row r="50" spans="1:12" ht="14.25" x14ac:dyDescent="0.15">
      <c r="A50" s="83" t="s">
        <v>1351</v>
      </c>
      <c r="B50" s="83" t="s">
        <v>603</v>
      </c>
      <c r="C50" s="83" t="s">
        <v>1352</v>
      </c>
      <c r="D50" s="84" t="s">
        <v>1275</v>
      </c>
      <c r="E50" s="85" t="s">
        <v>178</v>
      </c>
      <c r="F50" s="86">
        <v>1515000</v>
      </c>
      <c r="G50" s="86">
        <v>1515000</v>
      </c>
      <c r="H50" s="87">
        <v>0</v>
      </c>
      <c r="I50" s="101">
        <f>G50*H50</f>
        <v>0</v>
      </c>
      <c r="J50" s="90">
        <v>0</v>
      </c>
      <c r="K50" s="101">
        <f>I50-J50</f>
        <v>0</v>
      </c>
      <c r="L50" s="69"/>
    </row>
    <row r="51" spans="1:12" ht="14.25" x14ac:dyDescent="0.15">
      <c r="A51" s="83" t="s">
        <v>1353</v>
      </c>
      <c r="B51" s="83" t="s">
        <v>1081</v>
      </c>
      <c r="C51" s="83" t="s">
        <v>1081</v>
      </c>
      <c r="D51" s="84" t="s">
        <v>1275</v>
      </c>
      <c r="E51" s="85" t="s">
        <v>178</v>
      </c>
      <c r="F51" s="86">
        <v>3787500</v>
      </c>
      <c r="G51" s="86">
        <v>3787500</v>
      </c>
      <c r="H51" s="87">
        <v>0</v>
      </c>
      <c r="I51" s="101">
        <f t="shared" ref="I51:I59" si="3">G51*H51</f>
        <v>0</v>
      </c>
      <c r="J51" s="90">
        <v>0</v>
      </c>
      <c r="K51" s="101">
        <f t="shared" ref="K51:K57" si="4">I51-J51</f>
        <v>0</v>
      </c>
      <c r="L51" s="69"/>
    </row>
    <row r="52" spans="1:12" ht="14.25" x14ac:dyDescent="0.15">
      <c r="A52" s="83" t="s">
        <v>1354</v>
      </c>
      <c r="B52" s="83" t="s">
        <v>953</v>
      </c>
      <c r="C52" s="83" t="s">
        <v>953</v>
      </c>
      <c r="D52" s="84" t="s">
        <v>1275</v>
      </c>
      <c r="E52" s="86" t="s">
        <v>185</v>
      </c>
      <c r="F52" s="86">
        <v>7315.25</v>
      </c>
      <c r="G52" s="86">
        <v>7315.25</v>
      </c>
      <c r="H52" s="87">
        <v>0</v>
      </c>
      <c r="I52" s="101">
        <f t="shared" si="3"/>
        <v>0</v>
      </c>
      <c r="J52" s="90">
        <v>0</v>
      </c>
      <c r="K52" s="101">
        <f t="shared" si="4"/>
        <v>0</v>
      </c>
      <c r="L52" s="69"/>
    </row>
    <row r="53" spans="1:12" ht="14.25" x14ac:dyDescent="0.3">
      <c r="A53" s="83" t="s">
        <v>1355</v>
      </c>
      <c r="B53" s="88" t="s">
        <v>1080</v>
      </c>
      <c r="C53" s="88" t="s">
        <v>1080</v>
      </c>
      <c r="D53" s="84" t="s">
        <v>1275</v>
      </c>
      <c r="E53" s="84" t="s">
        <v>46</v>
      </c>
      <c r="F53" s="86">
        <v>200000</v>
      </c>
      <c r="G53" s="86">
        <v>200000</v>
      </c>
      <c r="H53" s="89">
        <v>0</v>
      </c>
      <c r="I53" s="101">
        <f t="shared" si="3"/>
        <v>0</v>
      </c>
      <c r="J53" s="90">
        <v>0</v>
      </c>
      <c r="K53" s="101">
        <f t="shared" si="4"/>
        <v>0</v>
      </c>
      <c r="L53" s="69"/>
    </row>
    <row r="54" spans="1:12" s="58" customFormat="1" ht="14.25" x14ac:dyDescent="0.3">
      <c r="A54" s="67" t="s">
        <v>1073</v>
      </c>
      <c r="B54" s="68" t="s">
        <v>205</v>
      </c>
      <c r="C54" s="68" t="s">
        <v>1356</v>
      </c>
      <c r="D54" s="69" t="s">
        <v>1280</v>
      </c>
      <c r="E54" s="69" t="s">
        <v>46</v>
      </c>
      <c r="F54" s="90">
        <v>6536769.81346465</v>
      </c>
      <c r="G54" s="90">
        <f>7306570.24-G55+457.48</f>
        <v>6342027.7200000007</v>
      </c>
      <c r="H54" s="91">
        <v>0.08</v>
      </c>
      <c r="I54" s="90">
        <f t="shared" si="3"/>
        <v>507362.21760000009</v>
      </c>
      <c r="J54" s="90">
        <f>I54</f>
        <v>507362.21760000009</v>
      </c>
      <c r="K54" s="90">
        <f t="shared" si="4"/>
        <v>0</v>
      </c>
      <c r="L54" s="102" t="s">
        <v>1325</v>
      </c>
    </row>
    <row r="55" spans="1:12" s="58" customFormat="1" ht="14.25" x14ac:dyDescent="0.3">
      <c r="A55" s="67" t="s">
        <v>1073</v>
      </c>
      <c r="B55" s="68" t="s">
        <v>205</v>
      </c>
      <c r="C55" s="68" t="s">
        <v>1356</v>
      </c>
      <c r="D55" s="69" t="s">
        <v>1280</v>
      </c>
      <c r="E55" s="69" t="s">
        <v>160</v>
      </c>
      <c r="F55" s="90">
        <v>727576.27304539504</v>
      </c>
      <c r="G55" s="90">
        <v>965000</v>
      </c>
      <c r="H55" s="91">
        <v>0.08</v>
      </c>
      <c r="I55" s="90">
        <f t="shared" si="3"/>
        <v>77200</v>
      </c>
      <c r="J55" s="90">
        <v>77200</v>
      </c>
      <c r="K55" s="90">
        <f t="shared" si="4"/>
        <v>0</v>
      </c>
      <c r="L55" s="103"/>
    </row>
    <row r="56" spans="1:12" s="58" customFormat="1" ht="14.25" x14ac:dyDescent="0.3">
      <c r="A56" s="67" t="s">
        <v>1073</v>
      </c>
      <c r="B56" s="68" t="s">
        <v>205</v>
      </c>
      <c r="C56" s="68" t="s">
        <v>1356</v>
      </c>
      <c r="D56" s="69" t="s">
        <v>1280</v>
      </c>
      <c r="E56" s="69" t="s">
        <v>46</v>
      </c>
      <c r="F56" s="90">
        <v>9588</v>
      </c>
      <c r="G56" s="90">
        <v>10200</v>
      </c>
      <c r="H56" s="91">
        <v>0.06</v>
      </c>
      <c r="I56" s="90">
        <f t="shared" si="3"/>
        <v>612</v>
      </c>
      <c r="J56" s="90">
        <v>612</v>
      </c>
      <c r="K56" s="90">
        <f t="shared" si="4"/>
        <v>0</v>
      </c>
      <c r="L56" s="68" t="s">
        <v>1357</v>
      </c>
    </row>
    <row r="57" spans="1:12" s="58" customFormat="1" ht="14.25" x14ac:dyDescent="0.3">
      <c r="A57" s="67" t="s">
        <v>1073</v>
      </c>
      <c r="B57" s="68" t="s">
        <v>603</v>
      </c>
      <c r="C57" s="68" t="s">
        <v>1358</v>
      </c>
      <c r="D57" s="69" t="s">
        <v>1279</v>
      </c>
      <c r="E57" s="69" t="s">
        <v>46</v>
      </c>
      <c r="F57" s="90">
        <v>2005558.49</v>
      </c>
      <c r="G57" s="90">
        <v>4845890.51</v>
      </c>
      <c r="H57" s="91">
        <v>0.08</v>
      </c>
      <c r="I57" s="90">
        <f t="shared" si="3"/>
        <v>387671.24079999997</v>
      </c>
      <c r="J57" s="90">
        <v>70242.432799999995</v>
      </c>
      <c r="K57" s="90">
        <f t="shared" si="4"/>
        <v>317428.80799999996</v>
      </c>
      <c r="L57" s="102"/>
    </row>
    <row r="58" spans="1:12" s="58" customFormat="1" ht="14.25" x14ac:dyDescent="0.3">
      <c r="A58" s="67" t="s">
        <v>1073</v>
      </c>
      <c r="B58" s="68" t="s">
        <v>1130</v>
      </c>
      <c r="C58" s="68" t="s">
        <v>1130</v>
      </c>
      <c r="D58" s="69" t="s">
        <v>1320</v>
      </c>
      <c r="E58" s="69" t="s">
        <v>46</v>
      </c>
      <c r="F58" s="92">
        <f>1281686.68+74879.72+1160217.95+1969216.1+180000</f>
        <v>4666000.4499999993</v>
      </c>
      <c r="G58" s="90">
        <v>0</v>
      </c>
      <c r="H58" s="93">
        <v>0.08</v>
      </c>
      <c r="I58" s="90">
        <f t="shared" si="3"/>
        <v>0</v>
      </c>
      <c r="J58" s="90"/>
      <c r="K58" s="90">
        <v>0</v>
      </c>
      <c r="L58" s="102"/>
    </row>
    <row r="59" spans="1:12" ht="14.25" x14ac:dyDescent="0.3">
      <c r="A59" s="67" t="s">
        <v>1119</v>
      </c>
      <c r="B59" s="68" t="s">
        <v>1120</v>
      </c>
      <c r="C59" s="68" t="s">
        <v>1120</v>
      </c>
      <c r="D59" s="69" t="s">
        <v>1275</v>
      </c>
      <c r="E59" s="69" t="s">
        <v>46</v>
      </c>
      <c r="F59" s="74">
        <v>236647.8</v>
      </c>
      <c r="G59" s="74">
        <v>236647.8</v>
      </c>
      <c r="H59" s="75">
        <v>0</v>
      </c>
      <c r="I59" s="90">
        <f t="shared" si="3"/>
        <v>0</v>
      </c>
      <c r="J59" s="90">
        <v>0</v>
      </c>
      <c r="K59" s="90">
        <f t="shared" ref="K59:K68" si="5">I59-J59</f>
        <v>0</v>
      </c>
      <c r="L59" s="74"/>
    </row>
    <row r="60" spans="1:12" ht="14.25" x14ac:dyDescent="0.3">
      <c r="A60" s="67" t="s">
        <v>1298</v>
      </c>
      <c r="B60" s="68" t="s">
        <v>44</v>
      </c>
      <c r="C60" s="68" t="s">
        <v>44</v>
      </c>
      <c r="D60" s="69" t="s">
        <v>1275</v>
      </c>
      <c r="E60" s="69" t="s">
        <v>46</v>
      </c>
      <c r="F60" s="74">
        <f>233090.7+32215.1</f>
        <v>265305.8</v>
      </c>
      <c r="G60" s="74">
        <f>233090.7+2215.1</f>
        <v>235305.80000000002</v>
      </c>
      <c r="H60" s="75">
        <v>0</v>
      </c>
      <c r="I60" s="90"/>
      <c r="J60" s="90"/>
      <c r="K60" s="90">
        <f t="shared" si="5"/>
        <v>0</v>
      </c>
      <c r="L60" s="74"/>
    </row>
    <row r="61" spans="1:12" ht="14.25" x14ac:dyDescent="0.3">
      <c r="A61" s="67" t="s">
        <v>1359</v>
      </c>
      <c r="B61" s="68" t="s">
        <v>1130</v>
      </c>
      <c r="C61" s="68" t="s">
        <v>1130</v>
      </c>
      <c r="D61" s="69" t="s">
        <v>1275</v>
      </c>
      <c r="E61" s="69" t="s">
        <v>46</v>
      </c>
      <c r="F61" s="74">
        <v>44000</v>
      </c>
      <c r="G61" s="74">
        <v>44000</v>
      </c>
      <c r="H61" s="75">
        <v>0</v>
      </c>
      <c r="I61" s="90"/>
      <c r="J61" s="90"/>
      <c r="K61" s="90">
        <f t="shared" si="5"/>
        <v>0</v>
      </c>
      <c r="L61" s="74"/>
    </row>
    <row r="62" spans="1:12" ht="14.25" x14ac:dyDescent="0.3">
      <c r="A62" s="67" t="s">
        <v>1133</v>
      </c>
      <c r="B62" s="68" t="s">
        <v>677</v>
      </c>
      <c r="C62" s="68" t="s">
        <v>677</v>
      </c>
      <c r="D62" s="69" t="s">
        <v>1275</v>
      </c>
      <c r="E62" s="67" t="s">
        <v>178</v>
      </c>
      <c r="F62" s="74">
        <v>24600</v>
      </c>
      <c r="G62" s="74">
        <v>24600</v>
      </c>
      <c r="H62" s="75">
        <v>0</v>
      </c>
      <c r="I62" s="90"/>
      <c r="J62" s="90"/>
      <c r="K62" s="90">
        <f t="shared" si="5"/>
        <v>0</v>
      </c>
      <c r="L62" s="74"/>
    </row>
    <row r="63" spans="1:12" ht="14.25" x14ac:dyDescent="0.3">
      <c r="A63" s="67" t="s">
        <v>1360</v>
      </c>
      <c r="B63" s="68" t="s">
        <v>1137</v>
      </c>
      <c r="C63" s="68" t="s">
        <v>1137</v>
      </c>
      <c r="D63" s="69" t="s">
        <v>1275</v>
      </c>
      <c r="E63" s="69" t="s">
        <v>46</v>
      </c>
      <c r="F63" s="74">
        <v>600000</v>
      </c>
      <c r="G63" s="74">
        <v>600000</v>
      </c>
      <c r="H63" s="75">
        <v>0</v>
      </c>
      <c r="I63" s="90">
        <f t="shared" ref="I63:I67" si="6">G63*H63</f>
        <v>0</v>
      </c>
      <c r="J63" s="90">
        <v>0</v>
      </c>
      <c r="K63" s="90">
        <f t="shared" si="5"/>
        <v>0</v>
      </c>
      <c r="L63" s="74"/>
    </row>
    <row r="64" spans="1:12" ht="14.25" x14ac:dyDescent="0.3">
      <c r="A64" s="67" t="s">
        <v>1141</v>
      </c>
      <c r="B64" s="68" t="s">
        <v>1287</v>
      </c>
      <c r="C64" s="68" t="s">
        <v>1287</v>
      </c>
      <c r="D64" s="69" t="s">
        <v>1275</v>
      </c>
      <c r="E64" s="69" t="s">
        <v>46</v>
      </c>
      <c r="F64" s="74">
        <v>218730.78</v>
      </c>
      <c r="G64" s="74">
        <v>218730.8</v>
      </c>
      <c r="H64" s="75">
        <v>0</v>
      </c>
      <c r="I64" s="90">
        <f t="shared" si="6"/>
        <v>0</v>
      </c>
      <c r="J64" s="90">
        <v>0</v>
      </c>
      <c r="K64" s="90">
        <f t="shared" si="5"/>
        <v>0</v>
      </c>
      <c r="L64" s="74"/>
    </row>
    <row r="65" spans="1:12" ht="14.25" x14ac:dyDescent="0.3">
      <c r="A65" s="67" t="s">
        <v>1141</v>
      </c>
      <c r="B65" s="68" t="s">
        <v>1287</v>
      </c>
      <c r="C65" s="68" t="s">
        <v>1287</v>
      </c>
      <c r="D65" s="69" t="s">
        <v>1275</v>
      </c>
      <c r="E65" s="69" t="s">
        <v>160</v>
      </c>
      <c r="F65" s="74">
        <v>5308679</v>
      </c>
      <c r="G65" s="74">
        <v>5308679</v>
      </c>
      <c r="H65" s="75">
        <v>0.1</v>
      </c>
      <c r="I65" s="90">
        <f t="shared" si="6"/>
        <v>530867.9</v>
      </c>
      <c r="J65" s="90">
        <v>530867.9</v>
      </c>
      <c r="K65" s="90">
        <f t="shared" si="5"/>
        <v>0</v>
      </c>
      <c r="L65" s="74"/>
    </row>
    <row r="66" spans="1:12" ht="14.25" x14ac:dyDescent="0.3">
      <c r="A66" s="67" t="s">
        <v>1290</v>
      </c>
      <c r="B66" s="68" t="s">
        <v>1152</v>
      </c>
      <c r="C66" s="68" t="s">
        <v>1152</v>
      </c>
      <c r="D66" s="69" t="s">
        <v>1275</v>
      </c>
      <c r="E66" s="69" t="s">
        <v>46</v>
      </c>
      <c r="F66" s="74">
        <v>83809.53</v>
      </c>
      <c r="G66" s="74">
        <v>83809.53</v>
      </c>
      <c r="H66" s="75">
        <v>0</v>
      </c>
      <c r="I66" s="90">
        <f t="shared" si="6"/>
        <v>0</v>
      </c>
      <c r="J66" s="90"/>
      <c r="K66" s="90">
        <f t="shared" si="5"/>
        <v>0</v>
      </c>
      <c r="L66" s="74"/>
    </row>
    <row r="67" spans="1:12" ht="14.25" x14ac:dyDescent="0.3">
      <c r="A67" s="67" t="s">
        <v>1290</v>
      </c>
      <c r="B67" s="68" t="s">
        <v>1152</v>
      </c>
      <c r="C67" s="68" t="s">
        <v>1152</v>
      </c>
      <c r="D67" s="69" t="s">
        <v>1275</v>
      </c>
      <c r="E67" s="69" t="s">
        <v>160</v>
      </c>
      <c r="F67" s="74">
        <v>1441073</v>
      </c>
      <c r="G67" s="74">
        <v>1441073</v>
      </c>
      <c r="H67" s="75">
        <v>0</v>
      </c>
      <c r="I67" s="90">
        <f t="shared" si="6"/>
        <v>0</v>
      </c>
      <c r="J67" s="90"/>
      <c r="K67" s="90">
        <f t="shared" si="5"/>
        <v>0</v>
      </c>
      <c r="L67" s="74"/>
    </row>
    <row r="68" spans="1:12" ht="14.25" x14ac:dyDescent="0.15">
      <c r="A68" s="67" t="s">
        <v>1156</v>
      </c>
      <c r="B68" s="67" t="s">
        <v>1161</v>
      </c>
      <c r="C68" s="67" t="s">
        <v>1161</v>
      </c>
      <c r="D68" s="69" t="s">
        <v>1275</v>
      </c>
      <c r="E68" s="74" t="s">
        <v>185</v>
      </c>
      <c r="F68" s="74">
        <v>674432.42668000003</v>
      </c>
      <c r="G68" s="74">
        <v>815516.84</v>
      </c>
      <c r="H68" s="75">
        <v>0</v>
      </c>
      <c r="I68" s="90">
        <v>2112465.6880000001</v>
      </c>
      <c r="J68" s="90">
        <v>2112465.6880000001</v>
      </c>
      <c r="K68" s="90">
        <f t="shared" si="5"/>
        <v>0</v>
      </c>
      <c r="L68" s="74" t="s">
        <v>1361</v>
      </c>
    </row>
    <row r="69" spans="1:12" ht="14.25" x14ac:dyDescent="0.15">
      <c r="A69" s="67" t="s">
        <v>1156</v>
      </c>
      <c r="B69" s="67" t="s">
        <v>1161</v>
      </c>
      <c r="C69" s="67" t="s">
        <v>1161</v>
      </c>
      <c r="D69" s="69" t="s">
        <v>1275</v>
      </c>
      <c r="E69" s="74" t="s">
        <v>46</v>
      </c>
      <c r="F69" s="74">
        <v>707381.89</v>
      </c>
      <c r="G69" s="74">
        <v>855359</v>
      </c>
      <c r="H69" s="75"/>
      <c r="I69" s="90"/>
      <c r="J69" s="90"/>
      <c r="K69" s="90"/>
      <c r="L69" s="74"/>
    </row>
    <row r="70" spans="1:12" ht="14.25" x14ac:dyDescent="0.15">
      <c r="A70" s="67" t="s">
        <v>1156</v>
      </c>
      <c r="B70" s="67" t="s">
        <v>1161</v>
      </c>
      <c r="C70" s="67" t="s">
        <v>1161</v>
      </c>
      <c r="D70" s="69" t="s">
        <v>1275</v>
      </c>
      <c r="E70" s="74" t="s">
        <v>160</v>
      </c>
      <c r="F70" s="74">
        <v>6952155.9828000003</v>
      </c>
      <c r="G70" s="74">
        <f>8361052.4+45424</f>
        <v>8406476.4000000004</v>
      </c>
      <c r="H70" s="75"/>
      <c r="I70" s="90"/>
      <c r="J70" s="90"/>
      <c r="K70" s="90"/>
      <c r="L70" s="74"/>
    </row>
    <row r="71" spans="1:12" ht="14.25" x14ac:dyDescent="0.15">
      <c r="A71" s="67" t="s">
        <v>1156</v>
      </c>
      <c r="B71" s="67" t="s">
        <v>1161</v>
      </c>
      <c r="C71" s="67" t="s">
        <v>1161</v>
      </c>
      <c r="D71" s="69" t="s">
        <v>1275</v>
      </c>
      <c r="E71" s="76" t="s">
        <v>183</v>
      </c>
      <c r="F71" s="74">
        <v>1319892</v>
      </c>
      <c r="G71" s="74">
        <v>1596000</v>
      </c>
      <c r="H71" s="75"/>
      <c r="I71" s="90"/>
      <c r="J71" s="90"/>
      <c r="K71" s="90"/>
      <c r="L71" s="74"/>
    </row>
    <row r="72" spans="1:12" ht="14.25" x14ac:dyDescent="0.15">
      <c r="A72" s="67" t="s">
        <v>1156</v>
      </c>
      <c r="B72" s="67" t="s">
        <v>1157</v>
      </c>
      <c r="C72" s="67" t="s">
        <v>1157</v>
      </c>
      <c r="D72" s="69" t="s">
        <v>1275</v>
      </c>
      <c r="E72" s="74" t="s">
        <v>46</v>
      </c>
      <c r="F72" s="74">
        <v>86835</v>
      </c>
      <c r="G72" s="74">
        <v>105000</v>
      </c>
      <c r="H72" s="75"/>
      <c r="I72" s="90"/>
      <c r="J72" s="90"/>
      <c r="K72" s="90"/>
      <c r="L72" s="74"/>
    </row>
    <row r="73" spans="1:12" ht="14.25" x14ac:dyDescent="0.15">
      <c r="A73" s="67" t="s">
        <v>1156</v>
      </c>
      <c r="B73" s="67" t="s">
        <v>1160</v>
      </c>
      <c r="C73" s="67" t="s">
        <v>1160</v>
      </c>
      <c r="D73" s="69" t="s">
        <v>1275</v>
      </c>
      <c r="E73" s="74" t="s">
        <v>46</v>
      </c>
      <c r="F73" s="74">
        <v>363880</v>
      </c>
      <c r="G73" s="74">
        <v>440000</v>
      </c>
      <c r="H73" s="75"/>
      <c r="I73" s="90"/>
      <c r="J73" s="90"/>
      <c r="K73" s="90"/>
      <c r="L73" s="74"/>
    </row>
    <row r="74" spans="1:12" s="59" customFormat="1" ht="14.25" x14ac:dyDescent="0.3">
      <c r="A74" s="98" t="s">
        <v>1362</v>
      </c>
      <c r="B74" s="104" t="s">
        <v>44</v>
      </c>
      <c r="C74" s="104" t="s">
        <v>1363</v>
      </c>
      <c r="D74" s="98" t="s">
        <v>1275</v>
      </c>
      <c r="E74" s="97" t="s">
        <v>185</v>
      </c>
      <c r="F74" s="72">
        <v>549845.41943783802</v>
      </c>
      <c r="G74" s="72">
        <v>549845.41943783802</v>
      </c>
      <c r="H74" s="105">
        <v>0</v>
      </c>
      <c r="I74" s="96">
        <f t="shared" ref="I74:I80" si="7">G74*H74</f>
        <v>0</v>
      </c>
      <c r="J74" s="96">
        <v>0</v>
      </c>
      <c r="K74" s="96">
        <f t="shared" ref="K74:K80" si="8">I74-J74</f>
        <v>0</v>
      </c>
      <c r="L74" s="112" t="s">
        <v>1364</v>
      </c>
    </row>
    <row r="75" spans="1:12" s="59" customFormat="1" ht="14.25" x14ac:dyDescent="0.3">
      <c r="A75" s="98" t="s">
        <v>1362</v>
      </c>
      <c r="B75" s="104" t="s">
        <v>44</v>
      </c>
      <c r="C75" s="104" t="s">
        <v>1363</v>
      </c>
      <c r="D75" s="98" t="s">
        <v>1275</v>
      </c>
      <c r="E75" s="97" t="s">
        <v>46</v>
      </c>
      <c r="F75" s="72">
        <v>25737239.447074998</v>
      </c>
      <c r="G75" s="72">
        <v>25737239.447074998</v>
      </c>
      <c r="H75" s="105">
        <v>0</v>
      </c>
      <c r="I75" s="96">
        <f t="shared" si="7"/>
        <v>0</v>
      </c>
      <c r="J75" s="96">
        <v>0</v>
      </c>
      <c r="K75" s="96">
        <f t="shared" si="8"/>
        <v>0</v>
      </c>
      <c r="L75" s="112" t="s">
        <v>1364</v>
      </c>
    </row>
    <row r="76" spans="1:12" s="59" customFormat="1" ht="14.25" x14ac:dyDescent="0.3">
      <c r="A76" s="98" t="s">
        <v>1365</v>
      </c>
      <c r="B76" s="104" t="s">
        <v>44</v>
      </c>
      <c r="C76" s="104" t="s">
        <v>1366</v>
      </c>
      <c r="D76" s="98" t="s">
        <v>1275</v>
      </c>
      <c r="E76" s="97" t="s">
        <v>46</v>
      </c>
      <c r="F76" s="72">
        <v>627745.06000000006</v>
      </c>
      <c r="G76" s="72">
        <v>627745.06000000006</v>
      </c>
      <c r="H76" s="105">
        <v>0</v>
      </c>
      <c r="I76" s="96">
        <f t="shared" si="7"/>
        <v>0</v>
      </c>
      <c r="J76" s="96">
        <v>0</v>
      </c>
      <c r="K76" s="96">
        <f t="shared" si="8"/>
        <v>0</v>
      </c>
      <c r="L76" s="112" t="s">
        <v>1364</v>
      </c>
    </row>
    <row r="77" spans="1:12" s="59" customFormat="1" ht="14.25" x14ac:dyDescent="0.3">
      <c r="A77" s="98" t="s">
        <v>1367</v>
      </c>
      <c r="B77" s="104" t="s">
        <v>1130</v>
      </c>
      <c r="C77" s="104" t="s">
        <v>1368</v>
      </c>
      <c r="D77" s="98" t="s">
        <v>1275</v>
      </c>
      <c r="E77" s="97" t="s">
        <v>185</v>
      </c>
      <c r="F77" s="72">
        <v>49466.078431372604</v>
      </c>
      <c r="G77" s="72">
        <v>49466.078431372604</v>
      </c>
      <c r="H77" s="105">
        <v>0</v>
      </c>
      <c r="I77" s="96">
        <f t="shared" si="7"/>
        <v>0</v>
      </c>
      <c r="J77" s="96">
        <v>0</v>
      </c>
      <c r="K77" s="96">
        <f t="shared" si="8"/>
        <v>0</v>
      </c>
      <c r="L77" s="112" t="s">
        <v>1369</v>
      </c>
    </row>
    <row r="78" spans="1:12" s="59" customFormat="1" ht="14.25" x14ac:dyDescent="0.3">
      <c r="A78" s="98" t="s">
        <v>1367</v>
      </c>
      <c r="B78" s="104" t="s">
        <v>1130</v>
      </c>
      <c r="C78" s="104" t="s">
        <v>1368</v>
      </c>
      <c r="D78" s="98" t="s">
        <v>1275</v>
      </c>
      <c r="E78" s="97" t="s">
        <v>46</v>
      </c>
      <c r="F78" s="72">
        <v>1424732.23604827</v>
      </c>
      <c r="G78" s="72">
        <v>1424732.23604827</v>
      </c>
      <c r="H78" s="105">
        <v>0</v>
      </c>
      <c r="I78" s="96">
        <f t="shared" si="7"/>
        <v>0</v>
      </c>
      <c r="J78" s="96">
        <v>0</v>
      </c>
      <c r="K78" s="96">
        <f t="shared" si="8"/>
        <v>0</v>
      </c>
      <c r="L78" s="112" t="s">
        <v>1369</v>
      </c>
    </row>
    <row r="79" spans="1:12" s="59" customFormat="1" ht="14.25" x14ac:dyDescent="0.3">
      <c r="A79" s="80" t="s">
        <v>1370</v>
      </c>
      <c r="B79" s="79" t="s">
        <v>1130</v>
      </c>
      <c r="C79" s="79" t="s">
        <v>1130</v>
      </c>
      <c r="D79" s="80" t="s">
        <v>1320</v>
      </c>
      <c r="E79" s="80" t="s">
        <v>46</v>
      </c>
      <c r="F79" s="70">
        <v>12866.7</v>
      </c>
      <c r="G79" s="70">
        <v>0</v>
      </c>
      <c r="H79" s="81">
        <v>0</v>
      </c>
      <c r="I79" s="70">
        <f t="shared" si="7"/>
        <v>0</v>
      </c>
      <c r="J79" s="70">
        <v>0</v>
      </c>
      <c r="K79" s="70">
        <f t="shared" si="8"/>
        <v>0</v>
      </c>
      <c r="L79" s="80"/>
    </row>
    <row r="80" spans="1:12" s="59" customFormat="1" ht="14.25" x14ac:dyDescent="0.3">
      <c r="A80" s="80" t="s">
        <v>1371</v>
      </c>
      <c r="B80" s="79" t="s">
        <v>1130</v>
      </c>
      <c r="C80" s="79" t="s">
        <v>1130</v>
      </c>
      <c r="D80" s="80" t="s">
        <v>1320</v>
      </c>
      <c r="E80" s="80" t="s">
        <v>46</v>
      </c>
      <c r="F80" s="70">
        <v>31469.3</v>
      </c>
      <c r="G80" s="70">
        <v>0</v>
      </c>
      <c r="H80" s="81">
        <v>0</v>
      </c>
      <c r="I80" s="70">
        <f t="shared" si="7"/>
        <v>0</v>
      </c>
      <c r="J80" s="70">
        <v>0</v>
      </c>
      <c r="K80" s="70">
        <f t="shared" si="8"/>
        <v>0</v>
      </c>
      <c r="L80" s="80"/>
    </row>
    <row r="81" spans="1:13" s="60" customFormat="1" ht="13.5" x14ac:dyDescent="0.3">
      <c r="A81" s="106" t="s">
        <v>1281</v>
      </c>
      <c r="B81" s="107" t="s">
        <v>573</v>
      </c>
      <c r="C81" s="107" t="s">
        <v>573</v>
      </c>
      <c r="D81" s="107" t="s">
        <v>1280</v>
      </c>
      <c r="E81" s="106" t="s">
        <v>46</v>
      </c>
      <c r="F81" s="108">
        <v>996026.89253618999</v>
      </c>
      <c r="G81" s="108">
        <v>1002744.0925361899</v>
      </c>
      <c r="H81" s="109">
        <v>0.02</v>
      </c>
      <c r="I81" s="110">
        <f t="shared" ref="I81:I83" si="9">G81*H81</f>
        <v>20054.881850723799</v>
      </c>
      <c r="J81" s="113">
        <v>0</v>
      </c>
      <c r="K81" s="108">
        <f t="shared" ref="K81:K83" si="10">I81-J81</f>
        <v>20054.881850723799</v>
      </c>
      <c r="L81" s="114"/>
      <c r="M81" s="60" t="s">
        <v>1372</v>
      </c>
    </row>
    <row r="82" spans="1:13" s="61" customFormat="1" ht="13.5" x14ac:dyDescent="0.3">
      <c r="A82" s="106" t="s">
        <v>1281</v>
      </c>
      <c r="B82" s="107" t="s">
        <v>573</v>
      </c>
      <c r="C82" s="107" t="s">
        <v>573</v>
      </c>
      <c r="D82" s="107" t="s">
        <v>1280</v>
      </c>
      <c r="E82" s="106" t="s">
        <v>46</v>
      </c>
      <c r="F82" s="110">
        <v>6705376.1374638099</v>
      </c>
      <c r="G82" s="110">
        <v>9416443.7674638107</v>
      </c>
      <c r="H82" s="111">
        <v>0.04</v>
      </c>
      <c r="I82" s="110">
        <f t="shared" si="9"/>
        <v>376657.75069855241</v>
      </c>
      <c r="J82" s="113">
        <v>151386.26999999999</v>
      </c>
      <c r="K82" s="108">
        <f t="shared" si="10"/>
        <v>225271.48069855242</v>
      </c>
      <c r="L82" s="106" t="s">
        <v>1373</v>
      </c>
      <c r="M82" s="61" t="s">
        <v>1374</v>
      </c>
    </row>
    <row r="83" spans="1:13" s="61" customFormat="1" ht="13.5" x14ac:dyDescent="0.3">
      <c r="A83" s="106" t="s">
        <v>1281</v>
      </c>
      <c r="B83" s="107" t="s">
        <v>573</v>
      </c>
      <c r="C83" s="107" t="s">
        <v>573</v>
      </c>
      <c r="D83" s="107" t="s">
        <v>1280</v>
      </c>
      <c r="E83" s="106" t="s">
        <v>185</v>
      </c>
      <c r="F83" s="110">
        <v>31376.636102749999</v>
      </c>
      <c r="G83" s="110">
        <v>32000.2</v>
      </c>
      <c r="H83" s="111">
        <v>0.04</v>
      </c>
      <c r="I83" s="110">
        <f t="shared" si="9"/>
        <v>1280.008</v>
      </c>
      <c r="J83" s="113">
        <v>623.55999999999995</v>
      </c>
      <c r="K83" s="108">
        <f t="shared" si="10"/>
        <v>656.44800000000009</v>
      </c>
      <c r="L83" s="106" t="s">
        <v>1375</v>
      </c>
      <c r="M83" s="61" t="s">
        <v>1376</v>
      </c>
    </row>
    <row r="84" spans="1:13" ht="14.25" x14ac:dyDescent="0.3">
      <c r="C84" s="225" t="s">
        <v>1652</v>
      </c>
      <c r="D84" s="107" t="s">
        <v>1280</v>
      </c>
      <c r="E84" s="56" t="s">
        <v>1654</v>
      </c>
      <c r="F84" s="128">
        <v>19.8</v>
      </c>
      <c r="G84" s="128">
        <v>19.8</v>
      </c>
      <c r="H84" s="62">
        <v>0</v>
      </c>
    </row>
    <row r="1100" spans="29:29" x14ac:dyDescent="0.15">
      <c r="AC1100" s="56">
        <f>Y1100*Sheet2!H48-P1100</f>
        <v>0</v>
      </c>
    </row>
  </sheetData>
  <autoFilter ref="A1:AC83"/>
  <phoneticPr fontId="2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ColWidth="8.75" defaultRowHeight="16.5" x14ac:dyDescent="0.15"/>
  <cols>
    <col min="1" max="1" width="8.75" style="54"/>
    <col min="2" max="2" width="16.125" style="54" customWidth="1"/>
    <col min="3" max="3" width="8.75" style="54"/>
    <col min="4" max="4" width="15" style="54" customWidth="1"/>
    <col min="5" max="5" width="12.375" style="54" customWidth="1"/>
    <col min="6" max="16384" width="8.75" style="54"/>
  </cols>
  <sheetData>
    <row r="1" spans="1:1" x14ac:dyDescent="0.15">
      <c r="A1" s="55" t="s">
        <v>1377</v>
      </c>
    </row>
  </sheetData>
  <phoneticPr fontId="2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C31" sqref="C31"/>
    </sheetView>
  </sheetViews>
  <sheetFormatPr defaultColWidth="8.75" defaultRowHeight="14.25" x14ac:dyDescent="0.15"/>
  <cols>
    <col min="1" max="1" width="30.875" style="1" customWidth="1"/>
    <col min="2" max="2" width="28.625" style="1" customWidth="1"/>
    <col min="3" max="3" width="16.125" style="1" customWidth="1"/>
    <col min="4" max="4" width="13.875" style="1" customWidth="1"/>
    <col min="5" max="6" width="13.625" style="1" customWidth="1"/>
    <col min="7" max="7" width="9.25" style="1" customWidth="1"/>
    <col min="8" max="10" width="8.75" style="1"/>
    <col min="11" max="11" width="12.5" style="1" customWidth="1"/>
    <col min="12" max="12" width="6.125" style="1" customWidth="1"/>
    <col min="13" max="13" width="5.25" style="1" customWidth="1"/>
    <col min="14" max="14" width="12.5" style="1" customWidth="1"/>
    <col min="15" max="15" width="6.125" style="1" customWidth="1"/>
    <col min="16" max="16" width="4.5" style="1" customWidth="1"/>
    <col min="17" max="17" width="9.875" style="1" customWidth="1"/>
    <col min="18" max="16384" width="8.75" style="1"/>
  </cols>
  <sheetData>
    <row r="1" spans="1:17" x14ac:dyDescent="0.15">
      <c r="A1" s="42" t="s">
        <v>1378</v>
      </c>
      <c r="B1" s="42" t="s">
        <v>1379</v>
      </c>
      <c r="C1" s="42" t="s">
        <v>1380</v>
      </c>
      <c r="D1" s="42" t="s">
        <v>36</v>
      </c>
    </row>
    <row r="2" spans="1:17" x14ac:dyDescent="0.15">
      <c r="A2" s="42">
        <v>1</v>
      </c>
      <c r="B2" s="42" t="s">
        <v>1381</v>
      </c>
      <c r="C2" s="43">
        <v>560162209.98000002</v>
      </c>
      <c r="D2" s="42"/>
    </row>
    <row r="3" spans="1:17" x14ac:dyDescent="0.15">
      <c r="A3" s="42">
        <v>2</v>
      </c>
      <c r="B3" s="42" t="s">
        <v>1382</v>
      </c>
      <c r="C3" s="43">
        <v>7440362.3899999997</v>
      </c>
      <c r="D3" s="42"/>
    </row>
    <row r="4" spans="1:17" x14ac:dyDescent="0.15">
      <c r="A4" s="42">
        <v>3</v>
      </c>
      <c r="B4" s="42" t="s">
        <v>1383</v>
      </c>
      <c r="C4" s="43">
        <v>714416.38</v>
      </c>
      <c r="D4" s="42"/>
    </row>
    <row r="5" spans="1:17" x14ac:dyDescent="0.15">
      <c r="A5" s="42">
        <v>4</v>
      </c>
      <c r="B5" s="44" t="s">
        <v>1384</v>
      </c>
      <c r="C5" s="45">
        <v>5993681</v>
      </c>
      <c r="D5" s="42"/>
    </row>
    <row r="6" spans="1:17" x14ac:dyDescent="0.15">
      <c r="D6" s="46"/>
      <c r="E6" s="46"/>
      <c r="F6" s="46"/>
      <c r="G6" s="46"/>
    </row>
    <row r="7" spans="1:17" x14ac:dyDescent="0.15">
      <c r="C7" s="47"/>
      <c r="D7" s="48"/>
      <c r="E7" s="46"/>
      <c r="F7" s="46"/>
      <c r="G7" s="46"/>
    </row>
    <row r="8" spans="1:17" x14ac:dyDescent="0.15">
      <c r="A8" s="42" t="s">
        <v>1385</v>
      </c>
      <c r="B8" s="42" t="s">
        <v>1302</v>
      </c>
      <c r="C8" s="44" t="s">
        <v>1386</v>
      </c>
      <c r="D8" s="44" t="s">
        <v>1387</v>
      </c>
      <c r="E8" s="42" t="s">
        <v>1388</v>
      </c>
      <c r="F8" s="42" t="s">
        <v>1389</v>
      </c>
      <c r="G8" s="42" t="s">
        <v>1390</v>
      </c>
    </row>
    <row r="9" spans="1:17" x14ac:dyDescent="0.15">
      <c r="A9" s="42" t="s">
        <v>1391</v>
      </c>
      <c r="B9" s="42" t="s">
        <v>215</v>
      </c>
      <c r="C9" s="45">
        <v>7299086.2000000002</v>
      </c>
      <c r="D9" s="49">
        <v>5975865</v>
      </c>
      <c r="E9" s="50">
        <v>42844</v>
      </c>
      <c r="F9" s="50">
        <v>43208</v>
      </c>
      <c r="G9" s="42" t="s">
        <v>1392</v>
      </c>
    </row>
    <row r="10" spans="1:17" x14ac:dyDescent="0.15">
      <c r="A10" s="42" t="s">
        <v>1393</v>
      </c>
      <c r="B10" s="42" t="s">
        <v>1393</v>
      </c>
      <c r="C10" s="45">
        <v>21386</v>
      </c>
      <c r="D10" s="45">
        <v>17816</v>
      </c>
      <c r="E10" s="50">
        <v>43095</v>
      </c>
      <c r="F10" s="50">
        <v>43459</v>
      </c>
      <c r="G10" s="42" t="s">
        <v>1392</v>
      </c>
    </row>
    <row r="12" spans="1:17" x14ac:dyDescent="0.15">
      <c r="A12" s="51" t="s">
        <v>1394</v>
      </c>
      <c r="B12" s="52" t="s">
        <v>1395</v>
      </c>
      <c r="C12" s="52" t="s">
        <v>1396</v>
      </c>
      <c r="D12" s="52" t="s">
        <v>1311</v>
      </c>
      <c r="E12" s="52" t="s">
        <v>1397</v>
      </c>
      <c r="F12" s="52" t="s">
        <v>1398</v>
      </c>
      <c r="G12" s="52" t="s">
        <v>1399</v>
      </c>
      <c r="H12" s="51" t="s">
        <v>1</v>
      </c>
      <c r="I12" s="51" t="s">
        <v>1400</v>
      </c>
      <c r="J12" s="51" t="s">
        <v>1401</v>
      </c>
      <c r="K12" s="52" t="s">
        <v>1402</v>
      </c>
      <c r="L12" s="51" t="s">
        <v>1403</v>
      </c>
      <c r="M12" s="51" t="s">
        <v>1401</v>
      </c>
      <c r="N12" s="52" t="s">
        <v>1402</v>
      </c>
      <c r="O12" s="51" t="s">
        <v>1404</v>
      </c>
      <c r="P12" s="51" t="s">
        <v>1401</v>
      </c>
      <c r="Q12" s="52" t="s">
        <v>1402</v>
      </c>
    </row>
    <row r="13" spans="1:17" x14ac:dyDescent="0.15">
      <c r="A13" s="53" t="s">
        <v>177</v>
      </c>
      <c r="B13" s="43"/>
      <c r="C13" s="43"/>
      <c r="D13" s="43"/>
      <c r="E13" s="43">
        <v>219073.79</v>
      </c>
      <c r="F13" s="43"/>
      <c r="G13" s="43"/>
      <c r="H13" s="53" t="s">
        <v>1392</v>
      </c>
      <c r="I13" s="53"/>
      <c r="J13" s="53"/>
      <c r="K13" s="43">
        <f t="shared" ref="K13:K26" si="0">B13*(1+J13)/(1+I13)</f>
        <v>0</v>
      </c>
      <c r="L13" s="53">
        <v>0.1</v>
      </c>
      <c r="M13" s="53">
        <v>0.05</v>
      </c>
      <c r="N13" s="43">
        <f>E13*(1+M13)/(1+L13)</f>
        <v>209115.89045454544</v>
      </c>
      <c r="O13" s="53">
        <v>0</v>
      </c>
      <c r="P13" s="53">
        <v>0</v>
      </c>
      <c r="Q13" s="43">
        <f>F13*(1+P13)/(1+O13)</f>
        <v>0</v>
      </c>
    </row>
    <row r="14" spans="1:17" x14ac:dyDescent="0.15">
      <c r="A14" s="53" t="s">
        <v>182</v>
      </c>
      <c r="B14" s="43"/>
      <c r="C14" s="43"/>
      <c r="D14" s="43"/>
      <c r="E14" s="43">
        <v>5117.4903846153802</v>
      </c>
      <c r="F14" s="43">
        <v>26351.35</v>
      </c>
      <c r="G14" s="43"/>
      <c r="H14" s="53" t="s">
        <v>1392</v>
      </c>
      <c r="I14" s="53">
        <v>0</v>
      </c>
      <c r="J14" s="53">
        <v>0</v>
      </c>
      <c r="K14" s="43">
        <f t="shared" si="0"/>
        <v>0</v>
      </c>
      <c r="L14" s="53">
        <v>0.05</v>
      </c>
      <c r="M14" s="53">
        <v>0</v>
      </c>
      <c r="N14" s="43">
        <f>E14*(1+M14)/(1+L14)</f>
        <v>4873.8003663003619</v>
      </c>
      <c r="O14" s="53">
        <v>0</v>
      </c>
      <c r="P14" s="53">
        <v>0</v>
      </c>
      <c r="Q14" s="43">
        <v>26351.35</v>
      </c>
    </row>
    <row r="15" spans="1:17" x14ac:dyDescent="0.15">
      <c r="A15" s="53" t="s">
        <v>109</v>
      </c>
      <c r="B15" s="43">
        <v>19590.919999999998</v>
      </c>
      <c r="C15" s="43"/>
      <c r="D15" s="43"/>
      <c r="E15" s="43">
        <v>1008900.08</v>
      </c>
      <c r="F15" s="43"/>
      <c r="G15" s="43"/>
      <c r="H15" s="53" t="s">
        <v>1392</v>
      </c>
      <c r="I15" s="53">
        <v>0</v>
      </c>
      <c r="J15" s="53">
        <v>0</v>
      </c>
      <c r="K15" s="43">
        <f t="shared" si="0"/>
        <v>19590.919999999998</v>
      </c>
      <c r="L15" s="53">
        <v>0.06</v>
      </c>
      <c r="M15" s="53">
        <v>0.02</v>
      </c>
      <c r="N15" s="43">
        <f>E15*(1+M15)/(1+L15)</f>
        <v>970828.37886792445</v>
      </c>
      <c r="O15" s="53">
        <v>0</v>
      </c>
      <c r="P15" s="53">
        <v>0</v>
      </c>
      <c r="Q15" s="43">
        <v>0</v>
      </c>
    </row>
    <row r="16" spans="1:17" x14ac:dyDescent="0.15">
      <c r="A16" s="53" t="s">
        <v>134</v>
      </c>
      <c r="B16" s="43"/>
      <c r="C16" s="43"/>
      <c r="D16" s="43"/>
      <c r="E16" s="43">
        <v>104000</v>
      </c>
      <c r="F16" s="43"/>
      <c r="G16" s="43"/>
      <c r="H16" s="53" t="s">
        <v>1392</v>
      </c>
      <c r="I16" s="53">
        <v>0</v>
      </c>
      <c r="J16" s="53">
        <v>0</v>
      </c>
      <c r="K16" s="43">
        <f t="shared" si="0"/>
        <v>0</v>
      </c>
      <c r="L16" s="53">
        <v>0.04</v>
      </c>
      <c r="M16" s="53">
        <v>0</v>
      </c>
      <c r="N16" s="43">
        <f>E16*(1+M16)/(1+L16)</f>
        <v>100000</v>
      </c>
      <c r="O16" s="53">
        <v>0</v>
      </c>
      <c r="P16" s="53">
        <v>0</v>
      </c>
      <c r="Q16" s="43">
        <v>0</v>
      </c>
    </row>
    <row r="17" spans="1:17" x14ac:dyDescent="0.15">
      <c r="A17" s="53" t="s">
        <v>197</v>
      </c>
      <c r="B17" s="43">
        <v>2753637.92</v>
      </c>
      <c r="C17" s="43"/>
      <c r="D17" s="43"/>
      <c r="E17" s="43">
        <v>634776</v>
      </c>
      <c r="F17" s="43"/>
      <c r="G17" s="43"/>
      <c r="H17" s="53" t="s">
        <v>1392</v>
      </c>
      <c r="I17" s="53">
        <v>0.1</v>
      </c>
      <c r="J17" s="53">
        <v>0.05</v>
      </c>
      <c r="K17" s="43">
        <f t="shared" si="0"/>
        <v>2628472.56</v>
      </c>
      <c r="L17" s="53" t="s">
        <v>1405</v>
      </c>
      <c r="M17" s="53">
        <v>0.05</v>
      </c>
      <c r="N17" s="43">
        <f>E17*0.96</f>
        <v>609384.95999999996</v>
      </c>
      <c r="O17" s="53">
        <v>0</v>
      </c>
      <c r="P17" s="53">
        <v>0</v>
      </c>
      <c r="Q17" s="43">
        <v>0</v>
      </c>
    </row>
    <row r="18" spans="1:17" x14ac:dyDescent="0.15">
      <c r="A18" s="53" t="s">
        <v>212</v>
      </c>
      <c r="B18" s="43"/>
      <c r="C18" s="43"/>
      <c r="D18" s="43"/>
      <c r="E18" s="43">
        <v>106740</v>
      </c>
      <c r="F18" s="43"/>
      <c r="G18" s="43"/>
      <c r="H18" s="53" t="s">
        <v>1392</v>
      </c>
      <c r="I18" s="53">
        <v>0</v>
      </c>
      <c r="J18" s="53">
        <v>0</v>
      </c>
      <c r="K18" s="43">
        <f t="shared" si="0"/>
        <v>0</v>
      </c>
      <c r="L18" s="53">
        <v>0</v>
      </c>
      <c r="M18" s="53">
        <v>0</v>
      </c>
      <c r="N18" s="43">
        <f>E18*(1+M18)/(1+L18)</f>
        <v>106740</v>
      </c>
      <c r="O18" s="53">
        <v>0</v>
      </c>
      <c r="P18" s="53">
        <v>0</v>
      </c>
      <c r="Q18" s="43">
        <v>0</v>
      </c>
    </row>
    <row r="19" spans="1:17" x14ac:dyDescent="0.15">
      <c r="A19" s="53" t="s">
        <v>213</v>
      </c>
      <c r="B19" s="43"/>
      <c r="C19" s="43"/>
      <c r="D19" s="43"/>
      <c r="E19" s="43">
        <v>223443.13725490199</v>
      </c>
      <c r="F19" s="43"/>
      <c r="G19" s="43"/>
      <c r="H19" s="53" t="s">
        <v>1392</v>
      </c>
      <c r="I19" s="53">
        <v>0</v>
      </c>
      <c r="J19" s="53">
        <v>0</v>
      </c>
      <c r="K19" s="43">
        <f t="shared" si="0"/>
        <v>0</v>
      </c>
      <c r="L19" s="53">
        <v>0.02</v>
      </c>
      <c r="M19" s="53">
        <v>0</v>
      </c>
      <c r="N19" s="43">
        <f>E19*(1+M19)/(1+L19)</f>
        <v>219061.89926951175</v>
      </c>
      <c r="O19" s="53">
        <v>0</v>
      </c>
      <c r="P19" s="53">
        <v>0</v>
      </c>
      <c r="Q19" s="43">
        <v>0</v>
      </c>
    </row>
    <row r="20" spans="1:17" x14ac:dyDescent="0.15">
      <c r="A20" s="53" t="s">
        <v>215</v>
      </c>
      <c r="B20" s="43"/>
      <c r="C20" s="43"/>
      <c r="D20" s="43"/>
      <c r="E20" s="43">
        <v>2055683.64</v>
      </c>
      <c r="F20" s="43"/>
      <c r="G20" s="43"/>
      <c r="H20" s="53" t="s">
        <v>1392</v>
      </c>
      <c r="I20" s="53">
        <v>0</v>
      </c>
      <c r="J20" s="53">
        <v>0</v>
      </c>
      <c r="K20" s="43">
        <f t="shared" si="0"/>
        <v>0</v>
      </c>
      <c r="L20" s="53">
        <v>0.96</v>
      </c>
      <c r="M20" s="53"/>
      <c r="N20" s="43">
        <f>E20*L20</f>
        <v>1973456.2943999998</v>
      </c>
      <c r="O20" s="53">
        <v>0</v>
      </c>
      <c r="P20" s="53">
        <v>0</v>
      </c>
      <c r="Q20" s="43">
        <v>0</v>
      </c>
    </row>
    <row r="21" spans="1:17" x14ac:dyDescent="0.15">
      <c r="A21" s="53" t="s">
        <v>42</v>
      </c>
      <c r="B21" s="43">
        <v>40000</v>
      </c>
      <c r="C21" s="43"/>
      <c r="D21" s="43"/>
      <c r="E21" s="43"/>
      <c r="F21" s="43"/>
      <c r="G21" s="43"/>
      <c r="H21" s="53" t="s">
        <v>1392</v>
      </c>
      <c r="I21" s="53">
        <v>0</v>
      </c>
      <c r="J21" s="53">
        <v>0</v>
      </c>
      <c r="K21" s="43">
        <f t="shared" si="0"/>
        <v>40000</v>
      </c>
      <c r="L21" s="53"/>
      <c r="M21" s="53"/>
      <c r="N21" s="43">
        <f t="shared" ref="N21:N26" si="1">E21*(1+M21)/(1+L21)</f>
        <v>0</v>
      </c>
      <c r="O21" s="53">
        <v>0</v>
      </c>
      <c r="P21" s="53">
        <v>0</v>
      </c>
      <c r="Q21" s="43">
        <f>F21*(1+P21)/(1+O21)</f>
        <v>0</v>
      </c>
    </row>
    <row r="22" spans="1:17" x14ac:dyDescent="0.15">
      <c r="A22" s="53" t="s">
        <v>168</v>
      </c>
      <c r="B22" s="43">
        <v>25484.21</v>
      </c>
      <c r="C22" s="43"/>
      <c r="D22" s="43"/>
      <c r="E22" s="43"/>
      <c r="F22" s="43"/>
      <c r="G22" s="43"/>
      <c r="H22" s="53" t="s">
        <v>1392</v>
      </c>
      <c r="I22" s="53">
        <v>7.0000000000000007E-2</v>
      </c>
      <c r="J22" s="53">
        <v>0</v>
      </c>
      <c r="K22" s="43">
        <f t="shared" si="0"/>
        <v>23817.018691588783</v>
      </c>
      <c r="L22" s="53"/>
      <c r="M22" s="53"/>
      <c r="N22" s="43">
        <f t="shared" si="1"/>
        <v>0</v>
      </c>
      <c r="O22" s="53">
        <v>0</v>
      </c>
      <c r="P22" s="53">
        <v>0</v>
      </c>
      <c r="Q22" s="43">
        <v>0</v>
      </c>
    </row>
    <row r="23" spans="1:17" x14ac:dyDescent="0.15">
      <c r="A23" s="53" t="s">
        <v>188</v>
      </c>
      <c r="B23" s="43">
        <v>25038.76</v>
      </c>
      <c r="C23" s="43"/>
      <c r="D23" s="43"/>
      <c r="E23" s="43"/>
      <c r="F23" s="43"/>
      <c r="G23" s="43"/>
      <c r="H23" s="53" t="s">
        <v>1392</v>
      </c>
      <c r="I23" s="53">
        <v>0.03</v>
      </c>
      <c r="J23" s="53"/>
      <c r="K23" s="43">
        <f t="shared" si="0"/>
        <v>24309.475728155339</v>
      </c>
      <c r="L23" s="53"/>
      <c r="M23" s="53"/>
      <c r="N23" s="43">
        <f t="shared" si="1"/>
        <v>0</v>
      </c>
      <c r="O23" s="53">
        <v>0</v>
      </c>
      <c r="P23" s="53">
        <v>0</v>
      </c>
      <c r="Q23" s="43">
        <v>0</v>
      </c>
    </row>
    <row r="24" spans="1:17" x14ac:dyDescent="0.15">
      <c r="A24" s="53" t="s">
        <v>195</v>
      </c>
      <c r="B24" s="43">
        <v>0</v>
      </c>
      <c r="C24" s="43"/>
      <c r="D24" s="43"/>
      <c r="E24" s="43"/>
      <c r="F24" s="43"/>
      <c r="G24" s="43"/>
      <c r="H24" s="53" t="s">
        <v>1392</v>
      </c>
      <c r="I24" s="53"/>
      <c r="J24" s="53"/>
      <c r="K24" s="43">
        <f t="shared" si="0"/>
        <v>0</v>
      </c>
      <c r="L24" s="53"/>
      <c r="M24" s="53"/>
      <c r="N24" s="43">
        <f t="shared" si="1"/>
        <v>0</v>
      </c>
      <c r="O24" s="53">
        <v>0</v>
      </c>
      <c r="P24" s="53">
        <v>0</v>
      </c>
      <c r="Q24" s="43">
        <v>0</v>
      </c>
    </row>
    <row r="25" spans="1:17" x14ac:dyDescent="0.15">
      <c r="A25" s="53" t="s">
        <v>209</v>
      </c>
      <c r="B25" s="43">
        <v>176678.35</v>
      </c>
      <c r="C25" s="43"/>
      <c r="D25" s="43"/>
      <c r="E25" s="43"/>
      <c r="F25" s="43"/>
      <c r="G25" s="43"/>
      <c r="H25" s="53" t="s">
        <v>1392</v>
      </c>
      <c r="I25" s="53">
        <v>0.02</v>
      </c>
      <c r="J25" s="53">
        <v>0</v>
      </c>
      <c r="K25" s="43">
        <f t="shared" si="0"/>
        <v>173214.06862745099</v>
      </c>
      <c r="L25" s="53"/>
      <c r="M25" s="53"/>
      <c r="N25" s="43">
        <f t="shared" si="1"/>
        <v>0</v>
      </c>
      <c r="O25" s="53">
        <v>0</v>
      </c>
      <c r="P25" s="53">
        <v>0</v>
      </c>
      <c r="Q25" s="43">
        <v>0</v>
      </c>
    </row>
    <row r="26" spans="1:17" x14ac:dyDescent="0.15">
      <c r="A26" s="53" t="s">
        <v>145</v>
      </c>
      <c r="B26" s="43">
        <v>15846.75</v>
      </c>
      <c r="C26" s="43"/>
      <c r="D26" s="43"/>
      <c r="E26" s="43"/>
      <c r="F26" s="43"/>
      <c r="G26" s="43"/>
      <c r="H26" s="53" t="s">
        <v>1392</v>
      </c>
      <c r="I26" s="53">
        <v>0.06</v>
      </c>
      <c r="J26" s="53">
        <v>0</v>
      </c>
      <c r="K26" s="43">
        <f t="shared" si="0"/>
        <v>14949.764150943396</v>
      </c>
      <c r="L26" s="53"/>
      <c r="M26" s="53"/>
      <c r="N26" s="43">
        <f t="shared" si="1"/>
        <v>0</v>
      </c>
      <c r="O26" s="53">
        <v>0</v>
      </c>
      <c r="P26" s="53">
        <v>0</v>
      </c>
      <c r="Q26" s="43">
        <v>0</v>
      </c>
    </row>
  </sheetData>
  <phoneticPr fontId="29" type="noConversion"/>
  <conditionalFormatting sqref="A13:A20">
    <cfRule type="duplicateValues" dxfId="5" priority="1"/>
  </conditionalFormatting>
  <conditionalFormatting sqref="A13:A26">
    <cfRule type="duplicateValues" dxfId="4" priority="6"/>
  </conditionalFormatting>
  <conditionalFormatting sqref="A21:A26">
    <cfRule type="duplicateValues" dxfId="3" priority="5"/>
  </conditionalFormatting>
  <conditionalFormatting sqref="A12 A21:A26">
    <cfRule type="duplicateValues" dxfId="2" priority="2"/>
  </conditionalFormatting>
  <conditionalFormatting sqref="B12:B14 B16 B18:B20">
    <cfRule type="duplicateValues" dxfId="1" priority="4"/>
  </conditionalFormatting>
  <conditionalFormatting sqref="E12 E21:E26">
    <cfRule type="duplicateValues" dxfId="0" priority="3"/>
  </conditionalFormatting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27"/>
  <sheetViews>
    <sheetView workbookViewId="0">
      <selection activeCell="Q17" sqref="Q17"/>
    </sheetView>
  </sheetViews>
  <sheetFormatPr defaultColWidth="8.75" defaultRowHeight="14.25" x14ac:dyDescent="0.15"/>
  <cols>
    <col min="1" max="15" width="8.75" style="1"/>
    <col min="16" max="16" width="9.25" style="1"/>
    <col min="17" max="16384" width="8.75" style="1"/>
  </cols>
  <sheetData>
    <row r="3" spans="2:16" x14ac:dyDescent="0.15">
      <c r="B3" s="228" t="s">
        <v>1406</v>
      </c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</row>
    <row r="4" spans="2:16" x14ac:dyDescent="0.15">
      <c r="B4" s="229"/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</row>
    <row r="5" spans="2:16" x14ac:dyDescent="0.15">
      <c r="B5" s="229"/>
      <c r="C5" s="229"/>
      <c r="D5" s="229"/>
      <c r="E5" s="229"/>
      <c r="F5" s="229"/>
      <c r="G5" s="229"/>
      <c r="H5" s="229"/>
      <c r="I5" s="229"/>
      <c r="J5" s="229"/>
      <c r="K5" s="229"/>
      <c r="L5" s="229"/>
      <c r="M5" s="229"/>
      <c r="N5" s="229"/>
      <c r="O5" s="229"/>
    </row>
    <row r="6" spans="2:16" x14ac:dyDescent="0.15">
      <c r="B6" s="229"/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</row>
    <row r="7" spans="2:16" x14ac:dyDescent="0.15">
      <c r="B7" s="229"/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1">
        <v>1238861.44</v>
      </c>
    </row>
    <row r="8" spans="2:16" x14ac:dyDescent="0.15">
      <c r="B8" s="229"/>
      <c r="C8" s="229"/>
      <c r="D8" s="229"/>
      <c r="E8" s="229"/>
      <c r="F8" s="229"/>
      <c r="G8" s="229"/>
      <c r="H8" s="229"/>
      <c r="I8" s="229"/>
      <c r="J8" s="229"/>
      <c r="K8" s="229"/>
      <c r="L8" s="229"/>
      <c r="M8" s="229"/>
      <c r="N8" s="229"/>
      <c r="O8" s="229"/>
      <c r="P8" s="1">
        <v>45960.35</v>
      </c>
    </row>
    <row r="9" spans="2:16" x14ac:dyDescent="0.15">
      <c r="B9" s="229"/>
      <c r="C9" s="229"/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  <c r="P9" s="1">
        <v>619837.68999999994</v>
      </c>
    </row>
    <row r="10" spans="2:16" x14ac:dyDescent="0.15">
      <c r="B10" s="229"/>
      <c r="C10" s="229"/>
      <c r="D10" s="229"/>
      <c r="E10" s="229"/>
      <c r="F10" s="229"/>
      <c r="G10" s="229"/>
      <c r="H10" s="229"/>
      <c r="I10" s="229"/>
      <c r="J10" s="229"/>
      <c r="K10" s="229"/>
      <c r="L10" s="229"/>
      <c r="M10" s="229"/>
      <c r="N10" s="229"/>
      <c r="O10" s="229"/>
      <c r="P10" s="1">
        <v>1584166</v>
      </c>
    </row>
    <row r="11" spans="2:16" x14ac:dyDescent="0.15">
      <c r="B11" s="229"/>
      <c r="C11" s="229"/>
      <c r="D11" s="229"/>
      <c r="E11" s="229"/>
      <c r="F11" s="229"/>
      <c r="G11" s="229"/>
      <c r="H11" s="229"/>
      <c r="I11" s="229"/>
      <c r="J11" s="229"/>
      <c r="K11" s="229"/>
      <c r="L11" s="229"/>
      <c r="M11" s="229"/>
      <c r="N11" s="229"/>
      <c r="O11" s="229"/>
      <c r="P11" s="1">
        <v>34477</v>
      </c>
    </row>
    <row r="12" spans="2:16" x14ac:dyDescent="0.15">
      <c r="B12" s="229"/>
      <c r="C12" s="229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</row>
    <row r="13" spans="2:16" x14ac:dyDescent="0.15">
      <c r="B13" s="229"/>
      <c r="C13" s="229"/>
      <c r="D13" s="229"/>
      <c r="E13" s="229"/>
      <c r="F13" s="229"/>
      <c r="G13" s="229"/>
      <c r="H13" s="229"/>
      <c r="I13" s="229"/>
      <c r="J13" s="229"/>
      <c r="K13" s="229"/>
      <c r="L13" s="229"/>
      <c r="M13" s="229"/>
      <c r="N13" s="229"/>
      <c r="O13" s="229"/>
    </row>
    <row r="33" spans="16:16" x14ac:dyDescent="0.15">
      <c r="P33" s="1">
        <v>838861.44</v>
      </c>
    </row>
    <row r="56" spans="16:16" x14ac:dyDescent="0.15">
      <c r="P56" s="1">
        <v>25960.5</v>
      </c>
    </row>
    <row r="78" spans="16:16" x14ac:dyDescent="0.15">
      <c r="P78" s="1">
        <v>40801.800000000003</v>
      </c>
    </row>
    <row r="101" spans="16:16" x14ac:dyDescent="0.15">
      <c r="P101" s="1">
        <v>234166</v>
      </c>
    </row>
    <row r="127" spans="16:16" x14ac:dyDescent="0.15">
      <c r="P127" s="1">
        <v>34477</v>
      </c>
    </row>
  </sheetData>
  <mergeCells count="1">
    <mergeCell ref="B3:O13"/>
  </mergeCells>
  <phoneticPr fontId="29" type="noConversion"/>
  <pageMargins left="0.69930555555555596" right="0.69930555555555596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opLeftCell="G1" workbookViewId="0">
      <selection activeCell="L15" sqref="L15"/>
    </sheetView>
  </sheetViews>
  <sheetFormatPr defaultColWidth="17.5" defaultRowHeight="10.5" x14ac:dyDescent="0.15"/>
  <cols>
    <col min="1" max="1" width="19.5" style="38" customWidth="1"/>
    <col min="2" max="2" width="7.125" style="38" customWidth="1"/>
    <col min="3" max="3" width="21" style="38" customWidth="1"/>
    <col min="4" max="5" width="7.125" style="38" customWidth="1"/>
    <col min="6" max="6" width="22.5" style="38" customWidth="1"/>
    <col min="7" max="7" width="7.125" style="38" customWidth="1"/>
    <col min="8" max="8" width="10" style="38" customWidth="1"/>
    <col min="9" max="9" width="7.125" style="38" customWidth="1"/>
    <col min="10" max="10" width="10" style="38" customWidth="1"/>
    <col min="11" max="11" width="8.5" style="38" customWidth="1"/>
    <col min="12" max="13" width="9.5" style="38" customWidth="1"/>
    <col min="14" max="14" width="10" style="38" customWidth="1"/>
    <col min="15" max="15" width="7.125" style="38" customWidth="1"/>
    <col min="16" max="16" width="8.5" style="38" customWidth="1"/>
    <col min="17" max="18" width="7.125" style="38" customWidth="1"/>
    <col min="19" max="19" width="10" style="38" customWidth="1"/>
    <col min="20" max="21" width="7.125" style="38" customWidth="1"/>
    <col min="22" max="23" width="8.5" style="38" customWidth="1"/>
    <col min="24" max="24" width="7.125" style="38" customWidth="1"/>
    <col min="25" max="27" width="10" style="38" customWidth="1"/>
    <col min="28" max="28" width="8.5" style="38" customWidth="1"/>
    <col min="29" max="29" width="9.125" style="38" customWidth="1"/>
    <col min="30" max="16384" width="17.5" style="38"/>
  </cols>
  <sheetData>
    <row r="1" spans="1:29" ht="11.25" x14ac:dyDescent="0.15">
      <c r="A1" s="39" t="s">
        <v>1407</v>
      </c>
      <c r="B1" s="39" t="s">
        <v>1408</v>
      </c>
      <c r="C1" s="39" t="s">
        <v>1409</v>
      </c>
      <c r="D1" s="39" t="s">
        <v>1410</v>
      </c>
      <c r="E1" s="39" t="s">
        <v>1411</v>
      </c>
      <c r="F1" s="39" t="s">
        <v>10</v>
      </c>
      <c r="G1" s="39" t="s">
        <v>12</v>
      </c>
      <c r="H1" s="39" t="s">
        <v>1412</v>
      </c>
      <c r="I1" s="39" t="s">
        <v>1413</v>
      </c>
      <c r="J1" s="39" t="s">
        <v>1414</v>
      </c>
      <c r="K1" s="39" t="s">
        <v>1415</v>
      </c>
      <c r="L1" s="39" t="s">
        <v>1416</v>
      </c>
      <c r="M1" s="39" t="s">
        <v>1417</v>
      </c>
      <c r="N1" s="39" t="s">
        <v>1418</v>
      </c>
      <c r="O1" s="39" t="s">
        <v>1419</v>
      </c>
      <c r="P1" s="39" t="s">
        <v>1420</v>
      </c>
      <c r="Q1" s="39" t="s">
        <v>35</v>
      </c>
      <c r="R1" s="39" t="s">
        <v>14</v>
      </c>
      <c r="S1" s="39" t="s">
        <v>1421</v>
      </c>
      <c r="T1" s="39" t="s">
        <v>1422</v>
      </c>
      <c r="U1" s="39" t="s">
        <v>1423</v>
      </c>
      <c r="V1" s="39" t="s">
        <v>1424</v>
      </c>
      <c r="W1" s="39" t="s">
        <v>1387</v>
      </c>
      <c r="X1" s="39" t="s">
        <v>1425</v>
      </c>
      <c r="Y1" s="39" t="s">
        <v>31</v>
      </c>
      <c r="Z1" s="39" t="s">
        <v>1426</v>
      </c>
      <c r="AA1" s="39" t="s">
        <v>1427</v>
      </c>
      <c r="AB1" s="39" t="s">
        <v>1428</v>
      </c>
      <c r="AC1" s="39" t="s">
        <v>1429</v>
      </c>
    </row>
    <row r="2" spans="1:29" ht="11.25" x14ac:dyDescent="0.15">
      <c r="A2" s="40" t="s">
        <v>1430</v>
      </c>
      <c r="B2" s="40" t="s">
        <v>1431</v>
      </c>
      <c r="C2" s="40" t="s">
        <v>164</v>
      </c>
      <c r="D2" s="40" t="s">
        <v>1432</v>
      </c>
      <c r="E2" s="40" t="s">
        <v>1433</v>
      </c>
      <c r="F2" s="40" t="s">
        <v>159</v>
      </c>
      <c r="G2" s="40" t="s">
        <v>160</v>
      </c>
      <c r="H2" s="40" t="s">
        <v>194</v>
      </c>
      <c r="I2" s="40" t="s">
        <v>88</v>
      </c>
      <c r="J2" s="40" t="s">
        <v>1434</v>
      </c>
      <c r="K2" s="41">
        <v>8700</v>
      </c>
      <c r="L2" s="40" t="s">
        <v>1435</v>
      </c>
      <c r="M2" s="40" t="s">
        <v>1436</v>
      </c>
      <c r="N2" s="40" t="s">
        <v>1437</v>
      </c>
      <c r="O2" s="40" t="s">
        <v>1438</v>
      </c>
      <c r="P2" s="40" t="s">
        <v>1439</v>
      </c>
      <c r="Q2" s="40" t="s">
        <v>120</v>
      </c>
      <c r="R2" s="40" t="s">
        <v>47</v>
      </c>
      <c r="S2" s="41">
        <v>0</v>
      </c>
      <c r="T2" s="40" t="s">
        <v>47</v>
      </c>
      <c r="U2" s="40" t="s">
        <v>1440</v>
      </c>
      <c r="V2" s="41">
        <v>0</v>
      </c>
      <c r="W2" s="41">
        <v>7830</v>
      </c>
      <c r="X2" s="40" t="s">
        <v>1441</v>
      </c>
      <c r="Y2" s="41">
        <v>0</v>
      </c>
      <c r="Z2" s="40" t="s">
        <v>1442</v>
      </c>
      <c r="AA2" s="40" t="s">
        <v>1443</v>
      </c>
      <c r="AB2" s="41">
        <v>870</v>
      </c>
      <c r="AC2" s="41">
        <v>10</v>
      </c>
    </row>
    <row r="3" spans="1:29" ht="11.25" x14ac:dyDescent="0.15">
      <c r="A3" s="40" t="s">
        <v>1444</v>
      </c>
      <c r="B3" s="40" t="s">
        <v>1431</v>
      </c>
      <c r="C3" s="40" t="s">
        <v>164</v>
      </c>
      <c r="D3" s="40" t="s">
        <v>1432</v>
      </c>
      <c r="E3" s="40" t="s">
        <v>1433</v>
      </c>
      <c r="F3" s="40" t="s">
        <v>159</v>
      </c>
      <c r="G3" s="40" t="s">
        <v>160</v>
      </c>
      <c r="H3" s="40" t="s">
        <v>194</v>
      </c>
      <c r="I3" s="40" t="s">
        <v>88</v>
      </c>
      <c r="J3" s="40" t="s">
        <v>1434</v>
      </c>
      <c r="K3" s="41">
        <v>8700</v>
      </c>
      <c r="L3" s="40" t="s">
        <v>1435</v>
      </c>
      <c r="M3" s="40" t="s">
        <v>1436</v>
      </c>
      <c r="N3" s="40" t="s">
        <v>1437</v>
      </c>
      <c r="O3" s="40" t="s">
        <v>1438</v>
      </c>
      <c r="P3" s="40" t="s">
        <v>1439</v>
      </c>
      <c r="Q3" s="40" t="s">
        <v>120</v>
      </c>
      <c r="R3" s="40" t="s">
        <v>47</v>
      </c>
      <c r="S3" s="41">
        <v>0</v>
      </c>
      <c r="T3" s="40" t="s">
        <v>47</v>
      </c>
      <c r="U3" s="40" t="s">
        <v>1440</v>
      </c>
      <c r="V3" s="41">
        <v>0</v>
      </c>
      <c r="W3" s="41">
        <v>7830</v>
      </c>
      <c r="X3" s="40" t="s">
        <v>1441</v>
      </c>
      <c r="Y3" s="41">
        <v>0</v>
      </c>
      <c r="Z3" s="40" t="s">
        <v>1442</v>
      </c>
      <c r="AA3" s="40" t="s">
        <v>1445</v>
      </c>
      <c r="AB3" s="41">
        <v>870</v>
      </c>
      <c r="AC3" s="41">
        <v>10</v>
      </c>
    </row>
    <row r="4" spans="1:29" ht="11.25" x14ac:dyDescent="0.15">
      <c r="A4" s="40" t="s">
        <v>1446</v>
      </c>
      <c r="B4" s="40" t="s">
        <v>1431</v>
      </c>
      <c r="C4" s="40" t="s">
        <v>164</v>
      </c>
      <c r="D4" s="40" t="s">
        <v>1432</v>
      </c>
      <c r="E4" s="40" t="s">
        <v>1433</v>
      </c>
      <c r="F4" s="40" t="s">
        <v>159</v>
      </c>
      <c r="G4" s="40" t="s">
        <v>160</v>
      </c>
      <c r="H4" s="40" t="s">
        <v>194</v>
      </c>
      <c r="I4" s="40" t="s">
        <v>88</v>
      </c>
      <c r="J4" s="40" t="s">
        <v>1434</v>
      </c>
      <c r="K4" s="41">
        <v>8700</v>
      </c>
      <c r="L4" s="40" t="s">
        <v>1435</v>
      </c>
      <c r="M4" s="40" t="s">
        <v>1436</v>
      </c>
      <c r="N4" s="40" t="s">
        <v>1437</v>
      </c>
      <c r="O4" s="40" t="s">
        <v>1438</v>
      </c>
      <c r="P4" s="40" t="s">
        <v>1439</v>
      </c>
      <c r="Q4" s="40" t="s">
        <v>120</v>
      </c>
      <c r="R4" s="40" t="s">
        <v>47</v>
      </c>
      <c r="S4" s="41">
        <v>0</v>
      </c>
      <c r="T4" s="40" t="s">
        <v>47</v>
      </c>
      <c r="U4" s="40" t="s">
        <v>1440</v>
      </c>
      <c r="V4" s="41">
        <v>0</v>
      </c>
      <c r="W4" s="41">
        <v>7830</v>
      </c>
      <c r="X4" s="40" t="s">
        <v>1441</v>
      </c>
      <c r="Y4" s="41">
        <v>0</v>
      </c>
      <c r="Z4" s="40" t="s">
        <v>1442</v>
      </c>
      <c r="AA4" s="40" t="s">
        <v>1445</v>
      </c>
      <c r="AB4" s="41">
        <v>870</v>
      </c>
      <c r="AC4" s="41">
        <v>10</v>
      </c>
    </row>
    <row r="5" spans="1:29" ht="11.25" x14ac:dyDescent="0.15">
      <c r="A5" s="40" t="s">
        <v>1447</v>
      </c>
      <c r="B5" s="40" t="s">
        <v>1431</v>
      </c>
      <c r="C5" s="40" t="s">
        <v>164</v>
      </c>
      <c r="D5" s="40" t="s">
        <v>1432</v>
      </c>
      <c r="E5" s="40" t="s">
        <v>1433</v>
      </c>
      <c r="F5" s="40" t="s">
        <v>159</v>
      </c>
      <c r="G5" s="40" t="s">
        <v>160</v>
      </c>
      <c r="H5" s="40" t="s">
        <v>194</v>
      </c>
      <c r="I5" s="40" t="s">
        <v>88</v>
      </c>
      <c r="J5" s="40" t="s">
        <v>1434</v>
      </c>
      <c r="K5" s="41">
        <v>17400</v>
      </c>
      <c r="L5" s="40" t="s">
        <v>1435</v>
      </c>
      <c r="M5" s="40" t="s">
        <v>1436</v>
      </c>
      <c r="N5" s="40" t="s">
        <v>1437</v>
      </c>
      <c r="O5" s="40" t="s">
        <v>1438</v>
      </c>
      <c r="P5" s="40" t="s">
        <v>1439</v>
      </c>
      <c r="Q5" s="40" t="s">
        <v>120</v>
      </c>
      <c r="R5" s="40" t="s">
        <v>47</v>
      </c>
      <c r="S5" s="41">
        <v>0</v>
      </c>
      <c r="T5" s="40" t="s">
        <v>47</v>
      </c>
      <c r="U5" s="40" t="s">
        <v>1440</v>
      </c>
      <c r="V5" s="41">
        <v>0</v>
      </c>
      <c r="W5" s="41">
        <v>15660</v>
      </c>
      <c r="X5" s="40" t="s">
        <v>1441</v>
      </c>
      <c r="Y5" s="41">
        <v>0</v>
      </c>
      <c r="Z5" s="40" t="s">
        <v>1442</v>
      </c>
      <c r="AA5" s="40" t="s">
        <v>1448</v>
      </c>
      <c r="AB5" s="41">
        <v>1740</v>
      </c>
      <c r="AC5" s="41">
        <v>10</v>
      </c>
    </row>
    <row r="6" spans="1:29" ht="11.25" x14ac:dyDescent="0.15">
      <c r="A6" s="40" t="s">
        <v>1449</v>
      </c>
      <c r="B6" s="40" t="s">
        <v>1431</v>
      </c>
      <c r="C6" s="40" t="s">
        <v>164</v>
      </c>
      <c r="D6" s="40" t="s">
        <v>1432</v>
      </c>
      <c r="E6" s="40" t="s">
        <v>1433</v>
      </c>
      <c r="F6" s="40" t="s">
        <v>159</v>
      </c>
      <c r="G6" s="40" t="s">
        <v>160</v>
      </c>
      <c r="H6" s="40" t="s">
        <v>194</v>
      </c>
      <c r="I6" s="40" t="s">
        <v>88</v>
      </c>
      <c r="J6" s="40" t="s">
        <v>1434</v>
      </c>
      <c r="K6" s="41">
        <v>8700</v>
      </c>
      <c r="L6" s="40" t="s">
        <v>1435</v>
      </c>
      <c r="M6" s="40" t="s">
        <v>1436</v>
      </c>
      <c r="N6" s="40" t="s">
        <v>1437</v>
      </c>
      <c r="O6" s="40" t="s">
        <v>1438</v>
      </c>
      <c r="P6" s="40" t="s">
        <v>1439</v>
      </c>
      <c r="Q6" s="40" t="s">
        <v>120</v>
      </c>
      <c r="R6" s="40" t="s">
        <v>47</v>
      </c>
      <c r="S6" s="41">
        <v>0</v>
      </c>
      <c r="T6" s="40" t="s">
        <v>47</v>
      </c>
      <c r="U6" s="40" t="s">
        <v>1440</v>
      </c>
      <c r="V6" s="41">
        <v>0</v>
      </c>
      <c r="W6" s="41">
        <v>7830</v>
      </c>
      <c r="X6" s="40" t="s">
        <v>1441</v>
      </c>
      <c r="Y6" s="41">
        <v>0</v>
      </c>
      <c r="Z6" s="40" t="s">
        <v>1442</v>
      </c>
      <c r="AA6" s="40" t="s">
        <v>1443</v>
      </c>
      <c r="AB6" s="41">
        <v>870</v>
      </c>
      <c r="AC6" s="41">
        <v>10</v>
      </c>
    </row>
    <row r="7" spans="1:29" ht="11.25" x14ac:dyDescent="0.15">
      <c r="A7" s="40" t="s">
        <v>1450</v>
      </c>
      <c r="B7" s="40" t="s">
        <v>1431</v>
      </c>
      <c r="C7" s="40" t="s">
        <v>164</v>
      </c>
      <c r="D7" s="40" t="s">
        <v>1432</v>
      </c>
      <c r="E7" s="40" t="s">
        <v>1433</v>
      </c>
      <c r="F7" s="40" t="s">
        <v>159</v>
      </c>
      <c r="G7" s="40" t="s">
        <v>160</v>
      </c>
      <c r="H7" s="40" t="s">
        <v>194</v>
      </c>
      <c r="I7" s="40" t="s">
        <v>88</v>
      </c>
      <c r="J7" s="40" t="s">
        <v>1434</v>
      </c>
      <c r="K7" s="41">
        <v>34800</v>
      </c>
      <c r="L7" s="40" t="s">
        <v>1435</v>
      </c>
      <c r="M7" s="40" t="s">
        <v>1436</v>
      </c>
      <c r="N7" s="40" t="s">
        <v>1437</v>
      </c>
      <c r="O7" s="40" t="s">
        <v>1438</v>
      </c>
      <c r="P7" s="40" t="s">
        <v>1439</v>
      </c>
      <c r="Q7" s="40" t="s">
        <v>120</v>
      </c>
      <c r="R7" s="40" t="s">
        <v>47</v>
      </c>
      <c r="S7" s="41">
        <v>0</v>
      </c>
      <c r="T7" s="40" t="s">
        <v>47</v>
      </c>
      <c r="U7" s="40" t="s">
        <v>1440</v>
      </c>
      <c r="V7" s="41">
        <v>0</v>
      </c>
      <c r="W7" s="41">
        <v>31320</v>
      </c>
      <c r="X7" s="40" t="s">
        <v>1441</v>
      </c>
      <c r="Y7" s="41">
        <v>0</v>
      </c>
      <c r="Z7" s="40" t="s">
        <v>1442</v>
      </c>
      <c r="AA7" s="40" t="s">
        <v>1443</v>
      </c>
      <c r="AB7" s="41">
        <v>3480</v>
      </c>
      <c r="AC7" s="41">
        <v>10</v>
      </c>
    </row>
    <row r="8" spans="1:29" ht="11.25" x14ac:dyDescent="0.15">
      <c r="A8" s="40" t="s">
        <v>1451</v>
      </c>
      <c r="B8" s="40" t="s">
        <v>1431</v>
      </c>
      <c r="C8" s="40" t="s">
        <v>164</v>
      </c>
      <c r="D8" s="40" t="s">
        <v>1432</v>
      </c>
      <c r="E8" s="40" t="s">
        <v>1433</v>
      </c>
      <c r="F8" s="40" t="s">
        <v>159</v>
      </c>
      <c r="G8" s="40" t="s">
        <v>160</v>
      </c>
      <c r="H8" s="40" t="s">
        <v>194</v>
      </c>
      <c r="I8" s="40" t="s">
        <v>88</v>
      </c>
      <c r="J8" s="40" t="s">
        <v>1434</v>
      </c>
      <c r="K8" s="41">
        <v>8700</v>
      </c>
      <c r="L8" s="40" t="s">
        <v>1435</v>
      </c>
      <c r="M8" s="40" t="s">
        <v>1436</v>
      </c>
      <c r="N8" s="40" t="s">
        <v>1437</v>
      </c>
      <c r="O8" s="40" t="s">
        <v>1438</v>
      </c>
      <c r="P8" s="40" t="s">
        <v>1439</v>
      </c>
      <c r="Q8" s="40" t="s">
        <v>120</v>
      </c>
      <c r="R8" s="40" t="s">
        <v>47</v>
      </c>
      <c r="S8" s="41">
        <v>0</v>
      </c>
      <c r="T8" s="40" t="s">
        <v>47</v>
      </c>
      <c r="U8" s="40" t="s">
        <v>1440</v>
      </c>
      <c r="V8" s="41">
        <v>0</v>
      </c>
      <c r="W8" s="41">
        <v>7830</v>
      </c>
      <c r="X8" s="40" t="s">
        <v>1441</v>
      </c>
      <c r="Y8" s="41">
        <v>0</v>
      </c>
      <c r="Z8" s="40" t="s">
        <v>1442</v>
      </c>
      <c r="AA8" s="40" t="s">
        <v>1452</v>
      </c>
      <c r="AB8" s="41">
        <v>870</v>
      </c>
      <c r="AC8" s="41">
        <v>10</v>
      </c>
    </row>
    <row r="9" spans="1:29" ht="11.25" x14ac:dyDescent="0.15">
      <c r="A9" s="40" t="s">
        <v>1453</v>
      </c>
      <c r="B9" s="40" t="s">
        <v>1431</v>
      </c>
      <c r="C9" s="40" t="s">
        <v>164</v>
      </c>
      <c r="D9" s="40" t="s">
        <v>1432</v>
      </c>
      <c r="E9" s="40" t="s">
        <v>1433</v>
      </c>
      <c r="F9" s="40" t="s">
        <v>159</v>
      </c>
      <c r="G9" s="40" t="s">
        <v>160</v>
      </c>
      <c r="H9" s="40" t="s">
        <v>194</v>
      </c>
      <c r="I9" s="40" t="s">
        <v>88</v>
      </c>
      <c r="J9" s="40" t="s">
        <v>1434</v>
      </c>
      <c r="K9" s="41">
        <v>8700</v>
      </c>
      <c r="L9" s="40" t="s">
        <v>1435</v>
      </c>
      <c r="M9" s="40" t="s">
        <v>1436</v>
      </c>
      <c r="N9" s="40" t="s">
        <v>1437</v>
      </c>
      <c r="O9" s="40" t="s">
        <v>1438</v>
      </c>
      <c r="P9" s="40" t="s">
        <v>1439</v>
      </c>
      <c r="Q9" s="40" t="s">
        <v>120</v>
      </c>
      <c r="R9" s="40" t="s">
        <v>47</v>
      </c>
      <c r="S9" s="41">
        <v>0</v>
      </c>
      <c r="T9" s="40" t="s">
        <v>47</v>
      </c>
      <c r="U9" s="40" t="s">
        <v>1440</v>
      </c>
      <c r="V9" s="41">
        <v>0</v>
      </c>
      <c r="W9" s="41">
        <v>7830</v>
      </c>
      <c r="X9" s="40" t="s">
        <v>1441</v>
      </c>
      <c r="Y9" s="41">
        <v>0</v>
      </c>
      <c r="Z9" s="40" t="s">
        <v>1442</v>
      </c>
      <c r="AA9" s="40" t="s">
        <v>1443</v>
      </c>
      <c r="AB9" s="41">
        <v>870</v>
      </c>
      <c r="AC9" s="41">
        <v>10</v>
      </c>
    </row>
    <row r="10" spans="1:29" ht="11.25" x14ac:dyDescent="0.15">
      <c r="A10" s="40" t="s">
        <v>1454</v>
      </c>
      <c r="B10" s="40" t="s">
        <v>1431</v>
      </c>
      <c r="C10" s="40" t="s">
        <v>164</v>
      </c>
      <c r="D10" s="40" t="s">
        <v>1432</v>
      </c>
      <c r="E10" s="40" t="s">
        <v>1433</v>
      </c>
      <c r="F10" s="40" t="s">
        <v>159</v>
      </c>
      <c r="G10" s="40" t="s">
        <v>160</v>
      </c>
      <c r="H10" s="40" t="s">
        <v>194</v>
      </c>
      <c r="I10" s="40" t="s">
        <v>88</v>
      </c>
      <c r="J10" s="40" t="s">
        <v>1434</v>
      </c>
      <c r="K10" s="41">
        <v>17400</v>
      </c>
      <c r="L10" s="40" t="s">
        <v>1435</v>
      </c>
      <c r="M10" s="40" t="s">
        <v>1436</v>
      </c>
      <c r="N10" s="40" t="s">
        <v>1437</v>
      </c>
      <c r="O10" s="40" t="s">
        <v>1438</v>
      </c>
      <c r="P10" s="40" t="s">
        <v>1439</v>
      </c>
      <c r="Q10" s="40" t="s">
        <v>120</v>
      </c>
      <c r="R10" s="40" t="s">
        <v>47</v>
      </c>
      <c r="S10" s="41">
        <v>0</v>
      </c>
      <c r="T10" s="40" t="s">
        <v>47</v>
      </c>
      <c r="U10" s="40" t="s">
        <v>1440</v>
      </c>
      <c r="V10" s="41">
        <v>0</v>
      </c>
      <c r="W10" s="41">
        <v>15660</v>
      </c>
      <c r="X10" s="40" t="s">
        <v>1441</v>
      </c>
      <c r="Y10" s="41">
        <v>0</v>
      </c>
      <c r="Z10" s="40" t="s">
        <v>1442</v>
      </c>
      <c r="AA10" s="40" t="s">
        <v>1445</v>
      </c>
      <c r="AB10" s="41">
        <v>1740</v>
      </c>
      <c r="AC10" s="41">
        <v>10</v>
      </c>
    </row>
    <row r="11" spans="1:29" ht="11.25" x14ac:dyDescent="0.15">
      <c r="A11" s="40" t="s">
        <v>1455</v>
      </c>
      <c r="B11" s="40" t="s">
        <v>1431</v>
      </c>
      <c r="C11" s="40" t="s">
        <v>164</v>
      </c>
      <c r="D11" s="40" t="s">
        <v>1432</v>
      </c>
      <c r="E11" s="40" t="s">
        <v>1433</v>
      </c>
      <c r="F11" s="40" t="s">
        <v>159</v>
      </c>
      <c r="G11" s="40" t="s">
        <v>160</v>
      </c>
      <c r="H11" s="40" t="s">
        <v>194</v>
      </c>
      <c r="I11" s="40" t="s">
        <v>88</v>
      </c>
      <c r="J11" s="40" t="s">
        <v>1434</v>
      </c>
      <c r="K11" s="41">
        <v>78300</v>
      </c>
      <c r="L11" s="40" t="s">
        <v>1435</v>
      </c>
      <c r="M11" s="40" t="s">
        <v>1436</v>
      </c>
      <c r="N11" s="40" t="s">
        <v>1437</v>
      </c>
      <c r="O11" s="40" t="s">
        <v>1438</v>
      </c>
      <c r="P11" s="40" t="s">
        <v>1439</v>
      </c>
      <c r="Q11" s="40" t="s">
        <v>120</v>
      </c>
      <c r="R11" s="40" t="s">
        <v>47</v>
      </c>
      <c r="S11" s="41">
        <v>0</v>
      </c>
      <c r="T11" s="40" t="s">
        <v>47</v>
      </c>
      <c r="U11" s="40" t="s">
        <v>1440</v>
      </c>
      <c r="V11" s="41">
        <v>0</v>
      </c>
      <c r="W11" s="41">
        <v>70470</v>
      </c>
      <c r="X11" s="40" t="s">
        <v>1441</v>
      </c>
      <c r="Y11" s="41">
        <v>0</v>
      </c>
      <c r="Z11" s="40" t="s">
        <v>1442</v>
      </c>
      <c r="AA11" s="40" t="s">
        <v>1443</v>
      </c>
      <c r="AB11" s="41">
        <v>7830</v>
      </c>
      <c r="AC11" s="41">
        <v>10</v>
      </c>
    </row>
    <row r="12" spans="1:29" ht="11.25" x14ac:dyDescent="0.15">
      <c r="A12" s="40" t="s">
        <v>1456</v>
      </c>
      <c r="B12" s="40" t="s">
        <v>1431</v>
      </c>
      <c r="C12" s="40" t="s">
        <v>164</v>
      </c>
      <c r="D12" s="40" t="s">
        <v>1432</v>
      </c>
      <c r="E12" s="40" t="s">
        <v>1433</v>
      </c>
      <c r="F12" s="40" t="s">
        <v>159</v>
      </c>
      <c r="G12" s="40" t="s">
        <v>160</v>
      </c>
      <c r="H12" s="40" t="s">
        <v>194</v>
      </c>
      <c r="I12" s="40" t="s">
        <v>88</v>
      </c>
      <c r="J12" s="40" t="s">
        <v>1434</v>
      </c>
      <c r="K12" s="41">
        <v>52200</v>
      </c>
      <c r="L12" s="40" t="s">
        <v>1435</v>
      </c>
      <c r="M12" s="40" t="s">
        <v>1436</v>
      </c>
      <c r="N12" s="40" t="s">
        <v>1437</v>
      </c>
      <c r="O12" s="40" t="s">
        <v>1438</v>
      </c>
      <c r="P12" s="40" t="s">
        <v>1439</v>
      </c>
      <c r="Q12" s="40" t="s">
        <v>120</v>
      </c>
      <c r="R12" s="40" t="s">
        <v>47</v>
      </c>
      <c r="S12" s="41">
        <v>0</v>
      </c>
      <c r="T12" s="40" t="s">
        <v>47</v>
      </c>
      <c r="U12" s="40" t="s">
        <v>1440</v>
      </c>
      <c r="V12" s="41">
        <v>0</v>
      </c>
      <c r="W12" s="41">
        <v>46980</v>
      </c>
      <c r="X12" s="40" t="s">
        <v>1441</v>
      </c>
      <c r="Y12" s="41">
        <v>0</v>
      </c>
      <c r="Z12" s="40" t="s">
        <v>1442</v>
      </c>
      <c r="AA12" s="40" t="s">
        <v>1457</v>
      </c>
      <c r="AB12" s="41">
        <v>5220</v>
      </c>
      <c r="AC12" s="41">
        <v>10</v>
      </c>
    </row>
    <row r="13" spans="1:29" ht="11.25" x14ac:dyDescent="0.15">
      <c r="A13" s="40" t="s">
        <v>1458</v>
      </c>
      <c r="B13" s="40" t="s">
        <v>1431</v>
      </c>
      <c r="C13" s="40" t="s">
        <v>164</v>
      </c>
      <c r="D13" s="40" t="s">
        <v>1432</v>
      </c>
      <c r="E13" s="40" t="s">
        <v>1433</v>
      </c>
      <c r="F13" s="40" t="s">
        <v>159</v>
      </c>
      <c r="G13" s="40" t="s">
        <v>160</v>
      </c>
      <c r="H13" s="40" t="s">
        <v>194</v>
      </c>
      <c r="I13" s="40" t="s">
        <v>88</v>
      </c>
      <c r="J13" s="40" t="s">
        <v>1434</v>
      </c>
      <c r="K13" s="41">
        <v>8700</v>
      </c>
      <c r="L13" s="40" t="s">
        <v>1435</v>
      </c>
      <c r="M13" s="40" t="s">
        <v>1436</v>
      </c>
      <c r="N13" s="40" t="s">
        <v>1437</v>
      </c>
      <c r="O13" s="40" t="s">
        <v>1438</v>
      </c>
      <c r="P13" s="40" t="s">
        <v>1439</v>
      </c>
      <c r="Q13" s="40" t="s">
        <v>120</v>
      </c>
      <c r="R13" s="40" t="s">
        <v>47</v>
      </c>
      <c r="S13" s="41">
        <v>0</v>
      </c>
      <c r="T13" s="40" t="s">
        <v>47</v>
      </c>
      <c r="U13" s="40" t="s">
        <v>1440</v>
      </c>
      <c r="V13" s="41">
        <v>0</v>
      </c>
      <c r="W13" s="41">
        <v>7830</v>
      </c>
      <c r="X13" s="40" t="s">
        <v>1441</v>
      </c>
      <c r="Y13" s="41">
        <v>0</v>
      </c>
      <c r="Z13" s="40" t="s">
        <v>1442</v>
      </c>
      <c r="AA13" s="40" t="s">
        <v>1443</v>
      </c>
      <c r="AB13" s="41">
        <v>870</v>
      </c>
      <c r="AC13" s="41">
        <v>10</v>
      </c>
    </row>
    <row r="14" spans="1:29" ht="11.25" x14ac:dyDescent="0.15">
      <c r="A14" s="40" t="s">
        <v>1459</v>
      </c>
      <c r="B14" s="40" t="s">
        <v>1431</v>
      </c>
      <c r="C14" s="40" t="s">
        <v>164</v>
      </c>
      <c r="D14" s="40" t="s">
        <v>1432</v>
      </c>
      <c r="E14" s="40" t="s">
        <v>1433</v>
      </c>
      <c r="F14" s="40" t="s">
        <v>159</v>
      </c>
      <c r="G14" s="40" t="s">
        <v>160</v>
      </c>
      <c r="H14" s="40" t="s">
        <v>194</v>
      </c>
      <c r="I14" s="40" t="s">
        <v>88</v>
      </c>
      <c r="J14" s="40" t="s">
        <v>1434</v>
      </c>
      <c r="K14" s="41">
        <v>43500</v>
      </c>
      <c r="L14" s="40" t="s">
        <v>1435</v>
      </c>
      <c r="M14" s="40" t="s">
        <v>1436</v>
      </c>
      <c r="N14" s="40" t="s">
        <v>1437</v>
      </c>
      <c r="O14" s="40" t="s">
        <v>1438</v>
      </c>
      <c r="P14" s="40" t="s">
        <v>1439</v>
      </c>
      <c r="Q14" s="40" t="s">
        <v>120</v>
      </c>
      <c r="R14" s="40" t="s">
        <v>47</v>
      </c>
      <c r="S14" s="41">
        <v>0</v>
      </c>
      <c r="T14" s="40" t="s">
        <v>47</v>
      </c>
      <c r="U14" s="40" t="s">
        <v>1440</v>
      </c>
      <c r="V14" s="41">
        <v>0</v>
      </c>
      <c r="W14" s="41">
        <v>39150</v>
      </c>
      <c r="X14" s="40" t="s">
        <v>1441</v>
      </c>
      <c r="Y14" s="41">
        <v>0</v>
      </c>
      <c r="Z14" s="40" t="s">
        <v>1442</v>
      </c>
      <c r="AA14" s="40" t="s">
        <v>1445</v>
      </c>
      <c r="AB14" s="41">
        <v>4350</v>
      </c>
      <c r="AC14" s="41">
        <v>10</v>
      </c>
    </row>
    <row r="15" spans="1:29" ht="11.25" x14ac:dyDescent="0.15">
      <c r="A15" s="40" t="s">
        <v>1460</v>
      </c>
      <c r="B15" s="40" t="s">
        <v>1431</v>
      </c>
      <c r="C15" s="40" t="s">
        <v>164</v>
      </c>
      <c r="D15" s="40" t="s">
        <v>1432</v>
      </c>
      <c r="E15" s="40" t="s">
        <v>1433</v>
      </c>
      <c r="F15" s="40" t="s">
        <v>159</v>
      </c>
      <c r="G15" s="40" t="s">
        <v>160</v>
      </c>
      <c r="H15" s="40" t="s">
        <v>194</v>
      </c>
      <c r="I15" s="40" t="s">
        <v>88</v>
      </c>
      <c r="J15" s="40" t="s">
        <v>1434</v>
      </c>
      <c r="K15" s="41">
        <v>26100</v>
      </c>
      <c r="L15" s="40" t="s">
        <v>1435</v>
      </c>
      <c r="M15" s="40" t="s">
        <v>1436</v>
      </c>
      <c r="N15" s="40" t="s">
        <v>1437</v>
      </c>
      <c r="O15" s="40" t="s">
        <v>1438</v>
      </c>
      <c r="P15" s="40" t="s">
        <v>1439</v>
      </c>
      <c r="Q15" s="40" t="s">
        <v>120</v>
      </c>
      <c r="R15" s="40" t="s">
        <v>47</v>
      </c>
      <c r="S15" s="41">
        <v>0</v>
      </c>
      <c r="T15" s="40" t="s">
        <v>47</v>
      </c>
      <c r="U15" s="40" t="s">
        <v>1440</v>
      </c>
      <c r="V15" s="41">
        <v>0</v>
      </c>
      <c r="W15" s="41">
        <v>23490</v>
      </c>
      <c r="X15" s="40" t="s">
        <v>1441</v>
      </c>
      <c r="Y15" s="41">
        <v>0</v>
      </c>
      <c r="Z15" s="40" t="s">
        <v>1442</v>
      </c>
      <c r="AA15" s="40" t="s">
        <v>1457</v>
      </c>
      <c r="AB15" s="41">
        <v>2610</v>
      </c>
      <c r="AC15" s="41">
        <v>10</v>
      </c>
    </row>
    <row r="16" spans="1:29" ht="11.25" x14ac:dyDescent="0.15">
      <c r="A16" s="40" t="s">
        <v>1461</v>
      </c>
      <c r="B16" s="40" t="s">
        <v>1431</v>
      </c>
      <c r="C16" s="40" t="s">
        <v>164</v>
      </c>
      <c r="D16" s="40" t="s">
        <v>1432</v>
      </c>
      <c r="E16" s="40" t="s">
        <v>1433</v>
      </c>
      <c r="F16" s="40" t="s">
        <v>159</v>
      </c>
      <c r="G16" s="40" t="s">
        <v>160</v>
      </c>
      <c r="H16" s="40" t="s">
        <v>194</v>
      </c>
      <c r="I16" s="40" t="s">
        <v>88</v>
      </c>
      <c r="J16" s="40" t="s">
        <v>1434</v>
      </c>
      <c r="K16" s="41">
        <v>26100</v>
      </c>
      <c r="L16" s="40" t="s">
        <v>1435</v>
      </c>
      <c r="M16" s="40" t="s">
        <v>1436</v>
      </c>
      <c r="N16" s="40" t="s">
        <v>1437</v>
      </c>
      <c r="O16" s="40" t="s">
        <v>1438</v>
      </c>
      <c r="P16" s="40" t="s">
        <v>1439</v>
      </c>
      <c r="Q16" s="40" t="s">
        <v>120</v>
      </c>
      <c r="R16" s="40" t="s">
        <v>47</v>
      </c>
      <c r="S16" s="41">
        <v>0</v>
      </c>
      <c r="T16" s="40" t="s">
        <v>47</v>
      </c>
      <c r="U16" s="40" t="s">
        <v>1440</v>
      </c>
      <c r="V16" s="41">
        <v>0</v>
      </c>
      <c r="W16" s="41">
        <v>23490</v>
      </c>
      <c r="X16" s="40" t="s">
        <v>1441</v>
      </c>
      <c r="Y16" s="41">
        <v>0</v>
      </c>
      <c r="Z16" s="40" t="s">
        <v>1442</v>
      </c>
      <c r="AA16" s="40" t="s">
        <v>1443</v>
      </c>
      <c r="AB16" s="41">
        <v>2610</v>
      </c>
      <c r="AC16" s="41">
        <v>10</v>
      </c>
    </row>
    <row r="17" spans="1:29" ht="11.25" x14ac:dyDescent="0.15">
      <c r="A17" s="40" t="s">
        <v>1462</v>
      </c>
      <c r="B17" s="40" t="s">
        <v>1431</v>
      </c>
      <c r="C17" s="40" t="s">
        <v>164</v>
      </c>
      <c r="D17" s="40" t="s">
        <v>1432</v>
      </c>
      <c r="E17" s="40" t="s">
        <v>1433</v>
      </c>
      <c r="F17" s="40" t="s">
        <v>159</v>
      </c>
      <c r="G17" s="40" t="s">
        <v>160</v>
      </c>
      <c r="H17" s="40" t="s">
        <v>194</v>
      </c>
      <c r="I17" s="40" t="s">
        <v>88</v>
      </c>
      <c r="J17" s="40" t="s">
        <v>1434</v>
      </c>
      <c r="K17" s="41">
        <v>34800</v>
      </c>
      <c r="L17" s="40" t="s">
        <v>1435</v>
      </c>
      <c r="M17" s="40" t="s">
        <v>1436</v>
      </c>
      <c r="N17" s="40" t="s">
        <v>1437</v>
      </c>
      <c r="O17" s="40" t="s">
        <v>1438</v>
      </c>
      <c r="P17" s="40" t="s">
        <v>1439</v>
      </c>
      <c r="Q17" s="40" t="s">
        <v>120</v>
      </c>
      <c r="R17" s="40" t="s">
        <v>47</v>
      </c>
      <c r="S17" s="41">
        <v>0</v>
      </c>
      <c r="T17" s="40" t="s">
        <v>47</v>
      </c>
      <c r="U17" s="40" t="s">
        <v>1440</v>
      </c>
      <c r="V17" s="41">
        <v>0</v>
      </c>
      <c r="W17" s="41">
        <v>31320</v>
      </c>
      <c r="X17" s="40" t="s">
        <v>1441</v>
      </c>
      <c r="Y17" s="41">
        <v>0</v>
      </c>
      <c r="Z17" s="40" t="s">
        <v>1442</v>
      </c>
      <c r="AA17" s="40" t="s">
        <v>1445</v>
      </c>
      <c r="AB17" s="41">
        <v>3480</v>
      </c>
      <c r="AC17" s="41">
        <v>10</v>
      </c>
    </row>
    <row r="18" spans="1:29" ht="11.25" x14ac:dyDescent="0.15">
      <c r="A18" s="40" t="s">
        <v>1463</v>
      </c>
      <c r="B18" s="40" t="s">
        <v>1431</v>
      </c>
      <c r="C18" s="40" t="s">
        <v>164</v>
      </c>
      <c r="D18" s="40" t="s">
        <v>1432</v>
      </c>
      <c r="E18" s="40" t="s">
        <v>1433</v>
      </c>
      <c r="F18" s="40" t="s">
        <v>159</v>
      </c>
      <c r="G18" s="40" t="s">
        <v>160</v>
      </c>
      <c r="H18" s="40" t="s">
        <v>194</v>
      </c>
      <c r="I18" s="40" t="s">
        <v>88</v>
      </c>
      <c r="J18" s="40" t="s">
        <v>1434</v>
      </c>
      <c r="K18" s="41">
        <v>26100</v>
      </c>
      <c r="L18" s="40" t="s">
        <v>1435</v>
      </c>
      <c r="M18" s="40" t="s">
        <v>1436</v>
      </c>
      <c r="N18" s="40" t="s">
        <v>1437</v>
      </c>
      <c r="O18" s="40" t="s">
        <v>1438</v>
      </c>
      <c r="P18" s="40" t="s">
        <v>1439</v>
      </c>
      <c r="Q18" s="40" t="s">
        <v>120</v>
      </c>
      <c r="R18" s="40" t="s">
        <v>47</v>
      </c>
      <c r="S18" s="41">
        <v>0</v>
      </c>
      <c r="T18" s="40" t="s">
        <v>47</v>
      </c>
      <c r="U18" s="40" t="s">
        <v>1440</v>
      </c>
      <c r="V18" s="41">
        <v>0</v>
      </c>
      <c r="W18" s="41">
        <v>23490</v>
      </c>
      <c r="X18" s="40" t="s">
        <v>1441</v>
      </c>
      <c r="Y18" s="41">
        <v>0</v>
      </c>
      <c r="Z18" s="40" t="s">
        <v>1442</v>
      </c>
      <c r="AA18" s="40" t="s">
        <v>1435</v>
      </c>
      <c r="AB18" s="41">
        <v>2610</v>
      </c>
      <c r="AC18" s="41">
        <v>10</v>
      </c>
    </row>
    <row r="19" spans="1:29" ht="11.25" x14ac:dyDescent="0.15">
      <c r="A19" s="40" t="s">
        <v>1464</v>
      </c>
      <c r="B19" s="40" t="s">
        <v>1431</v>
      </c>
      <c r="C19" s="40" t="s">
        <v>164</v>
      </c>
      <c r="D19" s="40" t="s">
        <v>1432</v>
      </c>
      <c r="E19" s="40" t="s">
        <v>1433</v>
      </c>
      <c r="F19" s="40" t="s">
        <v>159</v>
      </c>
      <c r="G19" s="40" t="s">
        <v>160</v>
      </c>
      <c r="H19" s="40" t="s">
        <v>194</v>
      </c>
      <c r="I19" s="40" t="s">
        <v>88</v>
      </c>
      <c r="J19" s="40" t="s">
        <v>1434</v>
      </c>
      <c r="K19" s="41">
        <v>34800</v>
      </c>
      <c r="L19" s="40" t="s">
        <v>1435</v>
      </c>
      <c r="M19" s="40" t="s">
        <v>1436</v>
      </c>
      <c r="N19" s="40" t="s">
        <v>1437</v>
      </c>
      <c r="O19" s="40" t="s">
        <v>1438</v>
      </c>
      <c r="P19" s="40" t="s">
        <v>1439</v>
      </c>
      <c r="Q19" s="40" t="s">
        <v>120</v>
      </c>
      <c r="R19" s="40" t="s">
        <v>47</v>
      </c>
      <c r="S19" s="41">
        <v>0</v>
      </c>
      <c r="T19" s="40" t="s">
        <v>47</v>
      </c>
      <c r="U19" s="40" t="s">
        <v>1440</v>
      </c>
      <c r="V19" s="41">
        <v>0</v>
      </c>
      <c r="W19" s="41">
        <v>31320</v>
      </c>
      <c r="X19" s="40" t="s">
        <v>1441</v>
      </c>
      <c r="Y19" s="41">
        <v>0</v>
      </c>
      <c r="Z19" s="40" t="s">
        <v>1442</v>
      </c>
      <c r="AA19" s="40" t="s">
        <v>1457</v>
      </c>
      <c r="AB19" s="41">
        <v>3480</v>
      </c>
      <c r="AC19" s="41">
        <v>10</v>
      </c>
    </row>
    <row r="20" spans="1:29" ht="11.25" x14ac:dyDescent="0.15">
      <c r="A20" s="40" t="s">
        <v>1465</v>
      </c>
      <c r="B20" s="40" t="s">
        <v>1431</v>
      </c>
      <c r="C20" s="40" t="s">
        <v>164</v>
      </c>
      <c r="D20" s="40" t="s">
        <v>1432</v>
      </c>
      <c r="E20" s="40" t="s">
        <v>1433</v>
      </c>
      <c r="F20" s="40" t="s">
        <v>159</v>
      </c>
      <c r="G20" s="40" t="s">
        <v>160</v>
      </c>
      <c r="H20" s="40" t="s">
        <v>194</v>
      </c>
      <c r="I20" s="40" t="s">
        <v>88</v>
      </c>
      <c r="J20" s="40" t="s">
        <v>1434</v>
      </c>
      <c r="K20" s="41">
        <v>34800</v>
      </c>
      <c r="L20" s="40" t="s">
        <v>1435</v>
      </c>
      <c r="M20" s="40" t="s">
        <v>1436</v>
      </c>
      <c r="N20" s="40" t="s">
        <v>1437</v>
      </c>
      <c r="O20" s="40" t="s">
        <v>1438</v>
      </c>
      <c r="P20" s="40" t="s">
        <v>1439</v>
      </c>
      <c r="Q20" s="40" t="s">
        <v>120</v>
      </c>
      <c r="R20" s="40" t="s">
        <v>47</v>
      </c>
      <c r="S20" s="41">
        <v>0</v>
      </c>
      <c r="T20" s="40" t="s">
        <v>47</v>
      </c>
      <c r="U20" s="40" t="s">
        <v>1440</v>
      </c>
      <c r="V20" s="41">
        <v>0</v>
      </c>
      <c r="W20" s="41">
        <v>31320</v>
      </c>
      <c r="X20" s="40" t="s">
        <v>1441</v>
      </c>
      <c r="Y20" s="41">
        <v>0</v>
      </c>
      <c r="Z20" s="40" t="s">
        <v>1442</v>
      </c>
      <c r="AA20" s="40" t="s">
        <v>1457</v>
      </c>
      <c r="AB20" s="41">
        <v>3480</v>
      </c>
      <c r="AC20" s="41">
        <v>10</v>
      </c>
    </row>
    <row r="21" spans="1:29" ht="11.25" x14ac:dyDescent="0.15">
      <c r="A21" s="40" t="s">
        <v>1466</v>
      </c>
      <c r="B21" s="40" t="s">
        <v>1431</v>
      </c>
      <c r="C21" s="40" t="s">
        <v>164</v>
      </c>
      <c r="D21" s="40" t="s">
        <v>1432</v>
      </c>
      <c r="E21" s="40" t="s">
        <v>1433</v>
      </c>
      <c r="F21" s="40" t="s">
        <v>159</v>
      </c>
      <c r="G21" s="40" t="s">
        <v>160</v>
      </c>
      <c r="H21" s="40" t="s">
        <v>194</v>
      </c>
      <c r="I21" s="40" t="s">
        <v>88</v>
      </c>
      <c r="J21" s="40" t="s">
        <v>1434</v>
      </c>
      <c r="K21" s="41">
        <v>104400</v>
      </c>
      <c r="L21" s="40" t="s">
        <v>1435</v>
      </c>
      <c r="M21" s="40" t="s">
        <v>1436</v>
      </c>
      <c r="N21" s="40" t="s">
        <v>1467</v>
      </c>
      <c r="O21" s="40" t="s">
        <v>1438</v>
      </c>
      <c r="P21" s="40" t="s">
        <v>1439</v>
      </c>
      <c r="Q21" s="40" t="s">
        <v>120</v>
      </c>
      <c r="R21" s="40" t="s">
        <v>47</v>
      </c>
      <c r="S21" s="41">
        <v>0</v>
      </c>
      <c r="T21" s="40" t="s">
        <v>47</v>
      </c>
      <c r="U21" s="40" t="s">
        <v>1440</v>
      </c>
      <c r="V21" s="41">
        <v>0</v>
      </c>
      <c r="W21" s="41">
        <v>93960</v>
      </c>
      <c r="X21" s="40" t="s">
        <v>1441</v>
      </c>
      <c r="Y21" s="41">
        <v>0</v>
      </c>
      <c r="Z21" s="40" t="s">
        <v>1442</v>
      </c>
      <c r="AA21" s="40" t="s">
        <v>1445</v>
      </c>
      <c r="AB21" s="41">
        <v>10440</v>
      </c>
      <c r="AC21" s="41">
        <v>10</v>
      </c>
    </row>
    <row r="22" spans="1:29" ht="11.25" x14ac:dyDescent="0.15">
      <c r="A22" s="40" t="s">
        <v>1468</v>
      </c>
      <c r="B22" s="40" t="s">
        <v>1431</v>
      </c>
      <c r="C22" s="40" t="s">
        <v>164</v>
      </c>
      <c r="D22" s="40" t="s">
        <v>1432</v>
      </c>
      <c r="E22" s="40" t="s">
        <v>1433</v>
      </c>
      <c r="F22" s="40" t="s">
        <v>159</v>
      </c>
      <c r="G22" s="40" t="s">
        <v>160</v>
      </c>
      <c r="H22" s="40" t="s">
        <v>194</v>
      </c>
      <c r="I22" s="40" t="s">
        <v>88</v>
      </c>
      <c r="J22" s="40" t="s">
        <v>1434</v>
      </c>
      <c r="K22" s="41">
        <v>34800</v>
      </c>
      <c r="L22" s="40" t="s">
        <v>1435</v>
      </c>
      <c r="M22" s="40" t="s">
        <v>1436</v>
      </c>
      <c r="N22" s="40" t="s">
        <v>1437</v>
      </c>
      <c r="O22" s="40" t="s">
        <v>1438</v>
      </c>
      <c r="P22" s="40" t="s">
        <v>1439</v>
      </c>
      <c r="Q22" s="40" t="s">
        <v>120</v>
      </c>
      <c r="R22" s="40" t="s">
        <v>47</v>
      </c>
      <c r="S22" s="41">
        <v>0</v>
      </c>
      <c r="T22" s="40" t="s">
        <v>47</v>
      </c>
      <c r="U22" s="40" t="s">
        <v>1440</v>
      </c>
      <c r="V22" s="41">
        <v>0</v>
      </c>
      <c r="W22" s="41">
        <v>31320</v>
      </c>
      <c r="X22" s="40" t="s">
        <v>1441</v>
      </c>
      <c r="Y22" s="41">
        <v>0</v>
      </c>
      <c r="Z22" s="40" t="s">
        <v>1442</v>
      </c>
      <c r="AA22" s="40" t="s">
        <v>1443</v>
      </c>
      <c r="AB22" s="41">
        <v>3480</v>
      </c>
      <c r="AC22" s="41">
        <v>10</v>
      </c>
    </row>
    <row r="23" spans="1:29" ht="11.25" x14ac:dyDescent="0.15">
      <c r="A23" s="40" t="s">
        <v>1469</v>
      </c>
      <c r="B23" s="40" t="s">
        <v>1431</v>
      </c>
      <c r="C23" s="40" t="s">
        <v>164</v>
      </c>
      <c r="D23" s="40" t="s">
        <v>1432</v>
      </c>
      <c r="E23" s="40" t="s">
        <v>1433</v>
      </c>
      <c r="F23" s="40" t="s">
        <v>159</v>
      </c>
      <c r="G23" s="40" t="s">
        <v>160</v>
      </c>
      <c r="H23" s="40" t="s">
        <v>194</v>
      </c>
      <c r="I23" s="40" t="s">
        <v>88</v>
      </c>
      <c r="J23" s="40" t="s">
        <v>1434</v>
      </c>
      <c r="K23" s="41">
        <v>52200</v>
      </c>
      <c r="L23" s="40" t="s">
        <v>1435</v>
      </c>
      <c r="M23" s="40" t="s">
        <v>1436</v>
      </c>
      <c r="N23" s="40" t="s">
        <v>1437</v>
      </c>
      <c r="O23" s="40" t="s">
        <v>1438</v>
      </c>
      <c r="P23" s="40" t="s">
        <v>1439</v>
      </c>
      <c r="Q23" s="40" t="s">
        <v>120</v>
      </c>
      <c r="R23" s="40" t="s">
        <v>47</v>
      </c>
      <c r="S23" s="41">
        <v>0</v>
      </c>
      <c r="T23" s="40" t="s">
        <v>47</v>
      </c>
      <c r="U23" s="40" t="s">
        <v>1440</v>
      </c>
      <c r="V23" s="41">
        <v>0</v>
      </c>
      <c r="W23" s="41">
        <v>46980</v>
      </c>
      <c r="X23" s="40" t="s">
        <v>1441</v>
      </c>
      <c r="Y23" s="41">
        <v>0</v>
      </c>
      <c r="Z23" s="40" t="s">
        <v>1442</v>
      </c>
      <c r="AA23" s="40" t="s">
        <v>1457</v>
      </c>
      <c r="AB23" s="41">
        <v>5220</v>
      </c>
      <c r="AC23" s="41">
        <v>10</v>
      </c>
    </row>
    <row r="24" spans="1:29" ht="11.25" x14ac:dyDescent="0.15">
      <c r="A24" s="40" t="s">
        <v>1470</v>
      </c>
      <c r="B24" s="40" t="s">
        <v>1431</v>
      </c>
      <c r="C24" s="40" t="s">
        <v>164</v>
      </c>
      <c r="D24" s="40" t="s">
        <v>1432</v>
      </c>
      <c r="E24" s="40" t="s">
        <v>1433</v>
      </c>
      <c r="F24" s="40" t="s">
        <v>159</v>
      </c>
      <c r="G24" s="40" t="s">
        <v>160</v>
      </c>
      <c r="H24" s="40" t="s">
        <v>194</v>
      </c>
      <c r="I24" s="40" t="s">
        <v>88</v>
      </c>
      <c r="J24" s="40" t="s">
        <v>1434</v>
      </c>
      <c r="K24" s="41">
        <v>26100</v>
      </c>
      <c r="L24" s="40" t="s">
        <v>1435</v>
      </c>
      <c r="M24" s="40" t="s">
        <v>1436</v>
      </c>
      <c r="N24" s="40" t="s">
        <v>1437</v>
      </c>
      <c r="O24" s="40" t="s">
        <v>1438</v>
      </c>
      <c r="P24" s="40" t="s">
        <v>1439</v>
      </c>
      <c r="Q24" s="40" t="s">
        <v>120</v>
      </c>
      <c r="R24" s="40" t="s">
        <v>47</v>
      </c>
      <c r="S24" s="41">
        <v>0</v>
      </c>
      <c r="T24" s="40" t="s">
        <v>47</v>
      </c>
      <c r="U24" s="40" t="s">
        <v>1440</v>
      </c>
      <c r="V24" s="41">
        <v>0</v>
      </c>
      <c r="W24" s="41">
        <v>23490</v>
      </c>
      <c r="X24" s="40" t="s">
        <v>1441</v>
      </c>
      <c r="Y24" s="41">
        <v>0</v>
      </c>
      <c r="Z24" s="40" t="s">
        <v>1442</v>
      </c>
      <c r="AA24" s="40" t="s">
        <v>1443</v>
      </c>
      <c r="AB24" s="41">
        <v>2610</v>
      </c>
      <c r="AC24" s="41">
        <v>10</v>
      </c>
    </row>
    <row r="25" spans="1:29" ht="11.25" x14ac:dyDescent="0.15">
      <c r="A25" s="40" t="s">
        <v>1471</v>
      </c>
      <c r="B25" s="40" t="s">
        <v>1431</v>
      </c>
      <c r="C25" s="40" t="s">
        <v>164</v>
      </c>
      <c r="D25" s="40" t="s">
        <v>1432</v>
      </c>
      <c r="E25" s="40" t="s">
        <v>1433</v>
      </c>
      <c r="F25" s="40" t="s">
        <v>159</v>
      </c>
      <c r="G25" s="40" t="s">
        <v>160</v>
      </c>
      <c r="H25" s="40" t="s">
        <v>194</v>
      </c>
      <c r="I25" s="40" t="s">
        <v>88</v>
      </c>
      <c r="J25" s="40" t="s">
        <v>1434</v>
      </c>
      <c r="K25" s="41">
        <v>34800</v>
      </c>
      <c r="L25" s="40" t="s">
        <v>1435</v>
      </c>
      <c r="M25" s="40" t="s">
        <v>1436</v>
      </c>
      <c r="N25" s="40" t="s">
        <v>1437</v>
      </c>
      <c r="O25" s="40" t="s">
        <v>1438</v>
      </c>
      <c r="P25" s="40" t="s">
        <v>1439</v>
      </c>
      <c r="Q25" s="40" t="s">
        <v>120</v>
      </c>
      <c r="R25" s="40" t="s">
        <v>47</v>
      </c>
      <c r="S25" s="41">
        <v>0</v>
      </c>
      <c r="T25" s="40" t="s">
        <v>47</v>
      </c>
      <c r="U25" s="40" t="s">
        <v>1440</v>
      </c>
      <c r="V25" s="41">
        <v>0</v>
      </c>
      <c r="W25" s="41">
        <v>31320</v>
      </c>
      <c r="X25" s="40" t="s">
        <v>1441</v>
      </c>
      <c r="Y25" s="41">
        <v>0</v>
      </c>
      <c r="Z25" s="40" t="s">
        <v>1442</v>
      </c>
      <c r="AA25" s="40" t="s">
        <v>1452</v>
      </c>
      <c r="AB25" s="41">
        <v>3480</v>
      </c>
      <c r="AC25" s="41">
        <v>10</v>
      </c>
    </row>
    <row r="26" spans="1:29" ht="11.25" x14ac:dyDescent="0.15">
      <c r="A26" s="40" t="s">
        <v>1472</v>
      </c>
      <c r="B26" s="40" t="s">
        <v>1431</v>
      </c>
      <c r="C26" s="40" t="s">
        <v>164</v>
      </c>
      <c r="D26" s="40" t="s">
        <v>1432</v>
      </c>
      <c r="E26" s="40" t="s">
        <v>1433</v>
      </c>
      <c r="F26" s="40" t="s">
        <v>159</v>
      </c>
      <c r="G26" s="40" t="s">
        <v>160</v>
      </c>
      <c r="H26" s="40" t="s">
        <v>194</v>
      </c>
      <c r="I26" s="40" t="s">
        <v>88</v>
      </c>
      <c r="J26" s="40" t="s">
        <v>1434</v>
      </c>
      <c r="K26" s="41">
        <v>17400</v>
      </c>
      <c r="L26" s="40" t="s">
        <v>1435</v>
      </c>
      <c r="M26" s="40" t="s">
        <v>1436</v>
      </c>
      <c r="N26" s="40" t="s">
        <v>1473</v>
      </c>
      <c r="O26" s="40" t="s">
        <v>1438</v>
      </c>
      <c r="P26" s="40" t="s">
        <v>1439</v>
      </c>
      <c r="Q26" s="40" t="s">
        <v>120</v>
      </c>
      <c r="R26" s="40" t="s">
        <v>47</v>
      </c>
      <c r="S26" s="41">
        <v>0</v>
      </c>
      <c r="T26" s="40" t="s">
        <v>47</v>
      </c>
      <c r="U26" s="40" t="s">
        <v>1440</v>
      </c>
      <c r="V26" s="41">
        <v>0</v>
      </c>
      <c r="W26" s="41">
        <v>15660</v>
      </c>
      <c r="X26" s="40" t="s">
        <v>1441</v>
      </c>
      <c r="Y26" s="41">
        <v>0</v>
      </c>
      <c r="Z26" s="40" t="s">
        <v>1442</v>
      </c>
      <c r="AA26" s="40" t="s">
        <v>1457</v>
      </c>
      <c r="AB26" s="41">
        <v>1740</v>
      </c>
      <c r="AC26" s="41">
        <v>10</v>
      </c>
    </row>
    <row r="27" spans="1:29" ht="11.25" x14ac:dyDescent="0.15">
      <c r="A27" s="40" t="s">
        <v>1474</v>
      </c>
      <c r="B27" s="40" t="s">
        <v>1431</v>
      </c>
      <c r="C27" s="40" t="s">
        <v>164</v>
      </c>
      <c r="D27" s="40" t="s">
        <v>1432</v>
      </c>
      <c r="E27" s="40" t="s">
        <v>1433</v>
      </c>
      <c r="F27" s="40" t="s">
        <v>159</v>
      </c>
      <c r="G27" s="40" t="s">
        <v>160</v>
      </c>
      <c r="H27" s="40" t="s">
        <v>194</v>
      </c>
      <c r="I27" s="40" t="s">
        <v>88</v>
      </c>
      <c r="J27" s="40" t="s">
        <v>1434</v>
      </c>
      <c r="K27" s="41">
        <v>8700</v>
      </c>
      <c r="L27" s="40" t="s">
        <v>1435</v>
      </c>
      <c r="M27" s="40" t="s">
        <v>1436</v>
      </c>
      <c r="N27" s="40" t="s">
        <v>1437</v>
      </c>
      <c r="O27" s="40" t="s">
        <v>1438</v>
      </c>
      <c r="P27" s="40" t="s">
        <v>1439</v>
      </c>
      <c r="Q27" s="40" t="s">
        <v>120</v>
      </c>
      <c r="R27" s="40" t="s">
        <v>47</v>
      </c>
      <c r="S27" s="41">
        <v>0</v>
      </c>
      <c r="T27" s="40" t="s">
        <v>47</v>
      </c>
      <c r="U27" s="40" t="s">
        <v>1440</v>
      </c>
      <c r="V27" s="41">
        <v>0</v>
      </c>
      <c r="W27" s="41">
        <v>7830</v>
      </c>
      <c r="X27" s="40" t="s">
        <v>1441</v>
      </c>
      <c r="Y27" s="41">
        <v>0</v>
      </c>
      <c r="Z27" s="40" t="s">
        <v>1442</v>
      </c>
      <c r="AA27" s="40" t="s">
        <v>1457</v>
      </c>
      <c r="AB27" s="41">
        <v>870</v>
      </c>
      <c r="AC27" s="41">
        <v>10</v>
      </c>
    </row>
    <row r="28" spans="1:29" ht="11.25" x14ac:dyDescent="0.15">
      <c r="A28" s="40" t="s">
        <v>1475</v>
      </c>
      <c r="B28" s="40" t="s">
        <v>1431</v>
      </c>
      <c r="C28" s="40" t="s">
        <v>164</v>
      </c>
      <c r="D28" s="40" t="s">
        <v>1432</v>
      </c>
      <c r="E28" s="40" t="s">
        <v>1433</v>
      </c>
      <c r="F28" s="40" t="s">
        <v>159</v>
      </c>
      <c r="G28" s="40" t="s">
        <v>160</v>
      </c>
      <c r="H28" s="40" t="s">
        <v>194</v>
      </c>
      <c r="I28" s="40" t="s">
        <v>88</v>
      </c>
      <c r="J28" s="40" t="s">
        <v>1434</v>
      </c>
      <c r="K28" s="41">
        <v>17400</v>
      </c>
      <c r="L28" s="40" t="s">
        <v>1435</v>
      </c>
      <c r="M28" s="40" t="s">
        <v>1436</v>
      </c>
      <c r="N28" s="40" t="s">
        <v>1437</v>
      </c>
      <c r="O28" s="40" t="s">
        <v>1438</v>
      </c>
      <c r="P28" s="40" t="s">
        <v>1439</v>
      </c>
      <c r="Q28" s="40" t="s">
        <v>120</v>
      </c>
      <c r="R28" s="40" t="s">
        <v>47</v>
      </c>
      <c r="S28" s="41">
        <v>0</v>
      </c>
      <c r="T28" s="40" t="s">
        <v>47</v>
      </c>
      <c r="U28" s="40" t="s">
        <v>1440</v>
      </c>
      <c r="V28" s="41">
        <v>0</v>
      </c>
      <c r="W28" s="41">
        <v>15660</v>
      </c>
      <c r="X28" s="40" t="s">
        <v>1441</v>
      </c>
      <c r="Y28" s="41">
        <v>0</v>
      </c>
      <c r="Z28" s="40" t="s">
        <v>1442</v>
      </c>
      <c r="AA28" s="40" t="s">
        <v>1457</v>
      </c>
      <c r="AB28" s="41">
        <v>1740</v>
      </c>
      <c r="AC28" s="41">
        <v>10</v>
      </c>
    </row>
    <row r="29" spans="1:29" ht="11.25" x14ac:dyDescent="0.15">
      <c r="A29" s="40" t="s">
        <v>1476</v>
      </c>
      <c r="B29" s="40" t="s">
        <v>1431</v>
      </c>
      <c r="C29" s="40" t="s">
        <v>164</v>
      </c>
      <c r="D29" s="40" t="s">
        <v>1432</v>
      </c>
      <c r="E29" s="40" t="s">
        <v>1433</v>
      </c>
      <c r="F29" s="40" t="s">
        <v>159</v>
      </c>
      <c r="G29" s="40" t="s">
        <v>160</v>
      </c>
      <c r="H29" s="40" t="s">
        <v>194</v>
      </c>
      <c r="I29" s="40" t="s">
        <v>88</v>
      </c>
      <c r="J29" s="40" t="s">
        <v>1434</v>
      </c>
      <c r="K29" s="41">
        <v>8700</v>
      </c>
      <c r="L29" s="40" t="s">
        <v>1435</v>
      </c>
      <c r="M29" s="40" t="s">
        <v>1436</v>
      </c>
      <c r="N29" s="40" t="s">
        <v>1437</v>
      </c>
      <c r="O29" s="40" t="s">
        <v>1438</v>
      </c>
      <c r="P29" s="40" t="s">
        <v>1439</v>
      </c>
      <c r="Q29" s="40" t="s">
        <v>120</v>
      </c>
      <c r="R29" s="40" t="s">
        <v>47</v>
      </c>
      <c r="S29" s="41">
        <v>0</v>
      </c>
      <c r="T29" s="40" t="s">
        <v>47</v>
      </c>
      <c r="U29" s="40" t="s">
        <v>1440</v>
      </c>
      <c r="V29" s="41">
        <v>0</v>
      </c>
      <c r="W29" s="41">
        <v>7830</v>
      </c>
      <c r="X29" s="40" t="s">
        <v>1441</v>
      </c>
      <c r="Y29" s="41">
        <v>0</v>
      </c>
      <c r="Z29" s="40" t="s">
        <v>1442</v>
      </c>
      <c r="AA29" s="40" t="s">
        <v>1448</v>
      </c>
      <c r="AB29" s="41">
        <v>870</v>
      </c>
      <c r="AC29" s="41">
        <v>10</v>
      </c>
    </row>
    <row r="30" spans="1:29" ht="11.25" x14ac:dyDescent="0.15">
      <c r="A30" s="40" t="s">
        <v>1477</v>
      </c>
      <c r="B30" s="40" t="s">
        <v>1431</v>
      </c>
      <c r="C30" s="40" t="s">
        <v>164</v>
      </c>
      <c r="D30" s="40" t="s">
        <v>1432</v>
      </c>
      <c r="E30" s="40" t="s">
        <v>1433</v>
      </c>
      <c r="F30" s="40" t="s">
        <v>159</v>
      </c>
      <c r="G30" s="40" t="s">
        <v>160</v>
      </c>
      <c r="H30" s="40" t="s">
        <v>194</v>
      </c>
      <c r="I30" s="40" t="s">
        <v>88</v>
      </c>
      <c r="J30" s="40" t="s">
        <v>1434</v>
      </c>
      <c r="K30" s="41">
        <v>17400</v>
      </c>
      <c r="L30" s="40" t="s">
        <v>1435</v>
      </c>
      <c r="M30" s="40" t="s">
        <v>1436</v>
      </c>
      <c r="N30" s="40" t="s">
        <v>1437</v>
      </c>
      <c r="O30" s="40" t="s">
        <v>1438</v>
      </c>
      <c r="P30" s="40" t="s">
        <v>1439</v>
      </c>
      <c r="Q30" s="40" t="s">
        <v>120</v>
      </c>
      <c r="R30" s="40" t="s">
        <v>47</v>
      </c>
      <c r="S30" s="41">
        <v>0</v>
      </c>
      <c r="T30" s="40" t="s">
        <v>47</v>
      </c>
      <c r="U30" s="40" t="s">
        <v>1440</v>
      </c>
      <c r="V30" s="41">
        <v>0</v>
      </c>
      <c r="W30" s="41">
        <v>15660</v>
      </c>
      <c r="X30" s="40" t="s">
        <v>1441</v>
      </c>
      <c r="Y30" s="41">
        <v>0</v>
      </c>
      <c r="Z30" s="40" t="s">
        <v>1442</v>
      </c>
      <c r="AA30" s="40" t="s">
        <v>1457</v>
      </c>
      <c r="AB30" s="41">
        <v>1740</v>
      </c>
      <c r="AC30" s="41">
        <v>10</v>
      </c>
    </row>
    <row r="31" spans="1:29" ht="11.25" x14ac:dyDescent="0.15">
      <c r="A31" s="40" t="s">
        <v>1478</v>
      </c>
      <c r="B31" s="40" t="s">
        <v>1431</v>
      </c>
      <c r="C31" s="40" t="s">
        <v>164</v>
      </c>
      <c r="D31" s="40" t="s">
        <v>1432</v>
      </c>
      <c r="E31" s="40" t="s">
        <v>1433</v>
      </c>
      <c r="F31" s="40" t="s">
        <v>159</v>
      </c>
      <c r="G31" s="40" t="s">
        <v>160</v>
      </c>
      <c r="H31" s="40" t="s">
        <v>194</v>
      </c>
      <c r="I31" s="40" t="s">
        <v>88</v>
      </c>
      <c r="J31" s="40" t="s">
        <v>1434</v>
      </c>
      <c r="K31" s="41">
        <v>17400</v>
      </c>
      <c r="L31" s="40" t="s">
        <v>1435</v>
      </c>
      <c r="M31" s="40" t="s">
        <v>1436</v>
      </c>
      <c r="N31" s="40" t="s">
        <v>1437</v>
      </c>
      <c r="O31" s="40" t="s">
        <v>1438</v>
      </c>
      <c r="P31" s="40" t="s">
        <v>1439</v>
      </c>
      <c r="Q31" s="40" t="s">
        <v>120</v>
      </c>
      <c r="R31" s="40" t="s">
        <v>47</v>
      </c>
      <c r="S31" s="41">
        <v>0</v>
      </c>
      <c r="T31" s="40" t="s">
        <v>47</v>
      </c>
      <c r="U31" s="40" t="s">
        <v>1440</v>
      </c>
      <c r="V31" s="41">
        <v>0</v>
      </c>
      <c r="W31" s="41">
        <v>15660</v>
      </c>
      <c r="X31" s="40" t="s">
        <v>1441</v>
      </c>
      <c r="Y31" s="41">
        <v>0</v>
      </c>
      <c r="Z31" s="40" t="s">
        <v>1442</v>
      </c>
      <c r="AA31" s="40" t="s">
        <v>1479</v>
      </c>
      <c r="AB31" s="41">
        <v>1740</v>
      </c>
      <c r="AC31" s="41">
        <v>10</v>
      </c>
    </row>
    <row r="32" spans="1:29" ht="11.25" x14ac:dyDescent="0.15">
      <c r="A32" s="40" t="s">
        <v>1480</v>
      </c>
      <c r="B32" s="40" t="s">
        <v>1431</v>
      </c>
      <c r="C32" s="40" t="s">
        <v>164</v>
      </c>
      <c r="D32" s="40" t="s">
        <v>1432</v>
      </c>
      <c r="E32" s="40" t="s">
        <v>1433</v>
      </c>
      <c r="F32" s="40" t="s">
        <v>159</v>
      </c>
      <c r="G32" s="40" t="s">
        <v>160</v>
      </c>
      <c r="H32" s="40" t="s">
        <v>194</v>
      </c>
      <c r="I32" s="40" t="s">
        <v>88</v>
      </c>
      <c r="J32" s="40" t="s">
        <v>1434</v>
      </c>
      <c r="K32" s="41">
        <v>26100</v>
      </c>
      <c r="L32" s="40" t="s">
        <v>1435</v>
      </c>
      <c r="M32" s="40" t="s">
        <v>1436</v>
      </c>
      <c r="N32" s="40" t="s">
        <v>1437</v>
      </c>
      <c r="O32" s="40" t="s">
        <v>1438</v>
      </c>
      <c r="P32" s="40" t="s">
        <v>1439</v>
      </c>
      <c r="Q32" s="40" t="s">
        <v>120</v>
      </c>
      <c r="R32" s="40" t="s">
        <v>47</v>
      </c>
      <c r="S32" s="41">
        <v>0</v>
      </c>
      <c r="T32" s="40" t="s">
        <v>47</v>
      </c>
      <c r="U32" s="40" t="s">
        <v>1440</v>
      </c>
      <c r="V32" s="41">
        <v>0</v>
      </c>
      <c r="W32" s="41">
        <v>23490</v>
      </c>
      <c r="X32" s="40" t="s">
        <v>1441</v>
      </c>
      <c r="Y32" s="41">
        <v>0</v>
      </c>
      <c r="Z32" s="40" t="s">
        <v>1442</v>
      </c>
      <c r="AA32" s="40" t="s">
        <v>1435</v>
      </c>
      <c r="AB32" s="41">
        <v>2610</v>
      </c>
      <c r="AC32" s="41">
        <v>10</v>
      </c>
    </row>
    <row r="33" spans="1:29" ht="11.25" x14ac:dyDescent="0.15">
      <c r="A33" s="40" t="s">
        <v>1481</v>
      </c>
      <c r="B33" s="40" t="s">
        <v>1431</v>
      </c>
      <c r="C33" s="40" t="s">
        <v>164</v>
      </c>
      <c r="D33" s="40" t="s">
        <v>1432</v>
      </c>
      <c r="E33" s="40" t="s">
        <v>1433</v>
      </c>
      <c r="F33" s="40" t="s">
        <v>159</v>
      </c>
      <c r="G33" s="40" t="s">
        <v>160</v>
      </c>
      <c r="H33" s="40" t="s">
        <v>194</v>
      </c>
      <c r="I33" s="40" t="s">
        <v>88</v>
      </c>
      <c r="J33" s="40" t="s">
        <v>1434</v>
      </c>
      <c r="K33" s="41">
        <v>8700</v>
      </c>
      <c r="L33" s="40" t="s">
        <v>1435</v>
      </c>
      <c r="M33" s="40" t="s">
        <v>1436</v>
      </c>
      <c r="N33" s="40" t="s">
        <v>1437</v>
      </c>
      <c r="O33" s="40" t="s">
        <v>1438</v>
      </c>
      <c r="P33" s="40" t="s">
        <v>1439</v>
      </c>
      <c r="Q33" s="40" t="s">
        <v>120</v>
      </c>
      <c r="R33" s="40" t="s">
        <v>47</v>
      </c>
      <c r="S33" s="41">
        <v>0</v>
      </c>
      <c r="T33" s="40" t="s">
        <v>47</v>
      </c>
      <c r="U33" s="40" t="s">
        <v>1440</v>
      </c>
      <c r="V33" s="41">
        <v>0</v>
      </c>
      <c r="W33" s="41">
        <v>7830</v>
      </c>
      <c r="X33" s="40" t="s">
        <v>1441</v>
      </c>
      <c r="Y33" s="41">
        <v>0</v>
      </c>
      <c r="Z33" s="40" t="s">
        <v>1442</v>
      </c>
      <c r="AA33" s="40" t="s">
        <v>1479</v>
      </c>
      <c r="AB33" s="41">
        <v>870</v>
      </c>
      <c r="AC33" s="41">
        <v>10</v>
      </c>
    </row>
    <row r="34" spans="1:29" ht="11.25" x14ac:dyDescent="0.15">
      <c r="A34" s="40" t="s">
        <v>1482</v>
      </c>
      <c r="B34" s="40" t="s">
        <v>1431</v>
      </c>
      <c r="C34" s="40" t="s">
        <v>164</v>
      </c>
      <c r="D34" s="40" t="s">
        <v>1432</v>
      </c>
      <c r="E34" s="40" t="s">
        <v>1433</v>
      </c>
      <c r="F34" s="40" t="s">
        <v>159</v>
      </c>
      <c r="G34" s="40" t="s">
        <v>160</v>
      </c>
      <c r="H34" s="40" t="s">
        <v>194</v>
      </c>
      <c r="I34" s="40" t="s">
        <v>88</v>
      </c>
      <c r="J34" s="40" t="s">
        <v>1434</v>
      </c>
      <c r="K34" s="41">
        <v>69600</v>
      </c>
      <c r="L34" s="40" t="s">
        <v>1483</v>
      </c>
      <c r="M34" s="40" t="s">
        <v>1436</v>
      </c>
      <c r="N34" s="40" t="s">
        <v>1437</v>
      </c>
      <c r="O34" s="40" t="s">
        <v>1438</v>
      </c>
      <c r="P34" s="40" t="s">
        <v>1439</v>
      </c>
      <c r="Q34" s="40" t="s">
        <v>120</v>
      </c>
      <c r="R34" s="40" t="s">
        <v>47</v>
      </c>
      <c r="S34" s="41">
        <v>0</v>
      </c>
      <c r="T34" s="40" t="s">
        <v>47</v>
      </c>
      <c r="U34" s="40" t="s">
        <v>1440</v>
      </c>
      <c r="V34" s="41">
        <v>0</v>
      </c>
      <c r="W34" s="41">
        <v>62640</v>
      </c>
      <c r="X34" s="40" t="s">
        <v>1441</v>
      </c>
      <c r="Y34" s="41">
        <v>0</v>
      </c>
      <c r="Z34" s="40" t="s">
        <v>1442</v>
      </c>
      <c r="AA34" s="40" t="s">
        <v>1452</v>
      </c>
      <c r="AB34" s="41">
        <v>6960</v>
      </c>
      <c r="AC34" s="41">
        <v>10</v>
      </c>
    </row>
    <row r="35" spans="1:29" ht="11.25" x14ac:dyDescent="0.15">
      <c r="A35" s="40" t="s">
        <v>1484</v>
      </c>
      <c r="B35" s="40" t="s">
        <v>1431</v>
      </c>
      <c r="C35" s="40" t="s">
        <v>164</v>
      </c>
      <c r="D35" s="40" t="s">
        <v>1432</v>
      </c>
      <c r="E35" s="40" t="s">
        <v>1433</v>
      </c>
      <c r="F35" s="40" t="s">
        <v>159</v>
      </c>
      <c r="G35" s="40" t="s">
        <v>160</v>
      </c>
      <c r="H35" s="40" t="s">
        <v>194</v>
      </c>
      <c r="I35" s="40" t="s">
        <v>88</v>
      </c>
      <c r="J35" s="40" t="s">
        <v>1434</v>
      </c>
      <c r="K35" s="41">
        <v>8700</v>
      </c>
      <c r="L35" s="40" t="s">
        <v>1483</v>
      </c>
      <c r="M35" s="40" t="s">
        <v>1436</v>
      </c>
      <c r="N35" s="40" t="s">
        <v>1437</v>
      </c>
      <c r="O35" s="40" t="s">
        <v>1438</v>
      </c>
      <c r="P35" s="40" t="s">
        <v>1439</v>
      </c>
      <c r="Q35" s="40" t="s">
        <v>120</v>
      </c>
      <c r="R35" s="40" t="s">
        <v>47</v>
      </c>
      <c r="S35" s="41">
        <v>0</v>
      </c>
      <c r="T35" s="40" t="s">
        <v>47</v>
      </c>
      <c r="U35" s="40" t="s">
        <v>1440</v>
      </c>
      <c r="V35" s="41">
        <v>0</v>
      </c>
      <c r="W35" s="41">
        <v>7830</v>
      </c>
      <c r="X35" s="40" t="s">
        <v>1441</v>
      </c>
      <c r="Y35" s="41">
        <v>0</v>
      </c>
      <c r="Z35" s="40" t="s">
        <v>1442</v>
      </c>
      <c r="AA35" s="40" t="s">
        <v>1443</v>
      </c>
      <c r="AB35" s="41">
        <v>870</v>
      </c>
      <c r="AC35" s="41">
        <v>10</v>
      </c>
    </row>
    <row r="36" spans="1:29" ht="11.25" x14ac:dyDescent="0.15">
      <c r="A36" s="40" t="s">
        <v>1485</v>
      </c>
      <c r="B36" s="40" t="s">
        <v>1431</v>
      </c>
      <c r="C36" s="40" t="s">
        <v>164</v>
      </c>
      <c r="D36" s="40" t="s">
        <v>1432</v>
      </c>
      <c r="E36" s="40" t="s">
        <v>1433</v>
      </c>
      <c r="F36" s="40" t="s">
        <v>159</v>
      </c>
      <c r="G36" s="40" t="s">
        <v>160</v>
      </c>
      <c r="H36" s="40" t="s">
        <v>194</v>
      </c>
      <c r="I36" s="40" t="s">
        <v>88</v>
      </c>
      <c r="J36" s="40" t="s">
        <v>1434</v>
      </c>
      <c r="K36" s="41">
        <v>8700</v>
      </c>
      <c r="L36" s="40" t="s">
        <v>1435</v>
      </c>
      <c r="M36" s="40" t="s">
        <v>1436</v>
      </c>
      <c r="N36" s="40" t="s">
        <v>1486</v>
      </c>
      <c r="O36" s="40" t="s">
        <v>1438</v>
      </c>
      <c r="P36" s="40" t="s">
        <v>1439</v>
      </c>
      <c r="Q36" s="40" t="s">
        <v>120</v>
      </c>
      <c r="R36" s="40" t="s">
        <v>47</v>
      </c>
      <c r="S36" s="41">
        <v>0</v>
      </c>
      <c r="T36" s="40" t="s">
        <v>47</v>
      </c>
      <c r="U36" s="40" t="s">
        <v>1440</v>
      </c>
      <c r="V36" s="41">
        <v>0</v>
      </c>
      <c r="W36" s="41">
        <v>7830</v>
      </c>
      <c r="X36" s="40" t="s">
        <v>1441</v>
      </c>
      <c r="Y36" s="41">
        <v>0</v>
      </c>
      <c r="Z36" s="40" t="s">
        <v>1442</v>
      </c>
      <c r="AA36" s="40" t="s">
        <v>1448</v>
      </c>
      <c r="AB36" s="41">
        <v>870</v>
      </c>
      <c r="AC36" s="41">
        <v>10</v>
      </c>
    </row>
    <row r="37" spans="1:29" ht="11.25" x14ac:dyDescent="0.15">
      <c r="A37" s="40" t="s">
        <v>1487</v>
      </c>
      <c r="B37" s="40" t="s">
        <v>1431</v>
      </c>
      <c r="C37" s="40" t="s">
        <v>164</v>
      </c>
      <c r="D37" s="40" t="s">
        <v>1432</v>
      </c>
      <c r="E37" s="40" t="s">
        <v>1433</v>
      </c>
      <c r="F37" s="40" t="s">
        <v>159</v>
      </c>
      <c r="G37" s="40" t="s">
        <v>160</v>
      </c>
      <c r="H37" s="40" t="s">
        <v>194</v>
      </c>
      <c r="I37" s="40" t="s">
        <v>88</v>
      </c>
      <c r="J37" s="40" t="s">
        <v>1434</v>
      </c>
      <c r="K37" s="41">
        <v>8700</v>
      </c>
      <c r="L37" s="40" t="s">
        <v>1435</v>
      </c>
      <c r="M37" s="40" t="s">
        <v>1436</v>
      </c>
      <c r="N37" s="40" t="s">
        <v>1437</v>
      </c>
      <c r="O37" s="40" t="s">
        <v>1438</v>
      </c>
      <c r="P37" s="40" t="s">
        <v>1439</v>
      </c>
      <c r="Q37" s="40" t="s">
        <v>120</v>
      </c>
      <c r="R37" s="40" t="s">
        <v>47</v>
      </c>
      <c r="S37" s="41">
        <v>0</v>
      </c>
      <c r="T37" s="40" t="s">
        <v>47</v>
      </c>
      <c r="U37" s="40" t="s">
        <v>1440</v>
      </c>
      <c r="V37" s="41">
        <v>0</v>
      </c>
      <c r="W37" s="41">
        <v>7830</v>
      </c>
      <c r="X37" s="40" t="s">
        <v>1441</v>
      </c>
      <c r="Y37" s="41">
        <v>0</v>
      </c>
      <c r="Z37" s="40" t="s">
        <v>1442</v>
      </c>
      <c r="AA37" s="40" t="s">
        <v>1457</v>
      </c>
      <c r="AB37" s="41">
        <v>870</v>
      </c>
      <c r="AC37" s="41">
        <v>10</v>
      </c>
    </row>
    <row r="38" spans="1:29" ht="11.25" x14ac:dyDescent="0.15">
      <c r="A38" s="40" t="s">
        <v>1488</v>
      </c>
      <c r="B38" s="40" t="s">
        <v>1431</v>
      </c>
      <c r="C38" s="40" t="s">
        <v>164</v>
      </c>
      <c r="D38" s="40" t="s">
        <v>1432</v>
      </c>
      <c r="E38" s="40" t="s">
        <v>1433</v>
      </c>
      <c r="F38" s="40" t="s">
        <v>159</v>
      </c>
      <c r="G38" s="40" t="s">
        <v>160</v>
      </c>
      <c r="H38" s="40" t="s">
        <v>194</v>
      </c>
      <c r="I38" s="40" t="s">
        <v>88</v>
      </c>
      <c r="J38" s="40" t="s">
        <v>1434</v>
      </c>
      <c r="K38" s="41">
        <v>8700</v>
      </c>
      <c r="L38" s="40" t="s">
        <v>1435</v>
      </c>
      <c r="M38" s="40" t="s">
        <v>1436</v>
      </c>
      <c r="N38" s="40" t="s">
        <v>1437</v>
      </c>
      <c r="O38" s="40" t="s">
        <v>1438</v>
      </c>
      <c r="P38" s="40" t="s">
        <v>1439</v>
      </c>
      <c r="Q38" s="40" t="s">
        <v>120</v>
      </c>
      <c r="R38" s="40" t="s">
        <v>47</v>
      </c>
      <c r="S38" s="41">
        <v>0</v>
      </c>
      <c r="T38" s="40" t="s">
        <v>47</v>
      </c>
      <c r="U38" s="40" t="s">
        <v>1440</v>
      </c>
      <c r="V38" s="41">
        <v>0</v>
      </c>
      <c r="W38" s="41">
        <v>7830</v>
      </c>
      <c r="X38" s="40" t="s">
        <v>1441</v>
      </c>
      <c r="Y38" s="41">
        <v>0</v>
      </c>
      <c r="Z38" s="40" t="s">
        <v>1442</v>
      </c>
      <c r="AA38" s="40" t="s">
        <v>1457</v>
      </c>
      <c r="AB38" s="41">
        <v>870</v>
      </c>
      <c r="AC38" s="41">
        <v>10</v>
      </c>
    </row>
    <row r="39" spans="1:29" ht="11.25" x14ac:dyDescent="0.15">
      <c r="A39" s="40" t="s">
        <v>1489</v>
      </c>
      <c r="B39" s="40" t="s">
        <v>1431</v>
      </c>
      <c r="C39" s="40" t="s">
        <v>164</v>
      </c>
      <c r="D39" s="40" t="s">
        <v>1432</v>
      </c>
      <c r="E39" s="40" t="s">
        <v>1433</v>
      </c>
      <c r="F39" s="40" t="s">
        <v>159</v>
      </c>
      <c r="G39" s="40" t="s">
        <v>160</v>
      </c>
      <c r="H39" s="40" t="s">
        <v>194</v>
      </c>
      <c r="I39" s="40" t="s">
        <v>88</v>
      </c>
      <c r="J39" s="40" t="s">
        <v>1434</v>
      </c>
      <c r="K39" s="41">
        <v>8700</v>
      </c>
      <c r="L39" s="40" t="s">
        <v>1435</v>
      </c>
      <c r="M39" s="40" t="s">
        <v>1436</v>
      </c>
      <c r="N39" s="40" t="s">
        <v>1437</v>
      </c>
      <c r="O39" s="40" t="s">
        <v>1438</v>
      </c>
      <c r="P39" s="40" t="s">
        <v>1439</v>
      </c>
      <c r="Q39" s="40" t="s">
        <v>120</v>
      </c>
      <c r="R39" s="40" t="s">
        <v>47</v>
      </c>
      <c r="S39" s="41">
        <v>0</v>
      </c>
      <c r="T39" s="40" t="s">
        <v>47</v>
      </c>
      <c r="U39" s="40" t="s">
        <v>1440</v>
      </c>
      <c r="V39" s="41">
        <v>0</v>
      </c>
      <c r="W39" s="41">
        <v>7830</v>
      </c>
      <c r="X39" s="40" t="s">
        <v>1441</v>
      </c>
      <c r="Y39" s="41">
        <v>0</v>
      </c>
      <c r="Z39" s="40" t="s">
        <v>1442</v>
      </c>
      <c r="AA39" s="40" t="s">
        <v>1443</v>
      </c>
      <c r="AB39" s="41">
        <v>870</v>
      </c>
      <c r="AC39" s="41">
        <v>10</v>
      </c>
    </row>
    <row r="40" spans="1:29" ht="11.25" x14ac:dyDescent="0.15">
      <c r="A40" s="40" t="s">
        <v>1490</v>
      </c>
      <c r="B40" s="40" t="s">
        <v>1431</v>
      </c>
      <c r="C40" s="40" t="s">
        <v>164</v>
      </c>
      <c r="D40" s="40" t="s">
        <v>1432</v>
      </c>
      <c r="E40" s="40" t="s">
        <v>1433</v>
      </c>
      <c r="F40" s="40" t="s">
        <v>159</v>
      </c>
      <c r="G40" s="40" t="s">
        <v>160</v>
      </c>
      <c r="H40" s="40" t="s">
        <v>194</v>
      </c>
      <c r="I40" s="40" t="s">
        <v>88</v>
      </c>
      <c r="J40" s="40" t="s">
        <v>1434</v>
      </c>
      <c r="K40" s="41">
        <v>182700</v>
      </c>
      <c r="L40" s="40" t="s">
        <v>1435</v>
      </c>
      <c r="M40" s="40" t="s">
        <v>1436</v>
      </c>
      <c r="N40" s="40" t="s">
        <v>1437</v>
      </c>
      <c r="O40" s="40" t="s">
        <v>1438</v>
      </c>
      <c r="P40" s="40" t="s">
        <v>1439</v>
      </c>
      <c r="Q40" s="40" t="s">
        <v>120</v>
      </c>
      <c r="R40" s="40" t="s">
        <v>47</v>
      </c>
      <c r="S40" s="41">
        <v>0</v>
      </c>
      <c r="T40" s="40" t="s">
        <v>47</v>
      </c>
      <c r="U40" s="40" t="s">
        <v>1440</v>
      </c>
      <c r="V40" s="41">
        <v>0</v>
      </c>
      <c r="W40" s="41">
        <v>164430</v>
      </c>
      <c r="X40" s="40" t="s">
        <v>1441</v>
      </c>
      <c r="Y40" s="41">
        <v>0</v>
      </c>
      <c r="Z40" s="40" t="s">
        <v>1442</v>
      </c>
      <c r="AA40" s="40" t="s">
        <v>1448</v>
      </c>
      <c r="AB40" s="41">
        <v>18270</v>
      </c>
      <c r="AC40" s="41">
        <v>10</v>
      </c>
    </row>
    <row r="41" spans="1:29" ht="11.25" x14ac:dyDescent="0.15">
      <c r="A41" s="40" t="s">
        <v>1491</v>
      </c>
      <c r="B41" s="40" t="s">
        <v>1431</v>
      </c>
      <c r="C41" s="40" t="s">
        <v>164</v>
      </c>
      <c r="D41" s="40" t="s">
        <v>1432</v>
      </c>
      <c r="E41" s="40" t="s">
        <v>1433</v>
      </c>
      <c r="F41" s="40" t="s">
        <v>159</v>
      </c>
      <c r="G41" s="40" t="s">
        <v>160</v>
      </c>
      <c r="H41" s="40" t="s">
        <v>194</v>
      </c>
      <c r="I41" s="40" t="s">
        <v>88</v>
      </c>
      <c r="J41" s="40" t="s">
        <v>1434</v>
      </c>
      <c r="K41" s="41">
        <v>17400</v>
      </c>
      <c r="L41" s="40" t="s">
        <v>1435</v>
      </c>
      <c r="M41" s="40" t="s">
        <v>1436</v>
      </c>
      <c r="N41" s="40" t="s">
        <v>1437</v>
      </c>
      <c r="O41" s="40" t="s">
        <v>1438</v>
      </c>
      <c r="P41" s="40" t="s">
        <v>1439</v>
      </c>
      <c r="Q41" s="40" t="s">
        <v>120</v>
      </c>
      <c r="R41" s="40" t="s">
        <v>47</v>
      </c>
      <c r="S41" s="41">
        <v>0</v>
      </c>
      <c r="T41" s="40" t="s">
        <v>47</v>
      </c>
      <c r="U41" s="40" t="s">
        <v>1440</v>
      </c>
      <c r="V41" s="41">
        <v>0</v>
      </c>
      <c r="W41" s="41">
        <v>15660</v>
      </c>
      <c r="X41" s="40" t="s">
        <v>1441</v>
      </c>
      <c r="Y41" s="41">
        <v>0</v>
      </c>
      <c r="Z41" s="40" t="s">
        <v>1442</v>
      </c>
      <c r="AA41" s="40" t="s">
        <v>1445</v>
      </c>
      <c r="AB41" s="41">
        <v>1740</v>
      </c>
      <c r="AC41" s="41">
        <v>10</v>
      </c>
    </row>
    <row r="42" spans="1:29" ht="11.25" x14ac:dyDescent="0.15">
      <c r="A42" s="40" t="s">
        <v>1492</v>
      </c>
      <c r="B42" s="40" t="s">
        <v>1431</v>
      </c>
      <c r="C42" s="40" t="s">
        <v>164</v>
      </c>
      <c r="D42" s="40" t="s">
        <v>1432</v>
      </c>
      <c r="E42" s="40" t="s">
        <v>1433</v>
      </c>
      <c r="F42" s="40" t="s">
        <v>159</v>
      </c>
      <c r="G42" s="40" t="s">
        <v>160</v>
      </c>
      <c r="H42" s="40" t="s">
        <v>194</v>
      </c>
      <c r="I42" s="40" t="s">
        <v>88</v>
      </c>
      <c r="J42" s="40" t="s">
        <v>1434</v>
      </c>
      <c r="K42" s="41">
        <v>8700</v>
      </c>
      <c r="L42" s="40" t="s">
        <v>1435</v>
      </c>
      <c r="M42" s="40" t="s">
        <v>1436</v>
      </c>
      <c r="N42" s="40" t="s">
        <v>1437</v>
      </c>
      <c r="O42" s="40" t="s">
        <v>1438</v>
      </c>
      <c r="P42" s="40" t="s">
        <v>1439</v>
      </c>
      <c r="Q42" s="40" t="s">
        <v>120</v>
      </c>
      <c r="R42" s="40" t="s">
        <v>47</v>
      </c>
      <c r="S42" s="41">
        <v>0</v>
      </c>
      <c r="T42" s="40" t="s">
        <v>47</v>
      </c>
      <c r="U42" s="40" t="s">
        <v>1440</v>
      </c>
      <c r="V42" s="41">
        <v>0</v>
      </c>
      <c r="W42" s="41">
        <v>7830</v>
      </c>
      <c r="X42" s="40" t="s">
        <v>1441</v>
      </c>
      <c r="Y42" s="41">
        <v>0</v>
      </c>
      <c r="Z42" s="40" t="s">
        <v>1442</v>
      </c>
      <c r="AA42" s="40" t="s">
        <v>1443</v>
      </c>
      <c r="AB42" s="41">
        <v>870</v>
      </c>
      <c r="AC42" s="41">
        <v>10</v>
      </c>
    </row>
    <row r="43" spans="1:29" ht="11.25" x14ac:dyDescent="0.15">
      <c r="A43" s="40" t="s">
        <v>1493</v>
      </c>
      <c r="B43" s="40" t="s">
        <v>1431</v>
      </c>
      <c r="C43" s="40" t="s">
        <v>164</v>
      </c>
      <c r="D43" s="40" t="s">
        <v>1432</v>
      </c>
      <c r="E43" s="40" t="s">
        <v>1433</v>
      </c>
      <c r="F43" s="40" t="s">
        <v>159</v>
      </c>
      <c r="G43" s="40" t="s">
        <v>160</v>
      </c>
      <c r="H43" s="40" t="s">
        <v>194</v>
      </c>
      <c r="I43" s="40" t="s">
        <v>88</v>
      </c>
      <c r="J43" s="40" t="s">
        <v>1434</v>
      </c>
      <c r="K43" s="41">
        <v>52200</v>
      </c>
      <c r="L43" s="40" t="s">
        <v>1435</v>
      </c>
      <c r="M43" s="40" t="s">
        <v>1436</v>
      </c>
      <c r="N43" s="40" t="s">
        <v>1437</v>
      </c>
      <c r="O43" s="40" t="s">
        <v>1438</v>
      </c>
      <c r="P43" s="40" t="s">
        <v>1439</v>
      </c>
      <c r="Q43" s="40" t="s">
        <v>120</v>
      </c>
      <c r="R43" s="40" t="s">
        <v>47</v>
      </c>
      <c r="S43" s="41">
        <v>0</v>
      </c>
      <c r="T43" s="40" t="s">
        <v>47</v>
      </c>
      <c r="U43" s="40" t="s">
        <v>1440</v>
      </c>
      <c r="V43" s="41">
        <v>0</v>
      </c>
      <c r="W43" s="41">
        <v>46980</v>
      </c>
      <c r="X43" s="40" t="s">
        <v>1441</v>
      </c>
      <c r="Y43" s="41">
        <v>0</v>
      </c>
      <c r="Z43" s="40" t="s">
        <v>1442</v>
      </c>
      <c r="AA43" s="40" t="s">
        <v>1445</v>
      </c>
      <c r="AB43" s="41">
        <v>5220</v>
      </c>
      <c r="AC43" s="41">
        <v>10</v>
      </c>
    </row>
    <row r="44" spans="1:29" ht="11.25" x14ac:dyDescent="0.15">
      <c r="A44" s="40" t="s">
        <v>1494</v>
      </c>
      <c r="B44" s="40" t="s">
        <v>1431</v>
      </c>
      <c r="C44" s="40" t="s">
        <v>164</v>
      </c>
      <c r="D44" s="40" t="s">
        <v>1432</v>
      </c>
      <c r="E44" s="40" t="s">
        <v>1433</v>
      </c>
      <c r="F44" s="40" t="s">
        <v>159</v>
      </c>
      <c r="G44" s="40" t="s">
        <v>160</v>
      </c>
      <c r="H44" s="40" t="s">
        <v>194</v>
      </c>
      <c r="I44" s="40" t="s">
        <v>88</v>
      </c>
      <c r="J44" s="40" t="s">
        <v>1434</v>
      </c>
      <c r="K44" s="41">
        <v>8700</v>
      </c>
      <c r="L44" s="40" t="s">
        <v>1435</v>
      </c>
      <c r="M44" s="40" t="s">
        <v>1436</v>
      </c>
      <c r="N44" s="40" t="s">
        <v>1437</v>
      </c>
      <c r="O44" s="40" t="s">
        <v>1438</v>
      </c>
      <c r="P44" s="40" t="s">
        <v>1439</v>
      </c>
      <c r="Q44" s="40" t="s">
        <v>120</v>
      </c>
      <c r="R44" s="40" t="s">
        <v>47</v>
      </c>
      <c r="S44" s="41">
        <v>0</v>
      </c>
      <c r="T44" s="40" t="s">
        <v>47</v>
      </c>
      <c r="U44" s="40" t="s">
        <v>1440</v>
      </c>
      <c r="V44" s="41">
        <v>0</v>
      </c>
      <c r="W44" s="41">
        <v>7830</v>
      </c>
      <c r="X44" s="40" t="s">
        <v>1441</v>
      </c>
      <c r="Y44" s="41">
        <v>0</v>
      </c>
      <c r="Z44" s="40" t="s">
        <v>1442</v>
      </c>
      <c r="AA44" s="40" t="s">
        <v>1445</v>
      </c>
      <c r="AB44" s="41">
        <v>870</v>
      </c>
      <c r="AC44" s="41">
        <v>10</v>
      </c>
    </row>
    <row r="45" spans="1:29" ht="11.25" x14ac:dyDescent="0.15">
      <c r="A45" s="40" t="s">
        <v>1495</v>
      </c>
      <c r="B45" s="40" t="s">
        <v>1431</v>
      </c>
      <c r="C45" s="40" t="s">
        <v>164</v>
      </c>
      <c r="D45" s="40" t="s">
        <v>1432</v>
      </c>
      <c r="E45" s="40" t="s">
        <v>1433</v>
      </c>
      <c r="F45" s="40" t="s">
        <v>159</v>
      </c>
      <c r="G45" s="40" t="s">
        <v>160</v>
      </c>
      <c r="H45" s="40" t="s">
        <v>194</v>
      </c>
      <c r="I45" s="40" t="s">
        <v>88</v>
      </c>
      <c r="J45" s="40" t="s">
        <v>1434</v>
      </c>
      <c r="K45" s="41">
        <v>8700</v>
      </c>
      <c r="L45" s="40" t="s">
        <v>1435</v>
      </c>
      <c r="M45" s="40" t="s">
        <v>1436</v>
      </c>
      <c r="N45" s="40" t="s">
        <v>1437</v>
      </c>
      <c r="O45" s="40" t="s">
        <v>1438</v>
      </c>
      <c r="P45" s="40" t="s">
        <v>1439</v>
      </c>
      <c r="Q45" s="40" t="s">
        <v>120</v>
      </c>
      <c r="R45" s="40" t="s">
        <v>47</v>
      </c>
      <c r="S45" s="41">
        <v>0</v>
      </c>
      <c r="T45" s="40" t="s">
        <v>47</v>
      </c>
      <c r="U45" s="40" t="s">
        <v>1440</v>
      </c>
      <c r="V45" s="41">
        <v>0</v>
      </c>
      <c r="W45" s="41">
        <v>7830</v>
      </c>
      <c r="X45" s="40" t="s">
        <v>1441</v>
      </c>
      <c r="Y45" s="41">
        <v>0</v>
      </c>
      <c r="Z45" s="40" t="s">
        <v>1442</v>
      </c>
      <c r="AA45" s="40" t="s">
        <v>1448</v>
      </c>
      <c r="AB45" s="41">
        <v>870</v>
      </c>
      <c r="AC45" s="41">
        <v>10</v>
      </c>
    </row>
    <row r="46" spans="1:29" ht="11.25" x14ac:dyDescent="0.15">
      <c r="A46" s="40" t="s">
        <v>1496</v>
      </c>
      <c r="B46" s="40" t="s">
        <v>1431</v>
      </c>
      <c r="C46" s="40" t="s">
        <v>164</v>
      </c>
      <c r="D46" s="40" t="s">
        <v>1432</v>
      </c>
      <c r="E46" s="40" t="s">
        <v>1433</v>
      </c>
      <c r="F46" s="40" t="s">
        <v>159</v>
      </c>
      <c r="G46" s="40" t="s">
        <v>160</v>
      </c>
      <c r="H46" s="40" t="s">
        <v>194</v>
      </c>
      <c r="I46" s="40" t="s">
        <v>88</v>
      </c>
      <c r="J46" s="40" t="s">
        <v>1434</v>
      </c>
      <c r="K46" s="41">
        <v>43500</v>
      </c>
      <c r="L46" s="40" t="s">
        <v>1435</v>
      </c>
      <c r="M46" s="40" t="s">
        <v>1436</v>
      </c>
      <c r="N46" s="40" t="s">
        <v>1437</v>
      </c>
      <c r="O46" s="40" t="s">
        <v>1438</v>
      </c>
      <c r="P46" s="40" t="s">
        <v>1439</v>
      </c>
      <c r="Q46" s="40" t="s">
        <v>120</v>
      </c>
      <c r="R46" s="40" t="s">
        <v>47</v>
      </c>
      <c r="S46" s="41">
        <v>0</v>
      </c>
      <c r="T46" s="40" t="s">
        <v>47</v>
      </c>
      <c r="U46" s="40" t="s">
        <v>1440</v>
      </c>
      <c r="V46" s="41">
        <v>0</v>
      </c>
      <c r="W46" s="41">
        <v>39150</v>
      </c>
      <c r="X46" s="40" t="s">
        <v>1441</v>
      </c>
      <c r="Y46" s="41">
        <v>0</v>
      </c>
      <c r="Z46" s="40" t="s">
        <v>1442</v>
      </c>
      <c r="AA46" s="40" t="s">
        <v>1445</v>
      </c>
      <c r="AB46" s="41">
        <v>4350</v>
      </c>
      <c r="AC46" s="41">
        <v>10</v>
      </c>
    </row>
    <row r="47" spans="1:29" ht="11.25" x14ac:dyDescent="0.15">
      <c r="A47" s="40" t="s">
        <v>1497</v>
      </c>
      <c r="B47" s="40" t="s">
        <v>1431</v>
      </c>
      <c r="C47" s="40" t="s">
        <v>164</v>
      </c>
      <c r="D47" s="40" t="s">
        <v>1432</v>
      </c>
      <c r="E47" s="40" t="s">
        <v>1433</v>
      </c>
      <c r="F47" s="40" t="s">
        <v>159</v>
      </c>
      <c r="G47" s="40" t="s">
        <v>160</v>
      </c>
      <c r="H47" s="40" t="s">
        <v>194</v>
      </c>
      <c r="I47" s="40" t="s">
        <v>88</v>
      </c>
      <c r="J47" s="40" t="s">
        <v>1434</v>
      </c>
      <c r="K47" s="41">
        <v>26100</v>
      </c>
      <c r="L47" s="40" t="s">
        <v>1435</v>
      </c>
      <c r="M47" s="40" t="s">
        <v>1436</v>
      </c>
      <c r="N47" s="40" t="s">
        <v>1437</v>
      </c>
      <c r="O47" s="40" t="s">
        <v>1438</v>
      </c>
      <c r="P47" s="40" t="s">
        <v>1439</v>
      </c>
      <c r="Q47" s="40" t="s">
        <v>120</v>
      </c>
      <c r="R47" s="40" t="s">
        <v>47</v>
      </c>
      <c r="S47" s="41">
        <v>0</v>
      </c>
      <c r="T47" s="40" t="s">
        <v>47</v>
      </c>
      <c r="U47" s="40" t="s">
        <v>1440</v>
      </c>
      <c r="V47" s="41">
        <v>0</v>
      </c>
      <c r="W47" s="41">
        <v>23490</v>
      </c>
      <c r="X47" s="40" t="s">
        <v>1441</v>
      </c>
      <c r="Y47" s="41">
        <v>0</v>
      </c>
      <c r="Z47" s="40" t="s">
        <v>1442</v>
      </c>
      <c r="AA47" s="40" t="s">
        <v>1448</v>
      </c>
      <c r="AB47" s="41">
        <v>2610</v>
      </c>
      <c r="AC47" s="41">
        <v>10</v>
      </c>
    </row>
    <row r="48" spans="1:29" ht="11.25" x14ac:dyDescent="0.15">
      <c r="A48" s="40" t="s">
        <v>1498</v>
      </c>
      <c r="B48" s="40" t="s">
        <v>1431</v>
      </c>
      <c r="C48" s="40" t="s">
        <v>164</v>
      </c>
      <c r="D48" s="40" t="s">
        <v>1432</v>
      </c>
      <c r="E48" s="40" t="s">
        <v>1433</v>
      </c>
      <c r="F48" s="40" t="s">
        <v>159</v>
      </c>
      <c r="G48" s="40" t="s">
        <v>160</v>
      </c>
      <c r="H48" s="40" t="s">
        <v>194</v>
      </c>
      <c r="I48" s="40" t="s">
        <v>88</v>
      </c>
      <c r="J48" s="40" t="s">
        <v>1434</v>
      </c>
      <c r="K48" s="41">
        <v>8700</v>
      </c>
      <c r="L48" s="40" t="s">
        <v>1435</v>
      </c>
      <c r="M48" s="40" t="s">
        <v>1436</v>
      </c>
      <c r="N48" s="40" t="s">
        <v>1437</v>
      </c>
      <c r="O48" s="40" t="s">
        <v>1438</v>
      </c>
      <c r="P48" s="40" t="s">
        <v>1439</v>
      </c>
      <c r="Q48" s="40" t="s">
        <v>120</v>
      </c>
      <c r="R48" s="40" t="s">
        <v>47</v>
      </c>
      <c r="S48" s="41">
        <v>0</v>
      </c>
      <c r="T48" s="40" t="s">
        <v>47</v>
      </c>
      <c r="U48" s="40" t="s">
        <v>1440</v>
      </c>
      <c r="V48" s="41">
        <v>0</v>
      </c>
      <c r="W48" s="41">
        <v>7830</v>
      </c>
      <c r="X48" s="40" t="s">
        <v>1441</v>
      </c>
      <c r="Y48" s="41">
        <v>0</v>
      </c>
      <c r="Z48" s="40" t="s">
        <v>1442</v>
      </c>
      <c r="AA48" s="40" t="s">
        <v>1448</v>
      </c>
      <c r="AB48" s="41">
        <v>870</v>
      </c>
      <c r="AC48" s="41">
        <v>10</v>
      </c>
    </row>
    <row r="49" spans="1:29" ht="11.25" x14ac:dyDescent="0.15">
      <c r="A49" s="40" t="s">
        <v>1499</v>
      </c>
      <c r="B49" s="40" t="s">
        <v>1431</v>
      </c>
      <c r="C49" s="40" t="s">
        <v>164</v>
      </c>
      <c r="D49" s="40" t="s">
        <v>1432</v>
      </c>
      <c r="E49" s="40" t="s">
        <v>1433</v>
      </c>
      <c r="F49" s="40" t="s">
        <v>159</v>
      </c>
      <c r="G49" s="40" t="s">
        <v>160</v>
      </c>
      <c r="H49" s="40" t="s">
        <v>194</v>
      </c>
      <c r="I49" s="40" t="s">
        <v>88</v>
      </c>
      <c r="J49" s="40" t="s">
        <v>1434</v>
      </c>
      <c r="K49" s="41">
        <v>8700</v>
      </c>
      <c r="L49" s="40" t="s">
        <v>1435</v>
      </c>
      <c r="M49" s="40" t="s">
        <v>1436</v>
      </c>
      <c r="N49" s="40" t="s">
        <v>1437</v>
      </c>
      <c r="O49" s="40" t="s">
        <v>1438</v>
      </c>
      <c r="P49" s="40" t="s">
        <v>1439</v>
      </c>
      <c r="Q49" s="40" t="s">
        <v>120</v>
      </c>
      <c r="R49" s="40" t="s">
        <v>47</v>
      </c>
      <c r="S49" s="41">
        <v>0</v>
      </c>
      <c r="T49" s="40" t="s">
        <v>47</v>
      </c>
      <c r="U49" s="40" t="s">
        <v>1440</v>
      </c>
      <c r="V49" s="41">
        <v>0</v>
      </c>
      <c r="W49" s="41">
        <v>7830</v>
      </c>
      <c r="X49" s="40" t="s">
        <v>1441</v>
      </c>
      <c r="Y49" s="41">
        <v>0</v>
      </c>
      <c r="Z49" s="40" t="s">
        <v>1442</v>
      </c>
      <c r="AA49" s="40" t="s">
        <v>1448</v>
      </c>
      <c r="AB49" s="41">
        <v>870</v>
      </c>
      <c r="AC49" s="41">
        <v>10</v>
      </c>
    </row>
    <row r="50" spans="1:29" ht="11.25" x14ac:dyDescent="0.15">
      <c r="A50" s="40" t="s">
        <v>1500</v>
      </c>
      <c r="B50" s="40" t="s">
        <v>1431</v>
      </c>
      <c r="C50" s="40" t="s">
        <v>164</v>
      </c>
      <c r="D50" s="40" t="s">
        <v>1432</v>
      </c>
      <c r="E50" s="40" t="s">
        <v>1433</v>
      </c>
      <c r="F50" s="40" t="s">
        <v>159</v>
      </c>
      <c r="G50" s="40" t="s">
        <v>160</v>
      </c>
      <c r="H50" s="40" t="s">
        <v>194</v>
      </c>
      <c r="I50" s="40" t="s">
        <v>88</v>
      </c>
      <c r="J50" s="40" t="s">
        <v>1434</v>
      </c>
      <c r="K50" s="41">
        <v>8700</v>
      </c>
      <c r="L50" s="40" t="s">
        <v>1435</v>
      </c>
      <c r="M50" s="40" t="s">
        <v>1436</v>
      </c>
      <c r="N50" s="40" t="s">
        <v>1501</v>
      </c>
      <c r="O50" s="40" t="s">
        <v>1438</v>
      </c>
      <c r="P50" s="40" t="s">
        <v>1439</v>
      </c>
      <c r="Q50" s="40" t="s">
        <v>120</v>
      </c>
      <c r="R50" s="40" t="s">
        <v>47</v>
      </c>
      <c r="S50" s="41">
        <v>0</v>
      </c>
      <c r="T50" s="40" t="s">
        <v>47</v>
      </c>
      <c r="U50" s="40" t="s">
        <v>1440</v>
      </c>
      <c r="V50" s="41">
        <v>0</v>
      </c>
      <c r="W50" s="41">
        <v>7830</v>
      </c>
      <c r="X50" s="40" t="s">
        <v>1441</v>
      </c>
      <c r="Y50" s="41">
        <v>0</v>
      </c>
      <c r="Z50" s="40" t="s">
        <v>1442</v>
      </c>
      <c r="AA50" s="40" t="s">
        <v>1443</v>
      </c>
      <c r="AB50" s="41">
        <v>870</v>
      </c>
      <c r="AC50" s="41">
        <v>10</v>
      </c>
    </row>
    <row r="51" spans="1:29" ht="11.25" x14ac:dyDescent="0.15">
      <c r="A51" s="40" t="s">
        <v>1502</v>
      </c>
      <c r="B51" s="40" t="s">
        <v>1431</v>
      </c>
      <c r="C51" s="40" t="s">
        <v>163</v>
      </c>
      <c r="D51" s="40" t="s">
        <v>1432</v>
      </c>
      <c r="E51" s="40" t="s">
        <v>1433</v>
      </c>
      <c r="F51" s="40" t="s">
        <v>159</v>
      </c>
      <c r="G51" s="40" t="s">
        <v>185</v>
      </c>
      <c r="H51" s="40" t="s">
        <v>194</v>
      </c>
      <c r="I51" s="40" t="s">
        <v>88</v>
      </c>
      <c r="J51" s="40" t="s">
        <v>1434</v>
      </c>
      <c r="K51" s="41">
        <v>400000</v>
      </c>
      <c r="L51" s="40" t="s">
        <v>1503</v>
      </c>
      <c r="M51" s="40" t="s">
        <v>1436</v>
      </c>
      <c r="N51" s="40" t="s">
        <v>1504</v>
      </c>
      <c r="O51" s="40" t="s">
        <v>1440</v>
      </c>
      <c r="P51" s="40" t="s">
        <v>1439</v>
      </c>
      <c r="Q51" s="40" t="s">
        <v>47</v>
      </c>
      <c r="R51" s="40" t="s">
        <v>47</v>
      </c>
      <c r="S51" s="41">
        <v>0</v>
      </c>
      <c r="T51" s="40" t="s">
        <v>47</v>
      </c>
      <c r="U51" s="40" t="s">
        <v>1440</v>
      </c>
      <c r="V51" s="41">
        <v>0</v>
      </c>
      <c r="W51" s="41">
        <v>400000</v>
      </c>
      <c r="X51" s="40" t="s">
        <v>47</v>
      </c>
      <c r="Y51" s="41">
        <v>0</v>
      </c>
      <c r="Z51" s="40" t="s">
        <v>1442</v>
      </c>
      <c r="AA51" s="40" t="s">
        <v>1504</v>
      </c>
      <c r="AB51" s="41">
        <v>0</v>
      </c>
      <c r="AC51" s="41">
        <v>0</v>
      </c>
    </row>
    <row r="52" spans="1:29" ht="11.25" x14ac:dyDescent="0.15">
      <c r="A52" s="40" t="s">
        <v>1505</v>
      </c>
      <c r="B52" s="40" t="s">
        <v>1431</v>
      </c>
      <c r="C52" s="40" t="s">
        <v>162</v>
      </c>
      <c r="D52" s="40" t="s">
        <v>1432</v>
      </c>
      <c r="E52" s="40" t="s">
        <v>1433</v>
      </c>
      <c r="F52" s="40" t="s">
        <v>159</v>
      </c>
      <c r="G52" s="40" t="s">
        <v>160</v>
      </c>
      <c r="H52" s="40" t="s">
        <v>194</v>
      </c>
      <c r="I52" s="40" t="s">
        <v>88</v>
      </c>
      <c r="J52" s="40" t="s">
        <v>1434</v>
      </c>
      <c r="K52" s="41">
        <v>600000</v>
      </c>
      <c r="L52" s="40" t="s">
        <v>1506</v>
      </c>
      <c r="M52" s="40" t="s">
        <v>1507</v>
      </c>
      <c r="N52" s="40" t="s">
        <v>1508</v>
      </c>
      <c r="O52" s="40" t="s">
        <v>1438</v>
      </c>
      <c r="P52" s="40" t="s">
        <v>1439</v>
      </c>
      <c r="Q52" s="40" t="s">
        <v>120</v>
      </c>
      <c r="R52" s="40" t="s">
        <v>47</v>
      </c>
      <c r="S52" s="41">
        <v>0</v>
      </c>
      <c r="T52" s="40" t="s">
        <v>47</v>
      </c>
      <c r="U52" s="40" t="s">
        <v>1440</v>
      </c>
      <c r="V52" s="41">
        <v>0</v>
      </c>
      <c r="W52" s="41">
        <v>600000</v>
      </c>
      <c r="X52" s="40" t="s">
        <v>47</v>
      </c>
      <c r="Y52" s="41">
        <v>0</v>
      </c>
      <c r="Z52" s="40" t="s">
        <v>1442</v>
      </c>
      <c r="AA52" s="40" t="s">
        <v>1509</v>
      </c>
      <c r="AB52" s="41">
        <v>0</v>
      </c>
      <c r="AC52" s="41">
        <v>0</v>
      </c>
    </row>
    <row r="53" spans="1:29" ht="11.25" x14ac:dyDescent="0.15">
      <c r="A53" s="40" t="s">
        <v>1510</v>
      </c>
      <c r="B53" s="40" t="s">
        <v>1431</v>
      </c>
      <c r="C53" s="40" t="s">
        <v>162</v>
      </c>
      <c r="D53" s="40" t="s">
        <v>1432</v>
      </c>
      <c r="E53" s="40" t="s">
        <v>1433</v>
      </c>
      <c r="F53" s="40" t="s">
        <v>159</v>
      </c>
      <c r="G53" s="40" t="s">
        <v>160</v>
      </c>
      <c r="H53" s="40" t="s">
        <v>194</v>
      </c>
      <c r="I53" s="40" t="s">
        <v>88</v>
      </c>
      <c r="J53" s="40" t="s">
        <v>1434</v>
      </c>
      <c r="K53" s="41">
        <v>400000</v>
      </c>
      <c r="L53" s="40" t="s">
        <v>1506</v>
      </c>
      <c r="M53" s="40" t="s">
        <v>1507</v>
      </c>
      <c r="N53" s="40" t="s">
        <v>1508</v>
      </c>
      <c r="O53" s="40" t="s">
        <v>1438</v>
      </c>
      <c r="P53" s="40" t="s">
        <v>1439</v>
      </c>
      <c r="Q53" s="40" t="s">
        <v>120</v>
      </c>
      <c r="R53" s="40" t="s">
        <v>47</v>
      </c>
      <c r="S53" s="41">
        <v>0</v>
      </c>
      <c r="T53" s="40" t="s">
        <v>47</v>
      </c>
      <c r="U53" s="40" t="s">
        <v>1440</v>
      </c>
      <c r="V53" s="41">
        <v>0</v>
      </c>
      <c r="W53" s="41">
        <v>200000</v>
      </c>
      <c r="X53" s="40" t="s">
        <v>47</v>
      </c>
      <c r="Y53" s="41">
        <v>0</v>
      </c>
      <c r="Z53" s="40" t="s">
        <v>1442</v>
      </c>
      <c r="AA53" s="40" t="s">
        <v>1509</v>
      </c>
      <c r="AB53" s="41">
        <v>200000</v>
      </c>
      <c r="AC53" s="41">
        <v>50</v>
      </c>
    </row>
    <row r="54" spans="1:29" ht="11.25" x14ac:dyDescent="0.15">
      <c r="A54" s="40" t="s">
        <v>1511</v>
      </c>
      <c r="B54" s="40" t="s">
        <v>1431</v>
      </c>
      <c r="C54" s="40" t="s">
        <v>162</v>
      </c>
      <c r="D54" s="40" t="s">
        <v>1432</v>
      </c>
      <c r="E54" s="40" t="s">
        <v>1433</v>
      </c>
      <c r="F54" s="40" t="s">
        <v>159</v>
      </c>
      <c r="G54" s="40" t="s">
        <v>160</v>
      </c>
      <c r="H54" s="40" t="s">
        <v>194</v>
      </c>
      <c r="I54" s="40" t="s">
        <v>88</v>
      </c>
      <c r="J54" s="40" t="s">
        <v>1434</v>
      </c>
      <c r="K54" s="41">
        <v>802500</v>
      </c>
      <c r="L54" s="40" t="s">
        <v>1506</v>
      </c>
      <c r="M54" s="40" t="s">
        <v>1507</v>
      </c>
      <c r="N54" s="40" t="s">
        <v>1508</v>
      </c>
      <c r="O54" s="40" t="s">
        <v>1438</v>
      </c>
      <c r="P54" s="40" t="s">
        <v>1439</v>
      </c>
      <c r="Q54" s="40" t="s">
        <v>120</v>
      </c>
      <c r="R54" s="40" t="s">
        <v>47</v>
      </c>
      <c r="S54" s="41">
        <v>0</v>
      </c>
      <c r="T54" s="40" t="s">
        <v>47</v>
      </c>
      <c r="U54" s="40" t="s">
        <v>1440</v>
      </c>
      <c r="V54" s="41">
        <v>0</v>
      </c>
      <c r="W54" s="41">
        <v>705000</v>
      </c>
      <c r="X54" s="40" t="s">
        <v>47</v>
      </c>
      <c r="Y54" s="41">
        <v>0</v>
      </c>
      <c r="Z54" s="40" t="s">
        <v>1442</v>
      </c>
      <c r="AA54" s="40" t="s">
        <v>1509</v>
      </c>
      <c r="AB54" s="41">
        <v>97500</v>
      </c>
      <c r="AC54" s="41">
        <v>12.15</v>
      </c>
    </row>
    <row r="55" spans="1:29" ht="11.25" x14ac:dyDescent="0.15">
      <c r="A55" s="40" t="s">
        <v>1512</v>
      </c>
      <c r="B55" s="40" t="s">
        <v>1431</v>
      </c>
      <c r="C55" s="40" t="s">
        <v>164</v>
      </c>
      <c r="D55" s="40" t="s">
        <v>1432</v>
      </c>
      <c r="E55" s="40" t="s">
        <v>1433</v>
      </c>
      <c r="F55" s="40" t="s">
        <v>159</v>
      </c>
      <c r="G55" s="40" t="s">
        <v>160</v>
      </c>
      <c r="H55" s="40" t="s">
        <v>194</v>
      </c>
      <c r="I55" s="40" t="s">
        <v>88</v>
      </c>
      <c r="J55" s="40" t="s">
        <v>1434</v>
      </c>
      <c r="K55" s="41">
        <v>131500</v>
      </c>
      <c r="L55" s="40" t="s">
        <v>1435</v>
      </c>
      <c r="M55" s="40" t="s">
        <v>1436</v>
      </c>
      <c r="N55" s="40" t="s">
        <v>1473</v>
      </c>
      <c r="O55" s="40" t="s">
        <v>1438</v>
      </c>
      <c r="P55" s="40" t="s">
        <v>1439</v>
      </c>
      <c r="Q55" s="40" t="s">
        <v>120</v>
      </c>
      <c r="R55" s="40" t="s">
        <v>47</v>
      </c>
      <c r="S55" s="41">
        <v>0</v>
      </c>
      <c r="T55" s="40" t="s">
        <v>47</v>
      </c>
      <c r="U55" s="40" t="s">
        <v>1440</v>
      </c>
      <c r="V55" s="41">
        <v>0</v>
      </c>
      <c r="W55" s="41">
        <v>118350</v>
      </c>
      <c r="X55" s="40" t="s">
        <v>1441</v>
      </c>
      <c r="Y55" s="41">
        <v>0</v>
      </c>
      <c r="Z55" s="40" t="s">
        <v>1442</v>
      </c>
      <c r="AA55" s="40" t="s">
        <v>1473</v>
      </c>
      <c r="AB55" s="41">
        <v>13150</v>
      </c>
      <c r="AC55" s="41">
        <v>10</v>
      </c>
    </row>
    <row r="56" spans="1:29" ht="11.25" x14ac:dyDescent="0.15">
      <c r="A56" s="40" t="s">
        <v>1513</v>
      </c>
      <c r="B56" s="40" t="s">
        <v>1431</v>
      </c>
      <c r="C56" s="40" t="s">
        <v>163</v>
      </c>
      <c r="D56" s="40" t="s">
        <v>1432</v>
      </c>
      <c r="E56" s="40" t="s">
        <v>1433</v>
      </c>
      <c r="F56" s="40" t="s">
        <v>159</v>
      </c>
      <c r="G56" s="40" t="s">
        <v>160</v>
      </c>
      <c r="H56" s="40" t="s">
        <v>194</v>
      </c>
      <c r="I56" s="40" t="s">
        <v>88</v>
      </c>
      <c r="J56" s="40" t="s">
        <v>1434</v>
      </c>
      <c r="K56" s="41">
        <v>150000</v>
      </c>
      <c r="L56" s="40" t="s">
        <v>1514</v>
      </c>
      <c r="M56" s="40" t="s">
        <v>1515</v>
      </c>
      <c r="N56" s="40" t="s">
        <v>1516</v>
      </c>
      <c r="O56" s="40" t="s">
        <v>1438</v>
      </c>
      <c r="P56" s="40" t="s">
        <v>1439</v>
      </c>
      <c r="Q56" s="40" t="s">
        <v>120</v>
      </c>
      <c r="R56" s="40" t="s">
        <v>47</v>
      </c>
      <c r="S56" s="41">
        <v>0</v>
      </c>
      <c r="T56" s="40" t="s">
        <v>47</v>
      </c>
      <c r="U56" s="40" t="s">
        <v>1440</v>
      </c>
      <c r="V56" s="41">
        <v>0</v>
      </c>
      <c r="W56" s="41">
        <v>150000</v>
      </c>
      <c r="X56" s="40" t="s">
        <v>47</v>
      </c>
      <c r="Y56" s="41">
        <v>0</v>
      </c>
      <c r="Z56" s="40" t="s">
        <v>1442</v>
      </c>
      <c r="AA56" s="40" t="s">
        <v>1517</v>
      </c>
      <c r="AB56" s="41">
        <v>0</v>
      </c>
      <c r="AC56" s="41">
        <v>0</v>
      </c>
    </row>
    <row r="57" spans="1:29" ht="11.25" x14ac:dyDescent="0.15">
      <c r="A57" s="40" t="s">
        <v>1518</v>
      </c>
      <c r="B57" s="40" t="s">
        <v>1431</v>
      </c>
      <c r="C57" s="40" t="s">
        <v>163</v>
      </c>
      <c r="D57" s="40" t="s">
        <v>1432</v>
      </c>
      <c r="E57" s="40" t="s">
        <v>1433</v>
      </c>
      <c r="F57" s="40" t="s">
        <v>159</v>
      </c>
      <c r="G57" s="40" t="s">
        <v>160</v>
      </c>
      <c r="H57" s="40" t="s">
        <v>194</v>
      </c>
      <c r="I57" s="40" t="s">
        <v>88</v>
      </c>
      <c r="J57" s="40" t="s">
        <v>1434</v>
      </c>
      <c r="K57" s="41">
        <v>200000</v>
      </c>
      <c r="L57" s="40" t="s">
        <v>1519</v>
      </c>
      <c r="M57" s="40" t="s">
        <v>1520</v>
      </c>
      <c r="N57" s="40" t="s">
        <v>1521</v>
      </c>
      <c r="O57" s="40" t="s">
        <v>1438</v>
      </c>
      <c r="P57" s="40" t="s">
        <v>1439</v>
      </c>
      <c r="Q57" s="40" t="s">
        <v>120</v>
      </c>
      <c r="R57" s="40" t="s">
        <v>47</v>
      </c>
      <c r="S57" s="41">
        <v>0</v>
      </c>
      <c r="T57" s="40" t="s">
        <v>47</v>
      </c>
      <c r="U57" s="40" t="s">
        <v>1440</v>
      </c>
      <c r="V57" s="41">
        <v>0</v>
      </c>
      <c r="W57" s="41">
        <v>200000</v>
      </c>
      <c r="X57" s="40" t="s">
        <v>1441</v>
      </c>
      <c r="Y57" s="41">
        <v>0</v>
      </c>
      <c r="Z57" s="40" t="s">
        <v>1442</v>
      </c>
      <c r="AA57" s="40" t="s">
        <v>1521</v>
      </c>
      <c r="AB57" s="41">
        <v>0</v>
      </c>
      <c r="AC57" s="41">
        <v>0</v>
      </c>
    </row>
    <row r="58" spans="1:29" ht="11.25" x14ac:dyDescent="0.15">
      <c r="A58" s="40" t="s">
        <v>1522</v>
      </c>
      <c r="B58" s="40" t="s">
        <v>1431</v>
      </c>
      <c r="C58" s="40" t="s">
        <v>163</v>
      </c>
      <c r="D58" s="40" t="s">
        <v>1432</v>
      </c>
      <c r="E58" s="40" t="s">
        <v>1433</v>
      </c>
      <c r="F58" s="40" t="s">
        <v>159</v>
      </c>
      <c r="G58" s="40" t="s">
        <v>160</v>
      </c>
      <c r="H58" s="40" t="s">
        <v>194</v>
      </c>
      <c r="I58" s="40" t="s">
        <v>88</v>
      </c>
      <c r="J58" s="40" t="s">
        <v>1434</v>
      </c>
      <c r="K58" s="41">
        <v>210000</v>
      </c>
      <c r="L58" s="40" t="s">
        <v>1523</v>
      </c>
      <c r="M58" s="40" t="s">
        <v>1524</v>
      </c>
      <c r="N58" s="40" t="s">
        <v>1525</v>
      </c>
      <c r="O58" s="40" t="s">
        <v>1438</v>
      </c>
      <c r="P58" s="40" t="s">
        <v>1439</v>
      </c>
      <c r="Q58" s="40" t="s">
        <v>120</v>
      </c>
      <c r="R58" s="40" t="s">
        <v>47</v>
      </c>
      <c r="S58" s="41">
        <v>0</v>
      </c>
      <c r="T58" s="40" t="s">
        <v>47</v>
      </c>
      <c r="U58" s="40" t="s">
        <v>1440</v>
      </c>
      <c r="V58" s="41">
        <v>0</v>
      </c>
      <c r="W58" s="41">
        <v>140000</v>
      </c>
      <c r="X58" s="40" t="s">
        <v>1441</v>
      </c>
      <c r="Y58" s="41">
        <v>0</v>
      </c>
      <c r="Z58" s="40" t="s">
        <v>1442</v>
      </c>
      <c r="AA58" s="40" t="s">
        <v>1525</v>
      </c>
      <c r="AB58" s="41">
        <v>70000</v>
      </c>
      <c r="AC58" s="41">
        <v>33.33</v>
      </c>
    </row>
    <row r="59" spans="1:29" ht="11.25" x14ac:dyDescent="0.15">
      <c r="A59" s="40" t="s">
        <v>1526</v>
      </c>
      <c r="B59" s="40" t="s">
        <v>1431</v>
      </c>
      <c r="C59" s="40" t="s">
        <v>163</v>
      </c>
      <c r="D59" s="40" t="s">
        <v>1432</v>
      </c>
      <c r="E59" s="40" t="s">
        <v>1433</v>
      </c>
      <c r="F59" s="40" t="s">
        <v>159</v>
      </c>
      <c r="G59" s="40" t="s">
        <v>160</v>
      </c>
      <c r="H59" s="40" t="s">
        <v>194</v>
      </c>
      <c r="I59" s="40" t="s">
        <v>88</v>
      </c>
      <c r="J59" s="40" t="s">
        <v>1434</v>
      </c>
      <c r="K59" s="41">
        <v>300000</v>
      </c>
      <c r="L59" s="40" t="s">
        <v>1435</v>
      </c>
      <c r="M59" s="40" t="s">
        <v>1436</v>
      </c>
      <c r="N59" s="40" t="s">
        <v>1527</v>
      </c>
      <c r="O59" s="40" t="s">
        <v>1438</v>
      </c>
      <c r="P59" s="40" t="s">
        <v>1439</v>
      </c>
      <c r="Q59" s="40" t="s">
        <v>120</v>
      </c>
      <c r="R59" s="40" t="s">
        <v>47</v>
      </c>
      <c r="S59" s="41">
        <v>0</v>
      </c>
      <c r="T59" s="40" t="s">
        <v>47</v>
      </c>
      <c r="U59" s="40" t="s">
        <v>1440</v>
      </c>
      <c r="V59" s="41">
        <v>0</v>
      </c>
      <c r="W59" s="41">
        <v>270000</v>
      </c>
      <c r="X59" s="40" t="s">
        <v>1441</v>
      </c>
      <c r="Y59" s="41">
        <v>0</v>
      </c>
      <c r="Z59" s="40" t="s">
        <v>1442</v>
      </c>
      <c r="AA59" s="40" t="s">
        <v>1528</v>
      </c>
      <c r="AB59" s="41">
        <v>30000</v>
      </c>
      <c r="AC59" s="41">
        <v>10</v>
      </c>
    </row>
    <row r="60" spans="1:29" ht="11.25" x14ac:dyDescent="0.15">
      <c r="A60" s="40" t="s">
        <v>1529</v>
      </c>
      <c r="B60" s="40" t="s">
        <v>1431</v>
      </c>
      <c r="C60" s="40" t="s">
        <v>157</v>
      </c>
      <c r="D60" s="40" t="s">
        <v>1432</v>
      </c>
      <c r="E60" s="40" t="s">
        <v>1433</v>
      </c>
      <c r="F60" s="40" t="s">
        <v>159</v>
      </c>
      <c r="G60" s="40" t="s">
        <v>160</v>
      </c>
      <c r="H60" s="40" t="s">
        <v>194</v>
      </c>
      <c r="I60" s="40" t="s">
        <v>88</v>
      </c>
      <c r="J60" s="40" t="s">
        <v>1434</v>
      </c>
      <c r="K60" s="41">
        <v>500000</v>
      </c>
      <c r="L60" s="40" t="s">
        <v>1524</v>
      </c>
      <c r="M60" s="40" t="s">
        <v>1524</v>
      </c>
      <c r="N60" s="40" t="s">
        <v>1530</v>
      </c>
      <c r="O60" s="40" t="s">
        <v>1438</v>
      </c>
      <c r="P60" s="40" t="s">
        <v>1439</v>
      </c>
      <c r="Q60" s="40" t="s">
        <v>120</v>
      </c>
      <c r="R60" s="40" t="s">
        <v>47</v>
      </c>
      <c r="S60" s="41">
        <v>0</v>
      </c>
      <c r="T60" s="40" t="s">
        <v>47</v>
      </c>
      <c r="U60" s="40" t="s">
        <v>1440</v>
      </c>
      <c r="V60" s="41">
        <v>0</v>
      </c>
      <c r="W60" s="41">
        <v>450000</v>
      </c>
      <c r="X60" s="40" t="s">
        <v>1441</v>
      </c>
      <c r="Y60" s="41">
        <v>0</v>
      </c>
      <c r="Z60" s="40" t="s">
        <v>1442</v>
      </c>
      <c r="AA60" s="40" t="s">
        <v>1531</v>
      </c>
      <c r="AB60" s="41">
        <v>50000</v>
      </c>
      <c r="AC60" s="41">
        <v>10</v>
      </c>
    </row>
    <row r="61" spans="1:29" ht="11.25" x14ac:dyDescent="0.15">
      <c r="A61" s="40" t="s">
        <v>1532</v>
      </c>
      <c r="B61" s="40" t="s">
        <v>1431</v>
      </c>
      <c r="C61" s="40" t="s">
        <v>157</v>
      </c>
      <c r="D61" s="40" t="s">
        <v>1432</v>
      </c>
      <c r="E61" s="40" t="s">
        <v>1433</v>
      </c>
      <c r="F61" s="40" t="s">
        <v>159</v>
      </c>
      <c r="G61" s="40" t="s">
        <v>160</v>
      </c>
      <c r="H61" s="40" t="s">
        <v>194</v>
      </c>
      <c r="I61" s="40" t="s">
        <v>88</v>
      </c>
      <c r="J61" s="40" t="s">
        <v>1434</v>
      </c>
      <c r="K61" s="41">
        <v>500000</v>
      </c>
      <c r="L61" s="40" t="s">
        <v>1533</v>
      </c>
      <c r="M61" s="40" t="s">
        <v>1436</v>
      </c>
      <c r="N61" s="40" t="s">
        <v>1534</v>
      </c>
      <c r="O61" s="40" t="s">
        <v>1438</v>
      </c>
      <c r="P61" s="40" t="s">
        <v>1439</v>
      </c>
      <c r="Q61" s="40" t="s">
        <v>120</v>
      </c>
      <c r="R61" s="40" t="s">
        <v>47</v>
      </c>
      <c r="S61" s="41">
        <v>0</v>
      </c>
      <c r="T61" s="40" t="s">
        <v>47</v>
      </c>
      <c r="U61" s="40" t="s">
        <v>1440</v>
      </c>
      <c r="V61" s="41">
        <v>0</v>
      </c>
      <c r="W61" s="41">
        <v>450000</v>
      </c>
      <c r="X61" s="40" t="s">
        <v>1441</v>
      </c>
      <c r="Y61" s="41">
        <v>0</v>
      </c>
      <c r="Z61" s="40" t="s">
        <v>1442</v>
      </c>
      <c r="AA61" s="40" t="s">
        <v>1534</v>
      </c>
      <c r="AB61" s="41">
        <v>50000</v>
      </c>
      <c r="AC61" s="41">
        <v>10</v>
      </c>
    </row>
  </sheetData>
  <phoneticPr fontId="2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5" sqref="F15 B15"/>
    </sheetView>
  </sheetViews>
  <sheetFormatPr defaultColWidth="9" defaultRowHeight="13.5" x14ac:dyDescent="0.15"/>
  <cols>
    <col min="1" max="1" width="32.375" customWidth="1"/>
    <col min="2" max="2" width="13.5" customWidth="1"/>
    <col min="3" max="3" width="12.5" customWidth="1"/>
    <col min="4" max="4" width="13.5" customWidth="1"/>
    <col min="5" max="5" width="7.875" customWidth="1"/>
    <col min="6" max="6" width="12.5" customWidth="1"/>
    <col min="7" max="7" width="10.375"/>
  </cols>
  <sheetData>
    <row r="1" spans="1:6" ht="14.25" x14ac:dyDescent="0.15">
      <c r="A1" s="29" t="s">
        <v>1394</v>
      </c>
      <c r="B1" s="29" t="s">
        <v>1535</v>
      </c>
      <c r="C1" s="29" t="s">
        <v>1311</v>
      </c>
      <c r="D1" s="29" t="s">
        <v>1536</v>
      </c>
      <c r="E1" s="29" t="s">
        <v>1537</v>
      </c>
      <c r="F1" s="29" t="s">
        <v>1538</v>
      </c>
    </row>
    <row r="2" spans="1:6" ht="14.25" x14ac:dyDescent="0.3">
      <c r="A2" s="4" t="s">
        <v>1539</v>
      </c>
      <c r="B2" s="30">
        <v>21248.22</v>
      </c>
      <c r="C2" s="30"/>
      <c r="D2" s="31">
        <v>21248.22</v>
      </c>
      <c r="E2" s="32">
        <v>0.09</v>
      </c>
      <c r="F2" s="30">
        <v>1912.34</v>
      </c>
    </row>
    <row r="3" spans="1:6" ht="14.25" x14ac:dyDescent="0.3">
      <c r="A3" s="4" t="s">
        <v>230</v>
      </c>
      <c r="B3" s="30">
        <v>6472139.8899999997</v>
      </c>
      <c r="C3" s="30">
        <v>2754200</v>
      </c>
      <c r="D3" s="30">
        <v>4408714.49</v>
      </c>
      <c r="E3" s="32">
        <v>0.09</v>
      </c>
      <c r="F3" s="30">
        <v>582492.59</v>
      </c>
    </row>
    <row r="4" spans="1:6" ht="14.25" x14ac:dyDescent="0.3">
      <c r="A4" s="4" t="s">
        <v>1540</v>
      </c>
      <c r="B4" s="30">
        <v>19065.54</v>
      </c>
      <c r="C4" s="30"/>
      <c r="D4" s="30"/>
      <c r="E4" s="32">
        <v>0.09</v>
      </c>
      <c r="F4" s="30">
        <v>1715.9</v>
      </c>
    </row>
    <row r="5" spans="1:6" ht="14.25" x14ac:dyDescent="0.3">
      <c r="A5" s="4" t="s">
        <v>236</v>
      </c>
      <c r="B5" s="30">
        <v>2159.09</v>
      </c>
      <c r="C5" s="30"/>
      <c r="D5" s="30">
        <v>2159.09</v>
      </c>
      <c r="E5" s="32">
        <v>0.09</v>
      </c>
      <c r="F5" s="30">
        <v>194.32</v>
      </c>
    </row>
    <row r="6" spans="1:6" ht="14.25" x14ac:dyDescent="0.3">
      <c r="A6" s="4" t="s">
        <v>1541</v>
      </c>
      <c r="B6" s="30">
        <v>4158.16</v>
      </c>
      <c r="C6" s="30"/>
      <c r="D6" s="30">
        <v>4158.16</v>
      </c>
      <c r="E6" s="32">
        <v>0.09</v>
      </c>
      <c r="F6" s="30">
        <v>374.23</v>
      </c>
    </row>
    <row r="7" spans="1:6" ht="14.25" x14ac:dyDescent="0.3">
      <c r="A7" s="4" t="s">
        <v>261</v>
      </c>
      <c r="B7" s="30">
        <v>28116257.670000002</v>
      </c>
      <c r="C7" s="30">
        <v>2296000</v>
      </c>
      <c r="D7" s="31">
        <v>25820257.670000002</v>
      </c>
      <c r="E7" s="32">
        <v>0.09</v>
      </c>
      <c r="F7" s="30">
        <v>2530463.19</v>
      </c>
    </row>
    <row r="8" spans="1:6" ht="14.25" x14ac:dyDescent="0.3">
      <c r="A8" s="4" t="s">
        <v>1542</v>
      </c>
      <c r="B8" s="30">
        <v>1434845.24</v>
      </c>
      <c r="C8" s="30">
        <v>90815</v>
      </c>
      <c r="D8" s="30">
        <v>1344030.24</v>
      </c>
      <c r="E8" s="32">
        <v>0.09</v>
      </c>
      <c r="F8" s="30">
        <v>129136.06</v>
      </c>
    </row>
    <row r="9" spans="1:6" ht="14.25" x14ac:dyDescent="0.3">
      <c r="A9" s="4" t="s">
        <v>114</v>
      </c>
      <c r="B9" s="30">
        <v>53743.7</v>
      </c>
      <c r="C9" s="30"/>
      <c r="D9" s="31">
        <v>53743.7</v>
      </c>
      <c r="E9" s="32">
        <v>0.09</v>
      </c>
      <c r="F9" s="30">
        <v>4836.9399999999996</v>
      </c>
    </row>
    <row r="10" spans="1:6" ht="14.25" x14ac:dyDescent="0.3">
      <c r="A10" s="33" t="s">
        <v>240</v>
      </c>
      <c r="B10" s="34">
        <v>370432.8</v>
      </c>
      <c r="C10" s="34">
        <v>344471.33</v>
      </c>
      <c r="D10" s="34">
        <v>45027.01</v>
      </c>
      <c r="E10" s="35">
        <v>0.09</v>
      </c>
      <c r="F10" s="34">
        <f>B10*E10</f>
        <v>33338.951999999997</v>
      </c>
    </row>
    <row r="11" spans="1:6" ht="14.25" x14ac:dyDescent="0.3">
      <c r="A11" s="33" t="s">
        <v>240</v>
      </c>
      <c r="B11" s="34">
        <v>263859.01</v>
      </c>
      <c r="C11" s="34">
        <v>158095.741481481</v>
      </c>
      <c r="D11" s="34">
        <v>105763.26851851901</v>
      </c>
      <c r="E11" s="35">
        <v>0.13</v>
      </c>
      <c r="F11" s="34">
        <f>B11*E11</f>
        <v>34301.671300000002</v>
      </c>
    </row>
    <row r="12" spans="1:6" ht="14.25" x14ac:dyDescent="0.3">
      <c r="A12" s="4" t="s">
        <v>542</v>
      </c>
      <c r="B12" s="30">
        <v>1740299.38</v>
      </c>
      <c r="C12" s="30"/>
      <c r="D12" s="30">
        <v>1740299.38</v>
      </c>
      <c r="E12" s="32">
        <v>0.09</v>
      </c>
      <c r="F12" s="30">
        <v>156626.95000000001</v>
      </c>
    </row>
    <row r="13" spans="1:6" ht="14.25" x14ac:dyDescent="0.3">
      <c r="A13" s="4" t="s">
        <v>1543</v>
      </c>
      <c r="B13" s="30">
        <v>690774.6</v>
      </c>
      <c r="C13" s="30"/>
      <c r="D13" s="30"/>
      <c r="E13" s="32">
        <v>0.09</v>
      </c>
      <c r="F13" s="30">
        <v>62169.72</v>
      </c>
    </row>
    <row r="14" spans="1:6" ht="14.25" x14ac:dyDescent="0.3">
      <c r="A14" s="4" t="s">
        <v>258</v>
      </c>
      <c r="B14" s="30">
        <v>181691.76</v>
      </c>
      <c r="C14" s="30"/>
      <c r="D14" s="30">
        <v>181691.76</v>
      </c>
      <c r="E14" s="32">
        <v>0.09</v>
      </c>
      <c r="F14" s="30">
        <v>16352.26</v>
      </c>
    </row>
    <row r="15" spans="1:6" ht="14.25" x14ac:dyDescent="0.3">
      <c r="A15" s="4" t="s">
        <v>1544</v>
      </c>
      <c r="B15" s="30">
        <v>162000</v>
      </c>
      <c r="C15" s="30">
        <v>162000</v>
      </c>
      <c r="D15" s="30"/>
      <c r="E15" s="32">
        <v>0.09</v>
      </c>
      <c r="F15" s="30">
        <v>14580</v>
      </c>
    </row>
    <row r="16" spans="1:6" ht="14.25" x14ac:dyDescent="0.3">
      <c r="A16" s="4" t="s">
        <v>215</v>
      </c>
      <c r="B16" s="30">
        <v>986733.66</v>
      </c>
      <c r="C16" s="30"/>
      <c r="D16" s="30">
        <v>986733.66923076904</v>
      </c>
      <c r="E16" s="32">
        <v>0.09</v>
      </c>
      <c r="F16" s="30">
        <v>88806.03</v>
      </c>
    </row>
    <row r="17" spans="1:6" ht="14.25" x14ac:dyDescent="0.3">
      <c r="A17" s="36" t="s">
        <v>1545</v>
      </c>
      <c r="B17" s="37">
        <v>40519408.719999999</v>
      </c>
      <c r="C17" s="37"/>
      <c r="D17" s="37"/>
      <c r="E17" s="36"/>
      <c r="F17" s="37">
        <v>3657301.1612999998</v>
      </c>
    </row>
  </sheetData>
  <phoneticPr fontId="29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65"/>
  <sheetViews>
    <sheetView workbookViewId="0">
      <selection activeCell="D34" sqref="D34"/>
    </sheetView>
  </sheetViews>
  <sheetFormatPr defaultColWidth="8.75" defaultRowHeight="14.25" x14ac:dyDescent="0.15"/>
  <cols>
    <col min="1" max="1" width="11.125" style="1" customWidth="1"/>
    <col min="2" max="2" width="12.125" style="1" customWidth="1"/>
    <col min="3" max="3" width="14.625" style="1" customWidth="1"/>
    <col min="4" max="4" width="13.5" style="1" customWidth="1"/>
    <col min="5" max="5" width="18.25" style="1" customWidth="1"/>
    <col min="6" max="7" width="13" style="1" customWidth="1"/>
    <col min="8" max="8" width="13.5" style="1" customWidth="1"/>
    <col min="9" max="9" width="9.5" style="1" customWidth="1"/>
    <col min="10" max="10" width="11.125" style="1" customWidth="1"/>
    <col min="11" max="11" width="13.5" style="1" customWidth="1"/>
    <col min="12" max="12" width="4.875" style="1" customWidth="1"/>
    <col min="13" max="13" width="13.5" style="1" customWidth="1"/>
    <col min="14" max="16384" width="8.75" style="1"/>
  </cols>
  <sheetData>
    <row r="1" spans="1:13" x14ac:dyDescent="0.15">
      <c r="A1" s="10" t="s">
        <v>1546</v>
      </c>
    </row>
    <row r="2" spans="1:13" x14ac:dyDescent="0.15">
      <c r="A2" s="230" t="s">
        <v>1547</v>
      </c>
      <c r="B2" s="230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</row>
    <row r="3" spans="1:13" x14ac:dyDescent="0.15">
      <c r="A3" s="231" t="s">
        <v>1548</v>
      </c>
      <c r="B3" s="231"/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1"/>
    </row>
    <row r="4" spans="1:13" x14ac:dyDescent="0.3">
      <c r="A4" s="11" t="s">
        <v>5</v>
      </c>
      <c r="B4" s="232" t="s">
        <v>1549</v>
      </c>
      <c r="C4" s="233"/>
      <c r="D4" s="233"/>
      <c r="E4" s="233"/>
      <c r="F4" s="233"/>
      <c r="G4" s="233"/>
      <c r="H4" s="233"/>
      <c r="I4" s="233"/>
      <c r="J4" s="233"/>
      <c r="K4" s="233"/>
      <c r="L4" s="233"/>
      <c r="M4" s="234"/>
    </row>
    <row r="5" spans="1:13" x14ac:dyDescent="0.15">
      <c r="A5" s="12" t="s">
        <v>1550</v>
      </c>
      <c r="B5" s="12" t="s">
        <v>1551</v>
      </c>
      <c r="C5" s="12" t="s">
        <v>1552</v>
      </c>
      <c r="D5" s="12" t="s">
        <v>1553</v>
      </c>
      <c r="E5" s="12" t="s">
        <v>1554</v>
      </c>
      <c r="F5" s="12" t="s">
        <v>1555</v>
      </c>
      <c r="G5" s="12" t="s">
        <v>1556</v>
      </c>
      <c r="H5" s="12" t="s">
        <v>1557</v>
      </c>
      <c r="I5" s="12" t="s">
        <v>1558</v>
      </c>
      <c r="J5" s="12" t="s">
        <v>1559</v>
      </c>
      <c r="K5" s="12" t="s">
        <v>1560</v>
      </c>
      <c r="L5" s="12" t="s">
        <v>1561</v>
      </c>
      <c r="M5" s="12" t="s">
        <v>1562</v>
      </c>
    </row>
    <row r="6" spans="1:13" x14ac:dyDescent="0.3">
      <c r="A6" s="13" t="s">
        <v>1563</v>
      </c>
      <c r="B6" s="14">
        <v>30000000</v>
      </c>
      <c r="C6" s="15">
        <v>9792223.7364000008</v>
      </c>
      <c r="D6" s="15">
        <v>605594.14199999894</v>
      </c>
      <c r="E6" s="15">
        <v>9792223.7364000008</v>
      </c>
      <c r="F6" s="15">
        <v>0</v>
      </c>
      <c r="G6" s="15">
        <v>0</v>
      </c>
      <c r="H6" s="236">
        <v>37864702.960000001</v>
      </c>
      <c r="I6" s="26">
        <f>E6/B6</f>
        <v>0.32640745788000003</v>
      </c>
      <c r="J6" s="27">
        <v>0.1</v>
      </c>
      <c r="K6" s="15">
        <f>E6*J6+F6+G6</f>
        <v>979222.37364000012</v>
      </c>
      <c r="L6" s="15"/>
      <c r="M6" s="236">
        <f>K6+K7+K8-L6-H6</f>
        <v>7417910.5802837536</v>
      </c>
    </row>
    <row r="7" spans="1:13" x14ac:dyDescent="0.3">
      <c r="A7" s="13" t="s">
        <v>1564</v>
      </c>
      <c r="B7" s="242">
        <v>352500000</v>
      </c>
      <c r="C7" s="15">
        <v>395031498.63</v>
      </c>
      <c r="D7" s="15">
        <v>37320747.869999997</v>
      </c>
      <c r="E7" s="15">
        <v>388548762.32999998</v>
      </c>
      <c r="F7" s="15">
        <v>3052708.2239999999</v>
      </c>
      <c r="G7" s="15">
        <v>2047176.34464375</v>
      </c>
      <c r="H7" s="237"/>
      <c r="I7" s="244">
        <f>(E7+E8)/B7</f>
        <v>1.1121562155460991</v>
      </c>
      <c r="J7" s="27">
        <v>0.1</v>
      </c>
      <c r="K7" s="15">
        <f>E7*J7+F7+G7</f>
        <v>43954760.801643752</v>
      </c>
      <c r="L7" s="15"/>
      <c r="M7" s="237">
        <f t="shared" ref="M7:M8" si="0">K7-H7</f>
        <v>43954760.801643752</v>
      </c>
    </row>
    <row r="8" spans="1:13" x14ac:dyDescent="0.3">
      <c r="A8" s="13" t="s">
        <v>1565</v>
      </c>
      <c r="B8" s="243"/>
      <c r="C8" s="15">
        <v>3608148.65</v>
      </c>
      <c r="D8" s="15">
        <v>2762807.02</v>
      </c>
      <c r="E8" s="15">
        <v>3486303.65</v>
      </c>
      <c r="F8" s="15">
        <v>0</v>
      </c>
      <c r="G8" s="15">
        <v>0</v>
      </c>
      <c r="H8" s="238"/>
      <c r="I8" s="245"/>
      <c r="J8" s="27">
        <v>0.1</v>
      </c>
      <c r="K8" s="15">
        <f>E8*J8+F8+G8</f>
        <v>348630.36499999999</v>
      </c>
      <c r="L8" s="15"/>
      <c r="M8" s="238">
        <f t="shared" si="0"/>
        <v>348630.36499999999</v>
      </c>
    </row>
    <row r="9" spans="1:13" x14ac:dyDescent="0.3">
      <c r="A9" s="13" t="s">
        <v>1566</v>
      </c>
      <c r="B9" s="14">
        <f>SUM(B6:B8)</f>
        <v>382500000</v>
      </c>
      <c r="C9" s="15">
        <v>408431871.01639998</v>
      </c>
      <c r="D9" s="15">
        <v>40689149.031999998</v>
      </c>
      <c r="E9" s="16">
        <v>401827289.71640003</v>
      </c>
      <c r="F9" s="15">
        <v>3052708.2239999999</v>
      </c>
      <c r="G9" s="15">
        <v>2047176.34464375</v>
      </c>
      <c r="H9" s="16">
        <f>SUM(H6:H8)</f>
        <v>37864702.960000001</v>
      </c>
      <c r="I9" s="26">
        <f>E9/B9</f>
        <v>1.0505288620036601</v>
      </c>
      <c r="J9" s="27">
        <f>K9/E9</f>
        <v>0.11269173273981249</v>
      </c>
      <c r="K9" s="15">
        <f>SUM(K6:K8)</f>
        <v>45282613.540283754</v>
      </c>
      <c r="L9" s="15">
        <f t="shared" ref="L9" si="1">SUM(L6:L8)</f>
        <v>0</v>
      </c>
      <c r="M9" s="28">
        <f>M6</f>
        <v>7417910.5802837536</v>
      </c>
    </row>
    <row r="11" spans="1:13" x14ac:dyDescent="0.15">
      <c r="A11" s="10" t="s">
        <v>1567</v>
      </c>
      <c r="E11" s="10" t="s">
        <v>1568</v>
      </c>
    </row>
    <row r="12" spans="1:13" x14ac:dyDescent="0.3">
      <c r="A12" s="17" t="s">
        <v>1569</v>
      </c>
      <c r="B12" s="235">
        <v>3926515.07</v>
      </c>
      <c r="C12" s="235"/>
      <c r="E12" s="18"/>
      <c r="F12" s="18"/>
      <c r="G12" s="18"/>
      <c r="H12" s="18"/>
      <c r="I12" s="18"/>
      <c r="J12" s="18"/>
    </row>
    <row r="13" spans="1:13" x14ac:dyDescent="0.3">
      <c r="A13" s="19" t="s">
        <v>1570</v>
      </c>
      <c r="B13" s="19" t="s">
        <v>1571</v>
      </c>
      <c r="C13" s="20" t="s">
        <v>1572</v>
      </c>
      <c r="E13" s="18"/>
      <c r="F13" s="21"/>
      <c r="G13" s="21"/>
      <c r="H13" s="22"/>
      <c r="I13" s="21"/>
      <c r="J13" s="18"/>
    </row>
    <row r="14" spans="1:13" x14ac:dyDescent="0.3">
      <c r="A14" s="23" t="s">
        <v>1573</v>
      </c>
      <c r="B14" s="24" t="s">
        <v>1574</v>
      </c>
      <c r="C14" s="25">
        <v>2088272.7891899999</v>
      </c>
      <c r="E14" s="18"/>
      <c r="F14" s="21"/>
      <c r="G14" s="21"/>
      <c r="H14" s="22"/>
      <c r="I14" s="21"/>
      <c r="J14" s="18"/>
    </row>
    <row r="15" spans="1:13" x14ac:dyDescent="0.3">
      <c r="A15" s="23" t="s">
        <v>1575</v>
      </c>
      <c r="B15" s="24" t="s">
        <v>1027</v>
      </c>
      <c r="C15" s="25">
        <v>123384.264</v>
      </c>
      <c r="E15" s="18"/>
      <c r="F15" s="21"/>
      <c r="G15" s="21"/>
      <c r="H15" s="22"/>
      <c r="I15" s="21"/>
      <c r="J15" s="18"/>
    </row>
    <row r="16" spans="1:13" x14ac:dyDescent="0.3">
      <c r="A16" s="23" t="s">
        <v>1576</v>
      </c>
      <c r="B16" s="24" t="s">
        <v>1577</v>
      </c>
      <c r="C16" s="25">
        <v>24777.823499999999</v>
      </c>
      <c r="E16" s="18"/>
      <c r="F16" s="21"/>
      <c r="G16" s="21"/>
      <c r="H16" s="22"/>
      <c r="I16" s="21"/>
      <c r="J16" s="18"/>
    </row>
    <row r="17" spans="1:10" x14ac:dyDescent="0.3">
      <c r="A17" s="23" t="s">
        <v>1578</v>
      </c>
      <c r="B17" s="24" t="s">
        <v>929</v>
      </c>
      <c r="C17" s="25">
        <v>23526.423999999999</v>
      </c>
      <c r="E17" s="18"/>
      <c r="F17" s="21"/>
      <c r="G17" s="21"/>
      <c r="H17" s="22"/>
      <c r="I17" s="21"/>
      <c r="J17" s="18"/>
    </row>
    <row r="18" spans="1:10" x14ac:dyDescent="0.3">
      <c r="A18" s="23" t="s">
        <v>1579</v>
      </c>
      <c r="B18" s="24" t="s">
        <v>1580</v>
      </c>
      <c r="C18" s="25">
        <v>8356.9060000000009</v>
      </c>
      <c r="E18" s="18"/>
      <c r="F18" s="21"/>
      <c r="G18" s="21"/>
      <c r="H18" s="22"/>
      <c r="I18" s="21"/>
      <c r="J18" s="18"/>
    </row>
    <row r="19" spans="1:10" x14ac:dyDescent="0.3">
      <c r="A19" s="23" t="s">
        <v>1581</v>
      </c>
      <c r="B19" s="24" t="s">
        <v>1582</v>
      </c>
      <c r="C19" s="25">
        <v>943.05200000000002</v>
      </c>
      <c r="E19" s="18"/>
      <c r="F19" s="21"/>
      <c r="G19" s="21"/>
      <c r="H19" s="22"/>
      <c r="I19" s="21"/>
      <c r="J19" s="18"/>
    </row>
    <row r="20" spans="1:10" x14ac:dyDescent="0.3">
      <c r="A20" s="23" t="s">
        <v>1583</v>
      </c>
      <c r="B20" s="24" t="s">
        <v>1584</v>
      </c>
      <c r="C20" s="25">
        <v>864.27599999999995</v>
      </c>
      <c r="E20" s="18"/>
      <c r="F20" s="21"/>
      <c r="G20" s="21"/>
      <c r="H20" s="22"/>
      <c r="I20" s="21"/>
      <c r="J20" s="18"/>
    </row>
    <row r="21" spans="1:10" x14ac:dyDescent="0.3">
      <c r="A21" s="24" t="s">
        <v>1585</v>
      </c>
      <c r="B21" s="24" t="s">
        <v>1586</v>
      </c>
      <c r="C21" s="25">
        <v>29852.322</v>
      </c>
      <c r="E21" s="18"/>
      <c r="F21" s="21"/>
      <c r="G21" s="21"/>
      <c r="H21" s="22"/>
      <c r="I21" s="21"/>
      <c r="J21" s="18"/>
    </row>
    <row r="22" spans="1:10" x14ac:dyDescent="0.3">
      <c r="A22" s="24" t="s">
        <v>1587</v>
      </c>
      <c r="B22" s="24" t="s">
        <v>1588</v>
      </c>
      <c r="C22" s="25">
        <v>1502672.78</v>
      </c>
      <c r="E22" s="18"/>
      <c r="F22" s="21"/>
      <c r="G22" s="21"/>
      <c r="H22" s="22"/>
      <c r="I22" s="21"/>
      <c r="J22" s="18"/>
    </row>
    <row r="23" spans="1:10" x14ac:dyDescent="0.3">
      <c r="A23" s="24" t="s">
        <v>1589</v>
      </c>
      <c r="B23" s="24" t="s">
        <v>1590</v>
      </c>
      <c r="C23" s="25">
        <v>75501.683000000005</v>
      </c>
      <c r="E23" s="18"/>
      <c r="F23" s="21"/>
      <c r="G23" s="21"/>
      <c r="H23" s="22"/>
      <c r="I23" s="21"/>
      <c r="J23" s="18"/>
    </row>
    <row r="24" spans="1:10" x14ac:dyDescent="0.3">
      <c r="A24" s="24" t="s">
        <v>1591</v>
      </c>
      <c r="B24" s="24" t="s">
        <v>1592</v>
      </c>
      <c r="C24" s="25">
        <v>48362.750310000003</v>
      </c>
      <c r="E24" s="18"/>
      <c r="F24" s="21"/>
      <c r="G24" s="21"/>
      <c r="H24" s="22"/>
      <c r="I24" s="21"/>
      <c r="J24" s="18"/>
    </row>
    <row r="25" spans="1:10" x14ac:dyDescent="0.3">
      <c r="A25" s="17" t="s">
        <v>1593</v>
      </c>
      <c r="B25" s="235">
        <v>678128.2</v>
      </c>
      <c r="C25" s="235"/>
      <c r="E25" s="18"/>
      <c r="F25" s="21"/>
      <c r="G25" s="21"/>
      <c r="H25" s="22"/>
      <c r="I25" s="21"/>
      <c r="J25" s="18"/>
    </row>
    <row r="26" spans="1:10" x14ac:dyDescent="0.3">
      <c r="A26" s="246" t="s">
        <v>1594</v>
      </c>
      <c r="B26" s="246"/>
      <c r="C26" s="246"/>
      <c r="E26" s="18"/>
      <c r="F26" s="21"/>
      <c r="G26" s="21"/>
      <c r="H26" s="22"/>
      <c r="I26" s="21"/>
      <c r="J26" s="18"/>
    </row>
    <row r="27" spans="1:10" x14ac:dyDescent="0.3">
      <c r="A27" s="17" t="s">
        <v>1595</v>
      </c>
      <c r="B27" s="235">
        <v>4385.3770000000004</v>
      </c>
      <c r="C27" s="235"/>
      <c r="E27" s="18"/>
      <c r="F27" s="21"/>
      <c r="G27" s="21"/>
      <c r="H27" s="22"/>
      <c r="I27" s="21"/>
      <c r="J27" s="18"/>
    </row>
    <row r="28" spans="1:10" x14ac:dyDescent="0.3">
      <c r="A28" s="239" t="s">
        <v>1596</v>
      </c>
      <c r="B28" s="240"/>
      <c r="C28" s="241"/>
      <c r="E28" s="18"/>
      <c r="F28" s="21"/>
      <c r="G28" s="21"/>
      <c r="H28" s="22"/>
      <c r="I28" s="21"/>
      <c r="J28" s="18"/>
    </row>
    <row r="29" spans="1:10" x14ac:dyDescent="0.3">
      <c r="A29" s="17" t="s">
        <v>1555</v>
      </c>
      <c r="B29" s="235">
        <v>97400.31</v>
      </c>
      <c r="C29" s="235"/>
      <c r="E29" s="18"/>
      <c r="F29" s="21"/>
      <c r="G29" s="21"/>
      <c r="H29" s="22"/>
      <c r="I29" s="21"/>
      <c r="J29" s="18"/>
    </row>
    <row r="30" spans="1:10" x14ac:dyDescent="0.3">
      <c r="A30" s="239" t="s">
        <v>1596</v>
      </c>
      <c r="B30" s="240"/>
      <c r="C30" s="241"/>
      <c r="E30" s="18"/>
      <c r="F30" s="21"/>
      <c r="G30" s="21"/>
      <c r="H30" s="22"/>
      <c r="I30" s="21"/>
      <c r="J30" s="18"/>
    </row>
    <row r="31" spans="1:10" x14ac:dyDescent="0.3">
      <c r="A31" s="17" t="s">
        <v>1556</v>
      </c>
      <c r="B31" s="235">
        <v>1083703.95</v>
      </c>
      <c r="C31" s="235"/>
      <c r="E31" s="18"/>
      <c r="F31" s="21"/>
      <c r="G31" s="21"/>
      <c r="H31" s="22"/>
      <c r="I31" s="21"/>
      <c r="J31" s="18"/>
    </row>
    <row r="32" spans="1:10" x14ac:dyDescent="0.3">
      <c r="A32" s="239" t="s">
        <v>1596</v>
      </c>
      <c r="B32" s="240"/>
      <c r="C32" s="241"/>
      <c r="E32" s="18"/>
      <c r="F32" s="21"/>
      <c r="G32" s="21"/>
      <c r="H32" s="22"/>
      <c r="I32" s="21"/>
      <c r="J32" s="18"/>
    </row>
    <row r="33" spans="1:23" x14ac:dyDescent="0.3">
      <c r="E33" s="18"/>
      <c r="F33" s="21"/>
      <c r="G33" s="21"/>
      <c r="H33" s="22"/>
      <c r="I33" s="21"/>
      <c r="J33" s="18"/>
    </row>
    <row r="34" spans="1:23" x14ac:dyDescent="0.3">
      <c r="E34" s="18"/>
      <c r="F34" s="21"/>
      <c r="G34" s="21"/>
      <c r="H34" s="22"/>
      <c r="I34" s="21"/>
      <c r="J34" s="18"/>
    </row>
    <row r="35" spans="1:23" x14ac:dyDescent="0.3">
      <c r="A35" s="10" t="s">
        <v>1597</v>
      </c>
      <c r="E35" s="18"/>
      <c r="F35" s="21"/>
      <c r="G35" s="21"/>
      <c r="H35" s="22"/>
      <c r="I35" s="21"/>
      <c r="J35" s="18"/>
      <c r="W35"/>
    </row>
    <row r="36" spans="1:23" x14ac:dyDescent="0.3">
      <c r="E36" s="18"/>
      <c r="F36" s="21"/>
      <c r="G36" s="21"/>
      <c r="H36" s="22"/>
      <c r="I36" s="21"/>
      <c r="J36" s="18"/>
    </row>
    <row r="37" spans="1:23" x14ac:dyDescent="0.3">
      <c r="E37" s="18"/>
      <c r="F37" s="21"/>
      <c r="G37" s="21"/>
      <c r="H37" s="22"/>
      <c r="I37" s="21"/>
      <c r="J37" s="18"/>
    </row>
    <row r="65" spans="1:1" x14ac:dyDescent="0.15">
      <c r="A65" s="10" t="s">
        <v>1598</v>
      </c>
    </row>
  </sheetData>
  <mergeCells count="16">
    <mergeCell ref="B31:C31"/>
    <mergeCell ref="A32:C32"/>
    <mergeCell ref="B7:B8"/>
    <mergeCell ref="H6:H8"/>
    <mergeCell ref="I7:I8"/>
    <mergeCell ref="A26:C26"/>
    <mergeCell ref="B27:C27"/>
    <mergeCell ref="A28:C28"/>
    <mergeCell ref="B29:C29"/>
    <mergeCell ref="A30:C30"/>
    <mergeCell ref="A2:M2"/>
    <mergeCell ref="A3:M3"/>
    <mergeCell ref="B4:M4"/>
    <mergeCell ref="B12:C12"/>
    <mergeCell ref="B25:C25"/>
    <mergeCell ref="M6:M8"/>
  </mergeCells>
  <phoneticPr fontId="29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Sheet10</vt:lpstr>
      <vt:lpstr>Sheet2</vt:lpstr>
      <vt:lpstr>魅族</vt:lpstr>
      <vt:lpstr>百度</vt:lpstr>
      <vt:lpstr>华为</vt:lpstr>
      <vt:lpstr>点评</vt:lpstr>
      <vt:lpstr>搜狗</vt:lpstr>
      <vt:lpstr>vivo</vt:lpstr>
      <vt:lpstr>其他</vt:lpstr>
      <vt:lpstr>小米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YZYSTS</cp:lastModifiedBy>
  <cp:lastPrinted>2018-02-12T11:38:00Z</cp:lastPrinted>
  <dcterms:created xsi:type="dcterms:W3CDTF">2018-02-12T08:11:00Z</dcterms:created>
  <dcterms:modified xsi:type="dcterms:W3CDTF">2020-07-30T08:44:12Z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  <property fmtid="{D5CDD505-2E9C-101B-9397-08002B2CF9AE}" pid="3" name="KSOReadingLayout">
    <vt:bool>true</vt:bool>
  </property>
</Properties>
</file>