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多彩运营\-\"/>
    </mc:Choice>
  </mc:AlternateContent>
  <bookViews>
    <workbookView xWindow="0" yWindow="0" windowWidth="21600" windowHeight="9930"/>
  </bookViews>
  <sheets>
    <sheet name="客户表" sheetId="1" r:id="rId1"/>
    <sheet name="媒体表" sheetId="2" r:id="rId2"/>
  </sheets>
  <definedNames>
    <definedName name="_xlnm._FilterDatabase" localSheetId="0" hidden="1">客户表!$A$1:$AE$70</definedName>
    <definedName name="_xlnm._FilterDatabase" localSheetId="1" hidden="1">媒体表!$A$1:$T$14</definedName>
  </definedNames>
  <calcPr calcId="152511" concurrentCalc="0"/>
</workbook>
</file>

<file path=xl/calcChain.xml><?xml version="1.0" encoding="utf-8"?>
<calcChain xmlns="http://schemas.openxmlformats.org/spreadsheetml/2006/main">
  <c r="N14" i="2" l="1"/>
  <c r="P14" i="2"/>
  <c r="Q14" i="2"/>
  <c r="R14" i="2"/>
  <c r="N13" i="2"/>
  <c r="P13" i="2"/>
  <c r="Q13" i="2"/>
  <c r="R13" i="2"/>
  <c r="N12" i="2"/>
  <c r="P12" i="2"/>
  <c r="Q12" i="2"/>
  <c r="R12" i="2"/>
  <c r="N11" i="2"/>
  <c r="P11" i="2"/>
  <c r="Q11" i="2"/>
  <c r="R11" i="2"/>
  <c r="N10" i="2"/>
  <c r="J10" i="2"/>
  <c r="P10" i="2"/>
  <c r="Q10" i="2"/>
  <c r="R10" i="2"/>
  <c r="L10" i="2"/>
  <c r="N9" i="2"/>
  <c r="J9" i="2"/>
  <c r="P9" i="2"/>
  <c r="Q9" i="2"/>
  <c r="R9" i="2"/>
  <c r="L9" i="2"/>
  <c r="V60" i="1"/>
  <c r="N8" i="2"/>
  <c r="J8" i="2"/>
  <c r="P8" i="2"/>
  <c r="Q8" i="2"/>
  <c r="R8" i="2"/>
  <c r="L8" i="2"/>
  <c r="N7" i="2"/>
  <c r="J7" i="2"/>
  <c r="P7" i="2"/>
  <c r="Q7" i="2"/>
  <c r="R7" i="2"/>
  <c r="L7" i="2"/>
  <c r="V56" i="1"/>
  <c r="N6" i="2"/>
  <c r="J6" i="2"/>
  <c r="P6" i="2"/>
  <c r="Q6" i="2"/>
  <c r="R6" i="2"/>
  <c r="L6" i="2"/>
  <c r="N5" i="2"/>
  <c r="J5" i="2"/>
  <c r="P5" i="2"/>
  <c r="Q5" i="2"/>
  <c r="R5" i="2"/>
  <c r="L5" i="2"/>
  <c r="V22" i="1"/>
  <c r="V23" i="1"/>
  <c r="V24" i="1"/>
  <c r="V25" i="1"/>
  <c r="V2" i="1"/>
  <c r="V4" i="1"/>
  <c r="V5" i="1"/>
  <c r="V6" i="1"/>
  <c r="V7" i="1"/>
  <c r="V8" i="1"/>
  <c r="V9" i="1"/>
  <c r="V11" i="1"/>
  <c r="V12" i="1"/>
  <c r="V13" i="1"/>
  <c r="V14" i="1"/>
  <c r="V15" i="1"/>
  <c r="V16" i="1"/>
  <c r="V17" i="1"/>
  <c r="V18" i="1"/>
  <c r="V19" i="1"/>
  <c r="V20" i="1"/>
  <c r="V21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N4" i="2"/>
  <c r="J4" i="2"/>
  <c r="P4" i="2"/>
  <c r="Q4" i="2"/>
  <c r="R4" i="2"/>
  <c r="L4" i="2"/>
  <c r="N3" i="2"/>
  <c r="J3" i="2"/>
  <c r="P3" i="2"/>
  <c r="Q3" i="2"/>
  <c r="R3" i="2"/>
  <c r="L3" i="2"/>
  <c r="N2" i="2"/>
  <c r="G2" i="2"/>
  <c r="H2" i="2"/>
  <c r="J2" i="2"/>
  <c r="P2" i="2"/>
  <c r="Q2" i="2"/>
  <c r="R2" i="2"/>
  <c r="L2" i="2"/>
  <c r="J70" i="1"/>
  <c r="J69" i="1"/>
  <c r="J68" i="1"/>
  <c r="J67" i="1"/>
  <c r="J66" i="1"/>
  <c r="J65" i="1"/>
  <c r="J64" i="1"/>
  <c r="J63" i="1"/>
  <c r="J62" i="1"/>
  <c r="J61" i="1"/>
  <c r="X60" i="1"/>
  <c r="U60" i="1"/>
  <c r="J60" i="1"/>
  <c r="J59" i="1"/>
  <c r="J58" i="1"/>
  <c r="X57" i="1"/>
  <c r="J57" i="1"/>
  <c r="X56" i="1"/>
  <c r="J56" i="1"/>
  <c r="Y55" i="1"/>
  <c r="X55" i="1"/>
  <c r="U55" i="1"/>
  <c r="J55" i="1"/>
  <c r="Y54" i="1"/>
  <c r="X54" i="1"/>
  <c r="U54" i="1"/>
  <c r="J54" i="1"/>
  <c r="Y53" i="1"/>
  <c r="X53" i="1"/>
  <c r="U53" i="1"/>
  <c r="J53" i="1"/>
  <c r="Y52" i="1"/>
  <c r="X52" i="1"/>
  <c r="U52" i="1"/>
  <c r="J52" i="1"/>
  <c r="Y51" i="1"/>
  <c r="X51" i="1"/>
  <c r="U51" i="1"/>
  <c r="J51" i="1"/>
  <c r="Y50" i="1"/>
  <c r="X50" i="1"/>
  <c r="U50" i="1"/>
  <c r="J50" i="1"/>
  <c r="Y49" i="1"/>
  <c r="X49" i="1"/>
  <c r="U49" i="1"/>
  <c r="J49" i="1"/>
  <c r="Y48" i="1"/>
  <c r="X48" i="1"/>
  <c r="U48" i="1"/>
  <c r="J48" i="1"/>
  <c r="Y47" i="1"/>
  <c r="X47" i="1"/>
  <c r="U47" i="1"/>
  <c r="J47" i="1"/>
  <c r="Y46" i="1"/>
  <c r="X46" i="1"/>
  <c r="U46" i="1"/>
  <c r="J46" i="1"/>
  <c r="Y45" i="1"/>
  <c r="X45" i="1"/>
  <c r="U45" i="1"/>
  <c r="J45" i="1"/>
  <c r="Y44" i="1"/>
  <c r="X44" i="1"/>
  <c r="U44" i="1"/>
  <c r="J44" i="1"/>
  <c r="Y43" i="1"/>
  <c r="X43" i="1"/>
  <c r="U43" i="1"/>
  <c r="J43" i="1"/>
  <c r="Y42" i="1"/>
  <c r="X42" i="1"/>
  <c r="U42" i="1"/>
  <c r="J42" i="1"/>
  <c r="Y41" i="1"/>
  <c r="X41" i="1"/>
  <c r="U41" i="1"/>
  <c r="J41" i="1"/>
  <c r="Y40" i="1"/>
  <c r="X40" i="1"/>
  <c r="U40" i="1"/>
  <c r="J40" i="1"/>
  <c r="Y39" i="1"/>
  <c r="X39" i="1"/>
  <c r="U39" i="1"/>
  <c r="J39" i="1"/>
  <c r="Y38" i="1"/>
  <c r="X38" i="1"/>
  <c r="U38" i="1"/>
  <c r="J38" i="1"/>
  <c r="Y37" i="1"/>
  <c r="X37" i="1"/>
  <c r="U37" i="1"/>
  <c r="J37" i="1"/>
  <c r="Y36" i="1"/>
  <c r="X36" i="1"/>
  <c r="U36" i="1"/>
  <c r="J36" i="1"/>
  <c r="Y35" i="1"/>
  <c r="X35" i="1"/>
  <c r="U35" i="1"/>
  <c r="J35" i="1"/>
  <c r="Y34" i="1"/>
  <c r="X34" i="1"/>
  <c r="U34" i="1"/>
  <c r="J34" i="1"/>
  <c r="Y33" i="1"/>
  <c r="X33" i="1"/>
  <c r="U33" i="1"/>
  <c r="J33" i="1"/>
  <c r="Y32" i="1"/>
  <c r="X32" i="1"/>
  <c r="U32" i="1"/>
  <c r="J32" i="1"/>
  <c r="Y31" i="1"/>
  <c r="X31" i="1"/>
  <c r="U31" i="1"/>
  <c r="J31" i="1"/>
  <c r="Y30" i="1"/>
  <c r="X30" i="1"/>
  <c r="U30" i="1"/>
  <c r="J30" i="1"/>
  <c r="Y29" i="1"/>
  <c r="X29" i="1"/>
  <c r="U29" i="1"/>
  <c r="J29" i="1"/>
  <c r="Y28" i="1"/>
  <c r="X28" i="1"/>
  <c r="U28" i="1"/>
  <c r="J28" i="1"/>
  <c r="Y27" i="1"/>
  <c r="X27" i="1"/>
  <c r="U27" i="1"/>
  <c r="J27" i="1"/>
  <c r="Y26" i="1"/>
  <c r="X26" i="1"/>
  <c r="U26" i="1"/>
  <c r="J26" i="1"/>
  <c r="Y25" i="1"/>
  <c r="X25" i="1"/>
  <c r="U25" i="1"/>
  <c r="J25" i="1"/>
  <c r="Y24" i="1"/>
  <c r="X24" i="1"/>
  <c r="U24" i="1"/>
  <c r="J24" i="1"/>
  <c r="Y23" i="1"/>
  <c r="X23" i="1"/>
  <c r="U23" i="1"/>
  <c r="J23" i="1"/>
  <c r="Y22" i="1"/>
  <c r="X22" i="1"/>
  <c r="U22" i="1"/>
  <c r="J22" i="1"/>
  <c r="Y21" i="1"/>
  <c r="X21" i="1"/>
  <c r="U21" i="1"/>
  <c r="J21" i="1"/>
  <c r="Y20" i="1"/>
  <c r="X20" i="1"/>
  <c r="U20" i="1"/>
  <c r="J20" i="1"/>
  <c r="Y19" i="1"/>
  <c r="X19" i="1"/>
  <c r="U19" i="1"/>
  <c r="J19" i="1"/>
  <c r="Y18" i="1"/>
  <c r="X18" i="1"/>
  <c r="U18" i="1"/>
  <c r="J18" i="1"/>
  <c r="Y17" i="1"/>
  <c r="X17" i="1"/>
  <c r="U17" i="1"/>
  <c r="J17" i="1"/>
  <c r="Y16" i="1"/>
  <c r="X16" i="1"/>
  <c r="U16" i="1"/>
  <c r="J16" i="1"/>
  <c r="Y15" i="1"/>
  <c r="X15" i="1"/>
  <c r="U15" i="1"/>
  <c r="J15" i="1"/>
  <c r="Y14" i="1"/>
  <c r="X14" i="1"/>
  <c r="U14" i="1"/>
  <c r="J14" i="1"/>
  <c r="Y13" i="1"/>
  <c r="X13" i="1"/>
  <c r="U13" i="1"/>
  <c r="J13" i="1"/>
  <c r="Y12" i="1"/>
  <c r="X12" i="1"/>
  <c r="J12" i="1"/>
  <c r="Y11" i="1"/>
  <c r="X11" i="1"/>
  <c r="U11" i="1"/>
  <c r="J11" i="1"/>
  <c r="X10" i="1"/>
  <c r="U10" i="1"/>
  <c r="J10" i="1"/>
  <c r="Y9" i="1"/>
  <c r="X9" i="1"/>
  <c r="U9" i="1"/>
  <c r="J9" i="1"/>
  <c r="Y8" i="1"/>
  <c r="X8" i="1"/>
  <c r="U8" i="1"/>
  <c r="J8" i="1"/>
  <c r="Y7" i="1"/>
  <c r="X7" i="1"/>
  <c r="U7" i="1"/>
  <c r="J7" i="1"/>
  <c r="Y6" i="1"/>
  <c r="X6" i="1"/>
  <c r="U6" i="1"/>
  <c r="J6" i="1"/>
  <c r="Y5" i="1"/>
  <c r="X5" i="1"/>
  <c r="U5" i="1"/>
  <c r="J5" i="1"/>
  <c r="Y4" i="1"/>
  <c r="X4" i="1"/>
  <c r="U4" i="1"/>
  <c r="J4" i="1"/>
  <c r="U3" i="1"/>
  <c r="J3" i="1"/>
  <c r="Y2" i="1"/>
  <c r="X2" i="1"/>
  <c r="U2" i="1"/>
  <c r="J2" i="1"/>
</calcChain>
</file>

<file path=xl/comments1.xml><?xml version="1.0" encoding="utf-8"?>
<comments xmlns="http://schemas.openxmlformats.org/spreadsheetml/2006/main">
  <authors>
    <author>作者</author>
  </authors>
  <commentLis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H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sharedStrings.xml><?xml version="1.0" encoding="utf-8"?>
<sst xmlns="http://schemas.openxmlformats.org/spreadsheetml/2006/main" count="1084" uniqueCount="223">
  <si>
    <t>周期</t>
  </si>
  <si>
    <t>签约主体</t>
  </si>
  <si>
    <t>事业部</t>
  </si>
  <si>
    <t>销售</t>
  </si>
  <si>
    <t>客户名称</t>
  </si>
  <si>
    <t>OA客户名称</t>
  </si>
  <si>
    <t>入账名称</t>
  </si>
  <si>
    <t>投放媒体</t>
  </si>
  <si>
    <t>媒体简称</t>
  </si>
  <si>
    <t>媒体主体</t>
  </si>
  <si>
    <t>媒体账户名称</t>
  </si>
  <si>
    <t>产品</t>
  </si>
  <si>
    <t>广告形式</t>
  </si>
  <si>
    <t>返还形式</t>
  </si>
  <si>
    <t>客户优惠政策</t>
  </si>
  <si>
    <t>广告主ID</t>
  </si>
  <si>
    <t>特殊情况</t>
  </si>
  <si>
    <t>期初账户余额</t>
  </si>
  <si>
    <t>本期已充值金额</t>
  </si>
  <si>
    <t>本期总消耗</t>
  </si>
  <si>
    <t>本期期末账户余额</t>
  </si>
  <si>
    <t>客户现金消耗</t>
  </si>
  <si>
    <t>服务费</t>
  </si>
  <si>
    <t>客户优惠消耗</t>
  </si>
  <si>
    <t>媒体现金消耗</t>
  </si>
  <si>
    <t>媒体返点比例</t>
  </si>
  <si>
    <t>本期毛利</t>
  </si>
  <si>
    <t>运营备注</t>
  </si>
  <si>
    <t>媒介备注</t>
  </si>
  <si>
    <t>结算周期</t>
  </si>
  <si>
    <t>媒体折扣</t>
  </si>
  <si>
    <t>2020年1月</t>
  </si>
  <si>
    <t>北京多彩</t>
  </si>
  <si>
    <t>事业4部</t>
  </si>
  <si>
    <t>罗嘉欣</t>
  </si>
  <si>
    <t>广州虎牙信息科技有限公司</t>
  </si>
  <si>
    <t>北京多彩-广州虎牙信息科技有限公司</t>
  </si>
  <si>
    <t>北京多彩互动广告有限公司</t>
  </si>
  <si>
    <t>北京百度网讯科技有限公司-2020</t>
  </si>
  <si>
    <t>金源广告-百度-2018</t>
  </si>
  <si>
    <t>CPD</t>
  </si>
  <si>
    <t>无</t>
  </si>
  <si>
    <t>垫付</t>
  </si>
  <si>
    <t>金源广告</t>
  </si>
  <si>
    <t>事业5部</t>
  </si>
  <si>
    <t>王玥</t>
  </si>
  <si>
    <t>北京迪爱慈广告有限公司</t>
  </si>
  <si>
    <t>中国第一汽车股份有限公司</t>
  </si>
  <si>
    <t>CPC</t>
  </si>
  <si>
    <t>一汽丰田汽车销售有限公司</t>
  </si>
  <si>
    <t>税点</t>
  </si>
  <si>
    <t>事业3部</t>
  </si>
  <si>
    <t>王曦</t>
  </si>
  <si>
    <t>北京维康恒美信息技术有限公司</t>
  </si>
  <si>
    <t>北京多彩-北京维康恒美信息技术有限公司1</t>
  </si>
  <si>
    <t>预付</t>
  </si>
  <si>
    <t>返货</t>
  </si>
  <si>
    <t>事业6部</t>
  </si>
  <si>
    <t>沈长颖</t>
  </si>
  <si>
    <t>南宁市昆达智能科技有限公司</t>
  </si>
  <si>
    <t>北京奇虎科技有限公司</t>
  </si>
  <si>
    <t>返现</t>
  </si>
  <si>
    <t>广州天行客网络科技有限公司</t>
  </si>
  <si>
    <t>事业2部</t>
  </si>
  <si>
    <t>戴平（销售）</t>
  </si>
  <si>
    <t>国泰君安期货有限公司</t>
  </si>
  <si>
    <t>新余盈宇互娱网络科技有限公司</t>
  </si>
  <si>
    <t>北京多彩-新余盈宇互娱网络科技有限公司</t>
  </si>
  <si>
    <t>李岳东</t>
  </si>
  <si>
    <t>武汉音节跳动科技有限公司</t>
  </si>
  <si>
    <t>北京多彩-武汉音节跳动科技有限公司</t>
  </si>
  <si>
    <t>深圳策略一二三网络有限公司</t>
  </si>
  <si>
    <t>上海享送信息科技有限公司</t>
  </si>
  <si>
    <t>北京多彩互动广告有限公司-上海享送信息科技有限公司</t>
  </si>
  <si>
    <t>上海享物说网络科技有限公司</t>
  </si>
  <si>
    <t>上海申友广告有限公司</t>
  </si>
  <si>
    <t>北京多彩互动广告有限公司-上海申友广告有限公司</t>
  </si>
  <si>
    <t>王璟（销售）</t>
  </si>
  <si>
    <t>宁波奇幻信息科技有限公司</t>
  </si>
  <si>
    <t>上海淇毓信息科技有限公司</t>
  </si>
  <si>
    <t>杨帆</t>
  </si>
  <si>
    <t>杭州袋虎信息技术有限公司</t>
  </si>
  <si>
    <t>北京多彩互动广告有限公司-杭州袋虎信息技术有限公司</t>
  </si>
  <si>
    <t>上海袋虎信息技术有限公司</t>
  </si>
  <si>
    <t>国泰君安证券股份有限公司</t>
  </si>
  <si>
    <t>卢思蕴</t>
  </si>
  <si>
    <t>广州四三九九信息科技有限公司</t>
  </si>
  <si>
    <t>北京多彩-广州四三九九信息科技有限公司</t>
  </si>
  <si>
    <t>广州米壳信息科技有限公司</t>
  </si>
  <si>
    <t>信息流</t>
  </si>
  <si>
    <t>0.00%</t>
  </si>
  <si>
    <t>游戏事业部</t>
  </si>
  <si>
    <t>戴学增</t>
  </si>
  <si>
    <t>广州北鱼网络科技有限公司</t>
  </si>
  <si>
    <t>北京多彩互动广告有限公司—广州北鱼网络科技有限公司</t>
  </si>
  <si>
    <t>广州杰茜卡信息科技有限公司</t>
  </si>
  <si>
    <t>北京多彩互动广告有限公司—广州杰茜卡信息科技有限公司</t>
  </si>
  <si>
    <t>广州经典网络科技有限公司</t>
  </si>
  <si>
    <t>北京多彩互动广告有限公司-广州经典网络科技有限公司01</t>
  </si>
  <si>
    <t>广州千骐动漫有限公司</t>
  </si>
  <si>
    <t>北京多彩互动广告有限公司-广州千骐动漫有限公司</t>
  </si>
  <si>
    <t>42.00%</t>
  </si>
  <si>
    <t>广州市幻动网络科技有限责任公司</t>
  </si>
  <si>
    <t>北京多彩互动广告有限公司-广州市幻动网络科技有限责任公司</t>
  </si>
  <si>
    <t>北京多彩互动广告有限公司-广州四三九九信息科技有限公司01</t>
  </si>
  <si>
    <t>广州掌昆网络科技有限公司</t>
  </si>
  <si>
    <t>北京多彩互动广告有限公司-广州掌昆网络科技有限公司</t>
  </si>
  <si>
    <t>广州正奇网络科技有限公司</t>
  </si>
  <si>
    <t>北京多彩互动广告有限公司-广州正奇网络科技有限公司</t>
  </si>
  <si>
    <t>海南妙游网络科技有限公司</t>
  </si>
  <si>
    <t>北京多彩互动广告有限公司-海南妙游网络科技有限公司</t>
  </si>
  <si>
    <t>深圳市乐唯科技开发有限公司</t>
  </si>
  <si>
    <t>北京多彩互动广告有限公司—深圳市乐唯科技开发有限公司</t>
  </si>
  <si>
    <t>深圳优依购互娱科技有限公司</t>
  </si>
  <si>
    <t>北京多彩互动广告有限公司—深圳优依购互娱科技有限公司</t>
  </si>
  <si>
    <t>广州风趣网络科技有限公司</t>
  </si>
  <si>
    <t>北京多彩互动广告有限公司—广州风趣网络科技有限公司</t>
  </si>
  <si>
    <t>唐亮</t>
  </si>
  <si>
    <t>广州乐推网络科技有限公司</t>
  </si>
  <si>
    <t>北京多彩互动广告有限公司—广州乐推网络科技有限公司</t>
  </si>
  <si>
    <t>北京多彩互动广告有限公司—广州米壳信息科技有限公司</t>
  </si>
  <si>
    <t>广州穷奇网络科技有限公司</t>
  </si>
  <si>
    <t>北京多彩-广州穷奇网络科技有限公司</t>
  </si>
  <si>
    <t>广州诗悦网络科技有限公司</t>
  </si>
  <si>
    <t>北京多彩互动广告有限公司-广州诗悦网络科技有限公司</t>
  </si>
  <si>
    <t>海南畅酷网络科技有限公司</t>
  </si>
  <si>
    <t>北京多彩互动广告有限公司-海南畅酷网络科技有限公司</t>
  </si>
  <si>
    <t>海南玩的溜网络科技有限公司</t>
  </si>
  <si>
    <t>北京多彩互动广告有限公司-海南玩的溜网络科技有限公司</t>
  </si>
  <si>
    <t>海南游路网络科技有限公司</t>
  </si>
  <si>
    <t>北京多彩互动广告有限公司-海南游路网络科技有限公司</t>
  </si>
  <si>
    <t>湖北骏景信息科技有限公司</t>
  </si>
  <si>
    <t>北京多彩互动广告有限公司—湖北骏景信息科技有限公司</t>
  </si>
  <si>
    <t>麦可斯信息科技（上海）有限公司</t>
  </si>
  <si>
    <t>北京多彩互动广告有限公司—麦可斯信息科技（上海）有限公司</t>
  </si>
  <si>
    <t>厦门魔兔网络科技有限公司</t>
  </si>
  <si>
    <t>北京多彩互动广告有限公司-厦门魔兔网络科技有限公司</t>
  </si>
  <si>
    <t>上海乐之鲸鱼数码科技有限公司</t>
  </si>
  <si>
    <t>北京多彩互动广告有限公司—上海乐之鲸鱼数码科技有限公司</t>
  </si>
  <si>
    <t>上海游码网络科技有限公司</t>
  </si>
  <si>
    <t>北京多彩互动广告有限公司-上海游码网络科技有限公司</t>
  </si>
  <si>
    <t>上海游湛网络科技有限公司</t>
  </si>
  <si>
    <t>北京多彩互动广告有限公司—上海游湛网络科技有限公司</t>
  </si>
  <si>
    <t>深圳市望尘科技有限公司</t>
  </si>
  <si>
    <t>北京多彩互动广告有限公司—深圳市望尘科技有限公司</t>
  </si>
  <si>
    <t>苏州仙峰网络科技股份有限公司</t>
  </si>
  <si>
    <t>北京多彩互动广告有限公司-苏州仙峰网络科技股份有限公司</t>
  </si>
  <si>
    <t>武汉清风得意网络科技有限公司</t>
  </si>
  <si>
    <t>北京多彩互动广告有限公司-武汉清风得意网络科技有限公司</t>
  </si>
  <si>
    <t>武汉扬程互联科技有限公司</t>
  </si>
  <si>
    <t>北京多彩互动广告有限公司—武汉扬程互联科技有限公司</t>
  </si>
  <si>
    <t>王小薇（销售）</t>
  </si>
  <si>
    <t>广州爱九游信息技术有限公司</t>
  </si>
  <si>
    <t>北京小度信息科技有限公司</t>
  </si>
  <si>
    <t>北京多彩-北京小度信息科技有限公司</t>
  </si>
  <si>
    <t>上海婚家婴会展服务有限公司</t>
  </si>
  <si>
    <t>北京金海群英网络信息技术有限公司</t>
  </si>
  <si>
    <t>事业1部</t>
  </si>
  <si>
    <t>叶丹</t>
  </si>
  <si>
    <t>吉旗（成都）科技有限公司</t>
  </si>
  <si>
    <t>北京多彩互动广告有限公司-吉旗（成都）科技有限公司</t>
  </si>
  <si>
    <t>北京汇通天下物联科技有限公司</t>
  </si>
  <si>
    <t>北京华品博睿网络技术有限公司</t>
  </si>
  <si>
    <t>北京多彩互动广告有限公司—北京华品博睿网络技术有限公司180801</t>
  </si>
  <si>
    <t>金源广告-百度-2018(1)</t>
  </si>
  <si>
    <t>品牌专区</t>
  </si>
  <si>
    <t>北京金源互动广告有限公司-创奇互动-2019</t>
  </si>
  <si>
    <t>金源广告-创奇互动-2019</t>
  </si>
  <si>
    <t>补量</t>
  </si>
  <si>
    <t>广州尼尔森市场研究有限公司</t>
  </si>
  <si>
    <t>尼尔森</t>
  </si>
  <si>
    <t>殷俊渊（销售）</t>
  </si>
  <si>
    <t>北京学之途网络科技有限公司</t>
  </si>
  <si>
    <t>咪咕视讯科技有限公司</t>
  </si>
  <si>
    <t>咪咕视讯（易立方（海南）科技）-金源广告-信息服务费</t>
  </si>
  <si>
    <t>CPM</t>
  </si>
  <si>
    <t>走账</t>
  </si>
  <si>
    <t>天津金芽科技有限公司</t>
  </si>
  <si>
    <t>易立方（海南）科技有限公司</t>
  </si>
  <si>
    <t>罗东明</t>
  </si>
  <si>
    <t>深圳市果酱时代科技有限公司</t>
  </si>
  <si>
    <t>深圳市果酱时代科技有限公司-20181</t>
  </si>
  <si>
    <t>霍尔果斯多彩互动广告有限公司-三星-网服电商-2020</t>
  </si>
  <si>
    <t>霍尔果斯多彩-三星-网服电商-2020</t>
  </si>
  <si>
    <t>海南面对面文化传媒有限公司</t>
  </si>
  <si>
    <t>转单</t>
  </si>
  <si>
    <t>北京多彩-维沃移动通信有限公司-vivo</t>
  </si>
  <si>
    <t>北京多彩-vivo</t>
  </si>
  <si>
    <t>深圳市时代映像文化传媒有限公司</t>
  </si>
  <si>
    <t>tuho123</t>
  </si>
  <si>
    <t>金源科技</t>
  </si>
  <si>
    <t>广州奇异果互动科技股份有限公司</t>
  </si>
  <si>
    <t>广州奇异果互动科技股份有限公司2019</t>
  </si>
  <si>
    <t>北京多彩互动广告有限公司-华为-全行业-2018</t>
  </si>
  <si>
    <t>北京多彩-华为-全行业-金源科技</t>
  </si>
  <si>
    <t>霍尔果斯大娱互动科技有限公司</t>
  </si>
  <si>
    <t>(空白)</t>
  </si>
  <si>
    <t>上海萌宇广告有限公司</t>
  </si>
  <si>
    <t>霍尔果斯多彩互动广告有限公司-优矩-搜狗</t>
  </si>
  <si>
    <t>霍尔果斯多彩-优矩-搜狗金源广告</t>
  </si>
  <si>
    <t>简称2</t>
  </si>
  <si>
    <t>媒体名称</t>
  </si>
  <si>
    <t>起止时间</t>
  </si>
  <si>
    <t>媒体返点计算基数</t>
  </si>
  <si>
    <t>返点政策</t>
  </si>
  <si>
    <t>应返金额</t>
  </si>
  <si>
    <t>已返金额</t>
  </si>
  <si>
    <t>未返金额</t>
  </si>
  <si>
    <t>客户返现</t>
  </si>
  <si>
    <t>利润</t>
  </si>
  <si>
    <t>利润2</t>
  </si>
  <si>
    <t>利润率</t>
  </si>
  <si>
    <t>备注</t>
  </si>
  <si>
    <t>入账主体</t>
  </si>
  <si>
    <t>百度</t>
  </si>
  <si>
    <t>北京百度网讯科技有限公司</t>
  </si>
  <si>
    <t>折现</t>
  </si>
  <si>
    <t>创奇</t>
  </si>
  <si>
    <t>北京创奇互动科技有限公司</t>
  </si>
  <si>
    <t>咪咕</t>
  </si>
  <si>
    <t>霍尔果斯多彩</t>
  </si>
  <si>
    <t>霍尔果斯多彩互动广告有限公司</t>
  </si>
  <si>
    <t>北京多擦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</si>
</sst>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8" formatCode="[$-804]aaaa;@"/>
    <numFmt numFmtId="179" formatCode="#,##0.00_ "/>
  </numFmts>
  <fonts count="13">
    <font>
      <sz val="11"/>
      <color theme="1"/>
      <name val="宋体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49" fontId="0" fillId="0" borderId="0" xfId="0" applyNumberFormat="1">
      <alignment vertical="center"/>
    </xf>
    <xf numFmtId="179" fontId="0" fillId="0" borderId="0" xfId="0" applyNumberFormat="1">
      <alignment vertical="center"/>
    </xf>
    <xf numFmtId="178" fontId="1" fillId="0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3" fontId="1" fillId="0" borderId="1" xfId="1" applyFont="1" applyBorder="1" applyAlignment="1">
      <alignment horizontal="center"/>
    </xf>
    <xf numFmtId="178" fontId="2" fillId="0" borderId="1" xfId="0" applyNumberFormat="1" applyFont="1" applyFill="1" applyBorder="1" applyAlignment="1"/>
    <xf numFmtId="49" fontId="3" fillId="0" borderId="1" xfId="0" applyNumberFormat="1" applyFont="1" applyFill="1" applyBorder="1" applyAlignment="1">
      <alignment horizontal="center"/>
    </xf>
    <xf numFmtId="178" fontId="2" fillId="0" borderId="1" xfId="0" applyNumberFormat="1" applyFont="1" applyFill="1" applyBorder="1" applyAlignment="1">
      <alignment horizontal="center"/>
    </xf>
    <xf numFmtId="43" fontId="2" fillId="0" borderId="1" xfId="1" applyFont="1" applyBorder="1" applyAlignment="1"/>
    <xf numFmtId="10" fontId="1" fillId="0" borderId="1" xfId="2" applyNumberFormat="1" applyFont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179" fontId="1" fillId="0" borderId="1" xfId="0" applyNumberFormat="1" applyFont="1" applyFill="1" applyBorder="1" applyAlignment="1">
      <alignment horizontal="center" vertical="center"/>
    </xf>
    <xf numFmtId="10" fontId="2" fillId="0" borderId="1" xfId="2" applyNumberFormat="1" applyFont="1" applyBorder="1" applyAlignment="1"/>
    <xf numFmtId="43" fontId="2" fillId="0" borderId="1" xfId="0" applyNumberFormat="1" applyFont="1" applyFill="1" applyBorder="1" applyAlignment="1"/>
    <xf numFmtId="179" fontId="2" fillId="0" borderId="1" xfId="0" applyNumberFormat="1" applyFont="1" applyFill="1" applyBorder="1" applyAlignment="1">
      <alignment horizontal="center"/>
    </xf>
    <xf numFmtId="9" fontId="2" fillId="0" borderId="1" xfId="2" applyFont="1" applyFill="1" applyBorder="1" applyAlignment="1">
      <alignment horizontal="center"/>
    </xf>
    <xf numFmtId="0" fontId="4" fillId="2" borderId="0" xfId="3" applyNumberFormat="1" applyFont="1" applyFill="1" applyBorder="1" applyAlignment="1">
      <alignment horizontal="center" vertical="center"/>
    </xf>
    <xf numFmtId="178" fontId="4" fillId="2" borderId="0" xfId="3" applyNumberFormat="1" applyFont="1" applyFill="1" applyBorder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178" fontId="5" fillId="0" borderId="0" xfId="0" applyNumberFormat="1" applyFont="1" applyFill="1" applyAlignment="1">
      <alignment horizontal="center" vertical="center"/>
    </xf>
    <xf numFmtId="0" fontId="4" fillId="3" borderId="0" xfId="0" applyNumberFormat="1" applyFont="1" applyFill="1" applyAlignment="1">
      <alignment horizontal="center" vertical="center"/>
    </xf>
    <xf numFmtId="178" fontId="4" fillId="3" borderId="0" xfId="0" applyNumberFormat="1" applyFont="1" applyFill="1" applyAlignment="1">
      <alignment horizontal="center" vertical="center"/>
    </xf>
    <xf numFmtId="9" fontId="4" fillId="2" borderId="0" xfId="4" applyFont="1" applyFill="1" applyBorder="1" applyAlignment="1">
      <alignment horizontal="center" vertical="center"/>
    </xf>
    <xf numFmtId="10" fontId="4" fillId="2" borderId="0" xfId="4" applyNumberFormat="1" applyFont="1" applyFill="1" applyBorder="1" applyAlignment="1">
      <alignment horizontal="center" vertical="center"/>
    </xf>
    <xf numFmtId="0" fontId="4" fillId="2" borderId="0" xfId="4" applyNumberFormat="1" applyFont="1" applyFill="1" applyBorder="1" applyAlignment="1">
      <alignment horizontal="center" vertical="center"/>
    </xf>
    <xf numFmtId="10" fontId="5" fillId="0" borderId="0" xfId="4" applyNumberFormat="1" applyFont="1" applyAlignment="1">
      <alignment horizontal="center" vertical="center"/>
    </xf>
    <xf numFmtId="178" fontId="4" fillId="0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5" fillId="0" borderId="0" xfId="1" applyNumberFormat="1" applyFont="1" applyAlignment="1">
      <alignment horizontal="center" vertical="center"/>
    </xf>
    <xf numFmtId="10" fontId="5" fillId="0" borderId="0" xfId="2" applyNumberFormat="1" applyFont="1" applyAlignment="1">
      <alignment horizontal="center" vertical="center"/>
    </xf>
    <xf numFmtId="10" fontId="5" fillId="0" borderId="0" xfId="2" applyNumberFormat="1" applyFont="1" applyFill="1" applyAlignment="1">
      <alignment horizontal="center" vertical="center"/>
    </xf>
    <xf numFmtId="10" fontId="4" fillId="3" borderId="0" xfId="2" applyNumberFormat="1" applyFont="1" applyFill="1" applyAlignment="1">
      <alignment horizontal="center" vertical="center"/>
    </xf>
    <xf numFmtId="0" fontId="4" fillId="3" borderId="0" xfId="2" applyNumberFormat="1" applyFont="1" applyFill="1" applyAlignment="1">
      <alignment horizontal="center" vertical="center"/>
    </xf>
    <xf numFmtId="43" fontId="4" fillId="2" borderId="0" xfId="1" applyFont="1" applyFill="1" applyBorder="1" applyAlignment="1">
      <alignment horizontal="center" vertical="center"/>
    </xf>
    <xf numFmtId="43" fontId="4" fillId="2" borderId="0" xfId="1" applyFont="1" applyFill="1" applyBorder="1" applyAlignment="1">
      <alignment horizontal="center" vertical="center" wrapText="1"/>
    </xf>
    <xf numFmtId="43" fontId="5" fillId="0" borderId="0" xfId="1" applyFont="1" applyAlignment="1">
      <alignment horizontal="center" vertical="center"/>
    </xf>
    <xf numFmtId="43" fontId="6" fillId="0" borderId="0" xfId="1" applyFont="1" applyAlignment="1">
      <alignment horizontal="center" vertical="center"/>
    </xf>
    <xf numFmtId="43" fontId="4" fillId="0" borderId="0" xfId="0" applyNumberFormat="1" applyFont="1" applyFill="1" applyAlignment="1">
      <alignment horizontal="center" vertical="center"/>
    </xf>
    <xf numFmtId="43" fontId="5" fillId="0" borderId="0" xfId="0" applyNumberFormat="1" applyFont="1" applyFill="1" applyAlignment="1">
      <alignment horizontal="center" vertical="center"/>
    </xf>
    <xf numFmtId="43" fontId="4" fillId="0" borderId="0" xfId="1" applyFont="1" applyFill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43" fontId="5" fillId="0" borderId="0" xfId="1" applyFont="1" applyFill="1" applyAlignment="1">
      <alignment horizontal="center" vertical="center"/>
    </xf>
    <xf numFmtId="49" fontId="4" fillId="3" borderId="0" xfId="1" applyNumberFormat="1" applyFont="1" applyFill="1" applyAlignment="1">
      <alignment horizontal="center" vertical="center"/>
    </xf>
    <xf numFmtId="43" fontId="4" fillId="3" borderId="0" xfId="1" applyFont="1" applyFill="1" applyAlignment="1">
      <alignment horizontal="center" vertical="center"/>
    </xf>
    <xf numFmtId="43" fontId="4" fillId="3" borderId="0" xfId="0" applyNumberFormat="1" applyFont="1" applyFill="1" applyAlignment="1">
      <alignment horizontal="center" vertical="center"/>
    </xf>
    <xf numFmtId="178" fontId="7" fillId="3" borderId="0" xfId="0" applyNumberFormat="1" applyFont="1" applyFill="1" applyAlignment="1"/>
    <xf numFmtId="10" fontId="4" fillId="0" borderId="0" xfId="4" applyNumberFormat="1" applyFont="1" applyFill="1" applyAlignment="1">
      <alignment horizontal="center" vertical="center"/>
    </xf>
    <xf numFmtId="10" fontId="5" fillId="3" borderId="0" xfId="2" applyNumberFormat="1" applyFont="1" applyFill="1" applyAlignment="1">
      <alignment horizontal="center" vertical="center"/>
    </xf>
    <xf numFmtId="0" fontId="5" fillId="3" borderId="0" xfId="0" applyNumberFormat="1" applyFont="1" applyFill="1" applyAlignment="1">
      <alignment horizontal="center" vertical="center"/>
    </xf>
    <xf numFmtId="178" fontId="5" fillId="3" borderId="0" xfId="0" applyNumberFormat="1" applyFont="1" applyFill="1" applyAlignment="1">
      <alignment horizontal="center" vertical="center"/>
    </xf>
    <xf numFmtId="10" fontId="4" fillId="3" borderId="0" xfId="4" applyNumberFormat="1" applyFont="1" applyFill="1" applyAlignment="1">
      <alignment horizontal="center" vertical="center"/>
    </xf>
    <xf numFmtId="0" fontId="4" fillId="3" borderId="0" xfId="4" applyNumberFormat="1" applyFont="1" applyFill="1" applyAlignment="1">
      <alignment horizontal="center" vertical="center"/>
    </xf>
    <xf numFmtId="0" fontId="5" fillId="3" borderId="0" xfId="1" applyNumberFormat="1" applyFont="1" applyFill="1" applyAlignment="1">
      <alignment horizontal="center" vertical="center"/>
    </xf>
    <xf numFmtId="43" fontId="5" fillId="3" borderId="0" xfId="1" applyFont="1" applyFill="1" applyAlignment="1">
      <alignment horizontal="center" vertical="center"/>
    </xf>
    <xf numFmtId="43" fontId="5" fillId="3" borderId="0" xfId="0" applyNumberFormat="1" applyFont="1" applyFill="1" applyAlignment="1">
      <alignment horizontal="center" vertical="center"/>
    </xf>
  </cellXfs>
  <cellStyles count="5">
    <cellStyle name="百分比" xfId="2" builtinId="5"/>
    <cellStyle name="百分比 3" xfId="4"/>
    <cellStyle name="常规" xfId="0" builtinId="0"/>
    <cellStyle name="好" xfId="3" builtinId="26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0"/>
  <sheetViews>
    <sheetView tabSelected="1" workbookViewId="0">
      <selection activeCell="E16" sqref="E16"/>
    </sheetView>
  </sheetViews>
  <sheetFormatPr defaultColWidth="9" defaultRowHeight="13.5"/>
  <cols>
    <col min="5" max="5" width="25.375" customWidth="1"/>
    <col min="6" max="6" width="25.5" customWidth="1"/>
    <col min="7" max="7" width="31.125" customWidth="1"/>
    <col min="8" max="8" width="27.125" customWidth="1"/>
    <col min="9" max="9" width="21.625" customWidth="1"/>
    <col min="10" max="10" width="14.375" customWidth="1"/>
    <col min="11" max="11" width="27.125" customWidth="1"/>
    <col min="19" max="20" width="12.5" customWidth="1"/>
    <col min="22" max="22" width="12.5" customWidth="1"/>
    <col min="24" max="24" width="12.25" customWidth="1"/>
    <col min="25" max="25" width="13.375" customWidth="1"/>
  </cols>
  <sheetData>
    <row r="1" spans="1:31" ht="28.5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23" t="s">
        <v>13</v>
      </c>
      <c r="O1" s="24" t="s">
        <v>14</v>
      </c>
      <c r="P1" s="25" t="s">
        <v>15</v>
      </c>
      <c r="Q1" s="34" t="s">
        <v>16</v>
      </c>
      <c r="R1" s="34" t="s">
        <v>17</v>
      </c>
      <c r="S1" s="35" t="s">
        <v>18</v>
      </c>
      <c r="T1" s="34" t="s">
        <v>19</v>
      </c>
      <c r="U1" s="34" t="s">
        <v>20</v>
      </c>
      <c r="V1" s="35" t="s">
        <v>21</v>
      </c>
      <c r="W1" s="35" t="s">
        <v>22</v>
      </c>
      <c r="X1" s="35" t="s">
        <v>23</v>
      </c>
      <c r="Y1" s="35" t="s">
        <v>24</v>
      </c>
      <c r="Z1" s="24" t="s">
        <v>25</v>
      </c>
      <c r="AA1" s="35" t="s">
        <v>26</v>
      </c>
      <c r="AB1" s="35" t="s">
        <v>27</v>
      </c>
      <c r="AC1" s="35" t="s">
        <v>28</v>
      </c>
      <c r="AD1" s="24" t="s">
        <v>29</v>
      </c>
      <c r="AE1" s="24" t="s">
        <v>30</v>
      </c>
    </row>
    <row r="2" spans="1:31" ht="14.25">
      <c r="A2" s="19" t="s">
        <v>31</v>
      </c>
      <c r="B2" s="20" t="s">
        <v>32</v>
      </c>
      <c r="C2" s="20" t="s">
        <v>33</v>
      </c>
      <c r="D2" s="20" t="s">
        <v>34</v>
      </c>
      <c r="E2" s="20" t="s">
        <v>35</v>
      </c>
      <c r="F2" s="20" t="s">
        <v>36</v>
      </c>
      <c r="G2" s="20" t="s">
        <v>37</v>
      </c>
      <c r="H2" s="20" t="s">
        <v>38</v>
      </c>
      <c r="I2" s="20" t="s">
        <v>39</v>
      </c>
      <c r="J2" s="20" t="str">
        <f>VLOOKUP(I2,媒体表!A:T,20,0)</f>
        <v>金源广告</v>
      </c>
      <c r="K2" s="20" t="s">
        <v>35</v>
      </c>
      <c r="L2" s="20"/>
      <c r="M2" s="20" t="s">
        <v>40</v>
      </c>
      <c r="N2" s="20" t="s">
        <v>41</v>
      </c>
      <c r="O2" s="26">
        <v>0</v>
      </c>
      <c r="P2" s="19"/>
      <c r="Q2" s="20"/>
      <c r="R2" s="36">
        <v>0</v>
      </c>
      <c r="S2" s="36">
        <v>0</v>
      </c>
      <c r="T2" s="37">
        <v>0</v>
      </c>
      <c r="U2" s="36">
        <f t="shared" ref="U2:U11" si="0">R2+S2-T2</f>
        <v>0</v>
      </c>
      <c r="V2" s="38">
        <f t="shared" ref="V2:V9" si="1">T2*(1+AE2)/(1+AE2+O2)</f>
        <v>0</v>
      </c>
      <c r="W2" s="38"/>
      <c r="X2" s="39">
        <f t="shared" ref="X2:X9" si="2">T2-V2</f>
        <v>0</v>
      </c>
      <c r="Y2" s="36">
        <f t="shared" ref="Y2:Y9" si="3">T2</f>
        <v>0</v>
      </c>
      <c r="Z2" s="26">
        <v>0.05</v>
      </c>
      <c r="AA2" s="20"/>
      <c r="AB2" s="20"/>
      <c r="AC2" s="20"/>
      <c r="AD2" s="20" t="s">
        <v>42</v>
      </c>
      <c r="AE2" s="26">
        <v>7.0000000000000007E-2</v>
      </c>
    </row>
    <row r="3" spans="1:31" ht="14.25">
      <c r="A3" s="19" t="s">
        <v>31</v>
      </c>
      <c r="B3" s="20" t="s">
        <v>43</v>
      </c>
      <c r="C3" s="20" t="s">
        <v>44</v>
      </c>
      <c r="D3" s="20" t="s">
        <v>45</v>
      </c>
      <c r="E3" s="20" t="s">
        <v>46</v>
      </c>
      <c r="F3" s="20" t="s">
        <v>46</v>
      </c>
      <c r="G3" s="20" t="s">
        <v>46</v>
      </c>
      <c r="H3" s="20" t="s">
        <v>38</v>
      </c>
      <c r="I3" s="20" t="s">
        <v>39</v>
      </c>
      <c r="J3" s="20" t="str">
        <f>VLOOKUP(I3,媒体表!A:T,20,0)</f>
        <v>金源广告</v>
      </c>
      <c r="K3" s="20" t="s">
        <v>47</v>
      </c>
      <c r="L3" s="20"/>
      <c r="M3" s="20" t="s">
        <v>48</v>
      </c>
      <c r="N3" s="20" t="s">
        <v>61</v>
      </c>
      <c r="O3" s="26">
        <v>0.02</v>
      </c>
      <c r="P3" s="19"/>
      <c r="Q3" s="20"/>
      <c r="R3" s="36">
        <v>0</v>
      </c>
      <c r="S3" s="36">
        <v>608000</v>
      </c>
      <c r="T3" s="36">
        <v>353168.49</v>
      </c>
      <c r="U3" s="36">
        <f t="shared" si="0"/>
        <v>254831.51</v>
      </c>
      <c r="V3" s="38">
        <v>1440000</v>
      </c>
      <c r="W3" s="38"/>
      <c r="X3" s="39">
        <v>72000</v>
      </c>
      <c r="Y3" s="36">
        <v>608000</v>
      </c>
      <c r="Z3" s="26">
        <v>0.05</v>
      </c>
      <c r="AA3" s="20"/>
      <c r="AB3" s="20"/>
      <c r="AC3" s="20"/>
      <c r="AD3" s="20" t="s">
        <v>42</v>
      </c>
      <c r="AE3" s="26">
        <v>0</v>
      </c>
    </row>
    <row r="4" spans="1:31" ht="14.25">
      <c r="A4" s="19" t="s">
        <v>31</v>
      </c>
      <c r="B4" s="20" t="s">
        <v>43</v>
      </c>
      <c r="C4" s="20" t="s">
        <v>44</v>
      </c>
      <c r="D4" s="20" t="s">
        <v>45</v>
      </c>
      <c r="E4" s="20" t="s">
        <v>49</v>
      </c>
      <c r="F4" s="20" t="s">
        <v>49</v>
      </c>
      <c r="G4" s="20" t="s">
        <v>49</v>
      </c>
      <c r="H4" s="20" t="s">
        <v>38</v>
      </c>
      <c r="I4" s="20" t="s">
        <v>39</v>
      </c>
      <c r="J4" s="20" t="str">
        <f>VLOOKUP(I4,媒体表!A:T,20,0)</f>
        <v>金源广告</v>
      </c>
      <c r="K4" s="20" t="s">
        <v>49</v>
      </c>
      <c r="L4" s="20"/>
      <c r="M4" s="20" t="s">
        <v>48</v>
      </c>
      <c r="N4" s="20" t="s">
        <v>41</v>
      </c>
      <c r="O4" s="26">
        <v>0</v>
      </c>
      <c r="P4" s="19"/>
      <c r="Q4" s="20" t="s">
        <v>50</v>
      </c>
      <c r="R4" s="36">
        <v>0</v>
      </c>
      <c r="S4" s="36">
        <v>822181.82</v>
      </c>
      <c r="T4" s="37">
        <v>50788.680000000903</v>
      </c>
      <c r="U4" s="36">
        <f t="shared" si="0"/>
        <v>771393.13999999908</v>
      </c>
      <c r="V4" s="38">
        <f t="shared" si="1"/>
        <v>50788.680000000903</v>
      </c>
      <c r="W4" s="38"/>
      <c r="X4" s="39">
        <f t="shared" si="2"/>
        <v>0</v>
      </c>
      <c r="Y4" s="36">
        <f t="shared" si="3"/>
        <v>50788.680000000903</v>
      </c>
      <c r="Z4" s="26">
        <v>0.05</v>
      </c>
      <c r="AA4" s="20"/>
      <c r="AB4" s="20"/>
      <c r="AC4" s="20"/>
      <c r="AD4" s="20" t="s">
        <v>42</v>
      </c>
      <c r="AE4" s="26">
        <v>0.32</v>
      </c>
    </row>
    <row r="5" spans="1:31" ht="14.25">
      <c r="A5" s="19" t="s">
        <v>31</v>
      </c>
      <c r="B5" s="20" t="s">
        <v>32</v>
      </c>
      <c r="C5" s="20" t="s">
        <v>51</v>
      </c>
      <c r="D5" s="20" t="s">
        <v>52</v>
      </c>
      <c r="E5" s="20" t="s">
        <v>53</v>
      </c>
      <c r="F5" s="20" t="s">
        <v>54</v>
      </c>
      <c r="G5" s="20" t="s">
        <v>37</v>
      </c>
      <c r="H5" s="20" t="s">
        <v>38</v>
      </c>
      <c r="I5" s="20" t="s">
        <v>39</v>
      </c>
      <c r="J5" s="20" t="str">
        <f>VLOOKUP(I5,媒体表!A:T,20,0)</f>
        <v>金源广告</v>
      </c>
      <c r="K5" s="27" t="s">
        <v>53</v>
      </c>
      <c r="L5" s="26"/>
      <c r="M5" s="28" t="s">
        <v>48</v>
      </c>
      <c r="N5" s="20" t="s">
        <v>41</v>
      </c>
      <c r="O5" s="26">
        <v>0</v>
      </c>
      <c r="P5" s="29"/>
      <c r="Q5" s="20"/>
      <c r="R5" s="40">
        <v>14280.96</v>
      </c>
      <c r="S5" s="36"/>
      <c r="T5" s="36">
        <v>14273.92</v>
      </c>
      <c r="U5" s="36">
        <f t="shared" si="0"/>
        <v>7.0399999999990541</v>
      </c>
      <c r="V5" s="38">
        <f t="shared" si="1"/>
        <v>14273.92</v>
      </c>
      <c r="W5" s="38"/>
      <c r="X5" s="39">
        <f t="shared" si="2"/>
        <v>0</v>
      </c>
      <c r="Y5" s="36">
        <f t="shared" si="3"/>
        <v>14273.92</v>
      </c>
      <c r="Z5" s="26">
        <v>0.05</v>
      </c>
      <c r="AA5" s="26"/>
      <c r="AB5" s="26"/>
      <c r="AC5" s="20"/>
      <c r="AD5" s="47" t="s">
        <v>55</v>
      </c>
      <c r="AE5" s="26">
        <v>0</v>
      </c>
    </row>
    <row r="6" spans="1:31" ht="14.25">
      <c r="A6" s="19" t="s">
        <v>31</v>
      </c>
      <c r="B6" s="20" t="s">
        <v>32</v>
      </c>
      <c r="C6" s="20" t="s">
        <v>33</v>
      </c>
      <c r="D6" s="20" t="s">
        <v>34</v>
      </c>
      <c r="E6" s="20" t="s">
        <v>35</v>
      </c>
      <c r="F6" s="20" t="s">
        <v>36</v>
      </c>
      <c r="G6" s="20" t="s">
        <v>37</v>
      </c>
      <c r="H6" s="20" t="s">
        <v>38</v>
      </c>
      <c r="I6" s="20" t="s">
        <v>39</v>
      </c>
      <c r="J6" s="20" t="str">
        <f>VLOOKUP(I6,媒体表!A:T,20,0)</f>
        <v>金源广告</v>
      </c>
      <c r="K6" s="27" t="s">
        <v>35</v>
      </c>
      <c r="L6" s="26"/>
      <c r="M6" s="28" t="s">
        <v>48</v>
      </c>
      <c r="N6" s="20" t="s">
        <v>56</v>
      </c>
      <c r="O6" s="26">
        <v>0.03</v>
      </c>
      <c r="P6" s="29"/>
      <c r="Q6" s="20"/>
      <c r="R6" s="40">
        <v>106089.31</v>
      </c>
      <c r="S6" s="36"/>
      <c r="T6" s="36">
        <v>90187.47</v>
      </c>
      <c r="U6" s="36">
        <f t="shared" si="0"/>
        <v>15901.839999999997</v>
      </c>
      <c r="V6" s="38">
        <f t="shared" si="1"/>
        <v>87727.811727272725</v>
      </c>
      <c r="W6" s="38"/>
      <c r="X6" s="39">
        <f t="shared" si="2"/>
        <v>2459.6582727272762</v>
      </c>
      <c r="Y6" s="36">
        <f t="shared" si="3"/>
        <v>90187.47</v>
      </c>
      <c r="Z6" s="26">
        <v>0.05</v>
      </c>
      <c r="AA6" s="26"/>
      <c r="AB6" s="26"/>
      <c r="AC6" s="20"/>
      <c r="AD6" s="47" t="s">
        <v>42</v>
      </c>
      <c r="AE6" s="26">
        <v>7.0000000000000007E-2</v>
      </c>
    </row>
    <row r="7" spans="1:31" ht="14.25">
      <c r="A7" s="19" t="s">
        <v>31</v>
      </c>
      <c r="B7" s="20" t="s">
        <v>32</v>
      </c>
      <c r="C7" s="20" t="s">
        <v>33</v>
      </c>
      <c r="D7" s="20" t="s">
        <v>34</v>
      </c>
      <c r="E7" s="20" t="s">
        <v>35</v>
      </c>
      <c r="F7" s="20" t="s">
        <v>36</v>
      </c>
      <c r="G7" s="20" t="s">
        <v>37</v>
      </c>
      <c r="H7" s="20" t="s">
        <v>38</v>
      </c>
      <c r="I7" s="20" t="s">
        <v>39</v>
      </c>
      <c r="J7" s="20" t="str">
        <f>VLOOKUP(I7,媒体表!A:T,20,0)</f>
        <v>金源广告</v>
      </c>
      <c r="K7" s="27" t="s">
        <v>35</v>
      </c>
      <c r="L7" s="26"/>
      <c r="M7" s="28" t="s">
        <v>40</v>
      </c>
      <c r="N7" s="20" t="s">
        <v>56</v>
      </c>
      <c r="O7" s="26">
        <v>0.03</v>
      </c>
      <c r="P7" s="29"/>
      <c r="Q7" s="20"/>
      <c r="R7" s="40">
        <v>9737.5499999999192</v>
      </c>
      <c r="S7" s="36"/>
      <c r="T7" s="37">
        <v>7362.34</v>
      </c>
      <c r="U7" s="36">
        <f t="shared" si="0"/>
        <v>2375.2099999999191</v>
      </c>
      <c r="V7" s="38">
        <f t="shared" si="1"/>
        <v>7161.5489090909086</v>
      </c>
      <c r="W7" s="38"/>
      <c r="X7" s="39">
        <f t="shared" si="2"/>
        <v>200.79109090909151</v>
      </c>
      <c r="Y7" s="36">
        <f t="shared" si="3"/>
        <v>7362.34</v>
      </c>
      <c r="Z7" s="26">
        <v>0.05</v>
      </c>
      <c r="AA7" s="26"/>
      <c r="AB7" s="26"/>
      <c r="AC7" s="20"/>
      <c r="AD7" s="47" t="s">
        <v>42</v>
      </c>
      <c r="AE7" s="26">
        <v>7.0000000000000007E-2</v>
      </c>
    </row>
    <row r="8" spans="1:31" ht="14.25">
      <c r="A8" s="19" t="s">
        <v>31</v>
      </c>
      <c r="B8" s="20" t="s">
        <v>43</v>
      </c>
      <c r="C8" s="20" t="s">
        <v>57</v>
      </c>
      <c r="D8" s="20" t="s">
        <v>58</v>
      </c>
      <c r="E8" s="20" t="s">
        <v>59</v>
      </c>
      <c r="F8" s="20" t="s">
        <v>59</v>
      </c>
      <c r="G8" s="20" t="s">
        <v>59</v>
      </c>
      <c r="H8" s="20" t="s">
        <v>38</v>
      </c>
      <c r="I8" s="20" t="s">
        <v>39</v>
      </c>
      <c r="J8" s="20" t="str">
        <f>VLOOKUP(I8,媒体表!A:T,20,0)</f>
        <v>金源广告</v>
      </c>
      <c r="K8" s="27" t="s">
        <v>60</v>
      </c>
      <c r="L8" s="26"/>
      <c r="M8" s="28" t="s">
        <v>48</v>
      </c>
      <c r="N8" s="20" t="s">
        <v>56</v>
      </c>
      <c r="O8" s="26">
        <v>0.03</v>
      </c>
      <c r="P8" s="29"/>
      <c r="Q8" s="20"/>
      <c r="R8" s="40">
        <v>99246.07</v>
      </c>
      <c r="S8" s="36"/>
      <c r="T8" s="41">
        <v>99246.07</v>
      </c>
      <c r="U8" s="36">
        <f t="shared" si="0"/>
        <v>0</v>
      </c>
      <c r="V8" s="38">
        <f t="shared" si="1"/>
        <v>96355.407766990291</v>
      </c>
      <c r="W8" s="38"/>
      <c r="X8" s="39">
        <f t="shared" si="2"/>
        <v>2890.6622330097161</v>
      </c>
      <c r="Y8" s="36">
        <f t="shared" si="3"/>
        <v>99246.07</v>
      </c>
      <c r="Z8" s="26">
        <v>0.05</v>
      </c>
      <c r="AA8" s="26"/>
      <c r="AB8" s="26"/>
      <c r="AC8" s="20"/>
      <c r="AD8" s="47" t="s">
        <v>55</v>
      </c>
      <c r="AE8" s="26">
        <v>0</v>
      </c>
    </row>
    <row r="9" spans="1:31" ht="14.25">
      <c r="A9" s="19" t="s">
        <v>31</v>
      </c>
      <c r="B9" s="20" t="s">
        <v>43</v>
      </c>
      <c r="C9" s="20" t="s">
        <v>44</v>
      </c>
      <c r="D9" s="20" t="s">
        <v>45</v>
      </c>
      <c r="E9" s="20" t="s">
        <v>49</v>
      </c>
      <c r="F9" s="20" t="s">
        <v>49</v>
      </c>
      <c r="G9" s="20" t="s">
        <v>49</v>
      </c>
      <c r="H9" s="20" t="s">
        <v>38</v>
      </c>
      <c r="I9" s="20" t="s">
        <v>39</v>
      </c>
      <c r="J9" s="20" t="str">
        <f>VLOOKUP(I9,媒体表!A:T,20,0)</f>
        <v>金源广告</v>
      </c>
      <c r="K9" s="27" t="s">
        <v>49</v>
      </c>
      <c r="L9" s="26"/>
      <c r="M9" s="28" t="s">
        <v>48</v>
      </c>
      <c r="N9" s="20" t="s">
        <v>56</v>
      </c>
      <c r="O9" s="26">
        <v>0.01</v>
      </c>
      <c r="P9" s="29"/>
      <c r="Q9" s="20" t="s">
        <v>50</v>
      </c>
      <c r="R9" s="40">
        <v>797008.19</v>
      </c>
      <c r="S9" s="36"/>
      <c r="T9" s="41">
        <v>797008.19</v>
      </c>
      <c r="U9" s="36">
        <f t="shared" si="0"/>
        <v>0</v>
      </c>
      <c r="V9" s="38">
        <f t="shared" si="1"/>
        <v>791015.64721804496</v>
      </c>
      <c r="W9" s="38">
        <v>48960</v>
      </c>
      <c r="X9" s="39">
        <f t="shared" si="2"/>
        <v>5992.5427819549805</v>
      </c>
      <c r="Y9" s="36">
        <f t="shared" si="3"/>
        <v>797008.19</v>
      </c>
      <c r="Z9" s="26">
        <v>0.05</v>
      </c>
      <c r="AA9" s="26"/>
      <c r="AB9" s="26"/>
      <c r="AC9" s="20"/>
      <c r="AD9" s="47" t="s">
        <v>42</v>
      </c>
      <c r="AE9" s="26">
        <v>0.32</v>
      </c>
    </row>
    <row r="10" spans="1:31" ht="14.25">
      <c r="A10" s="19" t="s">
        <v>31</v>
      </c>
      <c r="B10" s="20" t="s">
        <v>43</v>
      </c>
      <c r="C10" s="20" t="s">
        <v>44</v>
      </c>
      <c r="D10" s="20" t="s">
        <v>45</v>
      </c>
      <c r="E10" s="20" t="s">
        <v>46</v>
      </c>
      <c r="F10" s="20" t="s">
        <v>46</v>
      </c>
      <c r="G10" s="20" t="s">
        <v>46</v>
      </c>
      <c r="H10" s="20" t="s">
        <v>38</v>
      </c>
      <c r="I10" s="20" t="s">
        <v>39</v>
      </c>
      <c r="J10" s="20" t="str">
        <f>VLOOKUP(I10,媒体表!A:T,20,0)</f>
        <v>金源广告</v>
      </c>
      <c r="K10" s="27" t="s">
        <v>49</v>
      </c>
      <c r="L10" s="26"/>
      <c r="M10" s="28" t="s">
        <v>48</v>
      </c>
      <c r="N10" s="20" t="s">
        <v>61</v>
      </c>
      <c r="O10" s="26">
        <v>0.02</v>
      </c>
      <c r="P10" s="29"/>
      <c r="Q10" s="20"/>
      <c r="R10" s="40">
        <v>4756.92</v>
      </c>
      <c r="S10" s="36"/>
      <c r="T10" s="36">
        <v>4990.03</v>
      </c>
      <c r="U10" s="36">
        <f t="shared" si="0"/>
        <v>-233.10999999999967</v>
      </c>
      <c r="V10" s="38">
        <v>0</v>
      </c>
      <c r="W10" s="38"/>
      <c r="X10" s="39">
        <f>V10*O10</f>
        <v>0</v>
      </c>
      <c r="Y10" s="36">
        <v>0</v>
      </c>
      <c r="Z10" s="26">
        <v>0.05</v>
      </c>
      <c r="AA10" s="26"/>
      <c r="AB10" s="26"/>
      <c r="AC10" s="20"/>
      <c r="AD10" s="47" t="s">
        <v>42</v>
      </c>
      <c r="AE10" s="26">
        <v>0.32</v>
      </c>
    </row>
    <row r="11" spans="1:31" ht="14.25">
      <c r="A11" s="19" t="s">
        <v>31</v>
      </c>
      <c r="B11" s="20" t="s">
        <v>43</v>
      </c>
      <c r="C11" s="20" t="s">
        <v>57</v>
      </c>
      <c r="D11" s="20" t="s">
        <v>58</v>
      </c>
      <c r="E11" s="20" t="s">
        <v>62</v>
      </c>
      <c r="F11" s="20" t="s">
        <v>62</v>
      </c>
      <c r="G11" s="20" t="s">
        <v>62</v>
      </c>
      <c r="H11" s="20" t="s">
        <v>38</v>
      </c>
      <c r="I11" s="20" t="s">
        <v>39</v>
      </c>
      <c r="J11" s="20" t="str">
        <f>VLOOKUP(I11,媒体表!A:T,20,0)</f>
        <v>金源广告</v>
      </c>
      <c r="K11" s="27" t="s">
        <v>60</v>
      </c>
      <c r="L11" s="26"/>
      <c r="M11" s="28" t="s">
        <v>48</v>
      </c>
      <c r="N11" s="20" t="s">
        <v>56</v>
      </c>
      <c r="O11" s="26">
        <v>0.03</v>
      </c>
      <c r="P11" s="29"/>
      <c r="Q11" s="20"/>
      <c r="R11" s="40">
        <v>5696.55</v>
      </c>
      <c r="S11" s="36"/>
      <c r="T11" s="36">
        <v>0</v>
      </c>
      <c r="U11" s="36">
        <f t="shared" si="0"/>
        <v>5696.55</v>
      </c>
      <c r="V11" s="38">
        <f t="shared" ref="V11:V55" si="4">T11*(1+AE11)/(1+AE11+O11)</f>
        <v>0</v>
      </c>
      <c r="W11" s="38"/>
      <c r="X11" s="39">
        <f t="shared" ref="X11:X57" si="5">T11-V11</f>
        <v>0</v>
      </c>
      <c r="Y11" s="36">
        <f t="shared" ref="Y11:Y55" si="6">T11</f>
        <v>0</v>
      </c>
      <c r="Z11" s="26">
        <v>0.05</v>
      </c>
      <c r="AA11" s="26"/>
      <c r="AB11" s="26"/>
      <c r="AC11" s="20"/>
      <c r="AD11" s="47" t="s">
        <v>55</v>
      </c>
      <c r="AE11" s="26">
        <v>0</v>
      </c>
    </row>
    <row r="12" spans="1:31" ht="14.25">
      <c r="A12" s="19" t="s">
        <v>31</v>
      </c>
      <c r="B12" s="20" t="s">
        <v>43</v>
      </c>
      <c r="C12" s="20" t="s">
        <v>57</v>
      </c>
      <c r="D12" s="20" t="s">
        <v>58</v>
      </c>
      <c r="E12" s="20" t="s">
        <v>59</v>
      </c>
      <c r="F12" s="20" t="s">
        <v>59</v>
      </c>
      <c r="G12" s="20" t="s">
        <v>59</v>
      </c>
      <c r="H12" s="20" t="s">
        <v>38</v>
      </c>
      <c r="I12" s="20" t="s">
        <v>39</v>
      </c>
      <c r="J12" s="20" t="str">
        <f>VLOOKUP(I12,媒体表!A:T,20,0)</f>
        <v>金源广告</v>
      </c>
      <c r="K12" s="27" t="s">
        <v>60</v>
      </c>
      <c r="L12" s="26"/>
      <c r="M12" s="28" t="s">
        <v>48</v>
      </c>
      <c r="N12" s="20" t="s">
        <v>56</v>
      </c>
      <c r="O12" s="26">
        <v>0.03</v>
      </c>
      <c r="P12" s="29"/>
      <c r="Q12" s="20"/>
      <c r="R12" s="40">
        <v>97624.94</v>
      </c>
      <c r="S12" s="36"/>
      <c r="T12" s="37">
        <v>97629.9</v>
      </c>
      <c r="U12" s="36">
        <v>0</v>
      </c>
      <c r="V12" s="38">
        <f t="shared" si="4"/>
        <v>94786.310679611648</v>
      </c>
      <c r="W12" s="38"/>
      <c r="X12" s="39">
        <f t="shared" si="5"/>
        <v>2843.5893203883461</v>
      </c>
      <c r="Y12" s="36">
        <f t="shared" si="6"/>
        <v>97629.9</v>
      </c>
      <c r="Z12" s="26">
        <v>0.05</v>
      </c>
      <c r="AA12" s="26"/>
      <c r="AB12" s="26"/>
      <c r="AC12" s="20"/>
      <c r="AD12" s="47" t="s">
        <v>55</v>
      </c>
      <c r="AE12" s="26">
        <v>0</v>
      </c>
    </row>
    <row r="13" spans="1:31" ht="14.25">
      <c r="A13" s="19" t="s">
        <v>31</v>
      </c>
      <c r="B13" s="20" t="s">
        <v>43</v>
      </c>
      <c r="C13" s="20" t="s">
        <v>63</v>
      </c>
      <c r="D13" s="20" t="s">
        <v>64</v>
      </c>
      <c r="E13" s="20" t="s">
        <v>65</v>
      </c>
      <c r="F13" s="20" t="s">
        <v>65</v>
      </c>
      <c r="G13" s="20" t="s">
        <v>65</v>
      </c>
      <c r="H13" s="20" t="s">
        <v>38</v>
      </c>
      <c r="I13" s="20" t="s">
        <v>39</v>
      </c>
      <c r="J13" s="20" t="str">
        <f>VLOOKUP(I13,媒体表!A:T,20,0)</f>
        <v>金源广告</v>
      </c>
      <c r="K13" s="27" t="s">
        <v>65</v>
      </c>
      <c r="L13" s="26"/>
      <c r="M13" s="28" t="s">
        <v>48</v>
      </c>
      <c r="N13" s="20" t="s">
        <v>41</v>
      </c>
      <c r="O13" s="26">
        <v>0</v>
      </c>
      <c r="P13" s="29"/>
      <c r="Q13" s="20"/>
      <c r="R13" s="40">
        <v>13602.3</v>
      </c>
      <c r="S13" s="36"/>
      <c r="T13" s="36">
        <v>13602.3</v>
      </c>
      <c r="U13" s="36">
        <f t="shared" ref="U13:U55" si="7">R13+S13-T13</f>
        <v>0</v>
      </c>
      <c r="V13" s="38">
        <f t="shared" si="4"/>
        <v>13602.3</v>
      </c>
      <c r="W13" s="38"/>
      <c r="X13" s="39">
        <f t="shared" si="5"/>
        <v>0</v>
      </c>
      <c r="Y13" s="36">
        <f t="shared" si="6"/>
        <v>13602.3</v>
      </c>
      <c r="Z13" s="26">
        <v>0.05</v>
      </c>
      <c r="AA13" s="26"/>
      <c r="AB13" s="26"/>
      <c r="AC13" s="20"/>
      <c r="AD13" s="47" t="s">
        <v>55</v>
      </c>
      <c r="AE13" s="26">
        <v>0</v>
      </c>
    </row>
    <row r="14" spans="1:31" ht="14.25">
      <c r="A14" s="19" t="s">
        <v>31</v>
      </c>
      <c r="B14" s="20" t="s">
        <v>32</v>
      </c>
      <c r="C14" s="20" t="s">
        <v>51</v>
      </c>
      <c r="D14" s="20" t="s">
        <v>52</v>
      </c>
      <c r="E14" s="20" t="s">
        <v>66</v>
      </c>
      <c r="F14" s="20" t="s">
        <v>67</v>
      </c>
      <c r="G14" s="20" t="s">
        <v>37</v>
      </c>
      <c r="H14" s="20" t="s">
        <v>38</v>
      </c>
      <c r="I14" s="20" t="s">
        <v>39</v>
      </c>
      <c r="J14" s="20" t="str">
        <f>VLOOKUP(I14,媒体表!A:T,20,0)</f>
        <v>金源广告</v>
      </c>
      <c r="K14" s="27" t="s">
        <v>66</v>
      </c>
      <c r="L14" s="26"/>
      <c r="M14" s="28" t="s">
        <v>48</v>
      </c>
      <c r="N14" s="20" t="s">
        <v>56</v>
      </c>
      <c r="O14" s="26">
        <v>0.02</v>
      </c>
      <c r="P14" s="29"/>
      <c r="Q14" s="20"/>
      <c r="R14" s="40">
        <v>106099.63</v>
      </c>
      <c r="S14" s="36"/>
      <c r="T14" s="36">
        <v>0</v>
      </c>
      <c r="U14" s="36">
        <f t="shared" si="7"/>
        <v>106099.63</v>
      </c>
      <c r="V14" s="38">
        <f t="shared" si="4"/>
        <v>0</v>
      </c>
      <c r="W14" s="38"/>
      <c r="X14" s="39">
        <f t="shared" si="5"/>
        <v>0</v>
      </c>
      <c r="Y14" s="36">
        <f t="shared" si="6"/>
        <v>0</v>
      </c>
      <c r="Z14" s="26">
        <v>0.05</v>
      </c>
      <c r="AA14" s="26"/>
      <c r="AB14" s="26"/>
      <c r="AC14" s="20"/>
      <c r="AD14" s="47" t="s">
        <v>42</v>
      </c>
      <c r="AE14" s="26">
        <v>0.42</v>
      </c>
    </row>
    <row r="15" spans="1:31" ht="14.25">
      <c r="A15" s="19" t="s">
        <v>31</v>
      </c>
      <c r="B15" s="20" t="s">
        <v>32</v>
      </c>
      <c r="C15" s="20" t="s">
        <v>51</v>
      </c>
      <c r="D15" s="20" t="s">
        <v>68</v>
      </c>
      <c r="E15" s="20" t="s">
        <v>69</v>
      </c>
      <c r="F15" s="20" t="s">
        <v>70</v>
      </c>
      <c r="G15" s="20" t="s">
        <v>37</v>
      </c>
      <c r="H15" s="20" t="s">
        <v>38</v>
      </c>
      <c r="I15" s="20" t="s">
        <v>39</v>
      </c>
      <c r="J15" s="20" t="str">
        <f>VLOOKUP(I15,媒体表!A:T,20,0)</f>
        <v>金源广告</v>
      </c>
      <c r="K15" s="27" t="s">
        <v>69</v>
      </c>
      <c r="L15" s="26"/>
      <c r="M15" s="28" t="s">
        <v>40</v>
      </c>
      <c r="N15" s="20" t="s">
        <v>41</v>
      </c>
      <c r="O15" s="26">
        <v>0</v>
      </c>
      <c r="P15" s="29"/>
      <c r="Q15" s="20"/>
      <c r="R15" s="40">
        <v>7741.65</v>
      </c>
      <c r="S15" s="36"/>
      <c r="T15" s="36">
        <v>0</v>
      </c>
      <c r="U15" s="36">
        <f t="shared" si="7"/>
        <v>7741.65</v>
      </c>
      <c r="V15" s="38">
        <f t="shared" si="4"/>
        <v>0</v>
      </c>
      <c r="W15" s="38"/>
      <c r="X15" s="39">
        <f t="shared" si="5"/>
        <v>0</v>
      </c>
      <c r="Y15" s="36">
        <f t="shared" si="6"/>
        <v>0</v>
      </c>
      <c r="Z15" s="26">
        <v>0.05</v>
      </c>
      <c r="AA15" s="26"/>
      <c r="AB15" s="26"/>
      <c r="AC15" s="20"/>
      <c r="AD15" s="47" t="s">
        <v>55</v>
      </c>
      <c r="AE15" s="26">
        <v>0.42</v>
      </c>
    </row>
    <row r="16" spans="1:31" ht="14.25">
      <c r="A16" s="19" t="s">
        <v>31</v>
      </c>
      <c r="B16" s="20" t="s">
        <v>43</v>
      </c>
      <c r="C16" s="20" t="s">
        <v>41</v>
      </c>
      <c r="D16" s="20" t="s">
        <v>41</v>
      </c>
      <c r="E16" s="20" t="s">
        <v>71</v>
      </c>
      <c r="F16" s="20" t="s">
        <v>71</v>
      </c>
      <c r="G16" s="20" t="s">
        <v>71</v>
      </c>
      <c r="H16" s="20" t="s">
        <v>38</v>
      </c>
      <c r="I16" s="20" t="s">
        <v>39</v>
      </c>
      <c r="J16" s="20" t="str">
        <f>VLOOKUP(I16,媒体表!A:T,20,0)</f>
        <v>金源广告</v>
      </c>
      <c r="K16" s="27" t="s">
        <v>71</v>
      </c>
      <c r="L16" s="26"/>
      <c r="M16" s="28" t="s">
        <v>48</v>
      </c>
      <c r="N16" s="20" t="s">
        <v>41</v>
      </c>
      <c r="O16" s="26">
        <v>0</v>
      </c>
      <c r="P16" s="29"/>
      <c r="Q16" s="20"/>
      <c r="R16" s="40">
        <v>16779.919999999998</v>
      </c>
      <c r="S16" s="36"/>
      <c r="T16" s="36">
        <v>25.3</v>
      </c>
      <c r="U16" s="36">
        <f t="shared" si="7"/>
        <v>16754.62</v>
      </c>
      <c r="V16" s="38">
        <f t="shared" si="4"/>
        <v>25.300000000000004</v>
      </c>
      <c r="W16" s="38"/>
      <c r="X16" s="39">
        <f t="shared" si="5"/>
        <v>0</v>
      </c>
      <c r="Y16" s="36">
        <f t="shared" si="6"/>
        <v>25.3</v>
      </c>
      <c r="Z16" s="26">
        <v>0.05</v>
      </c>
      <c r="AA16" s="26"/>
      <c r="AB16" s="26"/>
      <c r="AC16" s="20"/>
      <c r="AD16" s="47" t="s">
        <v>55</v>
      </c>
      <c r="AE16" s="26">
        <v>0.42</v>
      </c>
    </row>
    <row r="17" spans="1:31" ht="14.25">
      <c r="A17" s="19" t="s">
        <v>31</v>
      </c>
      <c r="B17" s="20" t="s">
        <v>32</v>
      </c>
      <c r="C17" s="20" t="s">
        <v>63</v>
      </c>
      <c r="D17" s="20" t="s">
        <v>64</v>
      </c>
      <c r="E17" s="20" t="s">
        <v>72</v>
      </c>
      <c r="F17" s="20" t="s">
        <v>73</v>
      </c>
      <c r="G17" s="20" t="s">
        <v>37</v>
      </c>
      <c r="H17" s="20" t="s">
        <v>38</v>
      </c>
      <c r="I17" s="20" t="s">
        <v>39</v>
      </c>
      <c r="J17" s="20" t="str">
        <f>VLOOKUP(I17,媒体表!A:T,20,0)</f>
        <v>金源广告</v>
      </c>
      <c r="K17" s="27" t="s">
        <v>74</v>
      </c>
      <c r="L17" s="26"/>
      <c r="M17" s="28" t="s">
        <v>40</v>
      </c>
      <c r="N17" s="20" t="s">
        <v>41</v>
      </c>
      <c r="O17" s="26">
        <v>0</v>
      </c>
      <c r="P17" s="29"/>
      <c r="Q17" s="20"/>
      <c r="R17" s="40">
        <v>547555.24</v>
      </c>
      <c r="S17" s="36"/>
      <c r="T17" s="36">
        <v>0</v>
      </c>
      <c r="U17" s="36">
        <f t="shared" si="7"/>
        <v>547555.24</v>
      </c>
      <c r="V17" s="38">
        <f t="shared" si="4"/>
        <v>0</v>
      </c>
      <c r="W17" s="38"/>
      <c r="X17" s="39">
        <f t="shared" si="5"/>
        <v>0</v>
      </c>
      <c r="Y17" s="36">
        <f t="shared" si="6"/>
        <v>0</v>
      </c>
      <c r="Z17" s="26">
        <v>0.05</v>
      </c>
      <c r="AA17" s="26"/>
      <c r="AB17" s="26"/>
      <c r="AC17" s="20"/>
      <c r="AD17" s="47" t="s">
        <v>42</v>
      </c>
      <c r="AE17" s="26">
        <v>0.42</v>
      </c>
    </row>
    <row r="18" spans="1:31" ht="14.25">
      <c r="A18" s="19" t="s">
        <v>31</v>
      </c>
      <c r="B18" s="20" t="s">
        <v>32</v>
      </c>
      <c r="C18" s="20" t="s">
        <v>63</v>
      </c>
      <c r="D18" s="20" t="s">
        <v>64</v>
      </c>
      <c r="E18" s="20" t="s">
        <v>75</v>
      </c>
      <c r="F18" s="20" t="s">
        <v>76</v>
      </c>
      <c r="G18" s="20" t="s">
        <v>37</v>
      </c>
      <c r="H18" s="20" t="s">
        <v>38</v>
      </c>
      <c r="I18" s="20" t="s">
        <v>39</v>
      </c>
      <c r="J18" s="20" t="str">
        <f>VLOOKUP(I18,媒体表!A:T,20,0)</f>
        <v>金源广告</v>
      </c>
      <c r="K18" s="27" t="s">
        <v>75</v>
      </c>
      <c r="L18" s="26"/>
      <c r="M18" s="28" t="s">
        <v>48</v>
      </c>
      <c r="N18" s="20" t="s">
        <v>41</v>
      </c>
      <c r="O18" s="26">
        <v>0</v>
      </c>
      <c r="P18" s="29"/>
      <c r="Q18" s="20"/>
      <c r="R18" s="40">
        <v>70024.240000000005</v>
      </c>
      <c r="S18" s="36"/>
      <c r="T18" s="36">
        <v>0</v>
      </c>
      <c r="U18" s="36">
        <f t="shared" si="7"/>
        <v>70024.240000000005</v>
      </c>
      <c r="V18" s="38">
        <f t="shared" si="4"/>
        <v>0</v>
      </c>
      <c r="W18" s="38"/>
      <c r="X18" s="39">
        <f t="shared" si="5"/>
        <v>0</v>
      </c>
      <c r="Y18" s="36">
        <f t="shared" si="6"/>
        <v>0</v>
      </c>
      <c r="Z18" s="26">
        <v>0.05</v>
      </c>
      <c r="AA18" s="26"/>
      <c r="AB18" s="26"/>
      <c r="AC18" s="20"/>
      <c r="AD18" s="47" t="s">
        <v>55</v>
      </c>
      <c r="AE18" s="26">
        <v>0</v>
      </c>
    </row>
    <row r="19" spans="1:31" ht="14.25">
      <c r="A19" s="19" t="s">
        <v>31</v>
      </c>
      <c r="B19" s="20" t="s">
        <v>43</v>
      </c>
      <c r="C19" s="20" t="s">
        <v>51</v>
      </c>
      <c r="D19" s="20" t="s">
        <v>77</v>
      </c>
      <c r="E19" s="20" t="s">
        <v>78</v>
      </c>
      <c r="F19" s="20" t="s">
        <v>78</v>
      </c>
      <c r="G19" s="20" t="s">
        <v>78</v>
      </c>
      <c r="H19" s="20" t="s">
        <v>38</v>
      </c>
      <c r="I19" s="20" t="s">
        <v>39</v>
      </c>
      <c r="J19" s="20" t="str">
        <f>VLOOKUP(I19,媒体表!A:T,20,0)</f>
        <v>金源广告</v>
      </c>
      <c r="K19" s="27" t="s">
        <v>79</v>
      </c>
      <c r="L19" s="26"/>
      <c r="M19" s="28" t="s">
        <v>48</v>
      </c>
      <c r="N19" s="20" t="s">
        <v>56</v>
      </c>
      <c r="O19" s="26">
        <v>0.11</v>
      </c>
      <c r="P19" s="29"/>
      <c r="Q19" s="20"/>
      <c r="R19" s="40">
        <v>205.52</v>
      </c>
      <c r="S19" s="36"/>
      <c r="T19" s="36">
        <v>0</v>
      </c>
      <c r="U19" s="36">
        <f t="shared" si="7"/>
        <v>205.52</v>
      </c>
      <c r="V19" s="38">
        <f t="shared" si="4"/>
        <v>0</v>
      </c>
      <c r="W19" s="38"/>
      <c r="X19" s="39">
        <f t="shared" si="5"/>
        <v>0</v>
      </c>
      <c r="Y19" s="36">
        <f t="shared" si="6"/>
        <v>0</v>
      </c>
      <c r="Z19" s="26">
        <v>0.05</v>
      </c>
      <c r="AA19" s="26"/>
      <c r="AB19" s="26"/>
      <c r="AC19" s="20"/>
      <c r="AD19" s="47" t="s">
        <v>42</v>
      </c>
      <c r="AE19" s="26">
        <v>0.22</v>
      </c>
    </row>
    <row r="20" spans="1:31" ht="14.25">
      <c r="A20" s="19" t="s">
        <v>31</v>
      </c>
      <c r="B20" s="20" t="s">
        <v>32</v>
      </c>
      <c r="C20" s="20" t="s">
        <v>44</v>
      </c>
      <c r="D20" s="20" t="s">
        <v>80</v>
      </c>
      <c r="E20" s="20" t="s">
        <v>81</v>
      </c>
      <c r="F20" s="20" t="s">
        <v>82</v>
      </c>
      <c r="G20" s="20" t="s">
        <v>37</v>
      </c>
      <c r="H20" s="20" t="s">
        <v>38</v>
      </c>
      <c r="I20" s="20" t="s">
        <v>39</v>
      </c>
      <c r="J20" s="20" t="str">
        <f>VLOOKUP(I20,媒体表!A:T,20,0)</f>
        <v>金源广告</v>
      </c>
      <c r="K20" s="27" t="s">
        <v>83</v>
      </c>
      <c r="L20" s="26"/>
      <c r="M20" s="28" t="s">
        <v>40</v>
      </c>
      <c r="N20" s="20" t="s">
        <v>56</v>
      </c>
      <c r="O20" s="26">
        <v>0.05</v>
      </c>
      <c r="P20" s="29"/>
      <c r="Q20" s="20"/>
      <c r="R20" s="40">
        <v>1766.24</v>
      </c>
      <c r="S20" s="36"/>
      <c r="T20" s="36">
        <v>0</v>
      </c>
      <c r="U20" s="36">
        <f t="shared" si="7"/>
        <v>1766.24</v>
      </c>
      <c r="V20" s="38">
        <f t="shared" si="4"/>
        <v>0</v>
      </c>
      <c r="W20" s="38"/>
      <c r="X20" s="39">
        <f t="shared" si="5"/>
        <v>0</v>
      </c>
      <c r="Y20" s="36">
        <f t="shared" si="6"/>
        <v>0</v>
      </c>
      <c r="Z20" s="26">
        <v>0.05</v>
      </c>
      <c r="AA20" s="26"/>
      <c r="AB20" s="26"/>
      <c r="AC20" s="20"/>
      <c r="AD20" s="47" t="s">
        <v>55</v>
      </c>
      <c r="AE20" s="26">
        <v>0.42</v>
      </c>
    </row>
    <row r="21" spans="1:31" ht="14.25">
      <c r="A21" s="19" t="s">
        <v>31</v>
      </c>
      <c r="B21" s="20" t="s">
        <v>43</v>
      </c>
      <c r="C21" s="20" t="s">
        <v>63</v>
      </c>
      <c r="D21" s="20" t="s">
        <v>64</v>
      </c>
      <c r="E21" s="20" t="s">
        <v>84</v>
      </c>
      <c r="F21" s="20" t="s">
        <v>84</v>
      </c>
      <c r="G21" s="20" t="s">
        <v>84</v>
      </c>
      <c r="H21" s="20" t="s">
        <v>38</v>
      </c>
      <c r="I21" s="20" t="s">
        <v>39</v>
      </c>
      <c r="J21" s="20" t="str">
        <f>VLOOKUP(I21,媒体表!A:T,20,0)</f>
        <v>金源广告</v>
      </c>
      <c r="K21" s="27" t="s">
        <v>84</v>
      </c>
      <c r="L21" s="26"/>
      <c r="M21" s="28" t="s">
        <v>48</v>
      </c>
      <c r="N21" s="20" t="s">
        <v>56</v>
      </c>
      <c r="O21" s="26">
        <v>5.5E-2</v>
      </c>
      <c r="P21" s="29"/>
      <c r="Q21" s="20"/>
      <c r="R21" s="40">
        <v>12291.56</v>
      </c>
      <c r="S21" s="36"/>
      <c r="T21" s="36">
        <v>0</v>
      </c>
      <c r="U21" s="36">
        <f t="shared" si="7"/>
        <v>12291.56</v>
      </c>
      <c r="V21" s="38">
        <f t="shared" si="4"/>
        <v>0</v>
      </c>
      <c r="W21" s="38"/>
      <c r="X21" s="39">
        <f t="shared" si="5"/>
        <v>0</v>
      </c>
      <c r="Y21" s="36">
        <f t="shared" si="6"/>
        <v>0</v>
      </c>
      <c r="Z21" s="26">
        <v>0.05</v>
      </c>
      <c r="AA21" s="26"/>
      <c r="AB21" s="26"/>
      <c r="AC21" s="20"/>
      <c r="AD21" s="47" t="s">
        <v>55</v>
      </c>
      <c r="AE21" s="26">
        <v>0.14000000000000001</v>
      </c>
    </row>
    <row r="22" spans="1:31" ht="14.25">
      <c r="A22" s="19" t="s">
        <v>31</v>
      </c>
      <c r="B22" s="20" t="s">
        <v>32</v>
      </c>
      <c r="C22" s="20" t="s">
        <v>33</v>
      </c>
      <c r="D22" s="20" t="s">
        <v>85</v>
      </c>
      <c r="E22" s="20" t="s">
        <v>86</v>
      </c>
      <c r="F22" s="20" t="s">
        <v>87</v>
      </c>
      <c r="G22" s="20" t="s">
        <v>37</v>
      </c>
      <c r="H22" s="20" t="s">
        <v>38</v>
      </c>
      <c r="I22" s="20" t="s">
        <v>39</v>
      </c>
      <c r="J22" s="20" t="str">
        <f>VLOOKUP(I22,媒体表!A:T,20,0)</f>
        <v>金源广告</v>
      </c>
      <c r="K22" s="27" t="s">
        <v>88</v>
      </c>
      <c r="L22" s="26"/>
      <c r="M22" s="28" t="s">
        <v>89</v>
      </c>
      <c r="N22" s="20" t="s">
        <v>56</v>
      </c>
      <c r="O22" s="26">
        <v>0.18</v>
      </c>
      <c r="P22" s="29"/>
      <c r="Q22" s="20"/>
      <c r="R22" s="40">
        <v>135533.64000000001</v>
      </c>
      <c r="S22" s="36"/>
      <c r="T22" s="36">
        <v>3591.69</v>
      </c>
      <c r="U22" s="36">
        <f t="shared" si="7"/>
        <v>131941.95000000001</v>
      </c>
      <c r="V22" s="38">
        <f t="shared" si="4"/>
        <v>3043.805084745763</v>
      </c>
      <c r="W22" s="38"/>
      <c r="X22" s="39">
        <f t="shared" si="5"/>
        <v>547.88491525423706</v>
      </c>
      <c r="Y22" s="36">
        <f t="shared" si="6"/>
        <v>3591.69</v>
      </c>
      <c r="Z22" s="26">
        <v>0.05</v>
      </c>
      <c r="AA22" s="26"/>
      <c r="AB22" s="26"/>
      <c r="AC22" s="20"/>
      <c r="AD22" s="47" t="s">
        <v>42</v>
      </c>
      <c r="AE22" s="26" t="s">
        <v>90</v>
      </c>
    </row>
    <row r="23" spans="1:31" ht="14.25">
      <c r="A23" s="19" t="s">
        <v>31</v>
      </c>
      <c r="B23" s="20" t="s">
        <v>32</v>
      </c>
      <c r="C23" s="20" t="s">
        <v>91</v>
      </c>
      <c r="D23" s="20" t="s">
        <v>92</v>
      </c>
      <c r="E23" s="20" t="s">
        <v>93</v>
      </c>
      <c r="F23" s="20" t="s">
        <v>94</v>
      </c>
      <c r="G23" s="20" t="s">
        <v>37</v>
      </c>
      <c r="H23" s="20" t="s">
        <v>38</v>
      </c>
      <c r="I23" s="20" t="s">
        <v>39</v>
      </c>
      <c r="J23" s="20" t="str">
        <f>VLOOKUP(I23,媒体表!A:T,20,0)</f>
        <v>金源广告</v>
      </c>
      <c r="K23" s="27" t="s">
        <v>88</v>
      </c>
      <c r="L23" s="26"/>
      <c r="M23" s="28" t="s">
        <v>89</v>
      </c>
      <c r="N23" s="20" t="s">
        <v>56</v>
      </c>
      <c r="O23" s="26">
        <v>0.18</v>
      </c>
      <c r="P23" s="29"/>
      <c r="Q23" s="20"/>
      <c r="R23" s="40">
        <v>8102.9149295775096</v>
      </c>
      <c r="S23" s="36"/>
      <c r="T23" s="36">
        <v>0</v>
      </c>
      <c r="U23" s="36">
        <f t="shared" si="7"/>
        <v>8102.9149295775096</v>
      </c>
      <c r="V23" s="38">
        <f t="shared" si="4"/>
        <v>0</v>
      </c>
      <c r="W23" s="38"/>
      <c r="X23" s="39">
        <f t="shared" si="5"/>
        <v>0</v>
      </c>
      <c r="Y23" s="36">
        <f t="shared" si="6"/>
        <v>0</v>
      </c>
      <c r="Z23" s="26">
        <v>0.05</v>
      </c>
      <c r="AA23" s="26"/>
      <c r="AB23" s="26"/>
      <c r="AC23" s="20"/>
      <c r="AD23" s="47" t="s">
        <v>42</v>
      </c>
      <c r="AE23" s="26">
        <v>0.42</v>
      </c>
    </row>
    <row r="24" spans="1:31" ht="14.25">
      <c r="A24" s="19" t="s">
        <v>31</v>
      </c>
      <c r="B24" s="20" t="s">
        <v>32</v>
      </c>
      <c r="C24" s="20" t="s">
        <v>91</v>
      </c>
      <c r="D24" s="20" t="s">
        <v>92</v>
      </c>
      <c r="E24" s="20" t="s">
        <v>95</v>
      </c>
      <c r="F24" s="20" t="s">
        <v>96</v>
      </c>
      <c r="G24" s="20" t="s">
        <v>37</v>
      </c>
      <c r="H24" s="20" t="s">
        <v>38</v>
      </c>
      <c r="I24" s="20" t="s">
        <v>39</v>
      </c>
      <c r="J24" s="20" t="str">
        <f>VLOOKUP(I24,媒体表!A:T,20,0)</f>
        <v>金源广告</v>
      </c>
      <c r="K24" s="27" t="s">
        <v>88</v>
      </c>
      <c r="L24" s="26"/>
      <c r="M24" s="28" t="s">
        <v>89</v>
      </c>
      <c r="N24" s="20" t="s">
        <v>56</v>
      </c>
      <c r="O24" s="26">
        <v>0.03</v>
      </c>
      <c r="P24" s="29"/>
      <c r="Q24" s="20"/>
      <c r="R24" s="40">
        <v>655.37999999978604</v>
      </c>
      <c r="S24" s="36"/>
      <c r="T24" s="36">
        <v>0</v>
      </c>
      <c r="U24" s="36">
        <f t="shared" si="7"/>
        <v>655.37999999978604</v>
      </c>
      <c r="V24" s="38">
        <f t="shared" si="4"/>
        <v>0</v>
      </c>
      <c r="W24" s="38"/>
      <c r="X24" s="39">
        <f t="shared" si="5"/>
        <v>0</v>
      </c>
      <c r="Y24" s="36">
        <f t="shared" si="6"/>
        <v>0</v>
      </c>
      <c r="Z24" s="26">
        <v>0.05</v>
      </c>
      <c r="AA24" s="26"/>
      <c r="AB24" s="26"/>
      <c r="AC24" s="20"/>
      <c r="AD24" s="47" t="s">
        <v>42</v>
      </c>
      <c r="AE24" s="26">
        <v>0.42</v>
      </c>
    </row>
    <row r="25" spans="1:31" ht="14.25">
      <c r="A25" s="19" t="s">
        <v>31</v>
      </c>
      <c r="B25" s="20" t="s">
        <v>32</v>
      </c>
      <c r="C25" s="20" t="s">
        <v>91</v>
      </c>
      <c r="D25" s="20" t="s">
        <v>92</v>
      </c>
      <c r="E25" s="20" t="s">
        <v>97</v>
      </c>
      <c r="F25" s="20" t="s">
        <v>98</v>
      </c>
      <c r="G25" s="20" t="s">
        <v>37</v>
      </c>
      <c r="H25" s="20" t="s">
        <v>38</v>
      </c>
      <c r="I25" s="20" t="s">
        <v>39</v>
      </c>
      <c r="J25" s="20" t="str">
        <f>VLOOKUP(I25,媒体表!A:T,20,0)</f>
        <v>金源广告</v>
      </c>
      <c r="K25" s="27" t="s">
        <v>88</v>
      </c>
      <c r="L25" s="26"/>
      <c r="M25" s="28" t="s">
        <v>89</v>
      </c>
      <c r="N25" s="20" t="s">
        <v>56</v>
      </c>
      <c r="O25" s="26">
        <v>0.22</v>
      </c>
      <c r="P25" s="29"/>
      <c r="Q25" s="20"/>
      <c r="R25" s="40">
        <v>32528.018732394001</v>
      </c>
      <c r="S25" s="36"/>
      <c r="T25" s="36">
        <v>0</v>
      </c>
      <c r="U25" s="36">
        <f t="shared" si="7"/>
        <v>32528.018732394001</v>
      </c>
      <c r="V25" s="38">
        <f t="shared" si="4"/>
        <v>0</v>
      </c>
      <c r="W25" s="38"/>
      <c r="X25" s="39">
        <f t="shared" si="5"/>
        <v>0</v>
      </c>
      <c r="Y25" s="36">
        <f t="shared" si="6"/>
        <v>0</v>
      </c>
      <c r="Z25" s="26">
        <v>0.05</v>
      </c>
      <c r="AA25" s="26"/>
      <c r="AB25" s="26"/>
      <c r="AC25" s="20"/>
      <c r="AD25" s="47" t="s">
        <v>42</v>
      </c>
      <c r="AE25" s="26">
        <v>0.42</v>
      </c>
    </row>
    <row r="26" spans="1:31" ht="14.25">
      <c r="A26" s="19" t="s">
        <v>31</v>
      </c>
      <c r="B26" s="20" t="s">
        <v>32</v>
      </c>
      <c r="C26" s="20" t="s">
        <v>91</v>
      </c>
      <c r="D26" s="20" t="s">
        <v>92</v>
      </c>
      <c r="E26" s="20" t="s">
        <v>99</v>
      </c>
      <c r="F26" s="20" t="s">
        <v>100</v>
      </c>
      <c r="G26" s="20" t="s">
        <v>37</v>
      </c>
      <c r="H26" s="20" t="s">
        <v>38</v>
      </c>
      <c r="I26" s="20" t="s">
        <v>39</v>
      </c>
      <c r="J26" s="20" t="str">
        <f>VLOOKUP(I26,媒体表!A:T,20,0)</f>
        <v>金源广告</v>
      </c>
      <c r="K26" s="27" t="s">
        <v>88</v>
      </c>
      <c r="L26" s="26"/>
      <c r="M26" s="28" t="s">
        <v>89</v>
      </c>
      <c r="N26" s="20" t="s">
        <v>56</v>
      </c>
      <c r="O26" s="26">
        <v>0.08</v>
      </c>
      <c r="P26" s="29"/>
      <c r="Q26" s="20"/>
      <c r="R26" s="40">
        <v>44404.901830985997</v>
      </c>
      <c r="S26" s="36"/>
      <c r="T26" s="36">
        <v>0</v>
      </c>
      <c r="U26" s="36">
        <f t="shared" si="7"/>
        <v>44404.901830985997</v>
      </c>
      <c r="V26" s="38">
        <f t="shared" si="4"/>
        <v>0</v>
      </c>
      <c r="W26" s="38"/>
      <c r="X26" s="39">
        <f t="shared" si="5"/>
        <v>0</v>
      </c>
      <c r="Y26" s="36">
        <f t="shared" si="6"/>
        <v>0</v>
      </c>
      <c r="Z26" s="26">
        <v>0.05</v>
      </c>
      <c r="AA26" s="26"/>
      <c r="AB26" s="26"/>
      <c r="AC26" s="20"/>
      <c r="AD26" s="47" t="s">
        <v>42</v>
      </c>
      <c r="AE26" s="26" t="s">
        <v>101</v>
      </c>
    </row>
    <row r="27" spans="1:31" ht="14.25">
      <c r="A27" s="19" t="s">
        <v>31</v>
      </c>
      <c r="B27" s="20" t="s">
        <v>32</v>
      </c>
      <c r="C27" s="20" t="s">
        <v>91</v>
      </c>
      <c r="D27" s="20" t="s">
        <v>92</v>
      </c>
      <c r="E27" s="20" t="s">
        <v>102</v>
      </c>
      <c r="F27" s="20" t="s">
        <v>103</v>
      </c>
      <c r="G27" s="20" t="s">
        <v>37</v>
      </c>
      <c r="H27" s="20" t="s">
        <v>38</v>
      </c>
      <c r="I27" s="20" t="s">
        <v>39</v>
      </c>
      <c r="J27" s="20" t="str">
        <f>VLOOKUP(I27,媒体表!A:T,20,0)</f>
        <v>金源广告</v>
      </c>
      <c r="K27" s="27" t="s">
        <v>88</v>
      </c>
      <c r="L27" s="26"/>
      <c r="M27" s="28" t="s">
        <v>89</v>
      </c>
      <c r="N27" s="20" t="s">
        <v>56</v>
      </c>
      <c r="O27" s="26">
        <v>0.04</v>
      </c>
      <c r="P27" s="29"/>
      <c r="Q27" s="20"/>
      <c r="R27" s="40">
        <v>227.30774647876399</v>
      </c>
      <c r="S27" s="36"/>
      <c r="T27" s="36">
        <v>0</v>
      </c>
      <c r="U27" s="36">
        <f t="shared" si="7"/>
        <v>227.30774647876399</v>
      </c>
      <c r="V27" s="38">
        <f t="shared" si="4"/>
        <v>0</v>
      </c>
      <c r="W27" s="38"/>
      <c r="X27" s="39">
        <f t="shared" si="5"/>
        <v>0</v>
      </c>
      <c r="Y27" s="36">
        <f t="shared" si="6"/>
        <v>0</v>
      </c>
      <c r="Z27" s="26">
        <v>0.05</v>
      </c>
      <c r="AA27" s="26"/>
      <c r="AB27" s="26"/>
      <c r="AC27" s="20"/>
      <c r="AD27" s="47" t="s">
        <v>42</v>
      </c>
      <c r="AE27" s="26">
        <v>0.42</v>
      </c>
    </row>
    <row r="28" spans="1:31" ht="14.25">
      <c r="A28" s="19" t="s">
        <v>31</v>
      </c>
      <c r="B28" s="20" t="s">
        <v>32</v>
      </c>
      <c r="C28" s="20" t="s">
        <v>91</v>
      </c>
      <c r="D28" s="20" t="s">
        <v>92</v>
      </c>
      <c r="E28" s="20" t="s">
        <v>86</v>
      </c>
      <c r="F28" s="20" t="s">
        <v>104</v>
      </c>
      <c r="G28" s="20" t="s">
        <v>37</v>
      </c>
      <c r="H28" s="20" t="s">
        <v>38</v>
      </c>
      <c r="I28" s="20" t="s">
        <v>39</v>
      </c>
      <c r="J28" s="20" t="str">
        <f>VLOOKUP(I28,媒体表!A:T,20,0)</f>
        <v>金源广告</v>
      </c>
      <c r="K28" s="27" t="s">
        <v>88</v>
      </c>
      <c r="L28" s="26"/>
      <c r="M28" s="28" t="s">
        <v>89</v>
      </c>
      <c r="N28" s="20" t="s">
        <v>56</v>
      </c>
      <c r="O28" s="26">
        <v>0.23</v>
      </c>
      <c r="P28" s="29"/>
      <c r="Q28" s="20"/>
      <c r="R28" s="40">
        <v>152.264929577999</v>
      </c>
      <c r="S28" s="36"/>
      <c r="T28" s="36">
        <v>0</v>
      </c>
      <c r="U28" s="36">
        <f t="shared" si="7"/>
        <v>152.264929577999</v>
      </c>
      <c r="V28" s="38">
        <f t="shared" si="4"/>
        <v>0</v>
      </c>
      <c r="W28" s="38"/>
      <c r="X28" s="39">
        <f t="shared" si="5"/>
        <v>0</v>
      </c>
      <c r="Y28" s="36">
        <f t="shared" si="6"/>
        <v>0</v>
      </c>
      <c r="Z28" s="26">
        <v>0.05</v>
      </c>
      <c r="AA28" s="26"/>
      <c r="AB28" s="26"/>
      <c r="AC28" s="20"/>
      <c r="AD28" s="47" t="s">
        <v>42</v>
      </c>
      <c r="AE28" s="26" t="s">
        <v>101</v>
      </c>
    </row>
    <row r="29" spans="1:31" ht="14.25">
      <c r="A29" s="19" t="s">
        <v>31</v>
      </c>
      <c r="B29" s="20" t="s">
        <v>32</v>
      </c>
      <c r="C29" s="20" t="s">
        <v>91</v>
      </c>
      <c r="D29" s="20" t="s">
        <v>92</v>
      </c>
      <c r="E29" s="20" t="s">
        <v>105</v>
      </c>
      <c r="F29" s="20" t="s">
        <v>106</v>
      </c>
      <c r="G29" s="20" t="s">
        <v>37</v>
      </c>
      <c r="H29" s="20" t="s">
        <v>38</v>
      </c>
      <c r="I29" s="20" t="s">
        <v>39</v>
      </c>
      <c r="J29" s="20" t="str">
        <f>VLOOKUP(I29,媒体表!A:T,20,0)</f>
        <v>金源广告</v>
      </c>
      <c r="K29" s="27" t="s">
        <v>88</v>
      </c>
      <c r="L29" s="26"/>
      <c r="M29" s="28" t="s">
        <v>89</v>
      </c>
      <c r="N29" s="20" t="s">
        <v>56</v>
      </c>
      <c r="O29" s="26">
        <v>0.13</v>
      </c>
      <c r="P29" s="29"/>
      <c r="Q29" s="20"/>
      <c r="R29" s="40">
        <v>870846.699999996</v>
      </c>
      <c r="S29" s="36"/>
      <c r="T29" s="36">
        <v>0</v>
      </c>
      <c r="U29" s="36">
        <f t="shared" si="7"/>
        <v>870846.699999996</v>
      </c>
      <c r="V29" s="38">
        <f t="shared" si="4"/>
        <v>0</v>
      </c>
      <c r="W29" s="38"/>
      <c r="X29" s="39">
        <f t="shared" si="5"/>
        <v>0</v>
      </c>
      <c r="Y29" s="36">
        <f t="shared" si="6"/>
        <v>0</v>
      </c>
      <c r="Z29" s="26">
        <v>0.05</v>
      </c>
      <c r="AA29" s="26"/>
      <c r="AB29" s="26"/>
      <c r="AC29" s="20"/>
      <c r="AD29" s="47" t="s">
        <v>42</v>
      </c>
      <c r="AE29" s="26" t="s">
        <v>101</v>
      </c>
    </row>
    <row r="30" spans="1:31" ht="14.25">
      <c r="A30" s="19" t="s">
        <v>31</v>
      </c>
      <c r="B30" s="20" t="s">
        <v>32</v>
      </c>
      <c r="C30" s="20" t="s">
        <v>91</v>
      </c>
      <c r="D30" s="20" t="s">
        <v>92</v>
      </c>
      <c r="E30" s="20" t="s">
        <v>107</v>
      </c>
      <c r="F30" s="20" t="s">
        <v>108</v>
      </c>
      <c r="G30" s="20" t="s">
        <v>37</v>
      </c>
      <c r="H30" s="20" t="s">
        <v>38</v>
      </c>
      <c r="I30" s="20" t="s">
        <v>39</v>
      </c>
      <c r="J30" s="20" t="str">
        <f>VLOOKUP(I30,媒体表!A:T,20,0)</f>
        <v>金源广告</v>
      </c>
      <c r="K30" s="27" t="s">
        <v>88</v>
      </c>
      <c r="L30" s="26"/>
      <c r="M30" s="28" t="s">
        <v>89</v>
      </c>
      <c r="N30" s="20" t="s">
        <v>56</v>
      </c>
      <c r="O30" s="26">
        <v>0.03</v>
      </c>
      <c r="P30" s="29"/>
      <c r="Q30" s="20"/>
      <c r="R30" s="40">
        <v>425.555211267598</v>
      </c>
      <c r="S30" s="36"/>
      <c r="T30" s="36">
        <v>0</v>
      </c>
      <c r="U30" s="36">
        <f t="shared" si="7"/>
        <v>425.555211267598</v>
      </c>
      <c r="V30" s="38">
        <f t="shared" si="4"/>
        <v>0</v>
      </c>
      <c r="W30" s="38"/>
      <c r="X30" s="39">
        <f t="shared" si="5"/>
        <v>0</v>
      </c>
      <c r="Y30" s="36">
        <f t="shared" si="6"/>
        <v>0</v>
      </c>
      <c r="Z30" s="26">
        <v>0.05</v>
      </c>
      <c r="AA30" s="26"/>
      <c r="AB30" s="26"/>
      <c r="AC30" s="20"/>
      <c r="AD30" s="47" t="s">
        <v>42</v>
      </c>
      <c r="AE30" s="26">
        <v>0.42</v>
      </c>
    </row>
    <row r="31" spans="1:31" ht="14.25">
      <c r="A31" s="19" t="s">
        <v>31</v>
      </c>
      <c r="B31" s="20" t="s">
        <v>32</v>
      </c>
      <c r="C31" s="20" t="s">
        <v>91</v>
      </c>
      <c r="D31" s="20" t="s">
        <v>92</v>
      </c>
      <c r="E31" s="20" t="s">
        <v>109</v>
      </c>
      <c r="F31" s="20" t="s">
        <v>110</v>
      </c>
      <c r="G31" s="20" t="s">
        <v>37</v>
      </c>
      <c r="H31" s="20" t="s">
        <v>38</v>
      </c>
      <c r="I31" s="20" t="s">
        <v>39</v>
      </c>
      <c r="J31" s="20" t="str">
        <f>VLOOKUP(I31,媒体表!A:T,20,0)</f>
        <v>金源广告</v>
      </c>
      <c r="K31" s="27" t="s">
        <v>88</v>
      </c>
      <c r="L31" s="26"/>
      <c r="M31" s="28" t="s">
        <v>89</v>
      </c>
      <c r="N31" s="20" t="s">
        <v>56</v>
      </c>
      <c r="O31" s="26">
        <v>0.22</v>
      </c>
      <c r="P31" s="29"/>
      <c r="Q31" s="20"/>
      <c r="R31" s="40">
        <v>1402.38690140774</v>
      </c>
      <c r="S31" s="36"/>
      <c r="T31" s="36">
        <v>0</v>
      </c>
      <c r="U31" s="36">
        <f t="shared" si="7"/>
        <v>1402.38690140774</v>
      </c>
      <c r="V31" s="38">
        <f t="shared" si="4"/>
        <v>0</v>
      </c>
      <c r="W31" s="38"/>
      <c r="X31" s="39">
        <f t="shared" si="5"/>
        <v>0</v>
      </c>
      <c r="Y31" s="36">
        <f t="shared" si="6"/>
        <v>0</v>
      </c>
      <c r="Z31" s="26">
        <v>0.05</v>
      </c>
      <c r="AA31" s="26"/>
      <c r="AB31" s="26"/>
      <c r="AC31" s="20"/>
      <c r="AD31" s="47" t="s">
        <v>42</v>
      </c>
      <c r="AE31" s="26">
        <v>0.42</v>
      </c>
    </row>
    <row r="32" spans="1:31" ht="14.25">
      <c r="A32" s="19" t="s">
        <v>31</v>
      </c>
      <c r="B32" s="20" t="s">
        <v>32</v>
      </c>
      <c r="C32" s="20" t="s">
        <v>91</v>
      </c>
      <c r="D32" s="20" t="s">
        <v>92</v>
      </c>
      <c r="E32" s="20" t="s">
        <v>111</v>
      </c>
      <c r="F32" s="20" t="s">
        <v>112</v>
      </c>
      <c r="G32" s="20" t="s">
        <v>37</v>
      </c>
      <c r="H32" s="20" t="s">
        <v>38</v>
      </c>
      <c r="I32" s="20" t="s">
        <v>39</v>
      </c>
      <c r="J32" s="20" t="str">
        <f>VLOOKUP(I32,媒体表!A:T,20,0)</f>
        <v>金源广告</v>
      </c>
      <c r="K32" s="27" t="s">
        <v>88</v>
      </c>
      <c r="L32" s="26"/>
      <c r="M32" s="28" t="s">
        <v>89</v>
      </c>
      <c r="N32" s="20" t="s">
        <v>56</v>
      </c>
      <c r="O32" s="26">
        <v>0.23</v>
      </c>
      <c r="P32" s="29"/>
      <c r="Q32" s="20"/>
      <c r="R32" s="40">
        <v>12961.68</v>
      </c>
      <c r="S32" s="36"/>
      <c r="T32" s="36">
        <v>0</v>
      </c>
      <c r="U32" s="36">
        <f t="shared" si="7"/>
        <v>12961.68</v>
      </c>
      <c r="V32" s="38">
        <f t="shared" si="4"/>
        <v>0</v>
      </c>
      <c r="W32" s="38"/>
      <c r="X32" s="39">
        <f t="shared" si="5"/>
        <v>0</v>
      </c>
      <c r="Y32" s="36">
        <f t="shared" si="6"/>
        <v>0</v>
      </c>
      <c r="Z32" s="26">
        <v>0.05</v>
      </c>
      <c r="AA32" s="26"/>
      <c r="AB32" s="26"/>
      <c r="AC32" s="20"/>
      <c r="AD32" s="47" t="s">
        <v>42</v>
      </c>
      <c r="AE32" s="26">
        <v>0.42</v>
      </c>
    </row>
    <row r="33" spans="1:31" ht="14.25">
      <c r="A33" s="19" t="s">
        <v>31</v>
      </c>
      <c r="B33" s="20" t="s">
        <v>32</v>
      </c>
      <c r="C33" s="20" t="s">
        <v>91</v>
      </c>
      <c r="D33" s="20" t="s">
        <v>92</v>
      </c>
      <c r="E33" s="20" t="s">
        <v>113</v>
      </c>
      <c r="F33" s="20" t="s">
        <v>114</v>
      </c>
      <c r="G33" s="20" t="s">
        <v>37</v>
      </c>
      <c r="H33" s="20" t="s">
        <v>38</v>
      </c>
      <c r="I33" s="20" t="s">
        <v>39</v>
      </c>
      <c r="J33" s="20" t="str">
        <f>VLOOKUP(I33,媒体表!A:T,20,0)</f>
        <v>金源广告</v>
      </c>
      <c r="K33" s="27" t="s">
        <v>88</v>
      </c>
      <c r="L33" s="26"/>
      <c r="M33" s="28" t="s">
        <v>89</v>
      </c>
      <c r="N33" s="20" t="s">
        <v>56</v>
      </c>
      <c r="O33" s="26">
        <v>0.13</v>
      </c>
      <c r="P33" s="29"/>
      <c r="Q33" s="20"/>
      <c r="R33" s="40">
        <v>143.460985915328</v>
      </c>
      <c r="S33" s="36"/>
      <c r="T33" s="36">
        <v>0</v>
      </c>
      <c r="U33" s="36">
        <f t="shared" si="7"/>
        <v>143.460985915328</v>
      </c>
      <c r="V33" s="38">
        <f t="shared" si="4"/>
        <v>0</v>
      </c>
      <c r="W33" s="38"/>
      <c r="X33" s="39">
        <f t="shared" si="5"/>
        <v>0</v>
      </c>
      <c r="Y33" s="36">
        <f t="shared" si="6"/>
        <v>0</v>
      </c>
      <c r="Z33" s="26">
        <v>0.05</v>
      </c>
      <c r="AA33" s="26"/>
      <c r="AB33" s="26"/>
      <c r="AC33" s="20"/>
      <c r="AD33" s="47" t="s">
        <v>42</v>
      </c>
      <c r="AE33" s="26">
        <v>0.42</v>
      </c>
    </row>
    <row r="34" spans="1:31" ht="14.25">
      <c r="A34" s="19" t="s">
        <v>31</v>
      </c>
      <c r="B34" s="20" t="s">
        <v>32</v>
      </c>
      <c r="C34" s="20" t="s">
        <v>91</v>
      </c>
      <c r="D34" s="20" t="s">
        <v>92</v>
      </c>
      <c r="E34" s="20" t="s">
        <v>115</v>
      </c>
      <c r="F34" s="20" t="s">
        <v>116</v>
      </c>
      <c r="G34" s="20" t="s">
        <v>37</v>
      </c>
      <c r="H34" s="20" t="s">
        <v>38</v>
      </c>
      <c r="I34" s="20" t="s">
        <v>39</v>
      </c>
      <c r="J34" s="20" t="str">
        <f>VLOOKUP(I34,媒体表!A:T,20,0)</f>
        <v>金源广告</v>
      </c>
      <c r="K34" s="27" t="s">
        <v>88</v>
      </c>
      <c r="L34" s="26"/>
      <c r="M34" s="28" t="s">
        <v>89</v>
      </c>
      <c r="N34" s="20" t="s">
        <v>56</v>
      </c>
      <c r="O34" s="26">
        <v>0.18</v>
      </c>
      <c r="P34" s="29"/>
      <c r="Q34" s="20"/>
      <c r="R34" s="40">
        <v>2063.5353521120301</v>
      </c>
      <c r="S34" s="36"/>
      <c r="T34" s="36">
        <v>0</v>
      </c>
      <c r="U34" s="36">
        <f t="shared" si="7"/>
        <v>2063.5353521120301</v>
      </c>
      <c r="V34" s="38">
        <f t="shared" si="4"/>
        <v>0</v>
      </c>
      <c r="W34" s="38"/>
      <c r="X34" s="39">
        <f t="shared" si="5"/>
        <v>0</v>
      </c>
      <c r="Y34" s="36">
        <f t="shared" si="6"/>
        <v>0</v>
      </c>
      <c r="Z34" s="26">
        <v>0.05</v>
      </c>
      <c r="AA34" s="26"/>
      <c r="AB34" s="26"/>
      <c r="AC34" s="20"/>
      <c r="AD34" s="47" t="s">
        <v>42</v>
      </c>
      <c r="AE34" s="26">
        <v>0.42</v>
      </c>
    </row>
    <row r="35" spans="1:31" ht="14.25">
      <c r="A35" s="19" t="s">
        <v>31</v>
      </c>
      <c r="B35" s="20" t="s">
        <v>32</v>
      </c>
      <c r="C35" s="20" t="s">
        <v>91</v>
      </c>
      <c r="D35" s="20" t="s">
        <v>117</v>
      </c>
      <c r="E35" s="20" t="s">
        <v>118</v>
      </c>
      <c r="F35" s="20" t="s">
        <v>119</v>
      </c>
      <c r="G35" s="20" t="s">
        <v>37</v>
      </c>
      <c r="H35" s="20" t="s">
        <v>38</v>
      </c>
      <c r="I35" s="20" t="s">
        <v>39</v>
      </c>
      <c r="J35" s="20" t="str">
        <f>VLOOKUP(I35,媒体表!A:T,20,0)</f>
        <v>金源广告</v>
      </c>
      <c r="K35" s="27" t="s">
        <v>88</v>
      </c>
      <c r="L35" s="26"/>
      <c r="M35" s="28" t="s">
        <v>89</v>
      </c>
      <c r="N35" s="20" t="s">
        <v>56</v>
      </c>
      <c r="O35" s="26">
        <v>0.18</v>
      </c>
      <c r="P35" s="29"/>
      <c r="Q35" s="20"/>
      <c r="R35" s="40">
        <v>114142.344929578</v>
      </c>
      <c r="S35" s="36"/>
      <c r="T35" s="36">
        <v>0</v>
      </c>
      <c r="U35" s="36">
        <f t="shared" si="7"/>
        <v>114142.344929578</v>
      </c>
      <c r="V35" s="38">
        <f t="shared" si="4"/>
        <v>0</v>
      </c>
      <c r="W35" s="38"/>
      <c r="X35" s="39">
        <f t="shared" si="5"/>
        <v>0</v>
      </c>
      <c r="Y35" s="36">
        <f t="shared" si="6"/>
        <v>0</v>
      </c>
      <c r="Z35" s="26">
        <v>0.05</v>
      </c>
      <c r="AA35" s="26"/>
      <c r="AB35" s="26"/>
      <c r="AC35" s="20"/>
      <c r="AD35" s="47" t="s">
        <v>42</v>
      </c>
      <c r="AE35" s="26">
        <v>0.42</v>
      </c>
    </row>
    <row r="36" spans="1:31" ht="14.25">
      <c r="A36" s="19" t="s">
        <v>31</v>
      </c>
      <c r="B36" s="20" t="s">
        <v>32</v>
      </c>
      <c r="C36" s="20" t="s">
        <v>91</v>
      </c>
      <c r="D36" s="20" t="s">
        <v>117</v>
      </c>
      <c r="E36" s="20" t="s">
        <v>88</v>
      </c>
      <c r="F36" s="20" t="s">
        <v>120</v>
      </c>
      <c r="G36" s="20" t="s">
        <v>37</v>
      </c>
      <c r="H36" s="20" t="s">
        <v>38</v>
      </c>
      <c r="I36" s="20" t="s">
        <v>39</v>
      </c>
      <c r="J36" s="20" t="str">
        <f>VLOOKUP(I36,媒体表!A:T,20,0)</f>
        <v>金源广告</v>
      </c>
      <c r="K36" s="27" t="s">
        <v>88</v>
      </c>
      <c r="L36" s="26"/>
      <c r="M36" s="28" t="s">
        <v>89</v>
      </c>
      <c r="N36" s="20" t="s">
        <v>56</v>
      </c>
      <c r="O36" s="26">
        <v>0.08</v>
      </c>
      <c r="P36" s="29"/>
      <c r="Q36" s="20"/>
      <c r="R36" s="40">
        <v>29897.39</v>
      </c>
      <c r="S36" s="36"/>
      <c r="T36" s="36">
        <v>0</v>
      </c>
      <c r="U36" s="36">
        <f t="shared" si="7"/>
        <v>29897.39</v>
      </c>
      <c r="V36" s="38">
        <f t="shared" si="4"/>
        <v>0</v>
      </c>
      <c r="W36" s="38"/>
      <c r="X36" s="39">
        <f t="shared" si="5"/>
        <v>0</v>
      </c>
      <c r="Y36" s="36">
        <f t="shared" si="6"/>
        <v>0</v>
      </c>
      <c r="Z36" s="26">
        <v>0.05</v>
      </c>
      <c r="AA36" s="26"/>
      <c r="AB36" s="26"/>
      <c r="AC36" s="20"/>
      <c r="AD36" s="47" t="s">
        <v>42</v>
      </c>
      <c r="AE36" s="26">
        <v>0.42</v>
      </c>
    </row>
    <row r="37" spans="1:31" ht="14.25">
      <c r="A37" s="19" t="s">
        <v>31</v>
      </c>
      <c r="B37" s="20" t="s">
        <v>32</v>
      </c>
      <c r="C37" s="20" t="s">
        <v>91</v>
      </c>
      <c r="D37" s="20" t="s">
        <v>117</v>
      </c>
      <c r="E37" s="20" t="s">
        <v>121</v>
      </c>
      <c r="F37" s="20" t="s">
        <v>122</v>
      </c>
      <c r="G37" s="20" t="s">
        <v>37</v>
      </c>
      <c r="H37" s="20" t="s">
        <v>38</v>
      </c>
      <c r="I37" s="20" t="s">
        <v>39</v>
      </c>
      <c r="J37" s="20" t="str">
        <f>VLOOKUP(I37,媒体表!A:T,20,0)</f>
        <v>金源广告</v>
      </c>
      <c r="K37" s="27" t="s">
        <v>88</v>
      </c>
      <c r="L37" s="26"/>
      <c r="M37" s="28" t="s">
        <v>89</v>
      </c>
      <c r="N37" s="20" t="s">
        <v>56</v>
      </c>
      <c r="O37" s="26">
        <v>0.08</v>
      </c>
      <c r="P37" s="29"/>
      <c r="Q37" s="20"/>
      <c r="R37" s="40">
        <v>20014.111126760599</v>
      </c>
      <c r="S37" s="36"/>
      <c r="T37" s="36">
        <v>0</v>
      </c>
      <c r="U37" s="36">
        <f t="shared" si="7"/>
        <v>20014.111126760599</v>
      </c>
      <c r="V37" s="38">
        <f t="shared" si="4"/>
        <v>0</v>
      </c>
      <c r="W37" s="38"/>
      <c r="X37" s="39">
        <f t="shared" si="5"/>
        <v>0</v>
      </c>
      <c r="Y37" s="36">
        <f t="shared" si="6"/>
        <v>0</v>
      </c>
      <c r="Z37" s="26">
        <v>0.05</v>
      </c>
      <c r="AA37" s="26"/>
      <c r="AB37" s="26"/>
      <c r="AC37" s="20"/>
      <c r="AD37" s="47" t="s">
        <v>42</v>
      </c>
      <c r="AE37" s="26">
        <v>0.42</v>
      </c>
    </row>
    <row r="38" spans="1:31" ht="14.25">
      <c r="A38" s="19" t="s">
        <v>31</v>
      </c>
      <c r="B38" s="20" t="s">
        <v>32</v>
      </c>
      <c r="C38" s="20" t="s">
        <v>91</v>
      </c>
      <c r="D38" s="20" t="s">
        <v>117</v>
      </c>
      <c r="E38" s="20" t="s">
        <v>123</v>
      </c>
      <c r="F38" s="20" t="s">
        <v>124</v>
      </c>
      <c r="G38" s="20" t="s">
        <v>37</v>
      </c>
      <c r="H38" s="20" t="s">
        <v>38</v>
      </c>
      <c r="I38" s="20" t="s">
        <v>39</v>
      </c>
      <c r="J38" s="20" t="str">
        <f>VLOOKUP(I38,媒体表!A:T,20,0)</f>
        <v>金源广告</v>
      </c>
      <c r="K38" s="27" t="s">
        <v>88</v>
      </c>
      <c r="L38" s="26"/>
      <c r="M38" s="28" t="s">
        <v>89</v>
      </c>
      <c r="N38" s="20" t="s">
        <v>56</v>
      </c>
      <c r="O38" s="26">
        <v>0.04</v>
      </c>
      <c r="P38" s="29"/>
      <c r="Q38" s="20"/>
      <c r="R38" s="40">
        <v>322.47394365991897</v>
      </c>
      <c r="S38" s="36"/>
      <c r="T38" s="36">
        <v>0</v>
      </c>
      <c r="U38" s="36">
        <f t="shared" si="7"/>
        <v>322.47394365991897</v>
      </c>
      <c r="V38" s="38">
        <f t="shared" si="4"/>
        <v>0</v>
      </c>
      <c r="W38" s="38"/>
      <c r="X38" s="39">
        <f t="shared" si="5"/>
        <v>0</v>
      </c>
      <c r="Y38" s="36">
        <f t="shared" si="6"/>
        <v>0</v>
      </c>
      <c r="Z38" s="26">
        <v>0.05</v>
      </c>
      <c r="AA38" s="26"/>
      <c r="AB38" s="26"/>
      <c r="AC38" s="20"/>
      <c r="AD38" s="47" t="s">
        <v>42</v>
      </c>
      <c r="AE38" s="26">
        <v>0.42</v>
      </c>
    </row>
    <row r="39" spans="1:31" ht="14.25">
      <c r="A39" s="19" t="s">
        <v>31</v>
      </c>
      <c r="B39" s="20" t="s">
        <v>32</v>
      </c>
      <c r="C39" s="20" t="s">
        <v>91</v>
      </c>
      <c r="D39" s="20" t="s">
        <v>117</v>
      </c>
      <c r="E39" s="20" t="s">
        <v>125</v>
      </c>
      <c r="F39" s="20" t="s">
        <v>126</v>
      </c>
      <c r="G39" s="20" t="s">
        <v>37</v>
      </c>
      <c r="H39" s="20" t="s">
        <v>38</v>
      </c>
      <c r="I39" s="20" t="s">
        <v>39</v>
      </c>
      <c r="J39" s="20" t="str">
        <f>VLOOKUP(I39,媒体表!A:T,20,0)</f>
        <v>金源广告</v>
      </c>
      <c r="K39" s="27" t="s">
        <v>88</v>
      </c>
      <c r="L39" s="26"/>
      <c r="M39" s="28" t="s">
        <v>89</v>
      </c>
      <c r="N39" s="20" t="s">
        <v>56</v>
      </c>
      <c r="O39" s="26">
        <v>0.23</v>
      </c>
      <c r="P39" s="29"/>
      <c r="Q39" s="20"/>
      <c r="R39" s="40">
        <v>196.54507042269699</v>
      </c>
      <c r="S39" s="36"/>
      <c r="T39" s="36">
        <v>0</v>
      </c>
      <c r="U39" s="36">
        <f t="shared" si="7"/>
        <v>196.54507042269699</v>
      </c>
      <c r="V39" s="38">
        <f t="shared" si="4"/>
        <v>0</v>
      </c>
      <c r="W39" s="38"/>
      <c r="X39" s="39">
        <f t="shared" si="5"/>
        <v>0</v>
      </c>
      <c r="Y39" s="36">
        <f t="shared" si="6"/>
        <v>0</v>
      </c>
      <c r="Z39" s="26">
        <v>0.05</v>
      </c>
      <c r="AA39" s="26"/>
      <c r="AB39" s="26"/>
      <c r="AC39" s="20"/>
      <c r="AD39" s="47" t="s">
        <v>42</v>
      </c>
      <c r="AE39" s="26">
        <v>0.42</v>
      </c>
    </row>
    <row r="40" spans="1:31" ht="14.25">
      <c r="A40" s="19" t="s">
        <v>31</v>
      </c>
      <c r="B40" s="20" t="s">
        <v>32</v>
      </c>
      <c r="C40" s="20" t="s">
        <v>91</v>
      </c>
      <c r="D40" s="20" t="s">
        <v>117</v>
      </c>
      <c r="E40" s="20" t="s">
        <v>127</v>
      </c>
      <c r="F40" s="20" t="s">
        <v>128</v>
      </c>
      <c r="G40" s="20" t="s">
        <v>37</v>
      </c>
      <c r="H40" s="20" t="s">
        <v>38</v>
      </c>
      <c r="I40" s="20" t="s">
        <v>39</v>
      </c>
      <c r="J40" s="20" t="str">
        <f>VLOOKUP(I40,媒体表!A:T,20,0)</f>
        <v>金源广告</v>
      </c>
      <c r="K40" s="27" t="s">
        <v>88</v>
      </c>
      <c r="L40" s="26"/>
      <c r="M40" s="28" t="s">
        <v>89</v>
      </c>
      <c r="N40" s="20" t="s">
        <v>56</v>
      </c>
      <c r="O40" s="26">
        <v>0.03</v>
      </c>
      <c r="P40" s="29"/>
      <c r="Q40" s="20"/>
      <c r="R40" s="40">
        <v>1513.0032394366101</v>
      </c>
      <c r="S40" s="36"/>
      <c r="T40" s="36">
        <v>0</v>
      </c>
      <c r="U40" s="36">
        <f t="shared" si="7"/>
        <v>1513.0032394366101</v>
      </c>
      <c r="V40" s="38">
        <f t="shared" si="4"/>
        <v>0</v>
      </c>
      <c r="W40" s="38"/>
      <c r="X40" s="39">
        <f t="shared" si="5"/>
        <v>0</v>
      </c>
      <c r="Y40" s="36">
        <f t="shared" si="6"/>
        <v>0</v>
      </c>
      <c r="Z40" s="26">
        <v>0.05</v>
      </c>
      <c r="AA40" s="26"/>
      <c r="AB40" s="26"/>
      <c r="AC40" s="20"/>
      <c r="AD40" s="47" t="s">
        <v>42</v>
      </c>
      <c r="AE40" s="26">
        <v>0.42</v>
      </c>
    </row>
    <row r="41" spans="1:31" ht="14.25">
      <c r="A41" s="19" t="s">
        <v>31</v>
      </c>
      <c r="B41" s="20" t="s">
        <v>32</v>
      </c>
      <c r="C41" s="20" t="s">
        <v>91</v>
      </c>
      <c r="D41" s="20" t="s">
        <v>117</v>
      </c>
      <c r="E41" s="20" t="s">
        <v>129</v>
      </c>
      <c r="F41" s="20" t="s">
        <v>130</v>
      </c>
      <c r="G41" s="20" t="s">
        <v>37</v>
      </c>
      <c r="H41" s="20" t="s">
        <v>38</v>
      </c>
      <c r="I41" s="20" t="s">
        <v>39</v>
      </c>
      <c r="J41" s="20" t="str">
        <f>VLOOKUP(I41,媒体表!A:T,20,0)</f>
        <v>金源广告</v>
      </c>
      <c r="K41" s="27" t="s">
        <v>88</v>
      </c>
      <c r="L41" s="26"/>
      <c r="M41" s="28" t="s">
        <v>89</v>
      </c>
      <c r="N41" s="20" t="s">
        <v>56</v>
      </c>
      <c r="O41" s="26">
        <v>0.03</v>
      </c>
      <c r="P41" s="29"/>
      <c r="Q41" s="20"/>
      <c r="R41" s="40">
        <v>6504.6216901406997</v>
      </c>
      <c r="S41" s="36"/>
      <c r="T41" s="36">
        <v>0</v>
      </c>
      <c r="U41" s="36">
        <f t="shared" si="7"/>
        <v>6504.6216901406997</v>
      </c>
      <c r="V41" s="38">
        <f t="shared" si="4"/>
        <v>0</v>
      </c>
      <c r="W41" s="38"/>
      <c r="X41" s="39">
        <f t="shared" si="5"/>
        <v>0</v>
      </c>
      <c r="Y41" s="36">
        <f t="shared" si="6"/>
        <v>0</v>
      </c>
      <c r="Z41" s="26">
        <v>0.05</v>
      </c>
      <c r="AA41" s="26"/>
      <c r="AB41" s="26"/>
      <c r="AC41" s="20"/>
      <c r="AD41" s="47" t="s">
        <v>42</v>
      </c>
      <c r="AE41" s="26">
        <v>0</v>
      </c>
    </row>
    <row r="42" spans="1:31" ht="14.25">
      <c r="A42" s="19" t="s">
        <v>31</v>
      </c>
      <c r="B42" s="20" t="s">
        <v>32</v>
      </c>
      <c r="C42" s="20" t="s">
        <v>91</v>
      </c>
      <c r="D42" s="20" t="s">
        <v>117</v>
      </c>
      <c r="E42" s="20" t="s">
        <v>131</v>
      </c>
      <c r="F42" s="20" t="s">
        <v>132</v>
      </c>
      <c r="G42" s="20" t="s">
        <v>37</v>
      </c>
      <c r="H42" s="20" t="s">
        <v>38</v>
      </c>
      <c r="I42" s="20" t="s">
        <v>39</v>
      </c>
      <c r="J42" s="20" t="str">
        <f>VLOOKUP(I42,媒体表!A:T,20,0)</f>
        <v>金源广告</v>
      </c>
      <c r="K42" s="27" t="s">
        <v>88</v>
      </c>
      <c r="L42" s="26"/>
      <c r="M42" s="28" t="s">
        <v>89</v>
      </c>
      <c r="N42" s="20" t="s">
        <v>56</v>
      </c>
      <c r="O42" s="26">
        <v>0.18</v>
      </c>
      <c r="P42" s="29"/>
      <c r="Q42" s="20"/>
      <c r="R42" s="40">
        <v>44820.261970721403</v>
      </c>
      <c r="S42" s="36"/>
      <c r="T42" s="36">
        <v>0</v>
      </c>
      <c r="U42" s="36">
        <f t="shared" si="7"/>
        <v>44820.261970721403</v>
      </c>
      <c r="V42" s="38">
        <f t="shared" si="4"/>
        <v>0</v>
      </c>
      <c r="W42" s="38"/>
      <c r="X42" s="39">
        <f t="shared" si="5"/>
        <v>0</v>
      </c>
      <c r="Y42" s="36">
        <f t="shared" si="6"/>
        <v>0</v>
      </c>
      <c r="Z42" s="26">
        <v>0.05</v>
      </c>
      <c r="AA42" s="26"/>
      <c r="AB42" s="26"/>
      <c r="AC42" s="20"/>
      <c r="AD42" s="47" t="s">
        <v>42</v>
      </c>
      <c r="AE42" s="26">
        <v>0.42</v>
      </c>
    </row>
    <row r="43" spans="1:31" ht="14.25">
      <c r="A43" s="19" t="s">
        <v>31</v>
      </c>
      <c r="B43" s="20" t="s">
        <v>32</v>
      </c>
      <c r="C43" s="20" t="s">
        <v>91</v>
      </c>
      <c r="D43" s="20" t="s">
        <v>117</v>
      </c>
      <c r="E43" s="20" t="s">
        <v>133</v>
      </c>
      <c r="F43" s="20" t="s">
        <v>134</v>
      </c>
      <c r="G43" s="20" t="s">
        <v>37</v>
      </c>
      <c r="H43" s="20" t="s">
        <v>38</v>
      </c>
      <c r="I43" s="20" t="s">
        <v>39</v>
      </c>
      <c r="J43" s="20" t="str">
        <f>VLOOKUP(I43,媒体表!A:T,20,0)</f>
        <v>金源广告</v>
      </c>
      <c r="K43" s="27" t="s">
        <v>88</v>
      </c>
      <c r="L43" s="26"/>
      <c r="M43" s="28" t="s">
        <v>89</v>
      </c>
      <c r="N43" s="20" t="s">
        <v>56</v>
      </c>
      <c r="O43" s="26">
        <v>0.23</v>
      </c>
      <c r="P43" s="29"/>
      <c r="Q43" s="20"/>
      <c r="R43" s="40">
        <v>132154.611549297</v>
      </c>
      <c r="S43" s="36"/>
      <c r="T43" s="36">
        <v>0</v>
      </c>
      <c r="U43" s="36">
        <f t="shared" si="7"/>
        <v>132154.611549297</v>
      </c>
      <c r="V43" s="38">
        <f t="shared" si="4"/>
        <v>0</v>
      </c>
      <c r="W43" s="38"/>
      <c r="X43" s="39">
        <f t="shared" si="5"/>
        <v>0</v>
      </c>
      <c r="Y43" s="36">
        <f t="shared" si="6"/>
        <v>0</v>
      </c>
      <c r="Z43" s="26">
        <v>0.05</v>
      </c>
      <c r="AA43" s="26"/>
      <c r="AB43" s="26"/>
      <c r="AC43" s="20"/>
      <c r="AD43" s="47" t="s">
        <v>42</v>
      </c>
      <c r="AE43" s="26">
        <v>0.42</v>
      </c>
    </row>
    <row r="44" spans="1:31" ht="14.25">
      <c r="A44" s="19" t="s">
        <v>31</v>
      </c>
      <c r="B44" s="20" t="s">
        <v>32</v>
      </c>
      <c r="C44" s="20" t="s">
        <v>91</v>
      </c>
      <c r="D44" s="20" t="s">
        <v>117</v>
      </c>
      <c r="E44" s="20" t="s">
        <v>135</v>
      </c>
      <c r="F44" s="20" t="s">
        <v>136</v>
      </c>
      <c r="G44" s="20" t="s">
        <v>37</v>
      </c>
      <c r="H44" s="20" t="s">
        <v>38</v>
      </c>
      <c r="I44" s="20" t="s">
        <v>39</v>
      </c>
      <c r="J44" s="20" t="str">
        <f>VLOOKUP(I44,媒体表!A:T,20,0)</f>
        <v>金源广告</v>
      </c>
      <c r="K44" s="27" t="s">
        <v>88</v>
      </c>
      <c r="L44" s="26"/>
      <c r="M44" s="28" t="s">
        <v>89</v>
      </c>
      <c r="N44" s="20" t="s">
        <v>56</v>
      </c>
      <c r="O44" s="26">
        <v>0.03</v>
      </c>
      <c r="P44" s="29"/>
      <c r="Q44" s="20"/>
      <c r="R44" s="40">
        <v>14160.3070422536</v>
      </c>
      <c r="S44" s="36"/>
      <c r="T44" s="36">
        <v>0</v>
      </c>
      <c r="U44" s="36">
        <f t="shared" si="7"/>
        <v>14160.3070422536</v>
      </c>
      <c r="V44" s="38">
        <f t="shared" si="4"/>
        <v>0</v>
      </c>
      <c r="W44" s="38"/>
      <c r="X44" s="39">
        <f t="shared" si="5"/>
        <v>0</v>
      </c>
      <c r="Y44" s="36">
        <f t="shared" si="6"/>
        <v>0</v>
      </c>
      <c r="Z44" s="26">
        <v>0.05</v>
      </c>
      <c r="AA44" s="26"/>
      <c r="AB44" s="26"/>
      <c r="AC44" s="20"/>
      <c r="AD44" s="47" t="s">
        <v>42</v>
      </c>
      <c r="AE44" s="26">
        <v>0.42</v>
      </c>
    </row>
    <row r="45" spans="1:31" ht="14.25">
      <c r="A45" s="19" t="s">
        <v>31</v>
      </c>
      <c r="B45" s="20" t="s">
        <v>32</v>
      </c>
      <c r="C45" s="20" t="s">
        <v>91</v>
      </c>
      <c r="D45" s="20" t="s">
        <v>117</v>
      </c>
      <c r="E45" s="20" t="s">
        <v>137</v>
      </c>
      <c r="F45" s="20" t="s">
        <v>138</v>
      </c>
      <c r="G45" s="20" t="s">
        <v>37</v>
      </c>
      <c r="H45" s="20" t="s">
        <v>38</v>
      </c>
      <c r="I45" s="20" t="s">
        <v>39</v>
      </c>
      <c r="J45" s="20" t="str">
        <f>VLOOKUP(I45,媒体表!A:T,20,0)</f>
        <v>金源广告</v>
      </c>
      <c r="K45" s="27" t="s">
        <v>88</v>
      </c>
      <c r="L45" s="26"/>
      <c r="M45" s="28" t="s">
        <v>89</v>
      </c>
      <c r="N45" s="20" t="s">
        <v>56</v>
      </c>
      <c r="O45" s="26">
        <v>0.03</v>
      </c>
      <c r="P45" s="29"/>
      <c r="Q45" s="20"/>
      <c r="R45" s="40">
        <v>480.55873239384499</v>
      </c>
      <c r="S45" s="36"/>
      <c r="T45" s="36">
        <v>0</v>
      </c>
      <c r="U45" s="36">
        <f t="shared" si="7"/>
        <v>480.55873239384499</v>
      </c>
      <c r="V45" s="38">
        <f t="shared" si="4"/>
        <v>0</v>
      </c>
      <c r="W45" s="38"/>
      <c r="X45" s="39">
        <f t="shared" si="5"/>
        <v>0</v>
      </c>
      <c r="Y45" s="36">
        <f t="shared" si="6"/>
        <v>0</v>
      </c>
      <c r="Z45" s="26">
        <v>0.05</v>
      </c>
      <c r="AA45" s="26"/>
      <c r="AB45" s="26"/>
      <c r="AC45" s="20"/>
      <c r="AD45" s="47" t="s">
        <v>42</v>
      </c>
      <c r="AE45" s="26" t="s">
        <v>101</v>
      </c>
    </row>
    <row r="46" spans="1:31" ht="14.25">
      <c r="A46" s="19" t="s">
        <v>31</v>
      </c>
      <c r="B46" s="20" t="s">
        <v>32</v>
      </c>
      <c r="C46" s="20" t="s">
        <v>91</v>
      </c>
      <c r="D46" s="20" t="s">
        <v>117</v>
      </c>
      <c r="E46" s="20" t="s">
        <v>139</v>
      </c>
      <c r="F46" s="20" t="s">
        <v>140</v>
      </c>
      <c r="G46" s="20" t="s">
        <v>37</v>
      </c>
      <c r="H46" s="20" t="s">
        <v>38</v>
      </c>
      <c r="I46" s="20" t="s">
        <v>39</v>
      </c>
      <c r="J46" s="20" t="str">
        <f>VLOOKUP(I46,媒体表!A:T,20,0)</f>
        <v>金源广告</v>
      </c>
      <c r="K46" s="27" t="s">
        <v>88</v>
      </c>
      <c r="L46" s="26"/>
      <c r="M46" s="28" t="s">
        <v>89</v>
      </c>
      <c r="N46" s="20" t="s">
        <v>56</v>
      </c>
      <c r="O46" s="26">
        <v>0.23</v>
      </c>
      <c r="P46" s="29"/>
      <c r="Q46" s="20"/>
      <c r="R46" s="40">
        <v>151056.34</v>
      </c>
      <c r="S46" s="36"/>
      <c r="T46" s="36">
        <v>0</v>
      </c>
      <c r="U46" s="36">
        <f t="shared" si="7"/>
        <v>151056.34</v>
      </c>
      <c r="V46" s="38">
        <f t="shared" si="4"/>
        <v>0</v>
      </c>
      <c r="W46" s="38"/>
      <c r="X46" s="39">
        <f t="shared" si="5"/>
        <v>0</v>
      </c>
      <c r="Y46" s="36">
        <f t="shared" si="6"/>
        <v>0</v>
      </c>
      <c r="Z46" s="26">
        <v>0.05</v>
      </c>
      <c r="AA46" s="26"/>
      <c r="AB46" s="26"/>
      <c r="AC46" s="20"/>
      <c r="AD46" s="47" t="s">
        <v>42</v>
      </c>
      <c r="AE46" s="26">
        <v>0.42</v>
      </c>
    </row>
    <row r="47" spans="1:31" ht="14.25">
      <c r="A47" s="19" t="s">
        <v>31</v>
      </c>
      <c r="B47" s="20" t="s">
        <v>32</v>
      </c>
      <c r="C47" s="20" t="s">
        <v>91</v>
      </c>
      <c r="D47" s="20" t="s">
        <v>117</v>
      </c>
      <c r="E47" s="20" t="s">
        <v>141</v>
      </c>
      <c r="F47" s="20" t="s">
        <v>142</v>
      </c>
      <c r="G47" s="20" t="s">
        <v>37</v>
      </c>
      <c r="H47" s="20" t="s">
        <v>38</v>
      </c>
      <c r="I47" s="20" t="s">
        <v>39</v>
      </c>
      <c r="J47" s="20" t="str">
        <f>VLOOKUP(I47,媒体表!A:T,20,0)</f>
        <v>金源广告</v>
      </c>
      <c r="K47" s="27" t="s">
        <v>88</v>
      </c>
      <c r="L47" s="26"/>
      <c r="M47" s="28" t="s">
        <v>89</v>
      </c>
      <c r="N47" s="20" t="s">
        <v>56</v>
      </c>
      <c r="O47" s="26">
        <v>0.18</v>
      </c>
      <c r="P47" s="29"/>
      <c r="Q47" s="20"/>
      <c r="R47" s="40">
        <v>147.29985915508601</v>
      </c>
      <c r="S47" s="36"/>
      <c r="T47" s="36">
        <v>0</v>
      </c>
      <c r="U47" s="36">
        <f t="shared" si="7"/>
        <v>147.29985915508601</v>
      </c>
      <c r="V47" s="38">
        <f t="shared" si="4"/>
        <v>0</v>
      </c>
      <c r="W47" s="38"/>
      <c r="X47" s="39">
        <f t="shared" si="5"/>
        <v>0</v>
      </c>
      <c r="Y47" s="36">
        <f t="shared" si="6"/>
        <v>0</v>
      </c>
      <c r="Z47" s="26">
        <v>0.05</v>
      </c>
      <c r="AA47" s="26"/>
      <c r="AB47" s="26"/>
      <c r="AC47" s="20"/>
      <c r="AD47" s="47" t="s">
        <v>42</v>
      </c>
      <c r="AE47" s="26">
        <v>0.42</v>
      </c>
    </row>
    <row r="48" spans="1:31" ht="14.25">
      <c r="A48" s="19" t="s">
        <v>31</v>
      </c>
      <c r="B48" s="20" t="s">
        <v>32</v>
      </c>
      <c r="C48" s="20" t="s">
        <v>91</v>
      </c>
      <c r="D48" s="20" t="s">
        <v>117</v>
      </c>
      <c r="E48" s="20" t="s">
        <v>143</v>
      </c>
      <c r="F48" s="20" t="s">
        <v>144</v>
      </c>
      <c r="G48" s="20" t="s">
        <v>37</v>
      </c>
      <c r="H48" s="20" t="s">
        <v>38</v>
      </c>
      <c r="I48" s="20" t="s">
        <v>39</v>
      </c>
      <c r="J48" s="20" t="str">
        <f>VLOOKUP(I48,媒体表!A:T,20,0)</f>
        <v>金源广告</v>
      </c>
      <c r="K48" s="27" t="s">
        <v>88</v>
      </c>
      <c r="L48" s="26"/>
      <c r="M48" s="28" t="s">
        <v>89</v>
      </c>
      <c r="N48" s="20" t="s">
        <v>56</v>
      </c>
      <c r="O48" s="26">
        <v>0.18</v>
      </c>
      <c r="P48" s="29"/>
      <c r="Q48" s="20"/>
      <c r="R48" s="40">
        <v>4215.2245070423196</v>
      </c>
      <c r="S48" s="36"/>
      <c r="T48" s="36">
        <v>0</v>
      </c>
      <c r="U48" s="36">
        <f t="shared" si="7"/>
        <v>4215.2245070423196</v>
      </c>
      <c r="V48" s="38">
        <f t="shared" si="4"/>
        <v>0</v>
      </c>
      <c r="W48" s="38"/>
      <c r="X48" s="39">
        <f t="shared" si="5"/>
        <v>0</v>
      </c>
      <c r="Y48" s="36">
        <f t="shared" si="6"/>
        <v>0</v>
      </c>
      <c r="Z48" s="26">
        <v>0.05</v>
      </c>
      <c r="AA48" s="26"/>
      <c r="AB48" s="26"/>
      <c r="AC48" s="20"/>
      <c r="AD48" s="47" t="s">
        <v>42</v>
      </c>
      <c r="AE48" s="26">
        <v>0.42</v>
      </c>
    </row>
    <row r="49" spans="1:31" ht="14.25">
      <c r="A49" s="19" t="s">
        <v>31</v>
      </c>
      <c r="B49" s="20" t="s">
        <v>32</v>
      </c>
      <c r="C49" s="20" t="s">
        <v>91</v>
      </c>
      <c r="D49" s="20" t="s">
        <v>117</v>
      </c>
      <c r="E49" s="20" t="s">
        <v>145</v>
      </c>
      <c r="F49" s="20" t="s">
        <v>146</v>
      </c>
      <c r="G49" s="20" t="s">
        <v>37</v>
      </c>
      <c r="H49" s="20" t="s">
        <v>38</v>
      </c>
      <c r="I49" s="20" t="s">
        <v>39</v>
      </c>
      <c r="J49" s="20" t="str">
        <f>VLOOKUP(I49,媒体表!A:T,20,0)</f>
        <v>金源广告</v>
      </c>
      <c r="K49" s="27" t="s">
        <v>88</v>
      </c>
      <c r="L49" s="26"/>
      <c r="M49" s="28" t="s">
        <v>89</v>
      </c>
      <c r="N49" s="20" t="s">
        <v>56</v>
      </c>
      <c r="O49" s="26">
        <v>0.23</v>
      </c>
      <c r="P49" s="29"/>
      <c r="Q49" s="20"/>
      <c r="R49" s="40">
        <v>127.3395774647</v>
      </c>
      <c r="S49" s="36"/>
      <c r="T49" s="36">
        <v>0</v>
      </c>
      <c r="U49" s="36">
        <f t="shared" si="7"/>
        <v>127.3395774647</v>
      </c>
      <c r="V49" s="38">
        <f t="shared" si="4"/>
        <v>0</v>
      </c>
      <c r="W49" s="38"/>
      <c r="X49" s="39">
        <f t="shared" si="5"/>
        <v>0</v>
      </c>
      <c r="Y49" s="36">
        <f t="shared" si="6"/>
        <v>0</v>
      </c>
      <c r="Z49" s="26">
        <v>0.05</v>
      </c>
      <c r="AA49" s="26"/>
      <c r="AB49" s="26"/>
      <c r="AC49" s="20"/>
      <c r="AD49" s="47" t="s">
        <v>42</v>
      </c>
      <c r="AE49" s="26">
        <v>0.42</v>
      </c>
    </row>
    <row r="50" spans="1:31" ht="14.25">
      <c r="A50" s="19" t="s">
        <v>31</v>
      </c>
      <c r="B50" s="20" t="s">
        <v>32</v>
      </c>
      <c r="C50" s="20" t="s">
        <v>91</v>
      </c>
      <c r="D50" s="20" t="s">
        <v>117</v>
      </c>
      <c r="E50" s="20" t="s">
        <v>147</v>
      </c>
      <c r="F50" s="20" t="s">
        <v>148</v>
      </c>
      <c r="G50" s="20" t="s">
        <v>37</v>
      </c>
      <c r="H50" s="20" t="s">
        <v>38</v>
      </c>
      <c r="I50" s="20" t="s">
        <v>39</v>
      </c>
      <c r="J50" s="20" t="str">
        <f>VLOOKUP(I50,媒体表!A:T,20,0)</f>
        <v>金源广告</v>
      </c>
      <c r="K50" s="27" t="s">
        <v>88</v>
      </c>
      <c r="L50" s="26"/>
      <c r="M50" s="28" t="s">
        <v>89</v>
      </c>
      <c r="N50" s="20" t="s">
        <v>56</v>
      </c>
      <c r="O50" s="26">
        <v>0.23</v>
      </c>
      <c r="P50" s="29"/>
      <c r="Q50" s="20"/>
      <c r="R50" s="40">
        <v>109330.970845071</v>
      </c>
      <c r="S50" s="36"/>
      <c r="T50" s="36">
        <v>0</v>
      </c>
      <c r="U50" s="36">
        <f t="shared" si="7"/>
        <v>109330.970845071</v>
      </c>
      <c r="V50" s="38">
        <f t="shared" si="4"/>
        <v>0</v>
      </c>
      <c r="W50" s="38"/>
      <c r="X50" s="39">
        <f t="shared" si="5"/>
        <v>0</v>
      </c>
      <c r="Y50" s="36">
        <f t="shared" si="6"/>
        <v>0</v>
      </c>
      <c r="Z50" s="26">
        <v>0.05</v>
      </c>
      <c r="AA50" s="26"/>
      <c r="AB50" s="26"/>
      <c r="AC50" s="20"/>
      <c r="AD50" s="47" t="s">
        <v>42</v>
      </c>
      <c r="AE50" s="26">
        <v>0.42</v>
      </c>
    </row>
    <row r="51" spans="1:31" ht="14.25">
      <c r="A51" s="19" t="s">
        <v>31</v>
      </c>
      <c r="B51" s="20" t="s">
        <v>32</v>
      </c>
      <c r="C51" s="20" t="s">
        <v>91</v>
      </c>
      <c r="D51" s="20" t="s">
        <v>117</v>
      </c>
      <c r="E51" s="20" t="s">
        <v>149</v>
      </c>
      <c r="F51" s="20" t="s">
        <v>150</v>
      </c>
      <c r="G51" s="20" t="s">
        <v>37</v>
      </c>
      <c r="H51" s="20" t="s">
        <v>38</v>
      </c>
      <c r="I51" s="20" t="s">
        <v>39</v>
      </c>
      <c r="J51" s="20" t="str">
        <f>VLOOKUP(I51,媒体表!A:T,20,0)</f>
        <v>金源广告</v>
      </c>
      <c r="K51" s="27" t="s">
        <v>88</v>
      </c>
      <c r="L51" s="26"/>
      <c r="M51" s="28" t="s">
        <v>89</v>
      </c>
      <c r="N51" s="20" t="s">
        <v>56</v>
      </c>
      <c r="O51" s="26">
        <v>0.08</v>
      </c>
      <c r="P51" s="29"/>
      <c r="Q51" s="20"/>
      <c r="R51" s="40">
        <v>11055.15</v>
      </c>
      <c r="S51" s="36"/>
      <c r="T51" s="36">
        <v>0</v>
      </c>
      <c r="U51" s="36">
        <f t="shared" si="7"/>
        <v>11055.15</v>
      </c>
      <c r="V51" s="38">
        <f t="shared" si="4"/>
        <v>0</v>
      </c>
      <c r="W51" s="38"/>
      <c r="X51" s="39">
        <f t="shared" si="5"/>
        <v>0</v>
      </c>
      <c r="Y51" s="36">
        <f t="shared" si="6"/>
        <v>0</v>
      </c>
      <c r="Z51" s="26">
        <v>0.05</v>
      </c>
      <c r="AA51" s="26"/>
      <c r="AB51" s="26"/>
      <c r="AC51" s="20"/>
      <c r="AD51" s="47" t="s">
        <v>42</v>
      </c>
      <c r="AE51" s="26">
        <v>0.42</v>
      </c>
    </row>
    <row r="52" spans="1:31" ht="14.25">
      <c r="A52" s="19" t="s">
        <v>31</v>
      </c>
      <c r="B52" s="20" t="s">
        <v>43</v>
      </c>
      <c r="C52" s="20" t="s">
        <v>33</v>
      </c>
      <c r="D52" s="20" t="s">
        <v>151</v>
      </c>
      <c r="E52" s="20" t="s">
        <v>152</v>
      </c>
      <c r="F52" s="20" t="s">
        <v>152</v>
      </c>
      <c r="G52" s="20" t="s">
        <v>152</v>
      </c>
      <c r="H52" s="20" t="s">
        <v>38</v>
      </c>
      <c r="I52" s="20" t="s">
        <v>39</v>
      </c>
      <c r="J52" s="20" t="str">
        <f>VLOOKUP(I52,媒体表!A:T,20,0)</f>
        <v>金源广告</v>
      </c>
      <c r="K52" s="27" t="s">
        <v>152</v>
      </c>
      <c r="L52" s="26"/>
      <c r="M52" s="28" t="s">
        <v>89</v>
      </c>
      <c r="N52" s="20" t="s">
        <v>56</v>
      </c>
      <c r="O52" s="26">
        <v>0.05</v>
      </c>
      <c r="P52" s="29"/>
      <c r="Q52" s="20"/>
      <c r="R52" s="40">
        <v>15503.97</v>
      </c>
      <c r="S52" s="36"/>
      <c r="T52" s="36">
        <v>0</v>
      </c>
      <c r="U52" s="36">
        <f t="shared" si="7"/>
        <v>15503.97</v>
      </c>
      <c r="V52" s="38">
        <f t="shared" si="4"/>
        <v>0</v>
      </c>
      <c r="W52" s="38"/>
      <c r="X52" s="39">
        <f t="shared" si="5"/>
        <v>0</v>
      </c>
      <c r="Y52" s="36">
        <f t="shared" si="6"/>
        <v>0</v>
      </c>
      <c r="Z52" s="26">
        <v>0.05</v>
      </c>
      <c r="AA52" s="26"/>
      <c r="AB52" s="26"/>
      <c r="AC52" s="20"/>
      <c r="AD52" s="47" t="s">
        <v>42</v>
      </c>
      <c r="AE52" s="26">
        <v>0.36</v>
      </c>
    </row>
    <row r="53" spans="1:31" ht="14.25">
      <c r="A53" s="19" t="s">
        <v>31</v>
      </c>
      <c r="B53" s="20" t="s">
        <v>32</v>
      </c>
      <c r="C53" s="20" t="s">
        <v>51</v>
      </c>
      <c r="D53" s="20" t="s">
        <v>77</v>
      </c>
      <c r="E53" s="20" t="s">
        <v>153</v>
      </c>
      <c r="F53" s="20" t="s">
        <v>154</v>
      </c>
      <c r="G53" s="20" t="s">
        <v>37</v>
      </c>
      <c r="H53" s="20" t="s">
        <v>38</v>
      </c>
      <c r="I53" s="20" t="s">
        <v>39</v>
      </c>
      <c r="J53" s="20" t="str">
        <f>VLOOKUP(I53,媒体表!A:T,20,0)</f>
        <v>金源广告</v>
      </c>
      <c r="K53" s="27" t="s">
        <v>153</v>
      </c>
      <c r="L53" s="26"/>
      <c r="M53" s="28" t="s">
        <v>40</v>
      </c>
      <c r="N53" s="20" t="s">
        <v>41</v>
      </c>
      <c r="O53" s="26">
        <v>0</v>
      </c>
      <c r="P53" s="29"/>
      <c r="Q53" s="20"/>
      <c r="R53" s="40">
        <v>19977.36</v>
      </c>
      <c r="S53" s="36"/>
      <c r="T53" s="36">
        <v>12518.57</v>
      </c>
      <c r="U53" s="36">
        <f t="shared" si="7"/>
        <v>7458.7900000000009</v>
      </c>
      <c r="V53" s="38">
        <f t="shared" si="4"/>
        <v>12518.57</v>
      </c>
      <c r="W53" s="38"/>
      <c r="X53" s="39">
        <f t="shared" si="5"/>
        <v>0</v>
      </c>
      <c r="Y53" s="36">
        <f t="shared" si="6"/>
        <v>12518.57</v>
      </c>
      <c r="Z53" s="26">
        <v>0.05</v>
      </c>
      <c r="AA53" s="26"/>
      <c r="AB53" s="26"/>
      <c r="AC53" s="20"/>
      <c r="AD53" s="47" t="s">
        <v>42</v>
      </c>
      <c r="AE53" s="26">
        <v>0</v>
      </c>
    </row>
    <row r="54" spans="1:31" ht="14.25">
      <c r="A54" s="19" t="s">
        <v>31</v>
      </c>
      <c r="B54" s="20" t="s">
        <v>43</v>
      </c>
      <c r="C54" s="20" t="s">
        <v>57</v>
      </c>
      <c r="D54" s="20" t="s">
        <v>58</v>
      </c>
      <c r="E54" s="20" t="s">
        <v>155</v>
      </c>
      <c r="F54" s="20" t="s">
        <v>155</v>
      </c>
      <c r="G54" s="20" t="s">
        <v>155</v>
      </c>
      <c r="H54" s="20" t="s">
        <v>38</v>
      </c>
      <c r="I54" s="20" t="s">
        <v>39</v>
      </c>
      <c r="J54" s="20" t="str">
        <f>VLOOKUP(I54,媒体表!A:T,20,0)</f>
        <v>金源广告</v>
      </c>
      <c r="K54" s="27" t="s">
        <v>156</v>
      </c>
      <c r="L54" s="26"/>
      <c r="M54" s="28" t="s">
        <v>48</v>
      </c>
      <c r="N54" s="20" t="s">
        <v>41</v>
      </c>
      <c r="O54" s="26">
        <v>0</v>
      </c>
      <c r="P54" s="29"/>
      <c r="Q54" s="20"/>
      <c r="R54" s="40">
        <v>7101.61</v>
      </c>
      <c r="S54" s="36"/>
      <c r="T54" s="36">
        <v>722.19</v>
      </c>
      <c r="U54" s="36">
        <f t="shared" si="7"/>
        <v>6379.42</v>
      </c>
      <c r="V54" s="38">
        <f t="shared" si="4"/>
        <v>722.19</v>
      </c>
      <c r="W54" s="38"/>
      <c r="X54" s="39">
        <f t="shared" si="5"/>
        <v>0</v>
      </c>
      <c r="Y54" s="36">
        <f t="shared" si="6"/>
        <v>722.19</v>
      </c>
      <c r="Z54" s="26">
        <v>0.05</v>
      </c>
      <c r="AA54" s="26"/>
      <c r="AB54" s="26"/>
      <c r="AC54" s="20"/>
      <c r="AD54" s="47" t="s">
        <v>42</v>
      </c>
      <c r="AE54" s="26">
        <v>0.11</v>
      </c>
    </row>
    <row r="55" spans="1:31" ht="14.25">
      <c r="A55" s="19" t="s">
        <v>31</v>
      </c>
      <c r="B55" s="20" t="s">
        <v>32</v>
      </c>
      <c r="C55" s="20" t="s">
        <v>157</v>
      </c>
      <c r="D55" s="20" t="s">
        <v>158</v>
      </c>
      <c r="E55" s="20" t="s">
        <v>159</v>
      </c>
      <c r="F55" s="20" t="s">
        <v>160</v>
      </c>
      <c r="G55" s="20" t="s">
        <v>37</v>
      </c>
      <c r="H55" s="20" t="s">
        <v>38</v>
      </c>
      <c r="I55" s="20" t="s">
        <v>39</v>
      </c>
      <c r="J55" s="20" t="str">
        <f>VLOOKUP(I55,媒体表!A:T,20,0)</f>
        <v>金源广告</v>
      </c>
      <c r="K55" s="27" t="s">
        <v>161</v>
      </c>
      <c r="L55" s="26"/>
      <c r="M55" s="28" t="s">
        <v>40</v>
      </c>
      <c r="N55" s="20" t="s">
        <v>41</v>
      </c>
      <c r="O55" s="26">
        <v>0</v>
      </c>
      <c r="P55" s="29"/>
      <c r="Q55" s="20"/>
      <c r="R55" s="40">
        <v>2956.69</v>
      </c>
      <c r="S55" s="36"/>
      <c r="T55" s="36">
        <v>0</v>
      </c>
      <c r="U55" s="36">
        <f t="shared" si="7"/>
        <v>2956.69</v>
      </c>
      <c r="V55" s="38">
        <f t="shared" si="4"/>
        <v>0</v>
      </c>
      <c r="W55" s="38"/>
      <c r="X55" s="39">
        <f t="shared" si="5"/>
        <v>0</v>
      </c>
      <c r="Y55" s="36">
        <f t="shared" si="6"/>
        <v>0</v>
      </c>
      <c r="Z55" s="26">
        <v>0.05</v>
      </c>
      <c r="AA55" s="26"/>
      <c r="AB55" s="26"/>
      <c r="AC55" s="20"/>
      <c r="AD55" s="47" t="s">
        <v>42</v>
      </c>
      <c r="AE55" s="26">
        <v>0.42</v>
      </c>
    </row>
    <row r="56" spans="1:31" ht="14.25">
      <c r="A56" s="19" t="s">
        <v>31</v>
      </c>
      <c r="B56" s="20" t="s">
        <v>32</v>
      </c>
      <c r="C56" s="20" t="s">
        <v>57</v>
      </c>
      <c r="D56" s="20" t="s">
        <v>58</v>
      </c>
      <c r="E56" s="20" t="s">
        <v>162</v>
      </c>
      <c r="F56" s="20" t="s">
        <v>163</v>
      </c>
      <c r="G56" s="20" t="s">
        <v>37</v>
      </c>
      <c r="H56" s="20" t="s">
        <v>38</v>
      </c>
      <c r="I56" s="20" t="s">
        <v>164</v>
      </c>
      <c r="J56" s="20" t="str">
        <f>VLOOKUP(I56,媒体表!A:T,20,0)</f>
        <v>金源广告</v>
      </c>
      <c r="K56" s="20" t="s">
        <v>162</v>
      </c>
      <c r="L56" s="20"/>
      <c r="M56" s="20" t="s">
        <v>165</v>
      </c>
      <c r="N56" s="20" t="s">
        <v>41</v>
      </c>
      <c r="O56" s="30">
        <v>0</v>
      </c>
      <c r="P56" s="19"/>
      <c r="Q56" s="20"/>
      <c r="R56" s="36">
        <v>0</v>
      </c>
      <c r="S56" s="36">
        <v>256760</v>
      </c>
      <c r="T56" s="36">
        <v>256760</v>
      </c>
      <c r="U56" s="36">
        <v>0</v>
      </c>
      <c r="V56" s="38">
        <f>IF(N56="返货",T56/(1+O56),IF(N56="返现",T56,IF(N56="折扣",T56*O56,IF(N56="无",T56))))</f>
        <v>256760</v>
      </c>
      <c r="W56" s="38"/>
      <c r="X56" s="39">
        <f t="shared" si="5"/>
        <v>0</v>
      </c>
      <c r="Y56" s="36">
        <v>256760</v>
      </c>
      <c r="Z56" s="30">
        <v>0.05</v>
      </c>
      <c r="AA56" s="20"/>
      <c r="AB56" s="20"/>
      <c r="AC56" s="20"/>
      <c r="AD56" s="20" t="s">
        <v>42</v>
      </c>
      <c r="AE56" s="30">
        <v>0</v>
      </c>
    </row>
    <row r="57" spans="1:31" ht="14.25">
      <c r="A57" s="19" t="s">
        <v>31</v>
      </c>
      <c r="B57" s="20" t="s">
        <v>43</v>
      </c>
      <c r="C57" s="20" t="s">
        <v>44</v>
      </c>
      <c r="D57" s="20" t="s">
        <v>45</v>
      </c>
      <c r="E57" s="20" t="s">
        <v>49</v>
      </c>
      <c r="F57" s="20" t="s">
        <v>49</v>
      </c>
      <c r="G57" s="20" t="s">
        <v>49</v>
      </c>
      <c r="H57" s="20" t="s">
        <v>38</v>
      </c>
      <c r="I57" s="20" t="s">
        <v>39</v>
      </c>
      <c r="J57" s="20" t="str">
        <f>VLOOKUP(I57,媒体表!A:T,20,0)</f>
        <v>金源广告</v>
      </c>
      <c r="K57" s="20" t="s">
        <v>49</v>
      </c>
      <c r="L57" s="20"/>
      <c r="M57" s="20" t="s">
        <v>165</v>
      </c>
      <c r="N57" s="20" t="s">
        <v>41</v>
      </c>
      <c r="O57" s="30">
        <v>0</v>
      </c>
      <c r="P57" s="19"/>
      <c r="Q57" s="20" t="s">
        <v>50</v>
      </c>
      <c r="R57" s="36">
        <v>0</v>
      </c>
      <c r="S57" s="36">
        <v>9763320</v>
      </c>
      <c r="T57" s="36">
        <v>6671602</v>
      </c>
      <c r="U57" s="36">
        <v>0</v>
      </c>
      <c r="V57" s="38">
        <v>7839999.3600000003</v>
      </c>
      <c r="W57" s="38">
        <v>470399.96</v>
      </c>
      <c r="X57" s="39">
        <f t="shared" si="5"/>
        <v>-1168397.3600000003</v>
      </c>
      <c r="Y57" s="36">
        <v>4881660</v>
      </c>
      <c r="Z57" s="30">
        <v>0.05</v>
      </c>
      <c r="AA57" s="20"/>
      <c r="AB57" s="20"/>
      <c r="AC57" s="20"/>
      <c r="AD57" s="20" t="s">
        <v>42</v>
      </c>
      <c r="AE57" s="30">
        <v>0</v>
      </c>
    </row>
    <row r="58" spans="1:31" ht="14.25">
      <c r="A58" s="19" t="s">
        <v>31</v>
      </c>
      <c r="B58" s="20" t="s">
        <v>43</v>
      </c>
      <c r="C58" s="20" t="s">
        <v>44</v>
      </c>
      <c r="D58" s="20" t="s">
        <v>45</v>
      </c>
      <c r="E58" s="20" t="s">
        <v>46</v>
      </c>
      <c r="F58" s="20" t="s">
        <v>46</v>
      </c>
      <c r="G58" s="20" t="s">
        <v>46</v>
      </c>
      <c r="H58" s="20" t="s">
        <v>166</v>
      </c>
      <c r="I58" s="20" t="s">
        <v>167</v>
      </c>
      <c r="J58" s="20" t="str">
        <f>VLOOKUP(I58,媒体表!A:T,20,0)</f>
        <v>金源广告</v>
      </c>
      <c r="K58" s="20" t="s">
        <v>46</v>
      </c>
      <c r="L58" s="20"/>
      <c r="M58" s="20" t="s">
        <v>48</v>
      </c>
      <c r="N58" s="20" t="s">
        <v>41</v>
      </c>
      <c r="O58" s="30">
        <v>0</v>
      </c>
      <c r="P58" s="19"/>
      <c r="Q58" s="20" t="s">
        <v>168</v>
      </c>
      <c r="R58" s="36">
        <v>0</v>
      </c>
      <c r="S58" s="36">
        <v>281.11</v>
      </c>
      <c r="T58" s="36">
        <v>281.11</v>
      </c>
      <c r="U58" s="36">
        <v>281.11</v>
      </c>
      <c r="V58" s="38">
        <v>0</v>
      </c>
      <c r="W58" s="38"/>
      <c r="X58" s="39">
        <v>0</v>
      </c>
      <c r="Y58" s="36">
        <v>281.11</v>
      </c>
      <c r="Z58" s="30">
        <v>0</v>
      </c>
      <c r="AA58" s="20"/>
      <c r="AB58" s="20"/>
      <c r="AC58" s="20"/>
      <c r="AD58" s="20" t="s">
        <v>55</v>
      </c>
      <c r="AE58" s="30">
        <v>0</v>
      </c>
    </row>
    <row r="59" spans="1:31" ht="14.25">
      <c r="A59" s="19" t="s">
        <v>31</v>
      </c>
      <c r="B59" s="20" t="s">
        <v>43</v>
      </c>
      <c r="C59" s="20" t="s">
        <v>44</v>
      </c>
      <c r="D59" s="20" t="s">
        <v>45</v>
      </c>
      <c r="E59" s="20" t="s">
        <v>49</v>
      </c>
      <c r="F59" s="20" t="s">
        <v>49</v>
      </c>
      <c r="G59" s="20" t="s">
        <v>49</v>
      </c>
      <c r="H59" s="20" t="s">
        <v>166</v>
      </c>
      <c r="I59" s="20" t="s">
        <v>167</v>
      </c>
      <c r="J59" s="20" t="str">
        <f>VLOOKUP(I59,媒体表!A:T,20,0)</f>
        <v>金源广告</v>
      </c>
      <c r="K59" s="20" t="s">
        <v>49</v>
      </c>
      <c r="L59" s="20"/>
      <c r="M59" s="20" t="s">
        <v>48</v>
      </c>
      <c r="N59" s="20" t="s">
        <v>41</v>
      </c>
      <c r="O59" s="30">
        <v>0</v>
      </c>
      <c r="P59" s="19"/>
      <c r="Q59" s="20" t="s">
        <v>168</v>
      </c>
      <c r="R59" s="36">
        <v>0</v>
      </c>
      <c r="S59" s="36">
        <v>292371.32</v>
      </c>
      <c r="T59" s="36">
        <v>292371.32</v>
      </c>
      <c r="U59" s="36">
        <v>292371.32</v>
      </c>
      <c r="V59" s="38">
        <v>0</v>
      </c>
      <c r="W59" s="38"/>
      <c r="X59" s="39">
        <v>0</v>
      </c>
      <c r="Y59" s="36">
        <v>292371.32</v>
      </c>
      <c r="Z59" s="30">
        <v>0</v>
      </c>
      <c r="AA59" s="20"/>
      <c r="AB59" s="20"/>
      <c r="AC59" s="20"/>
      <c r="AD59" s="20" t="s">
        <v>55</v>
      </c>
      <c r="AE59" s="30">
        <v>0</v>
      </c>
    </row>
    <row r="60" spans="1:31" ht="14.25">
      <c r="A60" s="19" t="s">
        <v>31</v>
      </c>
      <c r="B60" s="20" t="s">
        <v>43</v>
      </c>
      <c r="C60" s="20" t="s">
        <v>44</v>
      </c>
      <c r="D60" s="20" t="s">
        <v>45</v>
      </c>
      <c r="E60" s="20" t="s">
        <v>49</v>
      </c>
      <c r="F60" s="20" t="s">
        <v>49</v>
      </c>
      <c r="G60" s="20" t="s">
        <v>49</v>
      </c>
      <c r="H60" s="20" t="s">
        <v>169</v>
      </c>
      <c r="I60" s="20" t="s">
        <v>170</v>
      </c>
      <c r="J60" s="20" t="str">
        <f>VLOOKUP(I60,媒体表!A:T,20,0)</f>
        <v>金源广告</v>
      </c>
      <c r="K60" s="20" t="s">
        <v>49</v>
      </c>
      <c r="L60" s="20"/>
      <c r="M60" s="20" t="s">
        <v>48</v>
      </c>
      <c r="N60" s="20" t="s">
        <v>41</v>
      </c>
      <c r="O60" s="31">
        <v>0</v>
      </c>
      <c r="P60" s="19"/>
      <c r="Q60" s="20" t="s">
        <v>168</v>
      </c>
      <c r="R60" s="42">
        <v>0</v>
      </c>
      <c r="S60" s="42">
        <v>81000</v>
      </c>
      <c r="T60" s="42">
        <v>0</v>
      </c>
      <c r="U60" s="42">
        <f>R60+S60-T60</f>
        <v>81000</v>
      </c>
      <c r="V60" s="40">
        <f>IF(N60="返货",T60/(1+O60),IF(N60="返现",T60,IF(N60="折扣",T60*O60,IF(N60="无",T60))))</f>
        <v>0</v>
      </c>
      <c r="W60" s="40"/>
      <c r="X60" s="42">
        <f>T60-V60</f>
        <v>0</v>
      </c>
      <c r="Y60" s="42">
        <v>81000</v>
      </c>
      <c r="Z60" s="31">
        <v>0</v>
      </c>
      <c r="AA60" s="20"/>
      <c r="AB60" s="20"/>
      <c r="AC60" s="20"/>
      <c r="AD60" s="20" t="s">
        <v>55</v>
      </c>
      <c r="AE60" s="31">
        <v>0</v>
      </c>
    </row>
    <row r="61" spans="1:31" ht="14.25">
      <c r="A61" s="19" t="s">
        <v>31</v>
      </c>
      <c r="B61" s="20" t="s">
        <v>43</v>
      </c>
      <c r="C61" s="20" t="s">
        <v>44</v>
      </c>
      <c r="D61" s="20" t="s">
        <v>171</v>
      </c>
      <c r="E61" s="20" t="s">
        <v>172</v>
      </c>
      <c r="F61" s="20" t="s">
        <v>172</v>
      </c>
      <c r="G61" s="20" t="s">
        <v>172</v>
      </c>
      <c r="H61" s="20" t="s">
        <v>173</v>
      </c>
      <c r="I61" s="20" t="s">
        <v>174</v>
      </c>
      <c r="J61" s="20" t="str">
        <f>VLOOKUP(I61,媒体表!A:T,20,0)</f>
        <v>金源广告</v>
      </c>
      <c r="K61" s="20" t="s">
        <v>172</v>
      </c>
      <c r="L61" s="20"/>
      <c r="M61" s="20" t="s">
        <v>175</v>
      </c>
      <c r="N61" s="20" t="s">
        <v>41</v>
      </c>
      <c r="O61" s="31">
        <v>0</v>
      </c>
      <c r="P61" s="19"/>
      <c r="Q61" s="20" t="s">
        <v>176</v>
      </c>
      <c r="R61" s="42">
        <v>0</v>
      </c>
      <c r="S61" s="42">
        <v>10180650</v>
      </c>
      <c r="T61" s="42">
        <v>9929405.9600000009</v>
      </c>
      <c r="U61" s="42">
        <v>251244.03999999899</v>
      </c>
      <c r="V61" s="38">
        <v>9929405.9600000009</v>
      </c>
      <c r="W61" s="38"/>
      <c r="X61" s="39">
        <v>0</v>
      </c>
      <c r="Y61" s="42">
        <v>10180650</v>
      </c>
      <c r="Z61" s="31">
        <v>0</v>
      </c>
      <c r="AA61" s="20"/>
      <c r="AB61" s="20"/>
      <c r="AC61" s="20"/>
      <c r="AD61" s="20" t="s">
        <v>42</v>
      </c>
      <c r="AE61" s="31">
        <v>0</v>
      </c>
    </row>
    <row r="62" spans="1:31" ht="14.25">
      <c r="A62" s="19" t="s">
        <v>31</v>
      </c>
      <c r="B62" s="20" t="s">
        <v>43</v>
      </c>
      <c r="C62" s="20" t="s">
        <v>44</v>
      </c>
      <c r="D62" s="20" t="s">
        <v>171</v>
      </c>
      <c r="E62" s="20" t="s">
        <v>177</v>
      </c>
      <c r="F62" s="20" t="s">
        <v>177</v>
      </c>
      <c r="G62" s="20" t="s">
        <v>177</v>
      </c>
      <c r="H62" s="20" t="s">
        <v>173</v>
      </c>
      <c r="I62" s="20" t="s">
        <v>174</v>
      </c>
      <c r="J62" s="20" t="str">
        <f>VLOOKUP(I62,媒体表!A:T,20,0)</f>
        <v>金源广告</v>
      </c>
      <c r="K62" s="20" t="s">
        <v>177</v>
      </c>
      <c r="L62" s="20"/>
      <c r="M62" s="20" t="s">
        <v>175</v>
      </c>
      <c r="N62" s="20" t="s">
        <v>41</v>
      </c>
      <c r="O62" s="31">
        <v>0</v>
      </c>
      <c r="P62" s="19"/>
      <c r="Q62" s="20" t="s">
        <v>176</v>
      </c>
      <c r="R62" s="42">
        <v>0</v>
      </c>
      <c r="S62" s="42">
        <v>3210000</v>
      </c>
      <c r="T62" s="42">
        <v>3177900</v>
      </c>
      <c r="U62" s="42">
        <v>32100</v>
      </c>
      <c r="V62" s="38">
        <v>3177900</v>
      </c>
      <c r="W62" s="38"/>
      <c r="X62" s="39">
        <v>0</v>
      </c>
      <c r="Y62" s="42">
        <v>3210000</v>
      </c>
      <c r="Z62" s="31">
        <v>0</v>
      </c>
      <c r="AA62" s="20"/>
      <c r="AB62" s="20"/>
      <c r="AC62" s="20"/>
      <c r="AD62" s="20" t="s">
        <v>42</v>
      </c>
      <c r="AE62" s="31">
        <v>0</v>
      </c>
    </row>
    <row r="63" spans="1:31" ht="14.25">
      <c r="A63" s="19" t="s">
        <v>31</v>
      </c>
      <c r="B63" s="20" t="s">
        <v>43</v>
      </c>
      <c r="C63" s="20" t="s">
        <v>44</v>
      </c>
      <c r="D63" s="20" t="s">
        <v>171</v>
      </c>
      <c r="E63" s="20" t="s">
        <v>178</v>
      </c>
      <c r="F63" s="20" t="s">
        <v>178</v>
      </c>
      <c r="G63" s="20" t="s">
        <v>178</v>
      </c>
      <c r="H63" s="20" t="s">
        <v>173</v>
      </c>
      <c r="I63" s="20" t="s">
        <v>174</v>
      </c>
      <c r="J63" s="20" t="str">
        <f>VLOOKUP(I63,媒体表!A:T,20,0)</f>
        <v>金源广告</v>
      </c>
      <c r="K63" s="20" t="s">
        <v>178</v>
      </c>
      <c r="L63" s="20"/>
      <c r="M63" s="20" t="s">
        <v>40</v>
      </c>
      <c r="N63" s="20" t="s">
        <v>41</v>
      </c>
      <c r="O63" s="31">
        <v>0</v>
      </c>
      <c r="P63" s="19"/>
      <c r="Q63" s="20" t="s">
        <v>176</v>
      </c>
      <c r="R63" s="42">
        <v>0</v>
      </c>
      <c r="S63" s="42">
        <v>18994500</v>
      </c>
      <c r="T63" s="42">
        <v>18711000</v>
      </c>
      <c r="U63" s="42">
        <v>283500</v>
      </c>
      <c r="V63" s="38">
        <v>18711000</v>
      </c>
      <c r="W63" s="38"/>
      <c r="X63" s="39">
        <v>0</v>
      </c>
      <c r="Y63" s="42">
        <v>18994500</v>
      </c>
      <c r="Z63" s="31">
        <v>0</v>
      </c>
      <c r="AA63" s="20"/>
      <c r="AB63" s="20"/>
      <c r="AC63" s="20"/>
      <c r="AD63" s="20" t="s">
        <v>42</v>
      </c>
      <c r="AE63" s="31">
        <v>0</v>
      </c>
    </row>
    <row r="64" spans="1:31" ht="14.25">
      <c r="A64" s="21" t="s">
        <v>31</v>
      </c>
      <c r="B64" s="22" t="s">
        <v>43</v>
      </c>
      <c r="C64" s="22" t="s">
        <v>33</v>
      </c>
      <c r="D64" s="22" t="s">
        <v>179</v>
      </c>
      <c r="E64" s="22" t="s">
        <v>180</v>
      </c>
      <c r="F64" s="22" t="s">
        <v>181</v>
      </c>
      <c r="G64" s="22" t="s">
        <v>180</v>
      </c>
      <c r="H64" s="22" t="s">
        <v>182</v>
      </c>
      <c r="I64" s="20" t="s">
        <v>183</v>
      </c>
      <c r="J64" s="20" t="str">
        <f>VLOOKUP(I64,媒体表!A:T,20,0)</f>
        <v>金源广告</v>
      </c>
      <c r="K64" s="22" t="s">
        <v>184</v>
      </c>
      <c r="L64" s="32"/>
      <c r="M64" s="22" t="s">
        <v>40</v>
      </c>
      <c r="N64" s="22" t="s">
        <v>41</v>
      </c>
      <c r="O64" s="32">
        <v>0</v>
      </c>
      <c r="P64" s="33">
        <v>6554</v>
      </c>
      <c r="Q64" s="43"/>
      <c r="R64" s="44"/>
      <c r="S64" s="44"/>
      <c r="T64" s="45">
        <v>6789.9019607843102</v>
      </c>
      <c r="U64" s="45">
        <v>0</v>
      </c>
      <c r="V64" s="45">
        <v>6789.9019607843102</v>
      </c>
      <c r="W64" s="46"/>
      <c r="X64" s="45"/>
      <c r="Y64" s="45">
        <v>6789.9019607843102</v>
      </c>
      <c r="Z64" s="48">
        <v>0</v>
      </c>
      <c r="AA64" s="46"/>
      <c r="AB64" s="46"/>
      <c r="AC64" s="44" t="s">
        <v>185</v>
      </c>
      <c r="AD64" s="44" t="s">
        <v>55</v>
      </c>
      <c r="AE64" s="22"/>
    </row>
    <row r="65" spans="1:31" ht="14.25">
      <c r="A65" s="21" t="s">
        <v>31</v>
      </c>
      <c r="B65" s="22" t="s">
        <v>43</v>
      </c>
      <c r="C65" s="22" t="s">
        <v>33</v>
      </c>
      <c r="D65" s="22" t="s">
        <v>179</v>
      </c>
      <c r="E65" s="22" t="s">
        <v>180</v>
      </c>
      <c r="F65" s="22" t="s">
        <v>181</v>
      </c>
      <c r="G65" s="22" t="s">
        <v>180</v>
      </c>
      <c r="H65" s="22" t="s">
        <v>182</v>
      </c>
      <c r="I65" s="20" t="s">
        <v>183</v>
      </c>
      <c r="J65" s="20" t="str">
        <f>VLOOKUP(I65,媒体表!A:T,20,0)</f>
        <v>金源广告</v>
      </c>
      <c r="K65" s="22" t="s">
        <v>184</v>
      </c>
      <c r="L65" s="32"/>
      <c r="M65" s="22" t="s">
        <v>40</v>
      </c>
      <c r="N65" s="22" t="s">
        <v>41</v>
      </c>
      <c r="O65" s="32">
        <v>0</v>
      </c>
      <c r="P65" s="33">
        <v>6554</v>
      </c>
      <c r="Q65" s="43"/>
      <c r="R65" s="44"/>
      <c r="S65" s="44"/>
      <c r="T65" s="45">
        <v>-6925.7</v>
      </c>
      <c r="U65" s="45">
        <v>0</v>
      </c>
      <c r="V65" s="45">
        <v>-6925.7</v>
      </c>
      <c r="W65" s="46"/>
      <c r="X65" s="45"/>
      <c r="Y65" s="45">
        <v>-6925.7</v>
      </c>
      <c r="Z65" s="48">
        <v>0</v>
      </c>
      <c r="AA65" s="46"/>
      <c r="AB65" s="46"/>
      <c r="AC65" s="44" t="s">
        <v>185</v>
      </c>
      <c r="AD65" s="44" t="s">
        <v>55</v>
      </c>
      <c r="AE65" s="22">
        <v>0</v>
      </c>
    </row>
    <row r="66" spans="1:31" ht="14.25">
      <c r="A66" s="21" t="s">
        <v>31</v>
      </c>
      <c r="B66" s="22" t="s">
        <v>43</v>
      </c>
      <c r="C66" s="22" t="s">
        <v>33</v>
      </c>
      <c r="D66" s="22" t="s">
        <v>179</v>
      </c>
      <c r="E66" s="22" t="s">
        <v>180</v>
      </c>
      <c r="F66" s="22" t="s">
        <v>181</v>
      </c>
      <c r="G66" s="22" t="s">
        <v>180</v>
      </c>
      <c r="H66" s="22" t="s">
        <v>186</v>
      </c>
      <c r="I66" s="20" t="s">
        <v>187</v>
      </c>
      <c r="J66" s="20" t="str">
        <f>VLOOKUP(I66,媒体表!A:T,20,0)</f>
        <v>金源广告</v>
      </c>
      <c r="K66" s="22" t="s">
        <v>188</v>
      </c>
      <c r="L66" s="51"/>
      <c r="M66" s="22" t="s">
        <v>40</v>
      </c>
      <c r="N66" s="22" t="s">
        <v>41</v>
      </c>
      <c r="O66" s="32">
        <v>0</v>
      </c>
      <c r="P66" s="52" t="s">
        <v>189</v>
      </c>
      <c r="Q66" s="43"/>
      <c r="R66" s="44"/>
      <c r="S66" s="44"/>
      <c r="T66" s="45">
        <v>247.43269230769201</v>
      </c>
      <c r="U66" s="45">
        <v>0</v>
      </c>
      <c r="V66" s="45">
        <v>247.43269230769201</v>
      </c>
      <c r="W66" s="46"/>
      <c r="X66" s="45"/>
      <c r="Y66" s="45">
        <v>247.43269230769201</v>
      </c>
      <c r="Z66" s="48">
        <v>0</v>
      </c>
      <c r="AA66" s="46"/>
      <c r="AB66" s="46"/>
      <c r="AC66" s="44" t="s">
        <v>185</v>
      </c>
      <c r="AD66" s="44" t="s">
        <v>55</v>
      </c>
      <c r="AE66" s="22">
        <v>0</v>
      </c>
    </row>
    <row r="67" spans="1:31" ht="14.25">
      <c r="A67" s="49" t="s">
        <v>31</v>
      </c>
      <c r="B67" s="50" t="s">
        <v>190</v>
      </c>
      <c r="C67" s="50" t="s">
        <v>51</v>
      </c>
      <c r="D67" s="50" t="s">
        <v>77</v>
      </c>
      <c r="E67" s="50" t="s">
        <v>191</v>
      </c>
      <c r="F67" s="50" t="s">
        <v>192</v>
      </c>
      <c r="G67" s="50" t="s">
        <v>191</v>
      </c>
      <c r="H67" s="50" t="s">
        <v>193</v>
      </c>
      <c r="I67" s="20" t="s">
        <v>194</v>
      </c>
      <c r="J67" s="20" t="str">
        <f>VLOOKUP(I67,媒体表!A:T,20,0)</f>
        <v>金源科技</v>
      </c>
      <c r="K67" s="48" t="s">
        <v>195</v>
      </c>
      <c r="L67" s="50" t="s">
        <v>196</v>
      </c>
      <c r="M67" s="50" t="s">
        <v>40</v>
      </c>
      <c r="N67" s="22" t="s">
        <v>41</v>
      </c>
      <c r="O67" s="32">
        <v>0</v>
      </c>
      <c r="P67" s="53">
        <v>600000829</v>
      </c>
      <c r="Q67" s="50"/>
      <c r="R67" s="54"/>
      <c r="S67" s="54"/>
      <c r="T67" s="45">
        <v>700000</v>
      </c>
      <c r="U67" s="54">
        <v>0</v>
      </c>
      <c r="V67" s="45">
        <v>700000</v>
      </c>
      <c r="W67" s="45"/>
      <c r="X67" s="55"/>
      <c r="Y67" s="45">
        <v>700000</v>
      </c>
      <c r="Z67" s="48">
        <v>0</v>
      </c>
      <c r="AA67" s="50" t="s">
        <v>196</v>
      </c>
      <c r="AB67" s="50"/>
      <c r="AC67" s="44" t="s">
        <v>185</v>
      </c>
      <c r="AD67" s="50" t="s">
        <v>55</v>
      </c>
      <c r="AE67" s="48">
        <v>0</v>
      </c>
    </row>
    <row r="68" spans="1:31" ht="14.25">
      <c r="A68" s="49" t="s">
        <v>31</v>
      </c>
      <c r="B68" s="50" t="s">
        <v>190</v>
      </c>
      <c r="C68" s="50" t="s">
        <v>51</v>
      </c>
      <c r="D68" s="50" t="s">
        <v>77</v>
      </c>
      <c r="E68" s="50" t="s">
        <v>173</v>
      </c>
      <c r="F68" s="50" t="s">
        <v>173</v>
      </c>
      <c r="G68" s="50" t="s">
        <v>173</v>
      </c>
      <c r="H68" s="50" t="s">
        <v>193</v>
      </c>
      <c r="I68" s="20" t="s">
        <v>194</v>
      </c>
      <c r="J68" s="20" t="str">
        <f>VLOOKUP(I68,媒体表!A:T,20,0)</f>
        <v>金源科技</v>
      </c>
      <c r="K68" s="48" t="s">
        <v>195</v>
      </c>
      <c r="L68" s="50" t="s">
        <v>196</v>
      </c>
      <c r="M68" s="50" t="s">
        <v>40</v>
      </c>
      <c r="N68" s="22" t="s">
        <v>41</v>
      </c>
      <c r="O68" s="32">
        <v>0</v>
      </c>
      <c r="P68" s="53">
        <v>600000829</v>
      </c>
      <c r="Q68" s="50"/>
      <c r="R68" s="54"/>
      <c r="S68" s="54"/>
      <c r="T68" s="45">
        <v>3139374.4436599999</v>
      </c>
      <c r="U68" s="54">
        <v>0</v>
      </c>
      <c r="V68" s="45">
        <v>3139374.4436599999</v>
      </c>
      <c r="W68" s="45"/>
      <c r="X68" s="55"/>
      <c r="Y68" s="45">
        <v>3139374.4436599999</v>
      </c>
      <c r="Z68" s="48">
        <v>0</v>
      </c>
      <c r="AA68" s="50" t="s">
        <v>196</v>
      </c>
      <c r="AB68" s="50"/>
      <c r="AC68" s="44" t="s">
        <v>185</v>
      </c>
      <c r="AD68" s="50" t="s">
        <v>42</v>
      </c>
      <c r="AE68" s="48">
        <v>0</v>
      </c>
    </row>
    <row r="69" spans="1:31" ht="14.25">
      <c r="A69" s="49" t="s">
        <v>31</v>
      </c>
      <c r="B69" s="50" t="s">
        <v>190</v>
      </c>
      <c r="C69" s="50" t="s">
        <v>51</v>
      </c>
      <c r="D69" s="50" t="s">
        <v>77</v>
      </c>
      <c r="E69" s="50" t="s">
        <v>197</v>
      </c>
      <c r="F69" s="50" t="s">
        <v>197</v>
      </c>
      <c r="G69" s="50" t="s">
        <v>197</v>
      </c>
      <c r="H69" s="50" t="s">
        <v>193</v>
      </c>
      <c r="I69" s="20" t="s">
        <v>194</v>
      </c>
      <c r="J69" s="20" t="str">
        <f>VLOOKUP(I69,媒体表!A:T,20,0)</f>
        <v>金源科技</v>
      </c>
      <c r="K69" s="48" t="s">
        <v>191</v>
      </c>
      <c r="L69" s="50" t="s">
        <v>196</v>
      </c>
      <c r="M69" s="50" t="s">
        <v>40</v>
      </c>
      <c r="N69" s="22" t="s">
        <v>41</v>
      </c>
      <c r="O69" s="32">
        <v>0</v>
      </c>
      <c r="P69" s="53">
        <v>600000916</v>
      </c>
      <c r="Q69" s="50"/>
      <c r="R69" s="54"/>
      <c r="S69" s="54"/>
      <c r="T69" s="45">
        <v>1511691.35</v>
      </c>
      <c r="U69" s="54">
        <v>0</v>
      </c>
      <c r="V69" s="45">
        <v>1511691.35</v>
      </c>
      <c r="W69" s="45"/>
      <c r="X69" s="55"/>
      <c r="Y69" s="45">
        <v>1511691.35</v>
      </c>
      <c r="Z69" s="48">
        <v>0</v>
      </c>
      <c r="AA69" s="50" t="s">
        <v>196</v>
      </c>
      <c r="AB69" s="50"/>
      <c r="AC69" s="44" t="s">
        <v>185</v>
      </c>
      <c r="AD69" s="50" t="s">
        <v>55</v>
      </c>
      <c r="AE69" s="48">
        <v>0</v>
      </c>
    </row>
    <row r="70" spans="1:31" ht="14.25">
      <c r="A70" s="49" t="s">
        <v>31</v>
      </c>
      <c r="B70" s="50" t="s">
        <v>43</v>
      </c>
      <c r="C70" s="50" t="s">
        <v>44</v>
      </c>
      <c r="D70" s="50" t="s">
        <v>45</v>
      </c>
      <c r="E70" s="50" t="s">
        <v>49</v>
      </c>
      <c r="F70" s="50" t="s">
        <v>49</v>
      </c>
      <c r="G70" s="50" t="s">
        <v>49</v>
      </c>
      <c r="H70" s="50" t="s">
        <v>198</v>
      </c>
      <c r="I70" s="20" t="s">
        <v>199</v>
      </c>
      <c r="J70" s="20" t="str">
        <f>VLOOKUP(I70,媒体表!A:T,20,0)</f>
        <v>金源广告</v>
      </c>
      <c r="K70" s="50" t="s">
        <v>49</v>
      </c>
      <c r="L70" s="50"/>
      <c r="M70" s="50" t="s">
        <v>48</v>
      </c>
      <c r="N70" s="22" t="s">
        <v>41</v>
      </c>
      <c r="O70" s="32">
        <v>0</v>
      </c>
      <c r="P70" s="49"/>
      <c r="Q70" s="50" t="s">
        <v>50</v>
      </c>
      <c r="R70" s="54"/>
      <c r="S70" s="54"/>
      <c r="T70" s="44">
        <v>147092.698113208</v>
      </c>
      <c r="U70" s="54">
        <v>0</v>
      </c>
      <c r="V70" s="44">
        <v>147092.698113208</v>
      </c>
      <c r="W70" s="44">
        <v>9216</v>
      </c>
      <c r="X70" s="54"/>
      <c r="Y70" s="44">
        <v>147092.698113208</v>
      </c>
      <c r="Z70" s="48">
        <v>0</v>
      </c>
      <c r="AA70" s="50"/>
      <c r="AB70" s="50"/>
      <c r="AC70" s="44" t="s">
        <v>185</v>
      </c>
      <c r="AD70" s="50" t="s">
        <v>42</v>
      </c>
      <c r="AE70" s="48">
        <v>0.1</v>
      </c>
    </row>
  </sheetData>
  <autoFilter ref="A1:AE70"/>
  <phoneticPr fontId="1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4"/>
  <sheetViews>
    <sheetView topLeftCell="E1" workbookViewId="0">
      <selection activeCell="E1" sqref="A1:XFD1"/>
    </sheetView>
  </sheetViews>
  <sheetFormatPr defaultColWidth="9" defaultRowHeight="13.5"/>
  <cols>
    <col min="1" max="1" width="16.375" customWidth="1"/>
    <col min="2" max="2" width="10.375" customWidth="1"/>
    <col min="3" max="3" width="24.125" customWidth="1"/>
    <col min="4" max="4" width="23.75" customWidth="1"/>
    <col min="5" max="5" width="13.625" style="1" customWidth="1"/>
    <col min="7" max="7" width="12.5" customWidth="1"/>
    <col min="8" max="8" width="14.875" customWidth="1"/>
    <col min="9" max="9" width="7.375" customWidth="1"/>
    <col min="14" max="14" width="11" style="2" customWidth="1"/>
    <col min="16" max="17" width="11" customWidth="1"/>
    <col min="18" max="18" width="7" customWidth="1"/>
    <col min="19" max="19" width="4.375" customWidth="1"/>
  </cols>
  <sheetData>
    <row r="1" spans="1:20" ht="14.25">
      <c r="A1" s="3" t="s">
        <v>8</v>
      </c>
      <c r="B1" s="3" t="s">
        <v>200</v>
      </c>
      <c r="C1" s="3" t="s">
        <v>201</v>
      </c>
      <c r="D1" s="3" t="s">
        <v>6</v>
      </c>
      <c r="E1" s="4" t="s">
        <v>202</v>
      </c>
      <c r="F1" s="3" t="s">
        <v>12</v>
      </c>
      <c r="G1" s="5" t="s">
        <v>24</v>
      </c>
      <c r="H1" s="5" t="s">
        <v>203</v>
      </c>
      <c r="I1" s="10" t="s">
        <v>204</v>
      </c>
      <c r="J1" s="5" t="s">
        <v>205</v>
      </c>
      <c r="K1" s="5" t="s">
        <v>206</v>
      </c>
      <c r="L1" s="5" t="s">
        <v>207</v>
      </c>
      <c r="M1" s="11" t="s">
        <v>13</v>
      </c>
      <c r="N1" s="12" t="s">
        <v>21</v>
      </c>
      <c r="O1" s="11" t="s">
        <v>208</v>
      </c>
      <c r="P1" s="11" t="s">
        <v>209</v>
      </c>
      <c r="Q1" s="11" t="s">
        <v>210</v>
      </c>
      <c r="R1" s="11" t="s">
        <v>211</v>
      </c>
      <c r="S1" s="3" t="s">
        <v>212</v>
      </c>
      <c r="T1" s="3" t="s">
        <v>213</v>
      </c>
    </row>
    <row r="2" spans="1:20" ht="14.25">
      <c r="A2" s="6" t="s">
        <v>39</v>
      </c>
      <c r="B2" s="6" t="s">
        <v>214</v>
      </c>
      <c r="C2" s="6" t="s">
        <v>38</v>
      </c>
      <c r="D2" s="6" t="s">
        <v>215</v>
      </c>
      <c r="E2" s="7" t="s">
        <v>31</v>
      </c>
      <c r="F2" s="8" t="s">
        <v>48</v>
      </c>
      <c r="G2" s="9">
        <f>1521642.54+249841.48</f>
        <v>1771484.02</v>
      </c>
      <c r="H2" s="9">
        <f>1521642.54+249841.48</f>
        <v>1771484.02</v>
      </c>
      <c r="I2" s="13">
        <v>0.05</v>
      </c>
      <c r="J2" s="14">
        <f t="shared" ref="J2:J10" si="0">H2*I2</f>
        <v>88574.201000000001</v>
      </c>
      <c r="K2" s="9"/>
      <c r="L2" s="14">
        <f t="shared" ref="L2:L10" si="1">J2-K2</f>
        <v>88574.201000000001</v>
      </c>
      <c r="M2" s="8" t="s">
        <v>61</v>
      </c>
      <c r="N2" s="15">
        <f>SUMIFS(客户表!V:V,客户表!I:I,A2,客户表!A:A,E2,客户表!M:M,F2)+SUMIFS(客户表!W:W,客户表!I:I,A2,客户表!A:A,E2,客户表!M:M,F2)</f>
        <v>2638257.5673919204</v>
      </c>
      <c r="O2" s="8"/>
      <c r="P2" s="15">
        <f>(N2-G2+J2)/1.06</f>
        <v>901271.46074709459</v>
      </c>
      <c r="Q2" s="15">
        <f>P2-(O2/1.06)</f>
        <v>901271.46074709459</v>
      </c>
      <c r="R2" s="16">
        <f>Q2/N2</f>
        <v>0.3416161757239104</v>
      </c>
      <c r="S2" s="6"/>
      <c r="T2" s="8" t="s">
        <v>43</v>
      </c>
    </row>
    <row r="3" spans="1:20" ht="14.25">
      <c r="A3" s="6" t="s">
        <v>39</v>
      </c>
      <c r="B3" s="6" t="s">
        <v>214</v>
      </c>
      <c r="C3" s="6" t="s">
        <v>38</v>
      </c>
      <c r="D3" s="6" t="s">
        <v>215</v>
      </c>
      <c r="E3" s="7" t="s">
        <v>31</v>
      </c>
      <c r="F3" s="8" t="s">
        <v>40</v>
      </c>
      <c r="G3" s="9">
        <v>19880.91</v>
      </c>
      <c r="H3" s="9">
        <v>19880.91</v>
      </c>
      <c r="I3" s="13">
        <v>0.05</v>
      </c>
      <c r="J3" s="14">
        <f t="shared" si="0"/>
        <v>994.04550000000006</v>
      </c>
      <c r="K3" s="9"/>
      <c r="L3" s="14">
        <f t="shared" si="1"/>
        <v>994.04550000000006</v>
      </c>
      <c r="M3" s="8" t="s">
        <v>61</v>
      </c>
      <c r="N3" s="15">
        <f>SUMIFS(客户表!V:V,客户表!I:I,A3,客户表!A:A,E3,客户表!M:M,F3)+SUMIFS(客户表!W:W,客户表!I:I,A3,客户表!A:A,E3,客户表!M:M,F3)</f>
        <v>19680.11890909091</v>
      </c>
      <c r="O3" s="8"/>
      <c r="P3" s="15">
        <f>(N3-G3+J3)/1.06</f>
        <v>748.35321612350026</v>
      </c>
      <c r="Q3" s="15">
        <f t="shared" ref="Q3:Q14" si="2">P3-(O3/1.06)</f>
        <v>748.35321612350026</v>
      </c>
      <c r="R3" s="16">
        <f t="shared" ref="R3:R14" si="3">Q3/N3</f>
        <v>3.8025848297990245E-2</v>
      </c>
      <c r="S3" s="6"/>
      <c r="T3" s="8" t="s">
        <v>43</v>
      </c>
    </row>
    <row r="4" spans="1:20" ht="14.25">
      <c r="A4" s="6" t="s">
        <v>39</v>
      </c>
      <c r="B4" s="6" t="s">
        <v>214</v>
      </c>
      <c r="C4" s="6" t="s">
        <v>38</v>
      </c>
      <c r="D4" s="6" t="s">
        <v>215</v>
      </c>
      <c r="E4" s="7" t="s">
        <v>31</v>
      </c>
      <c r="F4" s="8" t="s">
        <v>89</v>
      </c>
      <c r="G4" s="9">
        <v>3591.69</v>
      </c>
      <c r="H4" s="9">
        <v>3591.69</v>
      </c>
      <c r="I4" s="13">
        <v>0.05</v>
      </c>
      <c r="J4" s="14">
        <f t="shared" si="0"/>
        <v>179.58450000000002</v>
      </c>
      <c r="K4" s="9"/>
      <c r="L4" s="14">
        <f t="shared" si="1"/>
        <v>179.58450000000002</v>
      </c>
      <c r="M4" s="8" t="s">
        <v>61</v>
      </c>
      <c r="N4" s="15">
        <f>SUMIFS(客户表!V:V,客户表!I:I,A4,客户表!A:A,E4,客户表!M:M,F4)+SUMIFS(客户表!W:W,客户表!I:I,A4,客户表!A:A,E4,客户表!M:M,F4)</f>
        <v>3043.805084745763</v>
      </c>
      <c r="O4" s="8"/>
      <c r="P4" s="15">
        <f>(N4-G4+J4)/1.06</f>
        <v>-347.45322193795943</v>
      </c>
      <c r="Q4" s="15">
        <f t="shared" si="2"/>
        <v>-347.45322193795943</v>
      </c>
      <c r="R4" s="16">
        <f t="shared" si="3"/>
        <v>-0.11415094339622631</v>
      </c>
      <c r="S4" s="6"/>
      <c r="T4" s="8" t="s">
        <v>43</v>
      </c>
    </row>
    <row r="5" spans="1:20" ht="14.25">
      <c r="A5" s="6" t="s">
        <v>39</v>
      </c>
      <c r="B5" s="6" t="s">
        <v>214</v>
      </c>
      <c r="C5" s="6" t="s">
        <v>38</v>
      </c>
      <c r="D5" s="6" t="s">
        <v>215</v>
      </c>
      <c r="E5" s="7" t="s">
        <v>31</v>
      </c>
      <c r="F5" s="8" t="s">
        <v>165</v>
      </c>
      <c r="G5" s="9">
        <v>4881660</v>
      </c>
      <c r="H5" s="9">
        <v>4881660</v>
      </c>
      <c r="I5" s="13">
        <v>0.05</v>
      </c>
      <c r="J5" s="14">
        <f t="shared" si="0"/>
        <v>244083</v>
      </c>
      <c r="K5" s="9">
        <v>0</v>
      </c>
      <c r="L5" s="14">
        <f t="shared" si="1"/>
        <v>244083</v>
      </c>
      <c r="M5" s="8" t="s">
        <v>216</v>
      </c>
      <c r="N5" s="15">
        <f>SUMIFS(客户表!V:V,客户表!I:I,A5,客户表!A:A,E5,客户表!M:M,F5)+SUMIFS(客户表!W:W,客户表!I:I,A5,客户表!A:A,E5,客户表!M:M,F5)</f>
        <v>8310399.3200000003</v>
      </c>
      <c r="O5" s="8"/>
      <c r="P5" s="15">
        <f t="shared" ref="P5:P14" si="4">(N5-G5+J5)/1.06</f>
        <v>3464926.716981132</v>
      </c>
      <c r="Q5" s="15">
        <f t="shared" si="2"/>
        <v>3464926.716981132</v>
      </c>
      <c r="R5" s="16">
        <f t="shared" si="3"/>
        <v>0.41693865523914825</v>
      </c>
      <c r="S5" s="6"/>
      <c r="T5" s="8" t="s">
        <v>43</v>
      </c>
    </row>
    <row r="6" spans="1:20" ht="14.25">
      <c r="A6" s="6" t="s">
        <v>164</v>
      </c>
      <c r="B6" s="6" t="s">
        <v>214</v>
      </c>
      <c r="C6" s="6" t="s">
        <v>38</v>
      </c>
      <c r="D6" s="6" t="s">
        <v>215</v>
      </c>
      <c r="E6" s="7" t="s">
        <v>31</v>
      </c>
      <c r="F6" s="8" t="s">
        <v>165</v>
      </c>
      <c r="G6" s="9">
        <v>256760</v>
      </c>
      <c r="H6" s="9">
        <v>256760</v>
      </c>
      <c r="I6" s="13">
        <v>0.05</v>
      </c>
      <c r="J6" s="14">
        <f t="shared" si="0"/>
        <v>12838</v>
      </c>
      <c r="K6" s="9">
        <v>0</v>
      </c>
      <c r="L6" s="14">
        <f t="shared" si="1"/>
        <v>12838</v>
      </c>
      <c r="M6" s="8" t="s">
        <v>216</v>
      </c>
      <c r="N6" s="15">
        <f>SUMIFS(客户表!V:V,客户表!I:I,A6,客户表!A:A,E6,客户表!M:M,F6)+SUMIFS(客户表!W:W,客户表!I:I,A6,客户表!A:A,E6,客户表!M:M,F6)</f>
        <v>256760</v>
      </c>
      <c r="O6" s="8"/>
      <c r="P6" s="15">
        <f t="shared" si="4"/>
        <v>12111.32075471698</v>
      </c>
      <c r="Q6" s="15">
        <f t="shared" si="2"/>
        <v>12111.32075471698</v>
      </c>
      <c r="R6" s="16">
        <f t="shared" si="3"/>
        <v>4.7169811320754713E-2</v>
      </c>
      <c r="S6" s="6"/>
      <c r="T6" s="8" t="s">
        <v>43</v>
      </c>
    </row>
    <row r="7" spans="1:20" ht="14.25">
      <c r="A7" s="6" t="s">
        <v>167</v>
      </c>
      <c r="B7" s="6" t="s">
        <v>217</v>
      </c>
      <c r="C7" s="6" t="s">
        <v>218</v>
      </c>
      <c r="D7" s="6" t="s">
        <v>218</v>
      </c>
      <c r="E7" s="7" t="s">
        <v>31</v>
      </c>
      <c r="F7" s="8" t="s">
        <v>48</v>
      </c>
      <c r="G7" s="9">
        <v>292652.43</v>
      </c>
      <c r="H7" s="9">
        <v>292652.43</v>
      </c>
      <c r="I7" s="13">
        <v>0</v>
      </c>
      <c r="J7" s="14">
        <f t="shared" si="0"/>
        <v>0</v>
      </c>
      <c r="K7" s="9">
        <v>0</v>
      </c>
      <c r="L7" s="14">
        <f t="shared" si="1"/>
        <v>0</v>
      </c>
      <c r="M7" s="8" t="s">
        <v>41</v>
      </c>
      <c r="N7" s="15">
        <f>SUMIFS(客户表!V:V,客户表!I:I,A7,客户表!A:A,E7,客户表!M:M,F7)+SUMIFS(客户表!W:W,客户表!I:I,A7,客户表!A:A,E7,客户表!M:M,F7)</f>
        <v>0</v>
      </c>
      <c r="O7" s="8"/>
      <c r="P7" s="15">
        <f t="shared" si="4"/>
        <v>-276087.19811320753</v>
      </c>
      <c r="Q7" s="15">
        <f t="shared" si="2"/>
        <v>-276087.19811320753</v>
      </c>
      <c r="R7" s="16" t="e">
        <f t="shared" si="3"/>
        <v>#DIV/0!</v>
      </c>
      <c r="S7" s="6"/>
      <c r="T7" s="8" t="s">
        <v>43</v>
      </c>
    </row>
    <row r="8" spans="1:20" ht="14.25">
      <c r="A8" s="6" t="s">
        <v>170</v>
      </c>
      <c r="B8" s="6" t="s">
        <v>170</v>
      </c>
      <c r="C8" s="6" t="s">
        <v>169</v>
      </c>
      <c r="D8" s="6" t="s">
        <v>169</v>
      </c>
      <c r="E8" s="7" t="s">
        <v>31</v>
      </c>
      <c r="F8" s="8" t="s">
        <v>48</v>
      </c>
      <c r="G8" s="9">
        <v>81000</v>
      </c>
      <c r="H8" s="9">
        <v>81000</v>
      </c>
      <c r="I8" s="13">
        <v>0</v>
      </c>
      <c r="J8" s="14">
        <f t="shared" si="0"/>
        <v>0</v>
      </c>
      <c r="K8" s="9">
        <v>0</v>
      </c>
      <c r="L8" s="14">
        <f t="shared" si="1"/>
        <v>0</v>
      </c>
      <c r="M8" s="8" t="s">
        <v>41</v>
      </c>
      <c r="N8" s="15">
        <f>SUMIFS(客户表!V:V,客户表!I:I,A8,客户表!A:A,E8,客户表!M:M,F8)+SUMIFS(客户表!W:W,客户表!I:I,A8,客户表!A:A,E8,客户表!M:M,F8)</f>
        <v>0</v>
      </c>
      <c r="O8" s="8"/>
      <c r="P8" s="15">
        <f t="shared" si="4"/>
        <v>-76415.094339622636</v>
      </c>
      <c r="Q8" s="15">
        <f t="shared" si="2"/>
        <v>-76415.094339622636</v>
      </c>
      <c r="R8" s="16" t="e">
        <f t="shared" si="3"/>
        <v>#DIV/0!</v>
      </c>
      <c r="S8" s="6"/>
      <c r="T8" s="8" t="s">
        <v>43</v>
      </c>
    </row>
    <row r="9" spans="1:20" ht="14.25">
      <c r="A9" s="6" t="s">
        <v>174</v>
      </c>
      <c r="B9" s="6" t="s">
        <v>219</v>
      </c>
      <c r="C9" s="6" t="s">
        <v>173</v>
      </c>
      <c r="D9" s="6" t="s">
        <v>173</v>
      </c>
      <c r="E9" s="7" t="s">
        <v>31</v>
      </c>
      <c r="F9" s="8" t="s">
        <v>175</v>
      </c>
      <c r="G9" s="9">
        <v>13390650</v>
      </c>
      <c r="H9" s="9">
        <v>13390650</v>
      </c>
      <c r="I9" s="13">
        <v>0</v>
      </c>
      <c r="J9" s="14">
        <f t="shared" si="0"/>
        <v>0</v>
      </c>
      <c r="K9" s="9">
        <v>0</v>
      </c>
      <c r="L9" s="14">
        <f t="shared" si="1"/>
        <v>0</v>
      </c>
      <c r="M9" s="8" t="s">
        <v>41</v>
      </c>
      <c r="N9" s="15">
        <f>SUMIFS(客户表!V:V,客户表!I:I,A9,客户表!A:A,E9,客户表!M:M,F9)+SUMIFS(客户表!W:W,客户表!I:I,A9,客户表!A:A,E9,客户表!M:M,F9)</f>
        <v>13107305.960000001</v>
      </c>
      <c r="O9" s="8"/>
      <c r="P9" s="15">
        <f t="shared" si="4"/>
        <v>-267305.69811320672</v>
      </c>
      <c r="Q9" s="15">
        <f t="shared" si="2"/>
        <v>-267305.69811320672</v>
      </c>
      <c r="R9" s="16">
        <f t="shared" si="3"/>
        <v>-2.0393641449200344E-2</v>
      </c>
      <c r="S9" s="6"/>
      <c r="T9" s="8" t="s">
        <v>43</v>
      </c>
    </row>
    <row r="10" spans="1:20" ht="14.25">
      <c r="A10" s="6" t="s">
        <v>174</v>
      </c>
      <c r="B10" s="6" t="s">
        <v>219</v>
      </c>
      <c r="C10" s="6" t="s">
        <v>173</v>
      </c>
      <c r="D10" s="6" t="s">
        <v>173</v>
      </c>
      <c r="E10" s="7" t="s">
        <v>31</v>
      </c>
      <c r="F10" s="8" t="s">
        <v>40</v>
      </c>
      <c r="G10" s="9">
        <v>18994500</v>
      </c>
      <c r="H10" s="9">
        <v>18994500</v>
      </c>
      <c r="I10" s="13">
        <v>0</v>
      </c>
      <c r="J10" s="14">
        <f t="shared" si="0"/>
        <v>0</v>
      </c>
      <c r="K10" s="9">
        <v>0</v>
      </c>
      <c r="L10" s="14">
        <f t="shared" si="1"/>
        <v>0</v>
      </c>
      <c r="M10" s="8" t="s">
        <v>41</v>
      </c>
      <c r="N10" s="15">
        <f>SUMIFS(客户表!V:V,客户表!I:I,A10,客户表!A:A,E10,客户表!M:M,F10)+SUMIFS(客户表!W:W,客户表!I:I,A10,客户表!A:A,E10,客户表!M:M,F10)</f>
        <v>18711000</v>
      </c>
      <c r="O10" s="8"/>
      <c r="P10" s="15">
        <f t="shared" si="4"/>
        <v>-267452.83018867922</v>
      </c>
      <c r="Q10" s="15">
        <f t="shared" si="2"/>
        <v>-267452.83018867922</v>
      </c>
      <c r="R10" s="16">
        <f t="shared" si="3"/>
        <v>-1.429388221841052E-2</v>
      </c>
      <c r="S10" s="6"/>
      <c r="T10" s="8" t="s">
        <v>43</v>
      </c>
    </row>
    <row r="11" spans="1:20" ht="14.25">
      <c r="A11" s="6" t="s">
        <v>183</v>
      </c>
      <c r="B11" s="6" t="s">
        <v>220</v>
      </c>
      <c r="C11" s="6" t="s">
        <v>182</v>
      </c>
      <c r="D11" s="6" t="s">
        <v>221</v>
      </c>
      <c r="E11" s="7" t="s">
        <v>31</v>
      </c>
      <c r="F11" s="8" t="s">
        <v>40</v>
      </c>
      <c r="G11" s="9">
        <v>-135.80000000000001</v>
      </c>
      <c r="H11" s="9">
        <v>-135.80000000000001</v>
      </c>
      <c r="I11" s="13">
        <v>0</v>
      </c>
      <c r="J11" s="14"/>
      <c r="K11" s="9"/>
      <c r="L11" s="14"/>
      <c r="M11" s="8" t="s">
        <v>41</v>
      </c>
      <c r="N11" s="15">
        <f>SUMIFS(客户表!V:V,客户表!I:I,A11,客户表!A:A,E11,客户表!M:M,F11)+SUMIFS(客户表!W:W,客户表!I:I,A11,客户表!A:A,E11,客户表!M:M,F11)</f>
        <v>-135.79803921568964</v>
      </c>
      <c r="O11" s="8"/>
      <c r="P11" s="15">
        <f t="shared" si="4"/>
        <v>1.8497965192169293E-3</v>
      </c>
      <c r="Q11" s="15">
        <f t="shared" si="2"/>
        <v>1.8497965192169293E-3</v>
      </c>
      <c r="R11" s="16">
        <f t="shared" si="3"/>
        <v>-1.3621673257585667E-5</v>
      </c>
      <c r="S11" s="6"/>
      <c r="T11" s="8" t="s">
        <v>43</v>
      </c>
    </row>
    <row r="12" spans="1:20" ht="14.25">
      <c r="A12" s="6" t="s">
        <v>187</v>
      </c>
      <c r="B12" s="6" t="s">
        <v>32</v>
      </c>
      <c r="C12" s="6" t="s">
        <v>186</v>
      </c>
      <c r="D12" s="6" t="s">
        <v>37</v>
      </c>
      <c r="E12" s="7" t="s">
        <v>31</v>
      </c>
      <c r="F12" s="8" t="s">
        <v>40</v>
      </c>
      <c r="G12" s="9">
        <v>247.43269230769201</v>
      </c>
      <c r="H12" s="9">
        <v>247.43269230769201</v>
      </c>
      <c r="I12" s="13">
        <v>0</v>
      </c>
      <c r="J12" s="14"/>
      <c r="K12" s="9"/>
      <c r="L12" s="14"/>
      <c r="M12" s="8" t="s">
        <v>41</v>
      </c>
      <c r="N12" s="15">
        <f>SUMIFS(客户表!V:V,客户表!I:I,A12,客户表!A:A,E12,客户表!M:M,F12)+SUMIFS(客户表!W:W,客户表!I:I,A12,客户表!A:A,E12,客户表!M:M,F12)</f>
        <v>247.43269230769201</v>
      </c>
      <c r="O12" s="8"/>
      <c r="P12" s="15">
        <f t="shared" si="4"/>
        <v>0</v>
      </c>
      <c r="Q12" s="15">
        <f t="shared" si="2"/>
        <v>0</v>
      </c>
      <c r="R12" s="16">
        <f t="shared" si="3"/>
        <v>0</v>
      </c>
      <c r="S12" s="6" t="s">
        <v>185</v>
      </c>
      <c r="T12" s="8" t="s">
        <v>43</v>
      </c>
    </row>
    <row r="13" spans="1:20" ht="14.25">
      <c r="A13" s="6" t="s">
        <v>194</v>
      </c>
      <c r="B13" s="6" t="s">
        <v>222</v>
      </c>
      <c r="C13" s="6" t="s">
        <v>193</v>
      </c>
      <c r="D13" s="6" t="s">
        <v>37</v>
      </c>
      <c r="E13" s="7" t="s">
        <v>31</v>
      </c>
      <c r="F13" s="8" t="s">
        <v>40</v>
      </c>
      <c r="G13" s="9">
        <v>5351065.79366</v>
      </c>
      <c r="H13" s="9">
        <v>5351065.79366</v>
      </c>
      <c r="I13" s="13">
        <v>0</v>
      </c>
      <c r="J13" s="14"/>
      <c r="K13" s="9"/>
      <c r="L13" s="14"/>
      <c r="M13" s="8" t="s">
        <v>41</v>
      </c>
      <c r="N13" s="15">
        <f>SUMIFS(客户表!V:V,客户表!I:I,A13,客户表!A:A,E13,客户表!M:M,F13)+SUMIFS(客户表!W:W,客户表!I:I,A13,客户表!A:A,E13,客户表!M:M,F13)</f>
        <v>5351065.79366</v>
      </c>
      <c r="O13" s="8"/>
      <c r="P13" s="15">
        <f t="shared" si="4"/>
        <v>0</v>
      </c>
      <c r="Q13" s="15">
        <f t="shared" si="2"/>
        <v>0</v>
      </c>
      <c r="R13" s="16">
        <f t="shared" si="3"/>
        <v>0</v>
      </c>
      <c r="S13" s="6" t="s">
        <v>185</v>
      </c>
      <c r="T13" s="8" t="s">
        <v>190</v>
      </c>
    </row>
    <row r="14" spans="1:20" ht="14.25">
      <c r="A14" s="6" t="s">
        <v>199</v>
      </c>
      <c r="B14" s="6" t="s">
        <v>220</v>
      </c>
      <c r="C14" s="6" t="s">
        <v>198</v>
      </c>
      <c r="D14" s="6" t="s">
        <v>221</v>
      </c>
      <c r="E14" s="7" t="s">
        <v>31</v>
      </c>
      <c r="F14" s="8" t="s">
        <v>48</v>
      </c>
      <c r="G14" s="9">
        <v>147092.698113208</v>
      </c>
      <c r="H14" s="9">
        <v>147092.698113208</v>
      </c>
      <c r="I14" s="13">
        <v>0</v>
      </c>
      <c r="J14" s="14"/>
      <c r="K14" s="9"/>
      <c r="L14" s="14"/>
      <c r="M14" s="8" t="s">
        <v>41</v>
      </c>
      <c r="N14" s="15">
        <f>SUMIFS(客户表!V:V,客户表!I:I,A14,客户表!A:A,E14,客户表!M:M,F14)+SUMIFS(客户表!W:W,客户表!I:I,A14,客户表!A:A,E14,客户表!M:M,F14)</f>
        <v>156308.698113208</v>
      </c>
      <c r="O14" s="8"/>
      <c r="P14" s="15">
        <f t="shared" si="4"/>
        <v>8694.3396226415098</v>
      </c>
      <c r="Q14" s="15">
        <f t="shared" si="2"/>
        <v>8694.3396226415098</v>
      </c>
      <c r="R14" s="16">
        <f t="shared" si="3"/>
        <v>5.5622877853825865E-2</v>
      </c>
      <c r="S14" s="6" t="s">
        <v>185</v>
      </c>
      <c r="T14" s="8" t="s">
        <v>43</v>
      </c>
    </row>
  </sheetData>
  <phoneticPr fontId="12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YZYSTS</cp:lastModifiedBy>
  <dcterms:created xsi:type="dcterms:W3CDTF">2020-02-05T04:16:00Z</dcterms:created>
  <dcterms:modified xsi:type="dcterms:W3CDTF">2020-03-04T11:15:32Z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