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Sheet1!$A$1:$AN$1358</definedName>
    <definedName name="_xlnm._FilterDatabase" localSheetId="2" hidden="1">Sheet2!$A$1:$AC$83</definedName>
    <definedName name="_xlnm._FilterDatabase" localSheetId="1" hidden="1">Sheet10!$A$1:$K$40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D1" authorId="0">
      <text>
        <r>
          <rPr>
            <b/>
            <sz val="9"/>
            <rFont val="宋体"/>
            <charset val="134"/>
          </rPr>
          <t>分广告形式，如有多个继续添加列</t>
        </r>
      </text>
    </comment>
    <comment ref="N11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>
      <text>
        <r>
          <rPr>
            <b/>
            <sz val="9"/>
            <rFont val="宋体"/>
            <charset val="134"/>
          </rPr>
          <t>Helen Tian:</t>
        </r>
        <r>
          <rPr>
            <sz val="9"/>
            <rFont val="宋体"/>
            <charset val="134"/>
          </rPr>
          <t xml:space="preserve">
去掉期初余额、返货</t>
        </r>
      </text>
    </comment>
    <comment ref="G1" authorId="0">
      <text>
        <r>
          <rPr>
            <b/>
            <sz val="9"/>
            <rFont val="宋体"/>
            <charset val="134"/>
          </rPr>
          <t>Helen Tian:</t>
        </r>
        <r>
          <rPr>
            <sz val="9"/>
            <rFont val="宋体"/>
            <charset val="134"/>
          </rPr>
          <t xml:space="preserve">
去掉返货，包含期初余额</t>
        </r>
      </text>
    </comment>
    <comment ref="H1" authorId="1">
      <text>
        <r>
          <rPr>
            <b/>
            <sz val="9"/>
            <rFont val="宋体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<sst xmlns="http://schemas.openxmlformats.org/spreadsheetml/2006/main" count="21811" uniqueCount="1637">
  <si>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</si>
  <si>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</si>
  <si>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</si>
  <si>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</si>
  <si>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</si>
  <si>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</si>
  <si>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</si>
  <si>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</si>
  <si>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</si>
  <si>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</si>
  <si>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</si>
  <si>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</si>
  <si>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</si>
  <si>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</si>
  <si>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</si>
  <si>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</si>
  <si>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</si>
  <si>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</si>
  <si>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</si>
  <si>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</si>
  <si>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</si>
  <si>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</si>
  <si>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</si>
  <si>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</si>
  <si>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</si>
  <si>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</si>
  <si>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</si>
  <si>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</si>
  <si>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</si>
  <si>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</si>
  <si>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</si>
  <si>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</si>
  <si>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</si>
  <si>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</si>
  <si>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</si>
  <si>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</si>
  <si>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</si>
  <si>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</si>
  <si>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</si>
  <si>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</si>
  <si>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</si>
  <si>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</si>
  <si>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</si>
  <si>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</si>
  <si>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</si>
  <si>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</si>
  <si>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</si>
  <si>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</si>
  <si>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</si>
  <si>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</si>
  <si>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</si>
  <si>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</si>
  <si>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</si>
  <si>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</si>
  <si>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</si>
  <si>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</si>
  <si>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</si>
  <si>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</si>
  <si>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</si>
  <si>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</si>
  <si>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</si>
  <si>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</si>
  <si>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</si>
  <si>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</si>
  <si>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</si>
  <si>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</si>
  <si>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</si>
  <si>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</si>
  <si>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</si>
  <si>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</si>
  <si>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</si>
  <si>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</si>
  <si>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</si>
  <si>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</si>
  <si>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</si>
  <si>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</si>
  <si>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</si>
  <si>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</si>
  <si>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</si>
  <si>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</si>
  <si>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</si>
  <si>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</si>
  <si>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</si>
  <si>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</si>
  <si>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</si>
  <si>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</si>
  <si>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</si>
  <si>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</si>
  <si>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</si>
  <si>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</si>
  <si>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</si>
  <si>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</si>
  <si>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</si>
  <si>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</si>
  <si>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</si>
  <si>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</si>
  <si>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</si>
  <si>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</si>
  <si>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</si>
  <si>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</si>
  <si>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</si>
  <si>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</si>
  <si>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</si>
  <si>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</si>
  <si>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</si>
  <si>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</si>
  <si>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</si>
  <si>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</si>
  <si>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</si>
  <si>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</si>
  <si>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</si>
  <si>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</si>
  <si>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</si>
  <si>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</si>
  <si>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</si>
  <si>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</si>
  <si>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</si>
  <si>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</si>
  <si>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</si>
  <si>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</si>
  <si>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</si>
  <si>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</si>
  <si>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</si>
  <si>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</si>
  <si>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</si>
  <si>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</si>
  <si>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</si>
  <si>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</si>
  <si>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</si>
  <si>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</si>
  <si>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</si>
  <si>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</si>
  <si>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</si>
  <si>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</si>
  <si>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</si>
  <si>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</si>
  <si>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</si>
  <si>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</si>
  <si>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</si>
  <si>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</si>
  <si>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</si>
  <si>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</si>
  <si>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</si>
  <si>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</si>
  <si>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</si>
  <si>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</si>
  <si>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</si>
  <si>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</si>
  <si>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</si>
  <si>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</si>
  <si>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</si>
  <si>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</si>
  <si>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</si>
  <si>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</si>
  <si>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</si>
  <si>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</si>
  <si>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</si>
  <si>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</si>
  <si>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</si>
  <si>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</si>
  <si>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</si>
  <si>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</si>
  <si>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</si>
  <si>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</si>
  <si>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</si>
  <si>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</si>
  <si>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</si>
  <si>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</si>
  <si>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</si>
  <si>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</si>
  <si>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</si>
  <si>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</si>
  <si>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</si>
  <si>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</si>
  <si>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</si>
  <si>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</si>
  <si>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</si>
  <si>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</si>
  <si>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</si>
  <si>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</si>
  <si>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</si>
  <si>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</si>
  <si>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</si>
  <si>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</si>
  <si>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</si>
  <si>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</si>
  <si>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</si>
  <si>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</si>
  <si>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</si>
  <si>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</si>
  <si>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</si>
  <si>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</si>
  <si>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</si>
  <si>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</si>
  <si>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</si>
  <si>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</si>
  <si>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</si>
  <si>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</si>
  <si>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</si>
  <si>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</si>
  <si>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</si>
  <si>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</si>
  <si>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</si>
  <si>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</si>
  <si>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</si>
  <si>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</si>
  <si>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</si>
  <si>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</si>
  <si>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</si>
  <si>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</si>
  <si>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</si>
  <si>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</si>
  <si>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</si>
  <si>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</si>
  <si>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</si>
  <si>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</si>
  <si>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</si>
  <si>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</si>
  <si>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</si>
  <si>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</si>
  <si>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</si>
  <si>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</si>
  <si>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</si>
  <si>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</si>
  <si>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</si>
  <si>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</si>
  <si>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</si>
  <si>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</si>
  <si>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</si>
  <si>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</si>
  <si>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</si>
  <si>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</si>
  <si>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</si>
  <si>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</si>
  <si>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</si>
  <si>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</si>
  <si>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</si>
  <si>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</si>
  <si>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</si>
  <si>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</si>
  <si>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</si>
  <si>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</si>
  <si>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</si>
  <si>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</si>
  <si>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</si>
  <si>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</si>
  <si>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</si>
  <si>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</si>
  <si>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</si>
  <si>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</si>
  <si>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</si>
  <si>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</si>
  <si>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</si>
  <si>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</si>
  <si>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</si>
  <si>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</si>
  <si>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</si>
  <si>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</si>
  <si>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</si>
  <si>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</si>
  <si>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</si>
  <si>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</si>
  <si>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</si>
  <si>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</si>
  <si>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</si>
  <si>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</si>
  <si>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</si>
  <si>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</si>
  <si>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</si>
  <si>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</si>
  <si>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</si>
  <si>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</si>
  <si>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</si>
  <si>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</si>
  <si>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</si>
  <si>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</si>
  <si>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</si>
  <si>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</si>
  <si>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</si>
  <si>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</si>
  <si>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</si>
  <si>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</si>
  <si>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</si>
  <si>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</si>
  <si>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</si>
  <si>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</si>
  <si>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</si>
  <si>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</si>
  <si>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</si>
  <si>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</si>
  <si>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</si>
  <si>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</si>
  <si>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</si>
  <si>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</si>
  <si>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</si>
  <si>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</si>
  <si>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</si>
  <si>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</si>
  <si>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</si>
  <si>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</si>
  <si>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</si>
  <si>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</si>
  <si>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</si>
  <si>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</si>
  <si>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</si>
  <si>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</si>
  <si>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</si>
  <si>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</si>
  <si>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</si>
  <si>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</si>
  <si>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</si>
  <si>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</si>
  <si>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</si>
  <si>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</si>
  <si>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</si>
  <si>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</si>
  <si>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</si>
  <si>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</si>
  <si>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</si>
  <si>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</si>
  <si>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</si>
  <si>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</si>
  <si>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</si>
  <si>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</si>
  <si>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</si>
  <si>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</si>
  <si>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</si>
  <si>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</si>
  <si>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</si>
  <si>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</si>
  <si>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</si>
  <si>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</si>
  <si>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</si>
  <si>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</si>
  <si>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</si>
  <si>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</si>
  <si>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</si>
  <si>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</si>
  <si>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</si>
  <si>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</si>
  <si>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</si>
  <si>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</si>
  <si>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</si>
  <si>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</si>
  <si>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</si>
  <si>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</si>
  <si>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</si>
  <si>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</si>
  <si>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</si>
  <si>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</si>
  <si>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</si>
  <si>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</si>
  <si>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</si>
  <si>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</si>
  <si>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</si>
  <si>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</si>
  <si>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</si>
  <si>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</si>
  <si>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</si>
  <si>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</si>
  <si>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</si>
  <si>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</si>
  <si>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</si>
  <si>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</si>
  <si>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</si>
  <si>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</si>
  <si>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</si>
  <si>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</si>
  <si>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</si>
  <si>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</si>
  <si>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</si>
  <si>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</si>
  <si>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</si>
  <si>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</si>
  <si>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</si>
  <si>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</si>
  <si>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</si>
  <si>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</si>
  <si>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</si>
  <si>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</si>
  <si>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</si>
  <si>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</si>
  <si>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</si>
  <si>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</si>
  <si>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</si>
  <si>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</si>
  <si>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</si>
  <si>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</si>
  <si>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</si>
  <si>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</si>
  <si>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</si>
  <si>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</si>
  <si>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</si>
  <si>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</si>
  <si>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</si>
  <si>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</si>
  <si>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</si>
  <si>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</si>
  <si>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</si>
  <si>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</si>
  <si>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</si>
  <si>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</si>
  <si>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</si>
  <si>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</si>
  <si>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</si>
  <si>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</si>
  <si>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</si>
  <si>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</si>
  <si>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</si>
  <si>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</si>
  <si>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</si>
  <si>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</si>
  <si>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</si>
  <si>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</si>
  <si>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</si>
  <si>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</si>
  <si>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</si>
  <si>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</si>
  <si>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</si>
  <si>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</si>
  <si>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</si>
  <si>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</si>
  <si>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</si>
  <si>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</si>
  <si>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</si>
  <si>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</si>
  <si>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</si>
  <si>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</si>
  <si>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</si>
  <si>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</si>
  <si>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</si>
  <si>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</si>
  <si>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</si>
  <si>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</si>
  <si>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</si>
  <si>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</si>
  <si>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</si>
  <si>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</si>
  <si>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</si>
  <si>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</si>
  <si>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</si>
  <si>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</si>
  <si>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</si>
  <si>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</si>
  <si>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</si>
  <si>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</si>
  <si>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</si>
  <si>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</si>
  <si>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</si>
  <si>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</si>
  <si>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</si>
  <si>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</si>
  <si>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</si>
  <si>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</si>
  <si>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</si>
  <si>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</si>
  <si>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</si>
  <si>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</si>
  <si>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</si>
  <si>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</si>
  <si>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</si>
  <si>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</si>
  <si>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</si>
  <si>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</si>
  <si>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</si>
  <si>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</si>
  <si>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</si>
  <si>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</si>
  <si>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</si>
  <si>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</si>
  <si>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</si>
  <si>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</si>
  <si>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</si>
  <si>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</si>
  <si>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</si>
  <si>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</si>
  <si>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</si>
  <si>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</si>
  <si>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</si>
  <si>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</si>
  <si>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</si>
  <si>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</si>
  <si>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</si>
  <si>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</si>
  <si>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</si>
  <si>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</si>
  <si>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</si>
  <si>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</si>
  <si>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</si>
  <si>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</si>
  <si>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</si>
  <si>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</si>
  <si>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</si>
  <si>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</si>
  <si>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</si>
  <si>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</si>
  <si>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</si>
  <si>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</si>
  <si>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</si>
  <si>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</si>
  <si>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</si>
  <si>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</si>
  <si>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</si>
  <si>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</si>
  <si>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</si>
  <si>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</si>
  <si>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</si>
  <si>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</si>
  <si>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</si>
  <si>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</si>
  <si>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</si>
  <si>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</si>
  <si>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</si>
  <si>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</si>
  <si>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</si>
  <si>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</si>
  <si>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</si>
  <si>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</si>
  <si>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</si>
  <si>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</si>
  <si>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</si>
  <si>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</si>
  <si>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</si>
  <si>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</si>
  <si>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</si>
  <si>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</si>
  <si>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</si>
  <si>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</si>
  <si>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</si>
  <si>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</si>
  <si>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</si>
  <si>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</si>
  <si>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</si>
  <si>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</si>
  <si>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</si>
  <si>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</si>
  <si>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</si>
  <si>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</si>
  <si>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</si>
  <si>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</si>
  <si>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</si>
  <si>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</si>
  <si>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</si>
  <si>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</si>
  <si>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</si>
  <si>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</si>
  <si>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</si>
  <si>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</si>
  <si>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</si>
  <si>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</si>
  <si>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</si>
  <si>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</si>
  <si>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</si>
  <si>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</si>
  <si>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</si>
  <si>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</si>
  <si>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</si>
  <si>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</si>
  <si>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</si>
  <si>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</si>
  <si>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</si>
  <si>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</si>
  <si>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</si>
  <si>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</si>
  <si>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</si>
  <si>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</si>
  <si>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</si>
  <si>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</si>
  <si>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</si>
  <si>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</si>
  <si>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</si>
  <si>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</si>
  <si>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</si>
  <si>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</si>
  <si>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</si>
  <si>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</si>
  <si>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</si>
  <si>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</si>
  <si>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</si>
  <si>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</si>
  <si>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</si>
  <si>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</si>
  <si>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</si>
  <si>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</si>
  <si>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</si>
  <si>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</si>
  <si>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</si>
  <si>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</si>
  <si>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</si>
  <si>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</si>
  <si>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</si>
  <si>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</si>
  <si>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</si>
  <si>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</si>
  <si>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</si>
  <si>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</si>
  <si>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</si>
  <si>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</si>
  <si>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</si>
  <si>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</si>
  <si>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</si>
  <si>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</si>
  <si>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</si>
  <si>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</si>
  <si>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</si>
  <si>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</si>
  <si>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</si>
  <si>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</si>
  <si>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</si>
  <si>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</si>
  <si>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</si>
  <si>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</si>
  <si>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</si>
  <si>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</si>
  <si>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</si>
  <si>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</si>
  <si>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</si>
  <si>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</si>
  <si>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</si>
  <si>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</si>
  <si>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</si>
  <si>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</si>
  <si>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</si>
  <si>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</si>
  <si>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</si>
  <si>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</si>
  <si>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</si>
  <si>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</si>
  <si>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</si>
  <si>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</si>
  <si>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</si>
  <si>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</si>
  <si>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</si>
  <si>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</si>
  <si>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</si>
  <si>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</si>
  <si>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</si>
  <si>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</si>
  <si>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</si>
  <si>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</si>
  <si>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</si>
  <si>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</si>
  <si>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</si>
  <si>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</si>
  <si>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</si>
  <si>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</si>
  <si>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</si>
  <si>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</si>
  <si>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</si>
  <si>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</si>
  <si>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</si>
  <si>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</si>
  <si>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</si>
  <si>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</si>
  <si>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</si>
  <si>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</si>
  <si>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</si>
  <si>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</si>
  <si>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</si>
  <si>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</si>
  <si>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</si>
  <si>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</si>
  <si>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</si>
  <si>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</si>
  <si>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</si>
  <si>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</si>
  <si>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</si>
  <si>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</si>
  <si>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</si>
  <si>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</si>
  <si>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</si>
  <si>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</si>
  <si>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</si>
  <si>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</si>
  <si>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</si>
  <si>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</si>
  <si>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</si>
  <si>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</si>
  <si>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</si>
  <si>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</si>
  <si>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</si>
  <si>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</si>
  <si>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</si>
  <si>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</si>
  <si>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</si>
  <si>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</si>
  <si>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</si>
  <si>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</si>
  <si>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</si>
  <si>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</si>
  <si>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</si>
  <si>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</si>
  <si>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</si>
  <si>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</si>
  <si>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</si>
  <si>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</si>
  <si>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</si>
  <si>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</si>
  <si>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</si>
  <si>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</si>
  <si>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</si>
  <si>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</si>
  <si>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</si>
  <si>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</si>
  <si>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</si>
  <si>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</si>
  <si>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</si>
  <si>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</si>
  <si>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</si>
  <si>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</si>
  <si>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</si>
  <si>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</si>
  <si>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</si>
  <si>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</si>
  <si>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</si>
  <si>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</si>
  <si>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</si>
  <si>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</si>
  <si>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</si>
  <si>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</si>
  <si>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</si>
  <si>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</si>
  <si>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</si>
  <si>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</si>
  <si>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</si>
  <si>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</si>
  <si>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</si>
  <si>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</si>
  <si>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</si>
  <si>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</si>
  <si>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</si>
  <si>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</si>
  <si>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</si>
  <si>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</si>
  <si>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</si>
  <si>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</si>
  <si>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</si>
  <si>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</si>
  <si>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</si>
  <si>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</si>
  <si>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</si>
  <si>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</si>
  <si>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</si>
  <si>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</si>
  <si>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</si>
  <si>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</si>
  <si>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</si>
  <si>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</si>
  <si>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</si>
  <si>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</si>
  <si>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</si>
  <si>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</si>
  <si>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</si>
  <si>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</si>
  <si>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</si>
  <si>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</si>
  <si>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</si>
  <si>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</si>
  <si>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</si>
  <si>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</si>
  <si>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</si>
  <si>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</si>
  <si>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</si>
  <si>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</si>
  <si>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</si>
  <si>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</si>
  <si>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</si>
  <si>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</si>
  <si>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</si>
  <si>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</si>
  <si>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</si>
  <si>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</si>
  <si>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</si>
  <si>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</si>
  <si>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</si>
  <si>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</si>
  <si>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</si>
  <si>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</si>
  <si>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</si>
  <si>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</si>
  <si>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</si>
  <si>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</si>
  <si>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</si>
  <si>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</si>
  <si>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</si>
  <si>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</si>
  <si>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</si>
  <si>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</si>
  <si>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</si>
  <si>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</si>
  <si>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</si>
  <si>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</si>
  <si>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</si>
  <si>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</si>
  <si>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</si>
  <si>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</si>
  <si>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</si>
  <si>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</si>
  <si>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</si>
  <si>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</si>
  <si>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</si>
  <si>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</si>
  <si>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</si>
  <si>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</si>
  <si>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</si>
  <si>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</si>
  <si>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</si>
  <si>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</si>
  <si>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</si>
  <si>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</si>
  <si>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</si>
  <si>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</si>
  <si>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</si>
  <si>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</si>
  <si>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</si>
  <si>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</si>
  <si>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</si>
  <si>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</si>
  <si>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</si>
  <si>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</si>
  <si>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</si>
  <si>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</si>
  <si>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</si>
  <si>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</si>
  <si>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</si>
  <si>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</si>
  <si>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</si>
  <si>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</si>
  <si>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</si>
  <si>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</si>
  <si>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</si>
  <si>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</si>
  <si>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</si>
  <si>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</si>
  <si>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</si>
  <si>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</si>
  <si>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</si>
  <si>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南京天文爱好者科技有限公司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</si>
  <si>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</si>
  <si>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</si>
  <si>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</si>
  <si>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</si>
  <si>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</si>
  <si>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</si>
  <si>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</si>
  <si>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</si>
  <si>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</si>
  <si>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</si>
  <si>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</si>
  <si>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</si>
  <si>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</si>
  <si>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</si>
  <si>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</si>
  <si>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</si>
  <si>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</si>
  <si>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</si>
  <si>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</si>
  <si>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</si>
  <si>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</si>
  <si>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</si>
  <si>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</si>
  <si>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</si>
  <si>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</si>
  <si>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</si>
  <si>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</si>
  <si>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</si>
  <si>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</si>
  <si>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</si>
  <si>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</si>
  <si>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</si>
  <si>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</si>
  <si>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</si>
  <si>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</si>
  <si>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</si>
  <si>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</si>
  <si>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</si>
  <si>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</si>
  <si>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</si>
  <si>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</si>
  <si>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</si>
  <si>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</si>
  <si>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</si>
  <si>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</si>
  <si>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</si>
  <si>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</si>
  <si>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</si>
  <si>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</si>
  <si>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</si>
  <si>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</si>
  <si>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</si>
  <si>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</si>
  <si>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</si>
  <si>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</si>
  <si>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</si>
  <si>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</si>
  <si>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</si>
  <si>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</si>
  <si>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</si>
  <si>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</si>
  <si>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</si>
  <si>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</si>
  <si>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</si>
  <si>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</si>
  <si>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</si>
  <si>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</si>
  <si>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</si>
  <si>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</si>
  <si>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</si>
  <si>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</si>
  <si>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</si>
  <si>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</si>
  <si>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</si>
  <si>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</si>
  <si>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</si>
  <si>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</si>
  <si>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</si>
  <si>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</si>
  <si>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</si>
  <si>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</si>
  <si>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</si>
  <si>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</si>
  <si>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</si>
  <si>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</si>
  <si>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</si>
  <si>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</si>
  <si>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</si>
  <si>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</si>
  <si>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</si>
  <si>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</si>
  <si>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</si>
  <si>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</si>
  <si>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</si>
  <si>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</si>
  <si>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</si>
  <si>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</si>
  <si>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</si>
  <si>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</si>
  <si>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</si>
  <si>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</si>
  <si>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</si>
  <si>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</si>
  <si>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</si>
  <si>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</si>
  <si>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</si>
  <si>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</si>
  <si>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</si>
  <si>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</si>
  <si>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</si>
  <si>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</si>
  <si>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</si>
  <si>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</si>
  <si>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</si>
  <si>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</si>
  <si>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</si>
  <si>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</si>
  <si>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</si>
  <si>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</si>
  <si>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</si>
  <si>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</si>
  <si>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</si>
  <si>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</si>
  <si>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</si>
  <si>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</si>
  <si>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</si>
  <si>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</si>
  <si>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</si>
  <si>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</si>
  <si>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</si>
  <si>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</si>
  <si>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</si>
  <si>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</si>
  <si>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</si>
  <si>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</si>
  <si>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</si>
  <si>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</si>
  <si>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</si>
  <si>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</si>
  <si>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</si>
  <si>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</si>
  <si>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</si>
  <si>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</si>
  <si>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</si>
  <si>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</si>
  <si>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</si>
  <si>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</si>
  <si>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</si>
  <si>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</si>
  <si>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</si>
  <si>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</si>
  <si>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</si>
  <si>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</si>
  <si>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</si>
  <si>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</si>
  <si>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</si>
  <si>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</si>
  <si>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</si>
  <si>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</si>
  <si>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</si>
  <si>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</si>
  <si>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</si>
  <si>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</si>
  <si>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</si>
  <si>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</si>
  <si>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</si>
  <si>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</si>
  <si>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</si>
  <si>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</si>
  <si>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</si>
  <si>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</si>
  <si>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</si>
  <si>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</si>
  <si>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</si>
  <si>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</si>
  <si>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</si>
  <si>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</si>
  <si>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</si>
  <si>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</si>
  <si>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</si>
  <si>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</si>
  <si>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</si>
  <si>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</si>
  <si>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</si>
  <si>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</si>
  <si>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</si>
  <si>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</si>
  <si>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</si>
  <si>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</si>
  <si>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</si>
  <si>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</si>
  <si>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</si>
  <si>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</si>
  <si>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</si>
  <si>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</si>
  <si>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</si>
  <si>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</si>
  <si>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</si>
  <si>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</si>
  <si>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</si>
  <si>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</si>
  <si>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</si>
  <si>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</si>
  <si>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</si>
  <si>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</si>
  <si>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</si>
  <si>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</si>
  <si>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</si>
  <si>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</si>
  <si>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</si>
  <si>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</si>
  <si>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</si>
  <si>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</si>
  <si>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</si>
  <si>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</si>
  <si>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</si>
  <si>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</si>
  <si>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</si>
  <si>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</si>
  <si>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</si>
  <si>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</si>
  <si>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</si>
  <si>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</si>
  <si>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</si>
  <si>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</si>
  <si>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</si>
  <si>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</si>
  <si>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</si>
  <si>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</si>
  <si>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</si>
  <si>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</si>
  <si>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</si>
  <si>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</si>
  <si>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</si>
  <si>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</si>
  <si>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</si>
  <si>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</si>
  <si>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</si>
  <si>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</si>
  <si>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</si>
  <si>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</si>
  <si>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</si>
  <si>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</si>
  <si>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</si>
  <si>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</si>
  <si>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</si>
  <si>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</si>
  <si>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</si>
  <si>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</si>
  <si>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</si>
  <si>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</si>
  <si>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</si>
  <si>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</si>
  <si>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</si>
  <si>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</si>
  <si>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</si>
  <si>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</si>
  <si>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</si>
  <si>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</si>
  <si>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</si>
  <si>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</si>
  <si>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</si>
  <si>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</si>
  <si>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</si>
  <si>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</si>
  <si>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</si>
  <si>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</si>
  <si>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</si>
  <si>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</si>
  <si>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</si>
  <si>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</si>
  <si>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</si>
  <si>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</si>
  <si>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</si>
  <si>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</si>
  <si>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</si>
  <si>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</si>
  <si>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</si>
  <si>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</si>
  <si>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</si>
  <si>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</si>
  <si>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</si>
  <si>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</si>
  <si>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</si>
  <si>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</si>
  <si>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</si>
  <si>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</si>
  <si>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</si>
  <si>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</si>
  <si>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</si>
  <si>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</si>
  <si>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</si>
  <si>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</si>
  <si>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</si>
  <si>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</si>
  <si>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</si>
  <si>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</si>
  <si>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</si>
  <si>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</si>
  <si>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</si>
  <si>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</si>
  <si>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</si>
  <si>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</si>
  <si>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</si>
  <si>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</si>
  <si>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</si>
  <si>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</si>
  <si>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</si>
  <si>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</si>
  <si>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</si>
  <si>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</si>
  <si>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</si>
  <si>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</si>
  <si>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</si>
  <si>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</si>
  <si>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</si>
  <si>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</si>
  <si>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</si>
  <si>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</si>
  <si>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</si>
  <si>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</si>
  <si>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</si>
  <si>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</si>
  <si>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</si>
  <si>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</si>
  <si>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</si>
  <si>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</si>
  <si>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</si>
  <si>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</si>
  <si>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</si>
  <si>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</si>
  <si>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</si>
  <si>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</si>
  <si>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</si>
  <si>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</si>
  <si>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</si>
  <si>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</si>
  <si>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</si>
  <si>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</si>
  <si>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</si>
  <si>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</si>
  <si>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</si>
  <si>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</si>
  <si>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</si>
  <si>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</si>
  <si>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</si>
  <si>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</si>
  <si>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</si>
  <si>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</si>
  <si>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</si>
  <si>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</si>
  <si>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</si>
  <si>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</si>
  <si>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</si>
  <si>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</si>
  <si>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</si>
  <si>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</si>
  <si>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</si>
  <si>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</si>
  <si>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</si>
  <si>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</si>
  <si>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</si>
  <si>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</si>
  <si>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</si>
  <si>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</si>
  <si>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</si>
  <si>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</si>
  <si>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</si>
  <si>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</si>
  <si>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</si>
  <si>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</si>
  <si>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</si>
  <si>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</si>
  <si>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</si>
  <si>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</si>
  <si>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</si>
  <si>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</si>
  <si>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</si>
  <si>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</si>
  <si>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</si>
  <si>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</si>
  <si>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</si>
  <si>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</si>
  <si>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</si>
  <si>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</si>
  <si>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</si>
  <si>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</si>
  <si>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</si>
  <si>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</si>
  <si>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</si>
  <si>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</si>
  <si>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</si>
  <si>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</si>
  <si>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</si>
  <si>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</si>
  <si>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</si>
  <si>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</si>
  <si>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</si>
  <si>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</si>
  <si>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</si>
  <si>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</si>
  <si>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小微时贷、贸金所、新易贷微贷款、借乐花</t>
  </si>
  <si>
    <t>借乐花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</si>
  <si>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</si>
  <si>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</si>
  <si>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</si>
  <si>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</si>
  <si>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</si>
  <si>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</si>
  <si>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</si>
  <si>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</si>
  <si>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</si>
  <si>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</si>
  <si>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</si>
  <si>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</si>
  <si>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</si>
  <si>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</si>
  <si>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</si>
  <si>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</si>
  <si>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</si>
  <si>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</si>
  <si>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</si>
  <si>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</si>
  <si>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</si>
  <si>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</si>
  <si>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</si>
  <si>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</si>
  <si>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</si>
  <si>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</si>
  <si>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</si>
  <si>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</si>
  <si>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</si>
  <si>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</si>
  <si>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</si>
  <si>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</si>
  <si>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</si>
  <si>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</si>
  <si>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</si>
  <si>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</si>
  <si>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</si>
  <si>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</si>
  <si>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</si>
  <si>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</si>
  <si>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</si>
  <si>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</si>
  <si>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</si>
  <si>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</si>
  <si>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</si>
  <si>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</si>
  <si>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</si>
  <si>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</si>
  <si>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</si>
  <si>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</si>
  <si>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</si>
  <si>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</si>
  <si>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</si>
  <si>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</si>
  <si>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</si>
  <si>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</si>
  <si>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</si>
  <si>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</si>
  <si>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</si>
  <si>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</si>
  <si>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</si>
  <si>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</si>
  <si>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</si>
  <si>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</si>
  <si>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</si>
  <si>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</si>
  <si>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</si>
  <si>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</si>
  <si>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</si>
  <si>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</si>
  <si>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</si>
  <si>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</si>
  <si>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charset val="134"/>
      </rPr>
      <t>智媒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魅族</t>
    </r>
  </si>
  <si>
    <r>
      <rPr>
        <sz val="9"/>
        <color theme="1"/>
        <rFont val="微软雅黑"/>
        <charset val="134"/>
      </rPr>
      <t>霍尔果斯智媒广告有限公司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魅族</t>
    </r>
  </si>
  <si>
    <r>
      <rPr>
        <b/>
        <sz val="9"/>
        <color rgb="FFFF0000"/>
        <rFont val="Arial"/>
        <charset val="134"/>
      </rPr>
      <t>17</t>
    </r>
    <r>
      <rPr>
        <b/>
        <sz val="9"/>
        <color rgb="FFFF0000"/>
        <rFont val="微软雅黑"/>
        <charset val="134"/>
      </rPr>
      <t>年无返点，已更新媒体现金消耗</t>
    </r>
  </si>
  <si>
    <t>品专</t>
  </si>
  <si>
    <r>
      <rPr>
        <sz val="9"/>
        <color theme="1"/>
        <rFont val="微软雅黑"/>
        <charset val="134"/>
      </rPr>
      <t>北京汇创思拓数字科技有限公司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快手</t>
    </r>
  </si>
  <si>
    <r>
      <rPr>
        <sz val="9"/>
        <color theme="1"/>
        <rFont val="微软雅黑"/>
        <charset val="134"/>
      </rPr>
      <t>智媒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华为</t>
    </r>
  </si>
  <si>
    <r>
      <rPr>
        <sz val="9"/>
        <color theme="1"/>
        <rFont val="微软雅黑"/>
        <charset val="134"/>
      </rPr>
      <t>霍尔果斯智媒广告有限公司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华为</t>
    </r>
  </si>
  <si>
    <r>
      <rPr>
        <sz val="9"/>
        <color theme="1"/>
        <rFont val="微软雅黑"/>
        <charset val="134"/>
      </rPr>
      <t>智媒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百度</t>
    </r>
  </si>
  <si>
    <r>
      <rPr>
        <sz val="9"/>
        <color theme="1"/>
        <rFont val="微软雅黑"/>
        <charset val="134"/>
      </rPr>
      <t>霍尔果斯智媒广告有限公司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百度</t>
    </r>
  </si>
  <si>
    <r>
      <rPr>
        <sz val="9"/>
        <color theme="1"/>
        <rFont val="微软雅黑"/>
        <charset val="134"/>
      </rPr>
      <t>小米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网服</t>
    </r>
  </si>
  <si>
    <t>年中结算半年返点金额</t>
  </si>
  <si>
    <r>
      <rPr>
        <sz val="9"/>
        <color rgb="FFFF0000"/>
        <rFont val="微软雅黑"/>
        <charset val="134"/>
      </rPr>
      <t>小米</t>
    </r>
    <r>
      <rPr>
        <sz val="9"/>
        <color rgb="FFFF0000"/>
        <rFont val="Arial"/>
        <charset val="134"/>
      </rPr>
      <t>-</t>
    </r>
    <r>
      <rPr>
        <sz val="9"/>
        <color rgb="FFFF0000"/>
        <rFont val="微软雅黑"/>
        <charset val="134"/>
      </rPr>
      <t>网服</t>
    </r>
    <r>
      <rPr>
        <sz val="9"/>
        <color rgb="FFFF0000"/>
        <rFont val="Arial"/>
        <charset val="134"/>
      </rPr>
      <t>-</t>
    </r>
    <r>
      <rPr>
        <sz val="9"/>
        <color rgb="FFFF0000"/>
        <rFont val="微软雅黑"/>
        <charset val="134"/>
      </rPr>
      <t>期初</t>
    </r>
  </si>
  <si>
    <t>2016.1.1-2016.12.31</t>
  </si>
  <si>
    <t>-</t>
  </si>
  <si>
    <r>
      <rPr>
        <sz val="9"/>
        <color theme="1"/>
        <rFont val="微软雅黑"/>
        <charset val="134"/>
      </rPr>
      <t>小米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金融</t>
    </r>
  </si>
  <si>
    <r>
      <rPr>
        <sz val="9"/>
        <color theme="1"/>
        <rFont val="微软雅黑"/>
        <charset val="134"/>
      </rPr>
      <t>北京品众互动网络营销技术有限公司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小米</t>
    </r>
  </si>
  <si>
    <r>
      <rPr>
        <sz val="9"/>
        <color theme="1"/>
        <rFont val="Arial"/>
        <charset val="134"/>
      </rPr>
      <t>17</t>
    </r>
    <r>
      <rPr>
        <sz val="9"/>
        <color theme="1"/>
        <rFont val="微软雅黑"/>
        <charset val="134"/>
      </rPr>
      <t>年</t>
    </r>
    <r>
      <rPr>
        <sz val="9"/>
        <color theme="1"/>
        <rFont val="Arial"/>
        <charset val="134"/>
      </rPr>
      <t>Q1-Q3</t>
    </r>
    <r>
      <rPr>
        <sz val="9"/>
        <color theme="1"/>
        <rFont val="微软雅黑"/>
        <charset val="134"/>
      </rPr>
      <t>返货</t>
    </r>
    <r>
      <rPr>
        <sz val="9"/>
        <color theme="1"/>
        <rFont val="Arial"/>
        <charset val="134"/>
      </rPr>
      <t>+Q4</t>
    </r>
    <r>
      <rPr>
        <sz val="9"/>
        <color theme="1"/>
        <rFont val="微软雅黑"/>
        <charset val="134"/>
      </rPr>
      <t>即充即返</t>
    </r>
  </si>
  <si>
    <r>
      <rPr>
        <sz val="9"/>
        <color theme="1"/>
        <rFont val="Arial"/>
        <charset val="134"/>
      </rPr>
      <t>17</t>
    </r>
    <r>
      <rPr>
        <sz val="9"/>
        <color theme="1"/>
        <rFont val="微软雅黑"/>
        <charset val="134"/>
      </rPr>
      <t>年</t>
    </r>
    <r>
      <rPr>
        <sz val="9"/>
        <color theme="1"/>
        <rFont val="Arial"/>
        <charset val="134"/>
      </rPr>
      <t>Q1-Q3</t>
    </r>
    <r>
      <rPr>
        <sz val="9"/>
        <color theme="1"/>
        <rFont val="微软雅黑"/>
        <charset val="134"/>
      </rPr>
      <t>返货</t>
    </r>
  </si>
  <si>
    <r>
      <rPr>
        <sz val="9"/>
        <color theme="1"/>
        <rFont val="微软雅黑"/>
        <charset val="134"/>
      </rPr>
      <t>北京智美创思广告有限公司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小米金融</t>
    </r>
  </si>
  <si>
    <r>
      <rPr>
        <sz val="9"/>
        <color theme="1"/>
        <rFont val="微软雅黑"/>
        <charset val="134"/>
      </rPr>
      <t>北京智美创思广告有限公司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小米金融（</t>
    </r>
    <r>
      <rPr>
        <sz val="9"/>
        <color theme="1"/>
        <rFont val="Arial"/>
        <charset val="134"/>
      </rPr>
      <t>KIWI</t>
    </r>
    <r>
      <rPr>
        <sz val="9"/>
        <color theme="1"/>
        <rFont val="微软雅黑"/>
        <charset val="134"/>
      </rPr>
      <t>）</t>
    </r>
  </si>
  <si>
    <r>
      <rPr>
        <sz val="9"/>
        <color rgb="FFFF0000"/>
        <rFont val="微软雅黑"/>
        <charset val="134"/>
      </rPr>
      <t>小米</t>
    </r>
    <r>
      <rPr>
        <sz val="9"/>
        <color rgb="FFFF0000"/>
        <rFont val="Arial"/>
        <charset val="134"/>
      </rPr>
      <t>-</t>
    </r>
    <r>
      <rPr>
        <sz val="9"/>
        <color rgb="FFFF0000"/>
        <rFont val="微软雅黑"/>
        <charset val="134"/>
      </rPr>
      <t>金融</t>
    </r>
    <r>
      <rPr>
        <sz val="9"/>
        <color rgb="FFFF0000"/>
        <rFont val="Arial"/>
        <charset val="134"/>
      </rPr>
      <t>-</t>
    </r>
    <r>
      <rPr>
        <sz val="9"/>
        <color rgb="FFFF0000"/>
        <rFont val="微软雅黑"/>
        <charset val="134"/>
      </rPr>
      <t>期初</t>
    </r>
  </si>
  <si>
    <r>
      <rPr>
        <sz val="9"/>
        <color theme="1"/>
        <rFont val="微软雅黑"/>
        <charset val="134"/>
      </rPr>
      <t>小米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电商</t>
    </r>
  </si>
  <si>
    <r>
      <rPr>
        <sz val="9"/>
        <color theme="1"/>
        <rFont val="微软雅黑"/>
        <charset val="134"/>
      </rPr>
      <t>新疆亨利嘉业网络科技有限公司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小米</t>
    </r>
  </si>
  <si>
    <r>
      <rPr>
        <sz val="9"/>
        <color theme="1"/>
        <rFont val="微软雅黑"/>
        <charset val="134"/>
      </rPr>
      <t>北京智美创思广告有限公司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小米电商</t>
    </r>
  </si>
  <si>
    <r>
      <rPr>
        <sz val="9"/>
        <color theme="1"/>
        <rFont val="微软雅黑"/>
        <charset val="134"/>
      </rPr>
      <t>北京鹏泰互动广告有限公司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三星</t>
    </r>
  </si>
  <si>
    <t>2017.5.15-2017.9.4</t>
  </si>
  <si>
    <r>
      <rPr>
        <sz val="9"/>
        <color theme="1"/>
        <rFont val="微软雅黑"/>
        <charset val="134"/>
      </rPr>
      <t>【新】北京鹏泰互动广告有限公司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三星</t>
    </r>
  </si>
  <si>
    <r>
      <rPr>
        <sz val="9"/>
        <color theme="1"/>
        <rFont val="微软雅黑"/>
        <charset val="134"/>
      </rPr>
      <t>媒体账户消耗</t>
    </r>
    <r>
      <rPr>
        <sz val="9"/>
        <color theme="1"/>
        <rFont val="Arial"/>
        <charset val="134"/>
      </rPr>
      <t>21848958.98</t>
    </r>
    <r>
      <rPr>
        <sz val="9"/>
        <color theme="1"/>
        <rFont val="微软雅黑"/>
        <charset val="134"/>
      </rPr>
      <t>元</t>
    </r>
  </si>
  <si>
    <r>
      <rPr>
        <sz val="9"/>
        <color theme="1"/>
        <rFont val="微软雅黑"/>
        <charset val="134"/>
      </rPr>
      <t>客户</t>
    </r>
    <r>
      <rPr>
        <sz val="9"/>
        <color theme="1"/>
        <rFont val="Arial"/>
        <charset val="134"/>
      </rPr>
      <t>OA</t>
    </r>
    <r>
      <rPr>
        <sz val="9"/>
        <color theme="1"/>
        <rFont val="微软雅黑"/>
        <charset val="134"/>
      </rPr>
      <t>下单金额</t>
    </r>
    <r>
      <rPr>
        <sz val="9"/>
        <color theme="1"/>
        <rFont val="Arial"/>
        <charset val="134"/>
      </rPr>
      <t>3044000</t>
    </r>
    <r>
      <rPr>
        <sz val="9"/>
        <color theme="1"/>
        <rFont val="微软雅黑"/>
        <charset val="134"/>
      </rPr>
      <t>元</t>
    </r>
  </si>
  <si>
    <r>
      <rPr>
        <sz val="9"/>
        <color theme="1"/>
        <rFont val="Arial"/>
        <charset val="134"/>
      </rPr>
      <t>vivo-</t>
    </r>
    <r>
      <rPr>
        <sz val="9"/>
        <color theme="1"/>
        <rFont val="微软雅黑"/>
        <charset val="134"/>
      </rPr>
      <t>网服</t>
    </r>
  </si>
  <si>
    <r>
      <rPr>
        <sz val="9"/>
        <color theme="1"/>
        <rFont val="Arial"/>
        <charset val="134"/>
      </rPr>
      <t>16</t>
    </r>
    <r>
      <rPr>
        <sz val="9"/>
        <color theme="1"/>
        <rFont val="微软雅黑"/>
        <charset val="134"/>
      </rPr>
      <t>年</t>
    </r>
    <r>
      <rPr>
        <sz val="9"/>
        <color theme="1"/>
        <rFont val="Arial"/>
        <charset val="134"/>
      </rPr>
      <t>12</t>
    </r>
    <r>
      <rPr>
        <sz val="9"/>
        <color theme="1"/>
        <rFont val="微软雅黑"/>
        <charset val="134"/>
      </rPr>
      <t>月</t>
    </r>
    <r>
      <rPr>
        <sz val="9"/>
        <color theme="1"/>
        <rFont val="Arial"/>
        <charset val="134"/>
      </rPr>
      <t>+17</t>
    </r>
    <r>
      <rPr>
        <sz val="9"/>
        <color theme="1"/>
        <rFont val="微软雅黑"/>
        <charset val="134"/>
      </rPr>
      <t>年</t>
    </r>
    <r>
      <rPr>
        <sz val="9"/>
        <color theme="1"/>
        <rFont val="Arial"/>
        <charset val="134"/>
      </rPr>
      <t>1-11</t>
    </r>
    <r>
      <rPr>
        <sz val="9"/>
        <color theme="1"/>
        <rFont val="微软雅黑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</si>
  <si>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</si>
  <si>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charset val="134"/>
      </rPr>
      <t>vivo-</t>
    </r>
    <r>
      <rPr>
        <sz val="9"/>
        <color rgb="FFFF0000"/>
        <rFont val="微软雅黑"/>
        <charset val="134"/>
      </rPr>
      <t>网服</t>
    </r>
    <r>
      <rPr>
        <sz val="9"/>
        <color rgb="FFFF0000"/>
        <rFont val="Arial"/>
        <charset val="134"/>
      </rPr>
      <t>-</t>
    </r>
    <r>
      <rPr>
        <sz val="9"/>
        <color rgb="FFFF0000"/>
        <rFont val="微软雅黑"/>
        <charset val="134"/>
      </rPr>
      <t>期初</t>
    </r>
  </si>
  <si>
    <r>
      <rPr>
        <sz val="9"/>
        <color theme="1"/>
        <rFont val="Arial"/>
        <charset val="134"/>
      </rPr>
      <t>vivo-</t>
    </r>
    <r>
      <rPr>
        <sz val="9"/>
        <color theme="1"/>
        <rFont val="微软雅黑"/>
        <charset val="134"/>
      </rPr>
      <t>旅教工</t>
    </r>
  </si>
  <si>
    <r>
      <rPr>
        <sz val="9"/>
        <color theme="1"/>
        <rFont val="微软雅黑"/>
        <charset val="134"/>
      </rPr>
      <t>北京智美创思广告有限公司</t>
    </r>
    <r>
      <rPr>
        <sz val="9"/>
        <color theme="1"/>
        <rFont val="Arial"/>
        <charset val="134"/>
      </rPr>
      <t>-vivo</t>
    </r>
    <r>
      <rPr>
        <sz val="9"/>
        <color theme="1"/>
        <rFont val="微软雅黑"/>
        <charset val="134"/>
      </rPr>
      <t>旅教工</t>
    </r>
  </si>
  <si>
    <t>2017.9.1-2017.9.30</t>
  </si>
  <si>
    <r>
      <rPr>
        <sz val="9"/>
        <color theme="1"/>
        <rFont val="微软雅黑"/>
        <charset val="134"/>
      </rPr>
      <t>北京智美创思广告有限公司</t>
    </r>
    <r>
      <rPr>
        <sz val="9"/>
        <color theme="1"/>
        <rFont val="Arial"/>
        <charset val="134"/>
      </rPr>
      <t>-vivo</t>
    </r>
    <r>
      <rPr>
        <sz val="9"/>
        <color theme="1"/>
        <rFont val="微软雅黑"/>
        <charset val="134"/>
      </rPr>
      <t>旅教工</t>
    </r>
    <r>
      <rPr>
        <sz val="9"/>
        <color theme="1"/>
        <rFont val="Arial"/>
        <charset val="134"/>
      </rPr>
      <t>--Q4</t>
    </r>
  </si>
  <si>
    <r>
      <rPr>
        <sz val="9"/>
        <color rgb="FFFF0000"/>
        <rFont val="Arial"/>
        <charset val="134"/>
      </rPr>
      <t>vivo-</t>
    </r>
    <r>
      <rPr>
        <sz val="9"/>
        <color rgb="FFFF0000"/>
        <rFont val="微软雅黑"/>
        <charset val="134"/>
      </rPr>
      <t>旅教工</t>
    </r>
    <r>
      <rPr>
        <sz val="9"/>
        <color rgb="FFFF0000"/>
        <rFont val="Arial"/>
        <charset val="134"/>
      </rPr>
      <t>-</t>
    </r>
    <r>
      <rPr>
        <sz val="9"/>
        <color rgb="FFFF0000"/>
        <rFont val="微软雅黑"/>
        <charset val="134"/>
      </rPr>
      <t>期初</t>
    </r>
  </si>
  <si>
    <r>
      <rPr>
        <sz val="9"/>
        <color theme="1"/>
        <rFont val="Arial"/>
        <charset val="134"/>
      </rPr>
      <t>vivo-</t>
    </r>
    <r>
      <rPr>
        <sz val="9"/>
        <color theme="1"/>
        <rFont val="微软雅黑"/>
        <charset val="134"/>
      </rPr>
      <t>金融电商</t>
    </r>
  </si>
  <si>
    <r>
      <rPr>
        <sz val="9"/>
        <color theme="1"/>
        <rFont val="Arial"/>
        <charset val="134"/>
      </rPr>
      <t>17</t>
    </r>
    <r>
      <rPr>
        <sz val="9"/>
        <color theme="1"/>
        <rFont val="微软雅黑"/>
        <charset val="134"/>
      </rPr>
      <t>年</t>
    </r>
    <r>
      <rPr>
        <sz val="9"/>
        <color theme="1"/>
        <rFont val="Arial"/>
        <charset val="134"/>
      </rPr>
      <t>Q1</t>
    </r>
    <r>
      <rPr>
        <sz val="9"/>
        <color theme="1"/>
        <rFont val="微软雅黑"/>
        <charset val="134"/>
      </rPr>
      <t>返货</t>
    </r>
  </si>
  <si>
    <r>
      <rPr>
        <sz val="9"/>
        <color theme="1"/>
        <rFont val="微软雅黑"/>
        <charset val="134"/>
      </rPr>
      <t>北京智美创思广告有限公司</t>
    </r>
    <r>
      <rPr>
        <sz val="9"/>
        <color theme="1"/>
        <rFont val="Arial"/>
        <charset val="134"/>
      </rPr>
      <t>-vivo</t>
    </r>
    <r>
      <rPr>
        <sz val="9"/>
        <color theme="1"/>
        <rFont val="微软雅黑"/>
        <charset val="134"/>
      </rPr>
      <t>金融电商</t>
    </r>
  </si>
  <si>
    <r>
      <rPr>
        <sz val="9"/>
        <color rgb="FFFF0000"/>
        <rFont val="Arial"/>
        <charset val="134"/>
      </rPr>
      <t>vivo-</t>
    </r>
    <r>
      <rPr>
        <sz val="9"/>
        <color rgb="FFFF0000"/>
        <rFont val="微软雅黑"/>
        <charset val="134"/>
      </rPr>
      <t>金融电商</t>
    </r>
    <r>
      <rPr>
        <sz val="9"/>
        <color rgb="FFFF0000"/>
        <rFont val="Arial"/>
        <charset val="134"/>
      </rPr>
      <t>-</t>
    </r>
    <r>
      <rPr>
        <sz val="9"/>
        <color rgb="FFFF0000"/>
        <rFont val="微软雅黑"/>
        <charset val="134"/>
      </rPr>
      <t>期初</t>
    </r>
  </si>
  <si>
    <r>
      <rPr>
        <sz val="9"/>
        <color theme="1"/>
        <rFont val="微软雅黑"/>
        <charset val="134"/>
      </rPr>
      <t>小米网服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思行合一</t>
    </r>
  </si>
  <si>
    <r>
      <rPr>
        <sz val="9"/>
        <color theme="1"/>
        <rFont val="微软雅黑"/>
        <charset val="134"/>
      </rPr>
      <t>智美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百度</t>
    </r>
  </si>
  <si>
    <r>
      <rPr>
        <sz val="9"/>
        <color theme="1"/>
        <rFont val="微软雅黑"/>
        <charset val="134"/>
      </rPr>
      <t>北京智美创思广告有限公司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百度</t>
    </r>
  </si>
  <si>
    <r>
      <rPr>
        <sz val="9"/>
        <color theme="1"/>
        <rFont val="微软雅黑"/>
        <charset val="134"/>
      </rPr>
      <t>础瑜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百度</t>
    </r>
  </si>
  <si>
    <r>
      <rPr>
        <sz val="9"/>
        <color theme="1"/>
        <rFont val="微软雅黑"/>
        <charset val="134"/>
      </rPr>
      <t>伊里斯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调起</t>
    </r>
  </si>
  <si>
    <r>
      <rPr>
        <sz val="9"/>
        <color theme="1"/>
        <rFont val="微软雅黑"/>
        <charset val="134"/>
      </rPr>
      <t>安智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飞讯和沃</t>
    </r>
  </si>
  <si>
    <r>
      <rPr>
        <sz val="9"/>
        <color theme="1"/>
        <rFont val="微软雅黑"/>
        <charset val="134"/>
      </rPr>
      <t>新疆亨利嘉业网络科技有限公司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应用宝</t>
    </r>
    <r>
      <rPr>
        <sz val="9"/>
        <color theme="1"/>
        <rFont val="Arial"/>
        <charset val="134"/>
      </rPr>
      <t>2018</t>
    </r>
  </si>
  <si>
    <r>
      <rPr>
        <sz val="9"/>
        <color theme="1"/>
        <rFont val="微软雅黑"/>
        <charset val="134"/>
      </rPr>
      <t>小贷产品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前海微众，</t>
    </r>
    <r>
      <rPr>
        <sz val="9"/>
        <color theme="1"/>
        <rFont val="Arial"/>
        <charset val="134"/>
      </rPr>
      <t>17</t>
    </r>
    <r>
      <rPr>
        <sz val="9"/>
        <color theme="1"/>
        <rFont val="微软雅黑"/>
        <charset val="134"/>
      </rPr>
      <t>年媒体返点</t>
    </r>
    <r>
      <rPr>
        <sz val="9"/>
        <color theme="1"/>
        <rFont val="Arial"/>
        <charset val="134"/>
      </rPr>
      <t>6%</t>
    </r>
  </si>
  <si>
    <r>
      <rPr>
        <sz val="9"/>
        <color theme="1"/>
        <rFont val="微软雅黑"/>
        <charset val="134"/>
      </rPr>
      <t>北京智美创思广告有限公司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智美应用宝</t>
    </r>
  </si>
  <si>
    <r>
      <rPr>
        <sz val="9"/>
        <color theme="1"/>
        <rFont val="微软雅黑"/>
        <charset val="134"/>
      </rPr>
      <t>品众</t>
    </r>
    <r>
      <rPr>
        <sz val="9"/>
        <color theme="1"/>
        <rFont val="Arial"/>
        <charset val="134"/>
      </rPr>
      <t>-360</t>
    </r>
  </si>
  <si>
    <r>
      <rPr>
        <sz val="9"/>
        <color theme="1"/>
        <rFont val="微软雅黑"/>
        <charset val="134"/>
      </rPr>
      <t>安智</t>
    </r>
    <r>
      <rPr>
        <sz val="9"/>
        <color theme="1"/>
        <rFont val="Arial"/>
        <charset val="134"/>
      </rPr>
      <t>-</t>
    </r>
    <r>
      <rPr>
        <sz val="9"/>
        <color theme="1"/>
        <rFont val="微软雅黑"/>
        <charset val="134"/>
      </rPr>
      <t>快手</t>
    </r>
  </si>
  <si>
    <t>返货抵扣付款，故均摊至媒体现金消耗中</t>
  </si>
  <si>
    <r>
      <rPr>
        <sz val="9"/>
        <rFont val="Arial"/>
        <charset val="134"/>
      </rPr>
      <t>OPPO</t>
    </r>
    <r>
      <rPr>
        <sz val="9"/>
        <rFont val="微软雅黑"/>
        <charset val="134"/>
      </rPr>
      <t>电商金融</t>
    </r>
  </si>
  <si>
    <r>
      <rPr>
        <sz val="9"/>
        <rFont val="微软雅黑"/>
        <charset val="134"/>
      </rPr>
      <t>霍尔果斯智媒广告有限公司</t>
    </r>
    <r>
      <rPr>
        <sz val="9"/>
        <rFont val="Arial"/>
        <charset val="134"/>
      </rPr>
      <t>-OPPO</t>
    </r>
  </si>
  <si>
    <t>无返点政策，智媒承担客户吐点</t>
  </si>
  <si>
    <r>
      <rPr>
        <sz val="9"/>
        <rFont val="Arial"/>
        <charset val="134"/>
      </rPr>
      <t>OPPO</t>
    </r>
    <r>
      <rPr>
        <sz val="9"/>
        <rFont val="微软雅黑"/>
        <charset val="134"/>
      </rPr>
      <t>旅教工</t>
    </r>
  </si>
  <si>
    <r>
      <rPr>
        <sz val="9"/>
        <rFont val="微软雅黑"/>
        <charset val="134"/>
      </rPr>
      <t>霍尔果斯智媒广告有限公司</t>
    </r>
    <r>
      <rPr>
        <sz val="9"/>
        <rFont val="Arial"/>
        <charset val="134"/>
      </rPr>
      <t>-</t>
    </r>
    <r>
      <rPr>
        <sz val="9"/>
        <rFont val="微软雅黑"/>
        <charset val="134"/>
      </rPr>
      <t>品众</t>
    </r>
    <r>
      <rPr>
        <sz val="9"/>
        <rFont val="Arial"/>
        <charset val="134"/>
      </rPr>
      <t>OPPO</t>
    </r>
    <r>
      <rPr>
        <sz val="9"/>
        <rFont val="微软雅黑"/>
        <charset val="134"/>
      </rPr>
      <t>旅教工</t>
    </r>
  </si>
  <si>
    <r>
      <rPr>
        <sz val="9"/>
        <rFont val="Arial"/>
        <charset val="134"/>
      </rPr>
      <t>OPPO</t>
    </r>
    <r>
      <rPr>
        <sz val="9"/>
        <rFont val="微软雅黑"/>
        <charset val="134"/>
      </rPr>
      <t>网服</t>
    </r>
  </si>
  <si>
    <r>
      <rPr>
        <sz val="9"/>
        <rFont val="微软雅黑"/>
        <charset val="134"/>
      </rPr>
      <t>金源</t>
    </r>
    <r>
      <rPr>
        <sz val="9"/>
        <rFont val="Arial"/>
        <charset val="134"/>
      </rPr>
      <t>-</t>
    </r>
    <r>
      <rPr>
        <sz val="9"/>
        <rFont val="微软雅黑"/>
        <charset val="134"/>
      </rPr>
      <t>深圳市云时空科技有限公司</t>
    </r>
    <r>
      <rPr>
        <sz val="9"/>
        <rFont val="Arial"/>
        <charset val="134"/>
      </rPr>
      <t>-OPPO</t>
    </r>
    <r>
      <rPr>
        <sz val="9"/>
        <rFont val="微软雅黑"/>
        <charset val="134"/>
      </rPr>
      <t>网服</t>
    </r>
  </si>
  <si>
    <r>
      <rPr>
        <sz val="9"/>
        <rFont val="微软雅黑"/>
        <charset val="134"/>
      </rPr>
      <t>实际媒体应为金源互动</t>
    </r>
    <r>
      <rPr>
        <sz val="9"/>
        <rFont val="Arial"/>
        <charset val="134"/>
      </rPr>
      <t>-</t>
    </r>
    <r>
      <rPr>
        <sz val="9"/>
        <rFont val="微软雅黑"/>
        <charset val="134"/>
      </rPr>
      <t>云时空</t>
    </r>
    <r>
      <rPr>
        <sz val="9"/>
        <rFont val="Arial"/>
        <charset val="134"/>
      </rPr>
      <t>-OPPO</t>
    </r>
    <r>
      <rPr>
        <sz val="9"/>
        <rFont val="微软雅黑"/>
        <charset val="134"/>
      </rPr>
      <t>网服，金源承担客户吐点，故媒体现金扣除客户优惠政策</t>
    </r>
  </si>
  <si>
    <r>
      <rPr>
        <sz val="9"/>
        <color rgb="FFFF0000"/>
        <rFont val="Arial"/>
        <charset val="134"/>
      </rPr>
      <t>OPPO</t>
    </r>
    <r>
      <rPr>
        <sz val="9"/>
        <color rgb="FFFF0000"/>
        <rFont val="微软雅黑"/>
        <charset val="134"/>
      </rPr>
      <t>电商金融期初</t>
    </r>
  </si>
  <si>
    <r>
      <rPr>
        <sz val="9"/>
        <color rgb="FFFF0000"/>
        <rFont val="Arial"/>
        <charset val="134"/>
      </rPr>
      <t>OPPO</t>
    </r>
    <r>
      <rPr>
        <sz val="9"/>
        <color rgb="FFFF0000"/>
        <rFont val="微软雅黑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</si>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</sst>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4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indexed="9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color theme="1"/>
      <name val="Microsoft YaHei UI"/>
      <charset val="134"/>
    </font>
    <font>
      <sz val="8"/>
      <color rgb="FF000000"/>
      <name val="微软雅黑"/>
      <charset val="134"/>
    </font>
    <font>
      <sz val="8"/>
      <color theme="1"/>
      <name val="微软雅黑"/>
      <charset val="134"/>
    </font>
    <font>
      <sz val="8"/>
      <color theme="1"/>
      <name val="宋体"/>
      <charset val="134"/>
      <scheme val="minor"/>
    </font>
    <font>
      <b/>
      <sz val="8"/>
      <color indexed="9"/>
      <name val="Arial"/>
      <charset val="134"/>
    </font>
    <font>
      <sz val="8"/>
      <name val="Arial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9"/>
      <color theme="1"/>
      <name val="Arial"/>
      <charset val="134"/>
    </font>
    <font>
      <sz val="9"/>
      <color rgb="FFFF0000"/>
      <name val="Arial"/>
      <charset val="134"/>
    </font>
    <font>
      <sz val="9"/>
      <name val="Arial"/>
      <charset val="134"/>
    </font>
    <font>
      <sz val="8"/>
      <color rgb="FFFF0000"/>
      <name val="宋体"/>
      <charset val="134"/>
      <scheme val="minor"/>
    </font>
    <font>
      <b/>
      <sz val="9"/>
      <color rgb="FFFF0000"/>
      <name val="Arial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8"/>
      <name val="微软雅黑"/>
      <charset val="134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7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5" fillId="32" borderId="16" applyNumberFormat="0" applyAlignment="0" applyProtection="0">
      <alignment vertical="center"/>
    </xf>
    <xf numFmtId="0" fontId="37" fillId="32" borderId="15" applyNumberFormat="0" applyAlignment="0" applyProtection="0">
      <alignment vertical="center"/>
    </xf>
    <xf numFmtId="0" fontId="43" fillId="43" borderId="19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8" applyNumberFormat="1" applyFont="1" applyBorder="1" applyAlignment="1">
      <alignment vertical="center"/>
    </xf>
    <xf numFmtId="43" fontId="1" fillId="0" borderId="5" xfId="8" applyFont="1" applyBorder="1" applyAlignment="1"/>
    <xf numFmtId="43" fontId="1" fillId="0" borderId="8" xfId="8" applyFont="1" applyBorder="1" applyAlignment="1">
      <alignment horizontal="center" vertical="center"/>
    </xf>
    <xf numFmtId="179" fontId="1" fillId="0" borderId="8" xfId="8" applyNumberFormat="1" applyFont="1" applyBorder="1" applyAlignment="1">
      <alignment horizontal="center" vertical="center"/>
    </xf>
    <xf numFmtId="43" fontId="1" fillId="0" borderId="9" xfId="8" applyFont="1" applyBorder="1" applyAlignment="1">
      <alignment horizontal="center" vertical="center"/>
    </xf>
    <xf numFmtId="179" fontId="1" fillId="0" borderId="10" xfId="8" applyNumberFormat="1" applyFont="1" applyBorder="1" applyAlignment="1">
      <alignment horizontal="center" vertical="center"/>
    </xf>
    <xf numFmtId="43" fontId="1" fillId="0" borderId="10" xfId="8" applyFont="1" applyBorder="1" applyAlignment="1">
      <alignment horizontal="center" vertical="center"/>
    </xf>
    <xf numFmtId="43" fontId="5" fillId="0" borderId="5" xfId="8" applyFont="1" applyBorder="1" applyAlignment="1"/>
    <xf numFmtId="0" fontId="7" fillId="3" borderId="5" xfId="0" applyFont="1" applyFill="1" applyBorder="1" applyAlignment="1">
      <alignment horizontal="center" vertical="center"/>
    </xf>
    <xf numFmtId="43" fontId="7" fillId="3" borderId="5" xfId="8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8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10" fontId="1" fillId="0" borderId="5" xfId="11" applyNumberFormat="1" applyFont="1" applyBorder="1" applyAlignment="1">
      <alignment horizontal="center"/>
    </xf>
    <xf numFmtId="10" fontId="1" fillId="0" borderId="5" xfId="11" applyNumberFormat="1" applyFont="1" applyBorder="1" applyAlignment="1">
      <alignment horizontal="center" vertical="center"/>
    </xf>
    <xf numFmtId="10" fontId="1" fillId="0" borderId="8" xfId="11" applyNumberFormat="1" applyFont="1" applyBorder="1" applyAlignment="1">
      <alignment horizontal="center" vertical="center"/>
    </xf>
    <xf numFmtId="10" fontId="1" fillId="0" borderId="10" xfId="11" applyNumberFormat="1" applyFont="1" applyBorder="1" applyAlignment="1">
      <alignment horizontal="center" vertical="center"/>
    </xf>
    <xf numFmtId="43" fontId="5" fillId="0" borderId="5" xfId="8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8" applyFont="1" applyAlignment="1"/>
    <xf numFmtId="43" fontId="1" fillId="0" borderId="0" xfId="8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8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8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43" fontId="1" fillId="0" borderId="5" xfId="8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8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8" applyFont="1" applyBorder="1" applyAlignment="1">
      <alignment horizontal="left" vertical="center"/>
    </xf>
    <xf numFmtId="43" fontId="1" fillId="0" borderId="0" xfId="8" applyFont="1" applyBorder="1" applyAlignment="1">
      <alignment vertical="center"/>
    </xf>
    <xf numFmtId="43" fontId="5" fillId="0" borderId="5" xfId="8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8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8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8" applyFont="1" applyFill="1" applyBorder="1" applyAlignment="1">
      <alignment horizontal="center" vertical="center"/>
    </xf>
    <xf numFmtId="10" fontId="17" fillId="0" borderId="5" xfId="11" applyNumberFormat="1" applyFont="1" applyFill="1" applyBorder="1" applyAlignment="1">
      <alignment horizontal="center" vertical="center"/>
    </xf>
    <xf numFmtId="43" fontId="18" fillId="0" borderId="5" xfId="8" applyFont="1" applyFill="1" applyBorder="1" applyAlignment="1">
      <alignment horizontal="center" vertical="center"/>
    </xf>
    <xf numFmtId="10" fontId="18" fillId="0" borderId="5" xfId="11" applyNumberFormat="1" applyFont="1" applyFill="1" applyBorder="1" applyAlignment="1">
      <alignment horizontal="center" vertical="center"/>
    </xf>
    <xf numFmtId="43" fontId="16" fillId="0" borderId="5" xfId="8" applyFont="1" applyFill="1" applyBorder="1" applyAlignment="1">
      <alignment horizontal="center" vertical="center"/>
    </xf>
    <xf numFmtId="10" fontId="16" fillId="0" borderId="5" xfId="11" applyNumberFormat="1" applyFont="1" applyFill="1" applyBorder="1" applyAlignment="1">
      <alignment horizontal="center" vertical="center"/>
    </xf>
    <xf numFmtId="43" fontId="1" fillId="0" borderId="5" xfId="8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8" applyNumberFormat="1" applyFont="1" applyFill="1" applyBorder="1" applyAlignment="1">
      <alignment horizontal="center" vertical="center"/>
    </xf>
    <xf numFmtId="0" fontId="1" fillId="0" borderId="5" xfId="52" applyFont="1" applyFill="1" applyBorder="1" applyAlignment="1">
      <alignment horizontal="center" vertical="center"/>
    </xf>
    <xf numFmtId="0" fontId="16" fillId="0" borderId="5" xfId="52" applyFont="1" applyFill="1" applyBorder="1" applyAlignment="1">
      <alignment horizontal="center" vertical="center"/>
    </xf>
    <xf numFmtId="43" fontId="1" fillId="0" borderId="5" xfId="54" applyFont="1" applyFill="1" applyBorder="1" applyAlignment="1">
      <alignment horizontal="center" vertical="center"/>
    </xf>
    <xf numFmtId="43" fontId="16" fillId="0" borderId="5" xfId="54" applyFont="1" applyFill="1" applyBorder="1" applyAlignment="1">
      <alignment horizontal="center" vertical="center"/>
    </xf>
    <xf numFmtId="10" fontId="18" fillId="0" borderId="5" xfId="13" applyNumberFormat="1" applyFont="1" applyFill="1" applyBorder="1" applyAlignment="1">
      <alignment horizontal="center" vertical="center"/>
    </xf>
    <xf numFmtId="0" fontId="1" fillId="0" borderId="5" xfId="52" applyFont="1" applyFill="1" applyBorder="1" applyAlignment="1">
      <alignment horizontal="center"/>
    </xf>
    <xf numFmtId="10" fontId="16" fillId="0" borderId="5" xfId="13" applyNumberFormat="1" applyFont="1" applyFill="1" applyBorder="1" applyAlignment="1">
      <alignment horizontal="center" vertical="center"/>
    </xf>
    <xf numFmtId="43" fontId="16" fillId="0" borderId="5" xfId="8" applyFont="1" applyFill="1" applyBorder="1" applyAlignment="1">
      <alignment horizontal="right" vertical="center"/>
    </xf>
    <xf numFmtId="9" fontId="16" fillId="0" borderId="5" xfId="11" applyFont="1" applyFill="1" applyBorder="1" applyAlignment="1">
      <alignment horizontal="center" vertical="center"/>
    </xf>
    <xf numFmtId="43" fontId="17" fillId="0" borderId="5" xfId="8" applyFont="1" applyFill="1" applyBorder="1" applyAlignment="1">
      <alignment horizontal="right" vertical="center"/>
    </xf>
    <xf numFmtId="9" fontId="16" fillId="0" borderId="5" xfId="11" applyFont="1" applyFill="1" applyBorder="1" applyAlignment="1">
      <alignment horizontal="right" vertical="center"/>
    </xf>
    <xf numFmtId="43" fontId="6" fillId="0" borderId="5" xfId="8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8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52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8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8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8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11" applyFont="1" applyBorder="1" applyAlignment="1">
      <alignment horizontal="center" vertical="center"/>
    </xf>
    <xf numFmtId="43" fontId="21" fillId="0" borderId="0" xfId="8" applyFont="1" applyBorder="1" applyAlignment="1">
      <alignment horizontal="center" vertical="center"/>
    </xf>
    <xf numFmtId="0" fontId="23" fillId="4" borderId="0" xfId="34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8" applyFont="1" applyFill="1" applyBorder="1" applyAlignment="1">
      <alignment horizontal="center" vertical="center"/>
    </xf>
    <xf numFmtId="9" fontId="23" fillId="4" borderId="0" xfId="11" applyFont="1" applyFill="1" applyBorder="1" applyAlignment="1">
      <alignment horizontal="center" vertical="center"/>
    </xf>
    <xf numFmtId="9" fontId="23" fillId="11" borderId="0" xfId="11" applyFont="1" applyFill="1" applyBorder="1" applyAlignment="1">
      <alignment horizontal="center" vertical="center"/>
    </xf>
    <xf numFmtId="9" fontId="21" fillId="0" borderId="0" xfId="11" applyFont="1" applyFill="1" applyBorder="1" applyAlignment="1">
      <alignment horizontal="center" vertical="center"/>
    </xf>
    <xf numFmtId="9" fontId="21" fillId="0" borderId="0" xfId="11" applyNumberFormat="1" applyFont="1" applyFill="1" applyBorder="1" applyAlignment="1">
      <alignment horizontal="center" vertical="center"/>
    </xf>
    <xf numFmtId="43" fontId="21" fillId="0" borderId="0" xfId="8" applyFont="1" applyFill="1" applyBorder="1" applyAlignment="1">
      <alignment horizontal="center" vertical="center"/>
    </xf>
    <xf numFmtId="10" fontId="21" fillId="0" borderId="0" xfId="11" applyNumberFormat="1" applyFont="1" applyFill="1" applyBorder="1" applyAlignment="1">
      <alignment horizontal="center" vertical="center"/>
    </xf>
    <xf numFmtId="43" fontId="23" fillId="4" borderId="0" xfId="8" applyFont="1" applyFill="1" applyBorder="1" applyAlignment="1">
      <alignment horizontal="center" vertical="center"/>
    </xf>
    <xf numFmtId="43" fontId="23" fillId="4" borderId="0" xfId="8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8" applyFont="1" applyFill="1" applyBorder="1" applyAlignment="1">
      <alignment horizontal="center" vertical="center"/>
    </xf>
    <xf numFmtId="43" fontId="23" fillId="12" borderId="0" xfId="8" applyFont="1" applyFill="1" applyBorder="1" applyAlignment="1">
      <alignment horizontal="center" vertical="center"/>
    </xf>
    <xf numFmtId="43" fontId="23" fillId="11" borderId="0" xfId="8" applyFont="1" applyFill="1" applyBorder="1" applyAlignment="1">
      <alignment horizontal="center" vertical="center" wrapText="1"/>
    </xf>
    <xf numFmtId="9" fontId="23" fillId="10" borderId="0" xfId="11" applyFont="1" applyFill="1" applyBorder="1" applyAlignment="1">
      <alignment horizontal="center" vertical="center"/>
    </xf>
    <xf numFmtId="43" fontId="21" fillId="0" borderId="0" xfId="8" applyFont="1" applyFill="1" applyBorder="1" applyAlignment="1">
      <alignment horizontal="center" vertical="top"/>
    </xf>
    <xf numFmtId="43" fontId="21" fillId="0" borderId="0" xfId="8" applyFont="1" applyFill="1" applyAlignment="1">
      <alignment horizontal="center"/>
    </xf>
    <xf numFmtId="43" fontId="22" fillId="13" borderId="0" xfId="8" applyFont="1" applyFill="1" applyBorder="1" applyAlignment="1">
      <alignment horizontal="center" vertical="center"/>
    </xf>
    <xf numFmtId="10" fontId="22" fillId="13" borderId="0" xfId="11" applyNumberFormat="1" applyFont="1" applyFill="1" applyBorder="1" applyAlignment="1">
      <alignment horizontal="center" vertical="center"/>
    </xf>
    <xf numFmtId="43" fontId="23" fillId="14" borderId="0" xfId="8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8" applyNumberFormat="1" applyFont="1" applyFill="1" applyBorder="1" applyAlignment="1">
      <alignment horizontal="center" vertical="center"/>
    </xf>
    <xf numFmtId="0" fontId="21" fillId="0" borderId="0" xfId="11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11" applyNumberFormat="1" applyFont="1" applyFill="1" applyAlignment="1">
      <alignment horizontal="center" vertical="center"/>
    </xf>
    <xf numFmtId="9" fontId="21" fillId="0" borderId="0" xfId="11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8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8" applyFont="1" applyFill="1" applyBorder="1" applyAlignment="1">
      <alignment horizontal="center" vertical="center"/>
    </xf>
    <xf numFmtId="9" fontId="21" fillId="8" borderId="0" xfId="11" applyFont="1" applyFill="1" applyBorder="1" applyAlignment="1">
      <alignment horizontal="center" vertical="center"/>
    </xf>
    <xf numFmtId="9" fontId="21" fillId="8" borderId="0" xfId="11" applyNumberFormat="1" applyFont="1" applyFill="1" applyBorder="1" applyAlignment="1">
      <alignment horizontal="center" vertical="center"/>
    </xf>
    <xf numFmtId="0" fontId="21" fillId="0" borderId="0" xfId="52" applyFont="1" applyFill="1" applyBorder="1" applyAlignment="1">
      <alignment horizontal="center" vertical="center"/>
    </xf>
    <xf numFmtId="0" fontId="10" fillId="0" borderId="0" xfId="53" applyFont="1" applyFill="1" applyBorder="1" applyAlignment="1">
      <alignment horizontal="center" vertical="center"/>
    </xf>
    <xf numFmtId="0" fontId="21" fillId="4" borderId="0" xfId="53" applyFont="1" applyFill="1" applyAlignment="1">
      <alignment horizontal="center" vertical="center"/>
    </xf>
    <xf numFmtId="0" fontId="21" fillId="0" borderId="0" xfId="53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54" applyFont="1" applyFill="1" applyBorder="1" applyAlignment="1">
      <alignment horizontal="center" vertical="center"/>
    </xf>
    <xf numFmtId="9" fontId="21" fillId="0" borderId="0" xfId="13" applyFont="1" applyFill="1" applyBorder="1" applyAlignment="1">
      <alignment horizontal="center" vertical="center"/>
    </xf>
    <xf numFmtId="0" fontId="21" fillId="0" borderId="0" xfId="52" applyNumberFormat="1" applyFont="1" applyFill="1" applyBorder="1" applyAlignment="1">
      <alignment horizontal="center" vertical="center"/>
    </xf>
    <xf numFmtId="0" fontId="10" fillId="0" borderId="0" xfId="53" applyNumberFormat="1" applyFont="1" applyFill="1" applyBorder="1" applyAlignment="1">
      <alignment horizontal="center" vertical="center"/>
    </xf>
    <xf numFmtId="9" fontId="10" fillId="0" borderId="0" xfId="11" applyNumberFormat="1" applyFont="1" applyFill="1" applyBorder="1" applyAlignment="1">
      <alignment horizontal="center" vertical="center"/>
    </xf>
    <xf numFmtId="9" fontId="10" fillId="0" borderId="0" xfId="11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11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11" applyFont="1" applyFill="1" applyBorder="1" applyAlignment="1">
      <alignment horizontal="center" vertical="center"/>
    </xf>
    <xf numFmtId="43" fontId="10" fillId="0" borderId="0" xfId="55" applyFont="1" applyFill="1" applyBorder="1" applyAlignment="1">
      <alignment horizontal="center" vertical="center"/>
    </xf>
    <xf numFmtId="43" fontId="10" fillId="0" borderId="0" xfId="55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8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8" applyFont="1" applyFill="1" applyBorder="1" applyAlignment="1">
      <alignment horizontal="center" vertical="center"/>
    </xf>
    <xf numFmtId="10" fontId="10" fillId="0" borderId="0" xfId="11" applyNumberFormat="1" applyFont="1" applyFill="1" applyBorder="1" applyAlignment="1">
      <alignment horizontal="center" vertical="center"/>
    </xf>
    <xf numFmtId="43" fontId="21" fillId="0" borderId="0" xfId="55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52" applyNumberFormat="1" applyFont="1" applyFill="1" applyBorder="1" applyAlignment="1">
      <alignment horizontal="center" vertical="center"/>
    </xf>
    <xf numFmtId="0" fontId="23" fillId="0" borderId="0" xfId="52" applyFont="1" applyFill="1" applyBorder="1" applyAlignment="1">
      <alignment horizontal="center" vertical="center"/>
    </xf>
    <xf numFmtId="178" fontId="10" fillId="0" borderId="0" xfId="55" applyNumberFormat="1" applyFont="1" applyFill="1" applyBorder="1" applyAlignment="1">
      <alignment horizontal="center" vertical="center"/>
    </xf>
    <xf numFmtId="0" fontId="10" fillId="0" borderId="0" xfId="53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8" applyFont="1" applyFill="1" applyBorder="1" applyAlignment="1">
      <alignment horizontal="left" vertical="center"/>
    </xf>
    <xf numFmtId="43" fontId="21" fillId="0" borderId="0" xfId="8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8" applyFont="1" applyFill="1" applyBorder="1" applyAlignment="1">
      <alignment vertical="center"/>
    </xf>
    <xf numFmtId="43" fontId="4" fillId="0" borderId="0" xfId="8" applyFont="1" applyFill="1" applyBorder="1" applyAlignment="1">
      <alignment horizontal="center" vertical="top"/>
    </xf>
    <xf numFmtId="43" fontId="1" fillId="0" borderId="0" xfId="8" applyFont="1" applyFill="1" applyAlignment="1">
      <alignment horizont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11" applyNumberFormat="1" applyFont="1" applyFill="1" applyBorder="1" applyAlignment="1" applyProtection="1">
      <alignment horizontal="center" vertical="center"/>
    </xf>
    <xf numFmtId="177" fontId="10" fillId="0" borderId="0" xfId="11" applyNumberFormat="1" applyFont="1" applyFill="1" applyBorder="1" applyAlignment="1">
      <alignment horizontal="center" vertical="center"/>
    </xf>
    <xf numFmtId="0" fontId="24" fillId="0" borderId="0" xfId="53" applyNumberFormat="1" applyFont="1" applyFill="1" applyAlignment="1">
      <alignment vertical="center"/>
    </xf>
    <xf numFmtId="43" fontId="10" fillId="5" borderId="0" xfId="8" applyFont="1" applyFill="1" applyBorder="1" applyAlignment="1">
      <alignment horizontal="left" vertical="center"/>
    </xf>
    <xf numFmtId="10" fontId="10" fillId="5" borderId="0" xfId="11" applyNumberFormat="1" applyFont="1" applyFill="1" applyBorder="1" applyAlignment="1">
      <alignment horizontal="center" vertical="center"/>
    </xf>
    <xf numFmtId="43" fontId="10" fillId="5" borderId="0" xfId="8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8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百分比 2 2" xfId="20"/>
    <cellStyle name="标题 1" xfId="21" builtinId="16"/>
    <cellStyle name="百分比 2 3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千位分隔 2" xfId="54"/>
    <cellStyle name="千位分隔 2 2" xfId="55"/>
    <cellStyle name="千位分隔 2 3" xfId="56"/>
    <cellStyle name="千位分隔 3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jpe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64</xdr:row>
      <xdr:rowOff>117475</xdr:rowOff>
    </xdr:from>
    <xdr:to>
      <xdr:col>7</xdr:col>
      <xdr:colOff>57150</xdr:colOff>
      <xdr:row>96</xdr:row>
      <xdr:rowOff>8589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050" y="11499850"/>
          <a:ext cx="7317740" cy="568198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65</xdr:row>
      <xdr:rowOff>24583</xdr:rowOff>
    </xdr:from>
    <xdr:to>
      <xdr:col>18</xdr:col>
      <xdr:colOff>255490</xdr:colOff>
      <xdr:row>86</xdr:row>
      <xdr:rowOff>37343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438390" y="11587480"/>
          <a:ext cx="8434705" cy="38131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N1358"/>
  <sheetViews>
    <sheetView tabSelected="1" topLeftCell="J1" workbookViewId="0">
      <selection activeCell="AB1" sqref="AB$1:AB$1048576"/>
    </sheetView>
  </sheetViews>
  <sheetFormatPr defaultColWidth="9" defaultRowHeight="13.5"/>
  <cols>
    <col min="1" max="1" width="6.45" style="147" customWidth="1"/>
    <col min="2" max="2" width="11" style="147" customWidth="1"/>
    <col min="3" max="3" width="9.63333333333333" style="147" customWidth="1"/>
    <col min="4" max="4" width="10.45" style="147" customWidth="1"/>
    <col min="5" max="5" width="9.63333333333333" style="147" customWidth="1"/>
    <col min="6" max="6" width="25.45" style="147" customWidth="1"/>
    <col min="7" max="8" width="48.25" style="147" customWidth="1"/>
    <col min="9" max="9" width="19.875" style="147" customWidth="1"/>
    <col min="10" max="11" width="28.3666666666667" style="147" customWidth="1"/>
    <col min="12" max="12" width="24.2666666666667" style="147" customWidth="1"/>
    <col min="13" max="13" width="8" style="147" customWidth="1"/>
    <col min="14" max="14" width="6.63333333333333" style="148" customWidth="1"/>
    <col min="15" max="15" width="5.45" style="148" customWidth="1"/>
    <col min="16" max="16" width="16.625" style="148" customWidth="1"/>
    <col min="17" max="17" width="14.45" style="149" customWidth="1"/>
    <col min="18" max="18" width="11.6333333333333" style="149" customWidth="1"/>
    <col min="19" max="19" width="12.3666666666667" style="149" customWidth="1"/>
    <col min="20" max="20" width="11.45" style="149" customWidth="1"/>
    <col min="21" max="21" width="15.6333333333333" style="149" customWidth="1"/>
    <col min="22" max="22" width="14.9083333333333" style="149" customWidth="1"/>
    <col min="23" max="25" width="14.3666666666667" style="149" customWidth="1"/>
    <col min="26" max="26" width="12.45" style="149" customWidth="1"/>
    <col min="27" max="27" width="16.3666666666667" style="149" customWidth="1"/>
    <col min="28" max="29" width="12.9083333333333" style="149" customWidth="1"/>
    <col min="30" max="30" width="13.2666666666667" style="149" customWidth="1"/>
    <col min="31" max="31" width="14.45" style="148" customWidth="1"/>
    <col min="32" max="32" width="13.2666666666667" style="149" customWidth="1"/>
    <col min="33" max="33" width="11.45" style="149" customWidth="1"/>
    <col min="34" max="34" width="6.09166666666667" style="149" customWidth="1"/>
    <col min="35" max="35" width="10.45" style="149" customWidth="1"/>
    <col min="36" max="36" width="8.90833333333333" style="148" customWidth="1"/>
    <col min="37" max="37" width="17.9083333333333" style="147" customWidth="1"/>
    <col min="38" max="38" width="37.9083333333333" style="147" customWidth="1"/>
    <col min="39" max="39" width="9" style="147"/>
    <col min="40" max="40" width="10.3666666666667" style="147"/>
    <col min="41" max="16384" width="9" style="147"/>
  </cols>
  <sheetData>
    <row r="1" s="139" customFormat="1" ht="26.25" customHeight="1" spans="1:39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50" t="s">
        <v>8</v>
      </c>
      <c r="J1" s="150" t="s">
        <v>9</v>
      </c>
      <c r="K1" s="150" t="s">
        <v>10</v>
      </c>
      <c r="L1" s="153" t="s">
        <v>11</v>
      </c>
      <c r="M1" s="150" t="s">
        <v>12</v>
      </c>
      <c r="N1" s="154" t="s">
        <v>13</v>
      </c>
      <c r="O1" s="154" t="s">
        <v>14</v>
      </c>
      <c r="P1" s="155" t="s">
        <v>15</v>
      </c>
      <c r="Q1" s="153" t="s">
        <v>16</v>
      </c>
      <c r="R1" s="153" t="s">
        <v>17</v>
      </c>
      <c r="S1" s="160" t="s">
        <v>18</v>
      </c>
      <c r="T1" s="160" t="s">
        <v>19</v>
      </c>
      <c r="U1" s="161" t="s">
        <v>20</v>
      </c>
      <c r="V1" s="153" t="s">
        <v>21</v>
      </c>
      <c r="W1" s="161" t="s">
        <v>22</v>
      </c>
      <c r="X1" s="161" t="s">
        <v>23</v>
      </c>
      <c r="Y1" s="161" t="s">
        <v>24</v>
      </c>
      <c r="Z1" s="153" t="s">
        <v>25</v>
      </c>
      <c r="AA1" s="164" t="s">
        <v>26</v>
      </c>
      <c r="AB1" s="165" t="s">
        <v>27</v>
      </c>
      <c r="AC1" s="165" t="s">
        <v>28</v>
      </c>
      <c r="AD1" s="153" t="s">
        <v>29</v>
      </c>
      <c r="AE1" s="166" t="s">
        <v>30</v>
      </c>
      <c r="AF1" s="153" t="s">
        <v>31</v>
      </c>
      <c r="AG1" s="160" t="s">
        <v>32</v>
      </c>
      <c r="AH1" s="171" t="s">
        <v>33</v>
      </c>
      <c r="AI1" s="160" t="s">
        <v>34</v>
      </c>
      <c r="AJ1" s="154" t="s">
        <v>35</v>
      </c>
      <c r="AK1" s="172" t="s">
        <v>35</v>
      </c>
      <c r="AL1" s="172" t="s">
        <v>36</v>
      </c>
      <c r="AM1" s="139" t="s">
        <v>37</v>
      </c>
    </row>
    <row r="2" s="140" customFormat="1" ht="15" hidden="1" customHeight="1" spans="1:37">
      <c r="A2" s="140">
        <v>2017</v>
      </c>
      <c r="B2" s="140" t="s">
        <v>38</v>
      </c>
      <c r="C2" s="140" t="s">
        <v>39</v>
      </c>
      <c r="D2" s="140" t="s">
        <v>40</v>
      </c>
      <c r="E2" s="140" t="s">
        <v>41</v>
      </c>
      <c r="F2" s="140" t="s">
        <v>42</v>
      </c>
      <c r="G2" s="140" t="s">
        <v>42</v>
      </c>
      <c r="H2" s="140" t="s">
        <v>42</v>
      </c>
      <c r="I2" s="140" t="s">
        <v>43</v>
      </c>
      <c r="J2" s="140" t="s">
        <v>44</v>
      </c>
      <c r="K2" s="140" t="s">
        <v>45</v>
      </c>
      <c r="L2" s="140" t="s">
        <v>42</v>
      </c>
      <c r="M2" s="140" t="s">
        <v>46</v>
      </c>
      <c r="N2" s="156">
        <v>0</v>
      </c>
      <c r="O2" s="156" t="s">
        <v>47</v>
      </c>
      <c r="P2" s="156"/>
      <c r="Q2" s="158">
        <v>0</v>
      </c>
      <c r="R2" s="158">
        <v>0</v>
      </c>
      <c r="S2" s="158">
        <v>100000</v>
      </c>
      <c r="T2" s="158">
        <f t="shared" ref="T2:T65" si="0">S2*N2</f>
        <v>0</v>
      </c>
      <c r="U2" s="158">
        <f>R2+S2+T2</f>
        <v>100000</v>
      </c>
      <c r="V2" s="158">
        <v>100000</v>
      </c>
      <c r="W2" s="158">
        <f>U2-V2</f>
        <v>0</v>
      </c>
      <c r="X2" s="158">
        <f t="shared" ref="X2:X65" si="1">W2/(1+N2)</f>
        <v>0</v>
      </c>
      <c r="Y2" s="158">
        <f>W2-X2</f>
        <v>0</v>
      </c>
      <c r="Z2" s="158">
        <v>99497.25</v>
      </c>
      <c r="AA2" s="158">
        <f t="shared" ref="AA2:AA65" si="2">Q2+V2-Z2</f>
        <v>502.75</v>
      </c>
      <c r="AB2" s="167">
        <f t="shared" ref="AB2:AD32" si="3">IF(O2="返货",Z2/(1+N2),IF(O2="返现",Z2,IF(O2="折扣",Z2*N2,IF(O2="无",Z2))))</f>
        <v>99497.25</v>
      </c>
      <c r="AC2" s="168">
        <f t="shared" ref="AC2:AC65" si="4">IF(O2="返现",Z2*N2,Z2-AB2)</f>
        <v>0</v>
      </c>
      <c r="AD2" s="169">
        <v>99497.25</v>
      </c>
      <c r="AE2" s="170">
        <v>0</v>
      </c>
      <c r="AF2" s="158">
        <f>AD2*AE2</f>
        <v>0</v>
      </c>
      <c r="AG2" s="158"/>
      <c r="AH2" s="158"/>
      <c r="AI2" s="158"/>
      <c r="AJ2" s="156" t="s">
        <v>47</v>
      </c>
      <c r="AK2" s="173">
        <v>0</v>
      </c>
    </row>
    <row r="3" s="140" customFormat="1" ht="15" hidden="1" customHeight="1" spans="1:37">
      <c r="A3" s="140">
        <v>2017</v>
      </c>
      <c r="B3" s="140" t="s">
        <v>38</v>
      </c>
      <c r="C3" s="140" t="s">
        <v>39</v>
      </c>
      <c r="D3" s="140" t="s">
        <v>40</v>
      </c>
      <c r="E3" s="140" t="s">
        <v>48</v>
      </c>
      <c r="F3" s="140" t="s">
        <v>49</v>
      </c>
      <c r="G3" s="140" t="s">
        <v>49</v>
      </c>
      <c r="H3" s="140" t="s">
        <v>49</v>
      </c>
      <c r="I3" s="140" t="s">
        <v>43</v>
      </c>
      <c r="J3" s="140" t="s">
        <v>44</v>
      </c>
      <c r="K3" s="140" t="s">
        <v>45</v>
      </c>
      <c r="L3" s="140" t="s">
        <v>50</v>
      </c>
      <c r="M3" s="140" t="s">
        <v>46</v>
      </c>
      <c r="N3" s="156">
        <v>0.11</v>
      </c>
      <c r="O3" s="156" t="s">
        <v>51</v>
      </c>
      <c r="P3" s="156"/>
      <c r="Q3" s="158">
        <v>0</v>
      </c>
      <c r="R3" s="158">
        <v>0</v>
      </c>
      <c r="S3" s="158">
        <v>900915.44</v>
      </c>
      <c r="T3" s="158">
        <f t="shared" si="0"/>
        <v>99100.6984</v>
      </c>
      <c r="U3" s="158">
        <f t="shared" ref="U3:U66" si="5">R3+S3+T3</f>
        <v>1000016.1384</v>
      </c>
      <c r="V3" s="158">
        <v>960000</v>
      </c>
      <c r="W3" s="158">
        <f t="shared" ref="W3:W66" si="6">U3-V3</f>
        <v>40016.1383999999</v>
      </c>
      <c r="X3" s="158">
        <f t="shared" si="1"/>
        <v>36050.5751351351</v>
      </c>
      <c r="Y3" s="158">
        <f t="shared" ref="Y3:Y66" si="7">W3-X3</f>
        <v>3965.56326486486</v>
      </c>
      <c r="Z3" s="158">
        <v>960008.67044</v>
      </c>
      <c r="AA3" s="158">
        <f t="shared" si="2"/>
        <v>-8.67044000001624</v>
      </c>
      <c r="AB3" s="167">
        <f t="shared" si="3"/>
        <v>864872.676072072</v>
      </c>
      <c r="AC3" s="168">
        <f t="shared" si="4"/>
        <v>95135.994367928</v>
      </c>
      <c r="AD3" s="169">
        <v>864872.676072072</v>
      </c>
      <c r="AE3" s="170">
        <v>0</v>
      </c>
      <c r="AF3" s="158">
        <f t="shared" ref="AF3:AF46" si="8">AD3*AE3</f>
        <v>0</v>
      </c>
      <c r="AG3" s="158"/>
      <c r="AH3" s="158"/>
      <c r="AI3" s="158"/>
      <c r="AJ3" s="157">
        <v>0.11</v>
      </c>
      <c r="AK3" s="173">
        <v>0.11</v>
      </c>
    </row>
    <row r="4" s="140" customFormat="1" ht="15" hidden="1" customHeight="1" spans="1:37">
      <c r="A4" s="140">
        <v>2017</v>
      </c>
      <c r="B4" s="140" t="s">
        <v>38</v>
      </c>
      <c r="C4" s="140" t="s">
        <v>39</v>
      </c>
      <c r="D4" s="140" t="s">
        <v>40</v>
      </c>
      <c r="E4" s="140" t="s">
        <v>41</v>
      </c>
      <c r="F4" s="140" t="s">
        <v>52</v>
      </c>
      <c r="G4" s="140" t="s">
        <v>52</v>
      </c>
      <c r="H4" s="140" t="s">
        <v>52</v>
      </c>
      <c r="I4" s="140" t="s">
        <v>43</v>
      </c>
      <c r="J4" s="140" t="s">
        <v>44</v>
      </c>
      <c r="K4" s="140" t="s">
        <v>45</v>
      </c>
      <c r="L4" s="140" t="s">
        <v>52</v>
      </c>
      <c r="M4" s="140" t="s">
        <v>46</v>
      </c>
      <c r="N4" s="156">
        <v>0.08</v>
      </c>
      <c r="O4" s="156" t="s">
        <v>51</v>
      </c>
      <c r="P4" s="156"/>
      <c r="Q4" s="158">
        <v>0</v>
      </c>
      <c r="R4" s="158">
        <v>0</v>
      </c>
      <c r="S4" s="158">
        <v>10000</v>
      </c>
      <c r="T4" s="158">
        <f t="shared" si="0"/>
        <v>800</v>
      </c>
      <c r="U4" s="158">
        <f t="shared" si="5"/>
        <v>10800</v>
      </c>
      <c r="V4" s="158">
        <v>10800</v>
      </c>
      <c r="W4" s="158">
        <f t="shared" si="6"/>
        <v>0</v>
      </c>
      <c r="X4" s="158">
        <f t="shared" si="1"/>
        <v>0</v>
      </c>
      <c r="Y4" s="158">
        <f t="shared" si="7"/>
        <v>0</v>
      </c>
      <c r="Z4" s="158">
        <v>10467.17633</v>
      </c>
      <c r="AA4" s="158">
        <f t="shared" si="2"/>
        <v>332.82367</v>
      </c>
      <c r="AB4" s="167">
        <f t="shared" si="3"/>
        <v>9691.82993518519</v>
      </c>
      <c r="AC4" s="168">
        <f t="shared" si="4"/>
        <v>775.346394814815</v>
      </c>
      <c r="AD4" s="169">
        <v>9691.82993518519</v>
      </c>
      <c r="AE4" s="170">
        <v>0</v>
      </c>
      <c r="AF4" s="158">
        <f t="shared" si="8"/>
        <v>0</v>
      </c>
      <c r="AG4" s="158"/>
      <c r="AH4" s="158"/>
      <c r="AI4" s="158"/>
      <c r="AJ4" s="156" t="s">
        <v>53</v>
      </c>
      <c r="AK4" s="174" t="s">
        <v>53</v>
      </c>
    </row>
    <row r="5" s="140" customFormat="1" ht="15" hidden="1" customHeight="1" spans="1:38">
      <c r="A5" s="140">
        <v>2017</v>
      </c>
      <c r="B5" s="140" t="s">
        <v>38</v>
      </c>
      <c r="C5" s="140" t="s">
        <v>54</v>
      </c>
      <c r="D5" s="140" t="s">
        <v>55</v>
      </c>
      <c r="E5" s="140" t="s">
        <v>56</v>
      </c>
      <c r="F5" s="140" t="s">
        <v>57</v>
      </c>
      <c r="G5" s="140" t="s">
        <v>57</v>
      </c>
      <c r="H5" s="140" t="s">
        <v>57</v>
      </c>
      <c r="I5" s="140" t="s">
        <v>43</v>
      </c>
      <c r="J5" s="140" t="s">
        <v>44</v>
      </c>
      <c r="K5" s="140" t="s">
        <v>45</v>
      </c>
      <c r="L5" s="140" t="s">
        <v>57</v>
      </c>
      <c r="M5" s="140" t="s">
        <v>46</v>
      </c>
      <c r="N5" s="156">
        <v>0.08</v>
      </c>
      <c r="O5" s="156" t="s">
        <v>51</v>
      </c>
      <c r="P5" s="156"/>
      <c r="Q5" s="158">
        <v>0</v>
      </c>
      <c r="R5" s="158">
        <v>0</v>
      </c>
      <c r="S5" s="158">
        <v>40000</v>
      </c>
      <c r="T5" s="158">
        <f t="shared" si="0"/>
        <v>3200</v>
      </c>
      <c r="U5" s="158">
        <f t="shared" si="5"/>
        <v>43200</v>
      </c>
      <c r="V5" s="158">
        <v>43200</v>
      </c>
      <c r="W5" s="158">
        <f t="shared" si="6"/>
        <v>0</v>
      </c>
      <c r="X5" s="158">
        <f t="shared" si="1"/>
        <v>0</v>
      </c>
      <c r="Y5" s="158">
        <f t="shared" si="7"/>
        <v>0</v>
      </c>
      <c r="Z5" s="158">
        <v>9221.78</v>
      </c>
      <c r="AA5" s="158">
        <f t="shared" si="2"/>
        <v>33978.22</v>
      </c>
      <c r="AB5" s="167">
        <f t="shared" si="3"/>
        <v>8538.68518518519</v>
      </c>
      <c r="AC5" s="168">
        <f t="shared" si="4"/>
        <v>683.094814814815</v>
      </c>
      <c r="AD5" s="169">
        <v>8538.68518518519</v>
      </c>
      <c r="AE5" s="170">
        <v>0</v>
      </c>
      <c r="AF5" s="158">
        <f t="shared" si="8"/>
        <v>0</v>
      </c>
      <c r="AG5" s="158"/>
      <c r="AH5" s="158"/>
      <c r="AI5" s="158"/>
      <c r="AJ5" s="156" t="s">
        <v>53</v>
      </c>
      <c r="AK5" s="174" t="s">
        <v>53</v>
      </c>
      <c r="AL5" s="140" t="s">
        <v>58</v>
      </c>
    </row>
    <row r="6" s="140" customFormat="1" ht="15" hidden="1" customHeight="1" spans="1:37">
      <c r="A6" s="140">
        <v>2017</v>
      </c>
      <c r="B6" s="140" t="s">
        <v>38</v>
      </c>
      <c r="C6" s="140" t="s">
        <v>59</v>
      </c>
      <c r="D6" s="140" t="s">
        <v>60</v>
      </c>
      <c r="E6" s="140" t="s">
        <v>61</v>
      </c>
      <c r="F6" s="140" t="s">
        <v>62</v>
      </c>
      <c r="G6" s="140" t="s">
        <v>62</v>
      </c>
      <c r="H6" s="140" t="s">
        <v>62</v>
      </c>
      <c r="I6" s="140" t="s">
        <v>43</v>
      </c>
      <c r="J6" s="140" t="s">
        <v>44</v>
      </c>
      <c r="K6" s="140" t="s">
        <v>45</v>
      </c>
      <c r="L6" s="140" t="s">
        <v>62</v>
      </c>
      <c r="M6" s="140" t="s">
        <v>46</v>
      </c>
      <c r="N6" s="156">
        <v>0.05</v>
      </c>
      <c r="O6" s="156" t="s">
        <v>51</v>
      </c>
      <c r="P6" s="156"/>
      <c r="Q6" s="158">
        <v>0</v>
      </c>
      <c r="R6" s="158">
        <v>0</v>
      </c>
      <c r="S6" s="158">
        <v>100000</v>
      </c>
      <c r="T6" s="158">
        <f t="shared" si="0"/>
        <v>5000</v>
      </c>
      <c r="U6" s="158">
        <f t="shared" si="5"/>
        <v>105000</v>
      </c>
      <c r="V6" s="158">
        <v>105000</v>
      </c>
      <c r="W6" s="158">
        <f t="shared" si="6"/>
        <v>0</v>
      </c>
      <c r="X6" s="158">
        <f t="shared" si="1"/>
        <v>0</v>
      </c>
      <c r="Y6" s="158">
        <f t="shared" si="7"/>
        <v>0</v>
      </c>
      <c r="Z6" s="158">
        <v>100190.55</v>
      </c>
      <c r="AA6" s="158">
        <f t="shared" si="2"/>
        <v>4809.45</v>
      </c>
      <c r="AB6" s="167">
        <f t="shared" si="3"/>
        <v>95419.5714285714</v>
      </c>
      <c r="AC6" s="168">
        <f t="shared" si="4"/>
        <v>4770.97857142858</v>
      </c>
      <c r="AD6" s="169">
        <v>95419.5714285714</v>
      </c>
      <c r="AE6" s="170">
        <v>0</v>
      </c>
      <c r="AF6" s="158">
        <f t="shared" si="8"/>
        <v>0</v>
      </c>
      <c r="AG6" s="158"/>
      <c r="AH6" s="158"/>
      <c r="AI6" s="158"/>
      <c r="AJ6" s="156" t="s">
        <v>63</v>
      </c>
      <c r="AK6" s="174" t="s">
        <v>63</v>
      </c>
    </row>
    <row r="7" s="140" customFormat="1" ht="15" hidden="1" customHeight="1" spans="1:37">
      <c r="A7" s="140">
        <v>2017</v>
      </c>
      <c r="B7" s="140" t="s">
        <v>38</v>
      </c>
      <c r="C7" s="140" t="s">
        <v>54</v>
      </c>
      <c r="D7" s="140" t="s">
        <v>55</v>
      </c>
      <c r="E7" s="140" t="s">
        <v>64</v>
      </c>
      <c r="F7" s="140" t="s">
        <v>65</v>
      </c>
      <c r="G7" s="140" t="s">
        <v>66</v>
      </c>
      <c r="H7" s="140" t="s">
        <v>66</v>
      </c>
      <c r="I7" s="140" t="s">
        <v>43</v>
      </c>
      <c r="J7" s="140" t="s">
        <v>44</v>
      </c>
      <c r="K7" s="140" t="s">
        <v>45</v>
      </c>
      <c r="L7" s="140" t="s">
        <v>65</v>
      </c>
      <c r="M7" s="140" t="s">
        <v>46</v>
      </c>
      <c r="N7" s="156">
        <v>0.08</v>
      </c>
      <c r="O7" s="156" t="s">
        <v>51</v>
      </c>
      <c r="P7" s="156"/>
      <c r="Q7" s="158">
        <v>0</v>
      </c>
      <c r="R7" s="158">
        <v>0</v>
      </c>
      <c r="S7" s="158">
        <v>150000</v>
      </c>
      <c r="T7" s="158">
        <f t="shared" si="0"/>
        <v>12000</v>
      </c>
      <c r="U7" s="158">
        <f t="shared" si="5"/>
        <v>162000</v>
      </c>
      <c r="V7" s="158">
        <v>158000</v>
      </c>
      <c r="W7" s="158">
        <f t="shared" si="6"/>
        <v>4000</v>
      </c>
      <c r="X7" s="158">
        <f t="shared" si="1"/>
        <v>3703.7037037037</v>
      </c>
      <c r="Y7" s="158">
        <f t="shared" si="7"/>
        <v>296.296296296297</v>
      </c>
      <c r="Z7" s="158">
        <v>109849.76529</v>
      </c>
      <c r="AA7" s="158">
        <f t="shared" si="2"/>
        <v>48150.23471</v>
      </c>
      <c r="AB7" s="167">
        <f t="shared" si="3"/>
        <v>101712.745638889</v>
      </c>
      <c r="AC7" s="168">
        <f t="shared" si="4"/>
        <v>8137.01965111111</v>
      </c>
      <c r="AD7" s="169">
        <v>101712.745638889</v>
      </c>
      <c r="AE7" s="170">
        <v>0</v>
      </c>
      <c r="AF7" s="158">
        <f t="shared" si="8"/>
        <v>0</v>
      </c>
      <c r="AG7" s="158"/>
      <c r="AH7" s="158"/>
      <c r="AI7" s="158"/>
      <c r="AJ7" s="156" t="s">
        <v>53</v>
      </c>
      <c r="AK7" s="174" t="s">
        <v>53</v>
      </c>
    </row>
    <row r="8" s="140" customFormat="1" ht="15" hidden="1" customHeight="1" spans="1:37">
      <c r="A8" s="140">
        <v>2017</v>
      </c>
      <c r="B8" s="140" t="s">
        <v>38</v>
      </c>
      <c r="C8" s="140" t="s">
        <v>59</v>
      </c>
      <c r="D8" s="140" t="s">
        <v>60</v>
      </c>
      <c r="E8" s="140" t="s">
        <v>67</v>
      </c>
      <c r="F8" s="140" t="s">
        <v>68</v>
      </c>
      <c r="G8" s="140" t="s">
        <v>68</v>
      </c>
      <c r="H8" s="140" t="s">
        <v>68</v>
      </c>
      <c r="I8" s="140" t="s">
        <v>43</v>
      </c>
      <c r="J8" s="140" t="s">
        <v>44</v>
      </c>
      <c r="K8" s="140" t="s">
        <v>45</v>
      </c>
      <c r="L8" s="140" t="s">
        <v>68</v>
      </c>
      <c r="M8" s="140" t="s">
        <v>46</v>
      </c>
      <c r="N8" s="156">
        <v>0.1</v>
      </c>
      <c r="O8" s="156" t="s">
        <v>51</v>
      </c>
      <c r="P8" s="156"/>
      <c r="Q8" s="158">
        <v>0</v>
      </c>
      <c r="R8" s="158">
        <v>0</v>
      </c>
      <c r="S8" s="158">
        <v>170000</v>
      </c>
      <c r="T8" s="158">
        <f t="shared" si="0"/>
        <v>17000</v>
      </c>
      <c r="U8" s="158">
        <f t="shared" si="5"/>
        <v>187000</v>
      </c>
      <c r="V8" s="158">
        <v>176000</v>
      </c>
      <c r="W8" s="158">
        <f t="shared" si="6"/>
        <v>11000</v>
      </c>
      <c r="X8" s="158">
        <f t="shared" si="1"/>
        <v>10000</v>
      </c>
      <c r="Y8" s="158">
        <f t="shared" si="7"/>
        <v>1000</v>
      </c>
      <c r="Z8" s="158">
        <v>138152.41451</v>
      </c>
      <c r="AA8" s="158">
        <f t="shared" si="2"/>
        <v>37847.58549</v>
      </c>
      <c r="AB8" s="167">
        <f t="shared" si="3"/>
        <v>125593.1041</v>
      </c>
      <c r="AC8" s="168">
        <f t="shared" si="4"/>
        <v>12559.31041</v>
      </c>
      <c r="AD8" s="169">
        <v>125593.1041</v>
      </c>
      <c r="AE8" s="170">
        <v>0</v>
      </c>
      <c r="AF8" s="158">
        <f t="shared" si="8"/>
        <v>0</v>
      </c>
      <c r="AG8" s="158"/>
      <c r="AH8" s="158"/>
      <c r="AI8" s="158"/>
      <c r="AJ8" s="156" t="s">
        <v>69</v>
      </c>
      <c r="AK8" s="174" t="s">
        <v>69</v>
      </c>
    </row>
    <row r="9" s="140" customFormat="1" ht="15" hidden="1" customHeight="1" spans="1:37">
      <c r="A9" s="140">
        <v>2017</v>
      </c>
      <c r="B9" s="140" t="s">
        <v>38</v>
      </c>
      <c r="C9" s="140" t="s">
        <v>39</v>
      </c>
      <c r="D9" s="140" t="s">
        <v>40</v>
      </c>
      <c r="E9" s="140" t="s">
        <v>48</v>
      </c>
      <c r="F9" s="140" t="s">
        <v>70</v>
      </c>
      <c r="G9" s="140" t="s">
        <v>70</v>
      </c>
      <c r="H9" s="140" t="s">
        <v>70</v>
      </c>
      <c r="I9" s="140" t="s">
        <v>43</v>
      </c>
      <c r="J9" s="140" t="s">
        <v>44</v>
      </c>
      <c r="K9" s="140" t="s">
        <v>45</v>
      </c>
      <c r="L9" s="140" t="s">
        <v>70</v>
      </c>
      <c r="M9" s="140" t="s">
        <v>46</v>
      </c>
      <c r="N9" s="156">
        <v>0.11</v>
      </c>
      <c r="O9" s="156" t="s">
        <v>51</v>
      </c>
      <c r="P9" s="156"/>
      <c r="Q9" s="158">
        <v>0</v>
      </c>
      <c r="R9" s="158">
        <v>0</v>
      </c>
      <c r="S9" s="158">
        <v>50000</v>
      </c>
      <c r="T9" s="158">
        <f t="shared" si="0"/>
        <v>5500</v>
      </c>
      <c r="U9" s="158">
        <f t="shared" si="5"/>
        <v>55500</v>
      </c>
      <c r="V9" s="158">
        <v>55500</v>
      </c>
      <c r="W9" s="158">
        <f t="shared" si="6"/>
        <v>0</v>
      </c>
      <c r="X9" s="158">
        <f t="shared" si="1"/>
        <v>0</v>
      </c>
      <c r="Y9" s="158">
        <f t="shared" si="7"/>
        <v>0</v>
      </c>
      <c r="Z9" s="158">
        <v>48110.9</v>
      </c>
      <c r="AA9" s="158">
        <f t="shared" si="2"/>
        <v>7389.1</v>
      </c>
      <c r="AB9" s="167">
        <f t="shared" si="3"/>
        <v>43343.1531531532</v>
      </c>
      <c r="AC9" s="168">
        <f t="shared" si="4"/>
        <v>4767.74684684685</v>
      </c>
      <c r="AD9" s="169">
        <v>43343.1531531532</v>
      </c>
      <c r="AE9" s="170">
        <v>0</v>
      </c>
      <c r="AF9" s="158">
        <f t="shared" si="8"/>
        <v>0</v>
      </c>
      <c r="AG9" s="158"/>
      <c r="AH9" s="158"/>
      <c r="AI9" s="158"/>
      <c r="AJ9" s="157">
        <v>0.11</v>
      </c>
      <c r="AK9" s="173">
        <v>0.11</v>
      </c>
    </row>
    <row r="10" s="140" customFormat="1" ht="15" hidden="1" customHeight="1" spans="1:37">
      <c r="A10" s="140">
        <v>2017</v>
      </c>
      <c r="B10" s="140" t="s">
        <v>38</v>
      </c>
      <c r="C10" s="140" t="s">
        <v>39</v>
      </c>
      <c r="D10" s="140" t="s">
        <v>40</v>
      </c>
      <c r="E10" s="140" t="s">
        <v>71</v>
      </c>
      <c r="F10" s="140" t="s">
        <v>72</v>
      </c>
      <c r="G10" s="140" t="s">
        <v>72</v>
      </c>
      <c r="H10" s="140" t="s">
        <v>72</v>
      </c>
      <c r="I10" s="140" t="s">
        <v>43</v>
      </c>
      <c r="J10" s="140" t="s">
        <v>44</v>
      </c>
      <c r="K10" s="140" t="s">
        <v>45</v>
      </c>
      <c r="L10" s="140" t="s">
        <v>73</v>
      </c>
      <c r="M10" s="140" t="s">
        <v>46</v>
      </c>
      <c r="N10" s="156">
        <v>0.08</v>
      </c>
      <c r="O10" s="156" t="s">
        <v>51</v>
      </c>
      <c r="P10" s="156"/>
      <c r="Q10" s="158">
        <v>0</v>
      </c>
      <c r="R10" s="158">
        <v>0</v>
      </c>
      <c r="S10" s="158">
        <v>10000</v>
      </c>
      <c r="T10" s="158">
        <f t="shared" si="0"/>
        <v>800</v>
      </c>
      <c r="U10" s="158">
        <f t="shared" si="5"/>
        <v>10800</v>
      </c>
      <c r="V10" s="158">
        <v>10800</v>
      </c>
      <c r="W10" s="158">
        <f t="shared" si="6"/>
        <v>0</v>
      </c>
      <c r="X10" s="158">
        <f t="shared" si="1"/>
        <v>0</v>
      </c>
      <c r="Y10" s="158">
        <f t="shared" si="7"/>
        <v>0</v>
      </c>
      <c r="Z10" s="158">
        <v>245</v>
      </c>
      <c r="AA10" s="158">
        <f t="shared" si="2"/>
        <v>10555</v>
      </c>
      <c r="AB10" s="167">
        <f t="shared" si="3"/>
        <v>226.851851851852</v>
      </c>
      <c r="AC10" s="168">
        <f t="shared" si="4"/>
        <v>18.1481481481482</v>
      </c>
      <c r="AD10" s="169">
        <v>226.851851851852</v>
      </c>
      <c r="AE10" s="170">
        <v>0</v>
      </c>
      <c r="AF10" s="158">
        <f t="shared" si="8"/>
        <v>0</v>
      </c>
      <c r="AG10" s="158"/>
      <c r="AH10" s="158"/>
      <c r="AI10" s="158"/>
      <c r="AJ10" s="156" t="s">
        <v>53</v>
      </c>
      <c r="AK10" s="174" t="s">
        <v>53</v>
      </c>
    </row>
    <row r="11" s="140" customFormat="1" ht="15" hidden="1" customHeight="1" spans="1:37">
      <c r="A11" s="140">
        <v>2017</v>
      </c>
      <c r="B11" s="140" t="s">
        <v>38</v>
      </c>
      <c r="C11" s="140" t="s">
        <v>59</v>
      </c>
      <c r="D11" s="140" t="s">
        <v>60</v>
      </c>
      <c r="E11" s="140" t="s">
        <v>61</v>
      </c>
      <c r="F11" s="140" t="s">
        <v>74</v>
      </c>
      <c r="G11" s="140" t="s">
        <v>74</v>
      </c>
      <c r="H11" s="140" t="s">
        <v>74</v>
      </c>
      <c r="I11" s="140" t="s">
        <v>43</v>
      </c>
      <c r="J11" s="140" t="s">
        <v>44</v>
      </c>
      <c r="K11" s="140" t="s">
        <v>45</v>
      </c>
      <c r="L11" s="140" t="s">
        <v>74</v>
      </c>
      <c r="M11" s="140" t="s">
        <v>46</v>
      </c>
      <c r="N11" s="156">
        <v>0.1</v>
      </c>
      <c r="O11" s="156" t="s">
        <v>51</v>
      </c>
      <c r="P11" s="156"/>
      <c r="Q11" s="158">
        <v>0</v>
      </c>
      <c r="R11" s="158">
        <v>0</v>
      </c>
      <c r="S11" s="158">
        <v>10000</v>
      </c>
      <c r="T11" s="158">
        <f t="shared" si="0"/>
        <v>1000</v>
      </c>
      <c r="U11" s="158">
        <f t="shared" si="5"/>
        <v>11000</v>
      </c>
      <c r="V11" s="158">
        <v>10500</v>
      </c>
      <c r="W11" s="158">
        <f t="shared" si="6"/>
        <v>500</v>
      </c>
      <c r="X11" s="158">
        <f t="shared" si="1"/>
        <v>454.545454545455</v>
      </c>
      <c r="Y11" s="158">
        <f t="shared" si="7"/>
        <v>45.4545454545455</v>
      </c>
      <c r="Z11" s="158">
        <v>10500</v>
      </c>
      <c r="AA11" s="158">
        <f t="shared" si="2"/>
        <v>0</v>
      </c>
      <c r="AB11" s="167">
        <f t="shared" si="3"/>
        <v>9545.45454545454</v>
      </c>
      <c r="AC11" s="168">
        <f t="shared" si="4"/>
        <v>954.545454545456</v>
      </c>
      <c r="AD11" s="169">
        <v>9545.45454545454</v>
      </c>
      <c r="AE11" s="170">
        <v>0</v>
      </c>
      <c r="AF11" s="158">
        <f t="shared" si="8"/>
        <v>0</v>
      </c>
      <c r="AG11" s="158"/>
      <c r="AH11" s="158"/>
      <c r="AI11" s="158"/>
      <c r="AJ11" s="156" t="s">
        <v>69</v>
      </c>
      <c r="AK11" s="174" t="s">
        <v>69</v>
      </c>
    </row>
    <row r="12" s="140" customFormat="1" ht="15" hidden="1" customHeight="1" spans="1:38">
      <c r="A12" s="140">
        <v>2017</v>
      </c>
      <c r="B12" s="140" t="s">
        <v>38</v>
      </c>
      <c r="C12" s="140" t="s">
        <v>75</v>
      </c>
      <c r="D12" s="140" t="s">
        <v>76</v>
      </c>
      <c r="E12" s="140" t="s">
        <v>77</v>
      </c>
      <c r="F12" s="140" t="s">
        <v>78</v>
      </c>
      <c r="G12" s="140" t="s">
        <v>78</v>
      </c>
      <c r="H12" s="140" t="s">
        <v>78</v>
      </c>
      <c r="I12" s="140" t="s">
        <v>43</v>
      </c>
      <c r="J12" s="140" t="s">
        <v>44</v>
      </c>
      <c r="K12" s="140" t="s">
        <v>45</v>
      </c>
      <c r="L12" s="140" t="s">
        <v>79</v>
      </c>
      <c r="M12" s="140" t="s">
        <v>46</v>
      </c>
      <c r="N12" s="156">
        <v>0.08</v>
      </c>
      <c r="O12" s="156" t="s">
        <v>51</v>
      </c>
      <c r="P12" s="156"/>
      <c r="Q12" s="158">
        <v>0</v>
      </c>
      <c r="R12" s="158">
        <v>0</v>
      </c>
      <c r="S12" s="158">
        <v>216924.4</v>
      </c>
      <c r="T12" s="158">
        <f t="shared" si="0"/>
        <v>17353.952</v>
      </c>
      <c r="U12" s="158">
        <f t="shared" si="5"/>
        <v>234278.352</v>
      </c>
      <c r="V12" s="158">
        <v>234278</v>
      </c>
      <c r="W12" s="158">
        <f t="shared" si="6"/>
        <v>0.3519999999844</v>
      </c>
      <c r="X12" s="158">
        <f t="shared" si="1"/>
        <v>0.325925925911482</v>
      </c>
      <c r="Y12" s="158">
        <f t="shared" si="7"/>
        <v>0.0260740740729186</v>
      </c>
      <c r="Z12" s="158">
        <v>234278</v>
      </c>
      <c r="AA12" s="158">
        <f t="shared" si="2"/>
        <v>0</v>
      </c>
      <c r="AB12" s="167">
        <f t="shared" si="3"/>
        <v>216924.074074074</v>
      </c>
      <c r="AC12" s="168">
        <f t="shared" si="4"/>
        <v>17353.9259259259</v>
      </c>
      <c r="AD12" s="169">
        <v>216924.074074074</v>
      </c>
      <c r="AE12" s="170">
        <v>0</v>
      </c>
      <c r="AF12" s="158">
        <f t="shared" si="8"/>
        <v>0</v>
      </c>
      <c r="AG12" s="158"/>
      <c r="AH12" s="158"/>
      <c r="AI12" s="158"/>
      <c r="AJ12" s="157">
        <v>0.08</v>
      </c>
      <c r="AK12" s="173">
        <v>0.08</v>
      </c>
      <c r="AL12" s="140" t="s">
        <v>80</v>
      </c>
    </row>
    <row r="13" s="140" customFormat="1" ht="15" hidden="1" customHeight="1" spans="1:37">
      <c r="A13" s="140">
        <v>2017</v>
      </c>
      <c r="B13" s="140" t="s">
        <v>38</v>
      </c>
      <c r="C13" s="140" t="s">
        <v>39</v>
      </c>
      <c r="D13" s="140" t="s">
        <v>81</v>
      </c>
      <c r="E13" s="140" t="s">
        <v>82</v>
      </c>
      <c r="F13" s="140" t="s">
        <v>83</v>
      </c>
      <c r="G13" s="140" t="s">
        <v>83</v>
      </c>
      <c r="H13" s="140" t="s">
        <v>83</v>
      </c>
      <c r="I13" s="140" t="s">
        <v>43</v>
      </c>
      <c r="J13" s="140" t="s">
        <v>44</v>
      </c>
      <c r="K13" s="140" t="s">
        <v>45</v>
      </c>
      <c r="L13" s="140" t="s">
        <v>84</v>
      </c>
      <c r="M13" s="140" t="s">
        <v>46</v>
      </c>
      <c r="N13" s="156">
        <v>0.13</v>
      </c>
      <c r="O13" s="156" t="s">
        <v>51</v>
      </c>
      <c r="P13" s="156"/>
      <c r="Q13" s="158">
        <v>0</v>
      </c>
      <c r="R13" s="158">
        <v>0</v>
      </c>
      <c r="S13" s="158">
        <v>100000</v>
      </c>
      <c r="T13" s="158">
        <f t="shared" si="0"/>
        <v>13000</v>
      </c>
      <c r="U13" s="158">
        <f t="shared" si="5"/>
        <v>113000</v>
      </c>
      <c r="V13" s="158">
        <v>100000</v>
      </c>
      <c r="W13" s="158">
        <f t="shared" si="6"/>
        <v>13000</v>
      </c>
      <c r="X13" s="158">
        <f t="shared" si="1"/>
        <v>11504.4247787611</v>
      </c>
      <c r="Y13" s="158">
        <f t="shared" si="7"/>
        <v>1495.57522123894</v>
      </c>
      <c r="Z13" s="158">
        <v>53644.71671</v>
      </c>
      <c r="AA13" s="158">
        <f t="shared" si="2"/>
        <v>46355.28329</v>
      </c>
      <c r="AB13" s="167">
        <f t="shared" si="3"/>
        <v>47473.2006283186</v>
      </c>
      <c r="AC13" s="168">
        <f t="shared" si="4"/>
        <v>6171.51608168141</v>
      </c>
      <c r="AD13" s="169">
        <v>47473.2006283186</v>
      </c>
      <c r="AE13" s="170">
        <v>0</v>
      </c>
      <c r="AF13" s="158">
        <f t="shared" si="8"/>
        <v>0</v>
      </c>
      <c r="AG13" s="158"/>
      <c r="AH13" s="158"/>
      <c r="AI13" s="158"/>
      <c r="AJ13" s="156" t="s">
        <v>85</v>
      </c>
      <c r="AK13" s="174" t="s">
        <v>85</v>
      </c>
    </row>
    <row r="14" s="140" customFormat="1" ht="15" hidden="1" customHeight="1" spans="1:38">
      <c r="A14" s="140">
        <v>2017</v>
      </c>
      <c r="B14" s="140" t="s">
        <v>38</v>
      </c>
      <c r="C14" s="140" t="s">
        <v>39</v>
      </c>
      <c r="D14" s="140" t="s">
        <v>81</v>
      </c>
      <c r="E14" s="140" t="s">
        <v>82</v>
      </c>
      <c r="F14" s="140" t="s">
        <v>86</v>
      </c>
      <c r="G14" s="140" t="s">
        <v>86</v>
      </c>
      <c r="H14" s="140" t="s">
        <v>86</v>
      </c>
      <c r="I14" s="140" t="s">
        <v>43</v>
      </c>
      <c r="J14" s="140" t="s">
        <v>44</v>
      </c>
      <c r="K14" s="140" t="s">
        <v>45</v>
      </c>
      <c r="L14" s="140" t="s">
        <v>86</v>
      </c>
      <c r="M14" s="140" t="s">
        <v>46</v>
      </c>
      <c r="N14" s="156">
        <v>0.11</v>
      </c>
      <c r="O14" s="156" t="s">
        <v>51</v>
      </c>
      <c r="P14" s="156"/>
      <c r="Q14" s="158">
        <v>0</v>
      </c>
      <c r="R14" s="158">
        <v>0</v>
      </c>
      <c r="S14" s="158">
        <v>50000</v>
      </c>
      <c r="T14" s="158">
        <f t="shared" si="0"/>
        <v>5500</v>
      </c>
      <c r="U14" s="158">
        <f t="shared" si="5"/>
        <v>55500</v>
      </c>
      <c r="V14" s="158">
        <v>55500</v>
      </c>
      <c r="W14" s="158">
        <f t="shared" si="6"/>
        <v>0</v>
      </c>
      <c r="X14" s="158">
        <f t="shared" si="1"/>
        <v>0</v>
      </c>
      <c r="Y14" s="158">
        <f t="shared" si="7"/>
        <v>0</v>
      </c>
      <c r="Z14" s="158">
        <v>13431.2</v>
      </c>
      <c r="AA14" s="158">
        <f t="shared" si="2"/>
        <v>42068.8</v>
      </c>
      <c r="AB14" s="167">
        <f t="shared" si="3"/>
        <v>12100.1801801802</v>
      </c>
      <c r="AC14" s="168">
        <f t="shared" si="4"/>
        <v>1331.01981981982</v>
      </c>
      <c r="AD14" s="169">
        <v>12100.1801801802</v>
      </c>
      <c r="AE14" s="170">
        <v>0</v>
      </c>
      <c r="AF14" s="158">
        <f t="shared" si="8"/>
        <v>0</v>
      </c>
      <c r="AG14" s="158"/>
      <c r="AH14" s="158"/>
      <c r="AI14" s="158"/>
      <c r="AJ14" s="157">
        <v>0.11</v>
      </c>
      <c r="AK14" s="173">
        <v>0.11</v>
      </c>
      <c r="AL14" s="140" t="s">
        <v>58</v>
      </c>
    </row>
    <row r="15" s="140" customFormat="1" ht="15" hidden="1" customHeight="1" spans="1:37">
      <c r="A15" s="140">
        <v>2017</v>
      </c>
      <c r="B15" s="140" t="s">
        <v>38</v>
      </c>
      <c r="C15" s="140" t="s">
        <v>39</v>
      </c>
      <c r="D15" s="140" t="s">
        <v>40</v>
      </c>
      <c r="E15" s="140" t="s">
        <v>48</v>
      </c>
      <c r="F15" s="140" t="s">
        <v>87</v>
      </c>
      <c r="G15" s="140" t="s">
        <v>87</v>
      </c>
      <c r="H15" s="140" t="s">
        <v>87</v>
      </c>
      <c r="I15" s="140" t="s">
        <v>43</v>
      </c>
      <c r="J15" s="140" t="s">
        <v>44</v>
      </c>
      <c r="K15" s="140" t="s">
        <v>45</v>
      </c>
      <c r="L15" s="140" t="s">
        <v>87</v>
      </c>
      <c r="M15" s="140" t="s">
        <v>46</v>
      </c>
      <c r="N15" s="156">
        <v>0.08</v>
      </c>
      <c r="O15" s="156" t="s">
        <v>51</v>
      </c>
      <c r="P15" s="156"/>
      <c r="Q15" s="158">
        <v>0</v>
      </c>
      <c r="R15" s="158">
        <v>0</v>
      </c>
      <c r="S15" s="158">
        <v>370000</v>
      </c>
      <c r="T15" s="158">
        <f t="shared" si="0"/>
        <v>29600</v>
      </c>
      <c r="U15" s="158">
        <f t="shared" si="5"/>
        <v>399600</v>
      </c>
      <c r="V15" s="158">
        <v>394800</v>
      </c>
      <c r="W15" s="158">
        <f t="shared" si="6"/>
        <v>4800</v>
      </c>
      <c r="X15" s="158">
        <f t="shared" si="1"/>
        <v>4444.44444444444</v>
      </c>
      <c r="Y15" s="158">
        <f t="shared" si="7"/>
        <v>355.555555555556</v>
      </c>
      <c r="Z15" s="158">
        <v>379365.79</v>
      </c>
      <c r="AA15" s="158">
        <f t="shared" si="2"/>
        <v>15434.21</v>
      </c>
      <c r="AB15" s="167">
        <f t="shared" si="3"/>
        <v>351264.62037037</v>
      </c>
      <c r="AC15" s="168">
        <f t="shared" si="4"/>
        <v>28101.1696296296</v>
      </c>
      <c r="AD15" s="169">
        <v>351264.62037037</v>
      </c>
      <c r="AE15" s="170">
        <v>0</v>
      </c>
      <c r="AF15" s="158">
        <f t="shared" si="8"/>
        <v>0</v>
      </c>
      <c r="AG15" s="158"/>
      <c r="AH15" s="158"/>
      <c r="AI15" s="158"/>
      <c r="AJ15" s="156" t="s">
        <v>53</v>
      </c>
      <c r="AK15" s="174" t="s">
        <v>53</v>
      </c>
    </row>
    <row r="16" s="140" customFormat="1" ht="15" hidden="1" customHeight="1" spans="1:37">
      <c r="A16" s="140">
        <v>2017</v>
      </c>
      <c r="B16" s="140" t="s">
        <v>38</v>
      </c>
      <c r="C16" s="140" t="s">
        <v>88</v>
      </c>
      <c r="D16" s="140" t="s">
        <v>89</v>
      </c>
      <c r="E16" s="140" t="s">
        <v>90</v>
      </c>
      <c r="F16" s="140" t="s">
        <v>91</v>
      </c>
      <c r="G16" s="140" t="s">
        <v>91</v>
      </c>
      <c r="H16" s="140" t="s">
        <v>91</v>
      </c>
      <c r="I16" s="140" t="s">
        <v>43</v>
      </c>
      <c r="J16" s="140" t="s">
        <v>44</v>
      </c>
      <c r="K16" s="140" t="s">
        <v>45</v>
      </c>
      <c r="L16" s="140" t="s">
        <v>91</v>
      </c>
      <c r="M16" s="140" t="s">
        <v>46</v>
      </c>
      <c r="N16" s="156">
        <v>0</v>
      </c>
      <c r="O16" s="156" t="s">
        <v>47</v>
      </c>
      <c r="P16" s="156"/>
      <c r="Q16" s="158">
        <v>0</v>
      </c>
      <c r="R16" s="158">
        <v>0</v>
      </c>
      <c r="S16" s="158">
        <v>20000</v>
      </c>
      <c r="T16" s="158">
        <f t="shared" si="0"/>
        <v>0</v>
      </c>
      <c r="U16" s="158">
        <f t="shared" si="5"/>
        <v>20000</v>
      </c>
      <c r="V16" s="158">
        <v>20000</v>
      </c>
      <c r="W16" s="158">
        <f t="shared" si="6"/>
        <v>0</v>
      </c>
      <c r="X16" s="158">
        <f t="shared" si="1"/>
        <v>0</v>
      </c>
      <c r="Y16" s="158">
        <f t="shared" si="7"/>
        <v>0</v>
      </c>
      <c r="Z16" s="158">
        <v>7708.5</v>
      </c>
      <c r="AA16" s="158">
        <f t="shared" si="2"/>
        <v>12291.5</v>
      </c>
      <c r="AB16" s="167">
        <f t="shared" si="3"/>
        <v>7708.5</v>
      </c>
      <c r="AC16" s="168">
        <f t="shared" si="4"/>
        <v>0</v>
      </c>
      <c r="AD16" s="169">
        <v>7708.5</v>
      </c>
      <c r="AE16" s="170">
        <v>0</v>
      </c>
      <c r="AF16" s="158">
        <f t="shared" si="8"/>
        <v>0</v>
      </c>
      <c r="AG16" s="158"/>
      <c r="AH16" s="158"/>
      <c r="AI16" s="158"/>
      <c r="AJ16" s="156" t="s">
        <v>47</v>
      </c>
      <c r="AK16" s="174" t="s">
        <v>47</v>
      </c>
    </row>
    <row r="17" s="140" customFormat="1" ht="15" hidden="1" customHeight="1" spans="1:37">
      <c r="A17" s="140">
        <v>2017</v>
      </c>
      <c r="B17" s="140" t="s">
        <v>38</v>
      </c>
      <c r="C17" s="140" t="s">
        <v>39</v>
      </c>
      <c r="D17" s="140" t="s">
        <v>40</v>
      </c>
      <c r="E17" s="140" t="s">
        <v>71</v>
      </c>
      <c r="F17" s="140" t="s">
        <v>92</v>
      </c>
      <c r="G17" s="140" t="s">
        <v>92</v>
      </c>
      <c r="H17" s="140" t="s">
        <v>92</v>
      </c>
      <c r="I17" s="140" t="s">
        <v>43</v>
      </c>
      <c r="J17" s="140" t="s">
        <v>44</v>
      </c>
      <c r="K17" s="140" t="s">
        <v>45</v>
      </c>
      <c r="L17" s="140" t="s">
        <v>93</v>
      </c>
      <c r="M17" s="140" t="s">
        <v>46</v>
      </c>
      <c r="N17" s="156">
        <v>0.11</v>
      </c>
      <c r="O17" s="156" t="s">
        <v>51</v>
      </c>
      <c r="P17" s="156"/>
      <c r="Q17" s="158">
        <v>0</v>
      </c>
      <c r="R17" s="158">
        <v>0</v>
      </c>
      <c r="S17" s="158">
        <v>9009</v>
      </c>
      <c r="T17" s="158">
        <f t="shared" si="0"/>
        <v>990.99</v>
      </c>
      <c r="U17" s="158">
        <f t="shared" si="5"/>
        <v>9999.99</v>
      </c>
      <c r="V17" s="158">
        <v>10000</v>
      </c>
      <c r="W17" s="158">
        <f t="shared" si="6"/>
        <v>-0.0100000000002183</v>
      </c>
      <c r="X17" s="158">
        <f t="shared" si="1"/>
        <v>-0.00900900900920566</v>
      </c>
      <c r="Y17" s="158">
        <f t="shared" si="7"/>
        <v>-0.000990990991012623</v>
      </c>
      <c r="Z17" s="158">
        <v>1921.50097</v>
      </c>
      <c r="AA17" s="158">
        <f t="shared" si="2"/>
        <v>8078.49903</v>
      </c>
      <c r="AB17" s="167">
        <f t="shared" si="3"/>
        <v>1731.08195495495</v>
      </c>
      <c r="AC17" s="168">
        <f t="shared" si="4"/>
        <v>190.419015045045</v>
      </c>
      <c r="AD17" s="169">
        <v>1731.08195495495</v>
      </c>
      <c r="AE17" s="170">
        <v>0</v>
      </c>
      <c r="AF17" s="158">
        <f t="shared" si="8"/>
        <v>0</v>
      </c>
      <c r="AG17" s="158"/>
      <c r="AH17" s="158"/>
      <c r="AI17" s="158"/>
      <c r="AJ17" s="156" t="s">
        <v>94</v>
      </c>
      <c r="AK17" s="174" t="s">
        <v>94</v>
      </c>
    </row>
    <row r="18" s="140" customFormat="1" ht="15" hidden="1" customHeight="1" spans="1:37">
      <c r="A18" s="140">
        <v>2017</v>
      </c>
      <c r="B18" s="140" t="s">
        <v>38</v>
      </c>
      <c r="C18" s="140" t="s">
        <v>88</v>
      </c>
      <c r="D18" s="140" t="s">
        <v>95</v>
      </c>
      <c r="E18" s="140" t="s">
        <v>96</v>
      </c>
      <c r="F18" s="140" t="s">
        <v>97</v>
      </c>
      <c r="G18" s="140" t="s">
        <v>97</v>
      </c>
      <c r="H18" s="140" t="s">
        <v>97</v>
      </c>
      <c r="I18" s="140" t="s">
        <v>43</v>
      </c>
      <c r="J18" s="140" t="s">
        <v>44</v>
      </c>
      <c r="K18" s="140" t="s">
        <v>45</v>
      </c>
      <c r="L18" s="140" t="s">
        <v>97</v>
      </c>
      <c r="M18" s="140" t="s">
        <v>46</v>
      </c>
      <c r="N18" s="156">
        <v>0.08</v>
      </c>
      <c r="O18" s="156" t="s">
        <v>51</v>
      </c>
      <c r="P18" s="156"/>
      <c r="Q18" s="158">
        <v>0</v>
      </c>
      <c r="R18" s="158">
        <v>0</v>
      </c>
      <c r="S18" s="158">
        <v>30000</v>
      </c>
      <c r="T18" s="158">
        <f t="shared" si="0"/>
        <v>2400</v>
      </c>
      <c r="U18" s="158">
        <f t="shared" si="5"/>
        <v>32400</v>
      </c>
      <c r="V18" s="158">
        <v>31600</v>
      </c>
      <c r="W18" s="158">
        <f t="shared" si="6"/>
        <v>800</v>
      </c>
      <c r="X18" s="158">
        <f t="shared" si="1"/>
        <v>740.740740740741</v>
      </c>
      <c r="Y18" s="158">
        <f t="shared" si="7"/>
        <v>59.2592592592594</v>
      </c>
      <c r="Z18" s="158">
        <v>19806.42</v>
      </c>
      <c r="AA18" s="158">
        <f t="shared" si="2"/>
        <v>11793.58</v>
      </c>
      <c r="AB18" s="167">
        <f t="shared" si="3"/>
        <v>18339.2777777778</v>
      </c>
      <c r="AC18" s="168">
        <f t="shared" si="4"/>
        <v>1467.14222222222</v>
      </c>
      <c r="AD18" s="169">
        <v>18339.2777777778</v>
      </c>
      <c r="AE18" s="170">
        <v>0</v>
      </c>
      <c r="AF18" s="158">
        <f t="shared" si="8"/>
        <v>0</v>
      </c>
      <c r="AG18" s="158"/>
      <c r="AH18" s="158"/>
      <c r="AI18" s="158"/>
      <c r="AJ18" s="156" t="s">
        <v>53</v>
      </c>
      <c r="AK18" s="174" t="s">
        <v>53</v>
      </c>
    </row>
    <row r="19" s="140" customFormat="1" ht="15" hidden="1" customHeight="1" spans="1:37">
      <c r="A19" s="140">
        <v>2017</v>
      </c>
      <c r="B19" s="140" t="s">
        <v>38</v>
      </c>
      <c r="C19" s="140" t="s">
        <v>88</v>
      </c>
      <c r="D19" s="140" t="s">
        <v>95</v>
      </c>
      <c r="E19" s="140" t="s">
        <v>98</v>
      </c>
      <c r="F19" s="140" t="s">
        <v>99</v>
      </c>
      <c r="G19" s="140" t="s">
        <v>99</v>
      </c>
      <c r="H19" s="140" t="s">
        <v>99</v>
      </c>
      <c r="I19" s="140" t="s">
        <v>43</v>
      </c>
      <c r="J19" s="140" t="s">
        <v>44</v>
      </c>
      <c r="K19" s="140" t="s">
        <v>45</v>
      </c>
      <c r="L19" s="140" t="s">
        <v>100</v>
      </c>
      <c r="M19" s="140" t="s">
        <v>46</v>
      </c>
      <c r="N19" s="156">
        <v>0.08</v>
      </c>
      <c r="O19" s="156" t="s">
        <v>51</v>
      </c>
      <c r="P19" s="156"/>
      <c r="Q19" s="158">
        <v>0</v>
      </c>
      <c r="R19" s="158">
        <v>0</v>
      </c>
      <c r="S19" s="158">
        <v>100000</v>
      </c>
      <c r="T19" s="158">
        <f t="shared" si="0"/>
        <v>8000</v>
      </c>
      <c r="U19" s="158">
        <f t="shared" si="5"/>
        <v>108000</v>
      </c>
      <c r="V19" s="158">
        <v>108000</v>
      </c>
      <c r="W19" s="158">
        <f t="shared" si="6"/>
        <v>0</v>
      </c>
      <c r="X19" s="158">
        <f t="shared" si="1"/>
        <v>0</v>
      </c>
      <c r="Y19" s="158">
        <f t="shared" si="7"/>
        <v>0</v>
      </c>
      <c r="Z19" s="158">
        <v>56012.58</v>
      </c>
      <c r="AA19" s="158">
        <f t="shared" si="2"/>
        <v>51987.42</v>
      </c>
      <c r="AB19" s="167">
        <f t="shared" si="3"/>
        <v>51863.5</v>
      </c>
      <c r="AC19" s="168">
        <f t="shared" si="4"/>
        <v>4149.08</v>
      </c>
      <c r="AD19" s="169">
        <v>51863.5</v>
      </c>
      <c r="AE19" s="170">
        <v>0</v>
      </c>
      <c r="AF19" s="158">
        <f t="shared" si="8"/>
        <v>0</v>
      </c>
      <c r="AG19" s="158"/>
      <c r="AH19" s="158"/>
      <c r="AI19" s="158"/>
      <c r="AJ19" s="156" t="s">
        <v>101</v>
      </c>
      <c r="AK19" s="174" t="s">
        <v>101</v>
      </c>
    </row>
    <row r="20" s="140" customFormat="1" ht="15" hidden="1" customHeight="1" spans="1:37">
      <c r="A20" s="140">
        <v>2017</v>
      </c>
      <c r="B20" s="140" t="s">
        <v>38</v>
      </c>
      <c r="C20" s="140" t="s">
        <v>54</v>
      </c>
      <c r="D20" s="140" t="s">
        <v>102</v>
      </c>
      <c r="E20" s="140" t="s">
        <v>103</v>
      </c>
      <c r="F20" s="140" t="s">
        <v>104</v>
      </c>
      <c r="G20" s="140" t="s">
        <v>104</v>
      </c>
      <c r="H20" s="140" t="s">
        <v>104</v>
      </c>
      <c r="I20" s="140" t="s">
        <v>43</v>
      </c>
      <c r="J20" s="140" t="s">
        <v>44</v>
      </c>
      <c r="K20" s="140" t="s">
        <v>45</v>
      </c>
      <c r="L20" s="140" t="s">
        <v>105</v>
      </c>
      <c r="M20" s="140" t="s">
        <v>46</v>
      </c>
      <c r="N20" s="156">
        <v>0.05</v>
      </c>
      <c r="O20" s="156" t="s">
        <v>51</v>
      </c>
      <c r="P20" s="156"/>
      <c r="Q20" s="158">
        <v>0</v>
      </c>
      <c r="R20" s="158">
        <v>0</v>
      </c>
      <c r="S20" s="158">
        <v>10000</v>
      </c>
      <c r="T20" s="158">
        <f t="shared" si="0"/>
        <v>500</v>
      </c>
      <c r="U20" s="158">
        <f t="shared" si="5"/>
        <v>10500</v>
      </c>
      <c r="V20" s="158">
        <v>10000</v>
      </c>
      <c r="W20" s="158">
        <f t="shared" si="6"/>
        <v>500</v>
      </c>
      <c r="X20" s="158">
        <f t="shared" si="1"/>
        <v>476.190476190476</v>
      </c>
      <c r="Y20" s="158">
        <f t="shared" si="7"/>
        <v>23.8095238095239</v>
      </c>
      <c r="Z20" s="158">
        <v>4672.1</v>
      </c>
      <c r="AA20" s="158">
        <f t="shared" si="2"/>
        <v>5327.9</v>
      </c>
      <c r="AB20" s="167">
        <f t="shared" si="3"/>
        <v>4449.61904761905</v>
      </c>
      <c r="AC20" s="168">
        <f t="shared" si="4"/>
        <v>222.480952380953</v>
      </c>
      <c r="AD20" s="169">
        <v>4449.61904761905</v>
      </c>
      <c r="AE20" s="170">
        <v>0</v>
      </c>
      <c r="AF20" s="158">
        <f t="shared" si="8"/>
        <v>0</v>
      </c>
      <c r="AG20" s="158"/>
      <c r="AH20" s="158"/>
      <c r="AI20" s="158"/>
      <c r="AJ20" s="156" t="s">
        <v>63</v>
      </c>
      <c r="AK20" s="174" t="s">
        <v>63</v>
      </c>
    </row>
    <row r="21" s="140" customFormat="1" ht="15" hidden="1" customHeight="1" spans="1:38">
      <c r="A21" s="140">
        <v>2017</v>
      </c>
      <c r="B21" s="140" t="s">
        <v>38</v>
      </c>
      <c r="C21" s="140" t="s">
        <v>59</v>
      </c>
      <c r="D21" s="140" t="s">
        <v>106</v>
      </c>
      <c r="E21" s="140" t="s">
        <v>107</v>
      </c>
      <c r="F21" s="140" t="s">
        <v>108</v>
      </c>
      <c r="G21" s="140" t="s">
        <v>108</v>
      </c>
      <c r="H21" s="140" t="s">
        <v>108</v>
      </c>
      <c r="I21" s="140" t="s">
        <v>43</v>
      </c>
      <c r="J21" s="140" t="s">
        <v>44</v>
      </c>
      <c r="K21" s="140" t="s">
        <v>45</v>
      </c>
      <c r="L21" s="140" t="s">
        <v>109</v>
      </c>
      <c r="M21" s="140" t="s">
        <v>46</v>
      </c>
      <c r="N21" s="156">
        <v>0.05</v>
      </c>
      <c r="O21" s="156" t="s">
        <v>51</v>
      </c>
      <c r="P21" s="156"/>
      <c r="Q21" s="158">
        <v>0</v>
      </c>
      <c r="R21" s="158">
        <v>0</v>
      </c>
      <c r="S21" s="158">
        <v>35000</v>
      </c>
      <c r="T21" s="158">
        <f t="shared" si="0"/>
        <v>1750</v>
      </c>
      <c r="U21" s="158">
        <f t="shared" si="5"/>
        <v>36750</v>
      </c>
      <c r="V21" s="158">
        <v>36750</v>
      </c>
      <c r="W21" s="158">
        <f t="shared" si="6"/>
        <v>0</v>
      </c>
      <c r="X21" s="158">
        <f t="shared" si="1"/>
        <v>0</v>
      </c>
      <c r="Y21" s="158">
        <f t="shared" si="7"/>
        <v>0</v>
      </c>
      <c r="Z21" s="158">
        <v>35750.22</v>
      </c>
      <c r="AA21" s="158">
        <f t="shared" si="2"/>
        <v>999.779999999999</v>
      </c>
      <c r="AB21" s="167">
        <f t="shared" si="3"/>
        <v>34047.8285714286</v>
      </c>
      <c r="AC21" s="168">
        <f t="shared" si="4"/>
        <v>1702.39142857143</v>
      </c>
      <c r="AD21" s="169">
        <v>34047.8285714286</v>
      </c>
      <c r="AE21" s="170">
        <v>0</v>
      </c>
      <c r="AF21" s="158">
        <f t="shared" si="8"/>
        <v>0</v>
      </c>
      <c r="AG21" s="158"/>
      <c r="AH21" s="158"/>
      <c r="AI21" s="158"/>
      <c r="AJ21" s="156" t="s">
        <v>63</v>
      </c>
      <c r="AK21" s="174" t="s">
        <v>63</v>
      </c>
      <c r="AL21" s="140" t="s">
        <v>58</v>
      </c>
    </row>
    <row r="22" s="140" customFormat="1" ht="15" hidden="1" customHeight="1" spans="1:37">
      <c r="A22" s="140">
        <v>2017</v>
      </c>
      <c r="B22" s="140" t="s">
        <v>38</v>
      </c>
      <c r="C22" s="140" t="s">
        <v>110</v>
      </c>
      <c r="D22" s="140" t="s">
        <v>111</v>
      </c>
      <c r="E22" s="140" t="s">
        <v>112</v>
      </c>
      <c r="F22" s="140" t="s">
        <v>113</v>
      </c>
      <c r="G22" s="140" t="s">
        <v>113</v>
      </c>
      <c r="H22" s="140" t="s">
        <v>113</v>
      </c>
      <c r="I22" s="140" t="s">
        <v>43</v>
      </c>
      <c r="J22" s="140" t="s">
        <v>44</v>
      </c>
      <c r="K22" s="140" t="s">
        <v>45</v>
      </c>
      <c r="L22" s="140" t="s">
        <v>114</v>
      </c>
      <c r="M22" s="140" t="s">
        <v>46</v>
      </c>
      <c r="N22" s="156">
        <v>0.05</v>
      </c>
      <c r="O22" s="156" t="s">
        <v>51</v>
      </c>
      <c r="P22" s="156"/>
      <c r="Q22" s="158">
        <v>0</v>
      </c>
      <c r="R22" s="158">
        <v>0</v>
      </c>
      <c r="S22" s="158">
        <v>70000</v>
      </c>
      <c r="T22" s="158">
        <f t="shared" si="0"/>
        <v>3500</v>
      </c>
      <c r="U22" s="158">
        <f t="shared" si="5"/>
        <v>73500</v>
      </c>
      <c r="V22" s="158">
        <v>63000</v>
      </c>
      <c r="W22" s="158">
        <f t="shared" si="6"/>
        <v>10500</v>
      </c>
      <c r="X22" s="158">
        <f t="shared" si="1"/>
        <v>10000</v>
      </c>
      <c r="Y22" s="158">
        <f t="shared" si="7"/>
        <v>500</v>
      </c>
      <c r="Z22" s="158">
        <v>62989.79</v>
      </c>
      <c r="AA22" s="158">
        <f t="shared" si="2"/>
        <v>10.2099999999991</v>
      </c>
      <c r="AB22" s="167">
        <f t="shared" si="3"/>
        <v>59990.2761904762</v>
      </c>
      <c r="AC22" s="168">
        <f t="shared" si="4"/>
        <v>2999.51380952381</v>
      </c>
      <c r="AD22" s="169">
        <v>59990.2761904762</v>
      </c>
      <c r="AE22" s="170">
        <v>0</v>
      </c>
      <c r="AF22" s="158">
        <f t="shared" si="8"/>
        <v>0</v>
      </c>
      <c r="AG22" s="158"/>
      <c r="AH22" s="158"/>
      <c r="AI22" s="158"/>
      <c r="AJ22" s="157">
        <v>0.05</v>
      </c>
      <c r="AK22" s="173">
        <v>0.05</v>
      </c>
    </row>
    <row r="23" s="140" customFormat="1" ht="15" hidden="1" customHeight="1" spans="1:37">
      <c r="A23" s="140">
        <v>2017</v>
      </c>
      <c r="B23" s="140" t="s">
        <v>38</v>
      </c>
      <c r="C23" s="140" t="s">
        <v>54</v>
      </c>
      <c r="D23" s="140" t="s">
        <v>102</v>
      </c>
      <c r="E23" s="140" t="s">
        <v>115</v>
      </c>
      <c r="F23" s="140" t="s">
        <v>116</v>
      </c>
      <c r="G23" s="140" t="s">
        <v>116</v>
      </c>
      <c r="H23" s="140" t="s">
        <v>116</v>
      </c>
      <c r="I23" s="140" t="s">
        <v>43</v>
      </c>
      <c r="J23" s="140" t="s">
        <v>44</v>
      </c>
      <c r="K23" s="140" t="s">
        <v>45</v>
      </c>
      <c r="L23" s="140" t="s">
        <v>116</v>
      </c>
      <c r="M23" s="140" t="s">
        <v>46</v>
      </c>
      <c r="N23" s="156">
        <v>0.12</v>
      </c>
      <c r="O23" s="156" t="s">
        <v>51</v>
      </c>
      <c r="P23" s="156"/>
      <c r="Q23" s="158">
        <v>0</v>
      </c>
      <c r="R23" s="158">
        <v>0</v>
      </c>
      <c r="S23" s="158">
        <v>36785.72</v>
      </c>
      <c r="T23" s="158">
        <f t="shared" si="0"/>
        <v>4414.2864</v>
      </c>
      <c r="U23" s="158">
        <f t="shared" si="5"/>
        <v>41200.0064</v>
      </c>
      <c r="V23" s="158">
        <v>41200</v>
      </c>
      <c r="W23" s="158">
        <f t="shared" si="6"/>
        <v>0.00639999999839347</v>
      </c>
      <c r="X23" s="158">
        <f t="shared" si="1"/>
        <v>0.00571428571285131</v>
      </c>
      <c r="Y23" s="158">
        <f t="shared" si="7"/>
        <v>0.000685714285542158</v>
      </c>
      <c r="Z23" s="158">
        <v>27741.4</v>
      </c>
      <c r="AA23" s="158">
        <f t="shared" si="2"/>
        <v>13458.6</v>
      </c>
      <c r="AB23" s="167">
        <f t="shared" si="3"/>
        <v>24769.1071428571</v>
      </c>
      <c r="AC23" s="168">
        <f t="shared" si="4"/>
        <v>2972.29285714286</v>
      </c>
      <c r="AD23" s="169">
        <v>24769.1071428571</v>
      </c>
      <c r="AE23" s="170">
        <v>0</v>
      </c>
      <c r="AF23" s="158">
        <f t="shared" si="8"/>
        <v>0</v>
      </c>
      <c r="AG23" s="158"/>
      <c r="AH23" s="158"/>
      <c r="AI23" s="158"/>
      <c r="AJ23" s="156" t="s">
        <v>117</v>
      </c>
      <c r="AK23" s="174" t="s">
        <v>117</v>
      </c>
    </row>
    <row r="24" s="140" customFormat="1" ht="15" hidden="1" customHeight="1" spans="1:38">
      <c r="A24" s="140">
        <v>2017</v>
      </c>
      <c r="B24" s="140" t="s">
        <v>38</v>
      </c>
      <c r="C24" s="140" t="s">
        <v>75</v>
      </c>
      <c r="D24" s="140" t="s">
        <v>76</v>
      </c>
      <c r="E24" s="140" t="s">
        <v>118</v>
      </c>
      <c r="F24" s="140" t="s">
        <v>119</v>
      </c>
      <c r="G24" s="140" t="s">
        <v>119</v>
      </c>
      <c r="H24" s="140" t="s">
        <v>119</v>
      </c>
      <c r="I24" s="140" t="s">
        <v>43</v>
      </c>
      <c r="J24" s="140" t="s">
        <v>44</v>
      </c>
      <c r="K24" s="140" t="s">
        <v>45</v>
      </c>
      <c r="L24" s="140" t="s">
        <v>119</v>
      </c>
      <c r="M24" s="140" t="s">
        <v>46</v>
      </c>
      <c r="N24" s="156">
        <v>0.1</v>
      </c>
      <c r="O24" s="156" t="s">
        <v>51</v>
      </c>
      <c r="P24" s="156"/>
      <c r="Q24" s="158">
        <v>0</v>
      </c>
      <c r="R24" s="158">
        <v>0</v>
      </c>
      <c r="S24" s="158">
        <v>223731.37</v>
      </c>
      <c r="T24" s="158">
        <f t="shared" si="0"/>
        <v>22373.137</v>
      </c>
      <c r="U24" s="158">
        <f t="shared" si="5"/>
        <v>246104.507</v>
      </c>
      <c r="V24" s="158">
        <v>246105</v>
      </c>
      <c r="W24" s="158">
        <f t="shared" si="6"/>
        <v>-0.493000000016764</v>
      </c>
      <c r="X24" s="158">
        <f t="shared" si="1"/>
        <v>-0.448181818197058</v>
      </c>
      <c r="Y24" s="158">
        <f t="shared" si="7"/>
        <v>-0.0448181818197058</v>
      </c>
      <c r="Z24" s="158">
        <v>213310.08</v>
      </c>
      <c r="AA24" s="158">
        <f t="shared" si="2"/>
        <v>32794.92</v>
      </c>
      <c r="AB24" s="167">
        <f t="shared" si="3"/>
        <v>193918.254545455</v>
      </c>
      <c r="AC24" s="168">
        <f t="shared" si="4"/>
        <v>19391.8254545455</v>
      </c>
      <c r="AD24" s="169">
        <v>193918.254545455</v>
      </c>
      <c r="AE24" s="170">
        <v>0</v>
      </c>
      <c r="AF24" s="158">
        <f t="shared" si="8"/>
        <v>0</v>
      </c>
      <c r="AG24" s="158"/>
      <c r="AH24" s="158"/>
      <c r="AI24" s="158"/>
      <c r="AJ24" s="156" t="s">
        <v>69</v>
      </c>
      <c r="AK24" s="174" t="s">
        <v>120</v>
      </c>
      <c r="AL24" s="140" t="s">
        <v>121</v>
      </c>
    </row>
    <row r="25" s="140" customFormat="1" ht="15" hidden="1" customHeight="1" spans="1:37">
      <c r="A25" s="140">
        <v>2017</v>
      </c>
      <c r="B25" s="140" t="s">
        <v>38</v>
      </c>
      <c r="C25" s="140" t="s">
        <v>39</v>
      </c>
      <c r="D25" s="140" t="s">
        <v>40</v>
      </c>
      <c r="E25" s="140" t="s">
        <v>41</v>
      </c>
      <c r="F25" s="140" t="s">
        <v>122</v>
      </c>
      <c r="G25" s="140" t="s">
        <v>122</v>
      </c>
      <c r="H25" s="140" t="s">
        <v>122</v>
      </c>
      <c r="I25" s="140" t="s">
        <v>43</v>
      </c>
      <c r="J25" s="140" t="s">
        <v>44</v>
      </c>
      <c r="K25" s="140" t="s">
        <v>45</v>
      </c>
      <c r="L25" s="140" t="s">
        <v>123</v>
      </c>
      <c r="M25" s="140" t="s">
        <v>46</v>
      </c>
      <c r="N25" s="156">
        <v>0.08</v>
      </c>
      <c r="O25" s="156" t="s">
        <v>51</v>
      </c>
      <c r="P25" s="156"/>
      <c r="Q25" s="158">
        <v>0</v>
      </c>
      <c r="R25" s="158">
        <v>0</v>
      </c>
      <c r="S25" s="158">
        <v>37037.04</v>
      </c>
      <c r="T25" s="158">
        <f t="shared" si="0"/>
        <v>2962.9632</v>
      </c>
      <c r="U25" s="158">
        <f t="shared" si="5"/>
        <v>40000.0032</v>
      </c>
      <c r="V25" s="158">
        <v>40000</v>
      </c>
      <c r="W25" s="158">
        <f t="shared" si="6"/>
        <v>0.00319999999919673</v>
      </c>
      <c r="X25" s="158">
        <f t="shared" si="1"/>
        <v>0.0029629629622192</v>
      </c>
      <c r="Y25" s="158">
        <f t="shared" si="7"/>
        <v>0.000237037036977536</v>
      </c>
      <c r="Z25" s="158">
        <v>39355.7</v>
      </c>
      <c r="AA25" s="158">
        <f t="shared" si="2"/>
        <v>644.300000000003</v>
      </c>
      <c r="AB25" s="167">
        <f t="shared" si="3"/>
        <v>36440.462962963</v>
      </c>
      <c r="AC25" s="168">
        <f t="shared" si="4"/>
        <v>2915.23703703704</v>
      </c>
      <c r="AD25" s="169">
        <v>36440.462962963</v>
      </c>
      <c r="AE25" s="170">
        <v>0</v>
      </c>
      <c r="AF25" s="158">
        <f t="shared" si="8"/>
        <v>0</v>
      </c>
      <c r="AG25" s="158"/>
      <c r="AH25" s="158"/>
      <c r="AI25" s="158"/>
      <c r="AJ25" s="157">
        <v>0.08</v>
      </c>
      <c r="AK25" s="173">
        <v>0.08</v>
      </c>
    </row>
    <row r="26" s="140" customFormat="1" ht="15" hidden="1" customHeight="1" spans="1:37">
      <c r="A26" s="140">
        <v>2017</v>
      </c>
      <c r="B26" s="140" t="s">
        <v>38</v>
      </c>
      <c r="C26" s="140" t="s">
        <v>88</v>
      </c>
      <c r="D26" s="140" t="s">
        <v>89</v>
      </c>
      <c r="E26" s="140" t="s">
        <v>124</v>
      </c>
      <c r="F26" s="140" t="s">
        <v>125</v>
      </c>
      <c r="G26" s="140" t="s">
        <v>125</v>
      </c>
      <c r="H26" s="140" t="s">
        <v>125</v>
      </c>
      <c r="I26" s="140" t="s">
        <v>43</v>
      </c>
      <c r="J26" s="140" t="s">
        <v>44</v>
      </c>
      <c r="K26" s="140" t="s">
        <v>45</v>
      </c>
      <c r="L26" s="140" t="s">
        <v>125</v>
      </c>
      <c r="M26" s="140" t="s">
        <v>46</v>
      </c>
      <c r="N26" s="157">
        <v>0.08</v>
      </c>
      <c r="O26" s="156" t="s">
        <v>51</v>
      </c>
      <c r="P26" s="156"/>
      <c r="Q26" s="158">
        <v>0</v>
      </c>
      <c r="R26" s="158">
        <v>0</v>
      </c>
      <c r="S26" s="158">
        <v>20000</v>
      </c>
      <c r="T26" s="158">
        <f t="shared" si="0"/>
        <v>1600</v>
      </c>
      <c r="U26" s="158">
        <f t="shared" si="5"/>
        <v>21600</v>
      </c>
      <c r="V26" s="158">
        <v>21000</v>
      </c>
      <c r="W26" s="158">
        <f t="shared" si="6"/>
        <v>600</v>
      </c>
      <c r="X26" s="158">
        <f t="shared" si="1"/>
        <v>555.555555555556</v>
      </c>
      <c r="Y26" s="158">
        <f t="shared" si="7"/>
        <v>44.4444444444445</v>
      </c>
      <c r="Z26" s="158">
        <v>6495.8</v>
      </c>
      <c r="AA26" s="158">
        <f t="shared" si="2"/>
        <v>14504.2</v>
      </c>
      <c r="AB26" s="167">
        <f t="shared" si="3"/>
        <v>6014.62962962963</v>
      </c>
      <c r="AC26" s="168">
        <f t="shared" si="4"/>
        <v>481.170370370371</v>
      </c>
      <c r="AD26" s="169">
        <v>6014.62962962963</v>
      </c>
      <c r="AE26" s="170">
        <v>0</v>
      </c>
      <c r="AF26" s="158">
        <f t="shared" si="8"/>
        <v>0</v>
      </c>
      <c r="AG26" s="158"/>
      <c r="AH26" s="158"/>
      <c r="AI26" s="158"/>
      <c r="AJ26" s="157">
        <v>0.08</v>
      </c>
      <c r="AK26" s="174" t="s">
        <v>126</v>
      </c>
    </row>
    <row r="27" s="140" customFormat="1" ht="15" hidden="1" customHeight="1" spans="1:37">
      <c r="A27" s="140">
        <v>2017</v>
      </c>
      <c r="B27" s="140" t="s">
        <v>38</v>
      </c>
      <c r="C27" s="140" t="s">
        <v>39</v>
      </c>
      <c r="D27" s="140" t="s">
        <v>40</v>
      </c>
      <c r="E27" s="140" t="s">
        <v>48</v>
      </c>
      <c r="F27" s="140" t="s">
        <v>127</v>
      </c>
      <c r="G27" s="140" t="s">
        <v>127</v>
      </c>
      <c r="H27" s="140" t="s">
        <v>127</v>
      </c>
      <c r="I27" s="140" t="s">
        <v>43</v>
      </c>
      <c r="J27" s="140" t="s">
        <v>44</v>
      </c>
      <c r="K27" s="140" t="s">
        <v>45</v>
      </c>
      <c r="L27" s="140" t="s">
        <v>127</v>
      </c>
      <c r="M27" s="140" t="s">
        <v>46</v>
      </c>
      <c r="N27" s="156">
        <v>0.07</v>
      </c>
      <c r="O27" s="156" t="s">
        <v>51</v>
      </c>
      <c r="P27" s="156"/>
      <c r="Q27" s="158">
        <v>0</v>
      </c>
      <c r="R27" s="158">
        <v>0</v>
      </c>
      <c r="S27" s="158">
        <v>1465000</v>
      </c>
      <c r="T27" s="158">
        <f t="shared" si="0"/>
        <v>102550</v>
      </c>
      <c r="U27" s="158">
        <f t="shared" si="5"/>
        <v>1567550</v>
      </c>
      <c r="V27" s="158">
        <v>1544300</v>
      </c>
      <c r="W27" s="158">
        <f t="shared" si="6"/>
        <v>23250</v>
      </c>
      <c r="X27" s="158">
        <f t="shared" si="1"/>
        <v>21728.9719626168</v>
      </c>
      <c r="Y27" s="158">
        <f t="shared" si="7"/>
        <v>1521.02803738318</v>
      </c>
      <c r="Z27" s="158">
        <v>1475506.0948</v>
      </c>
      <c r="AA27" s="158">
        <f t="shared" si="2"/>
        <v>68793.9051999999</v>
      </c>
      <c r="AB27" s="167">
        <f t="shared" si="3"/>
        <v>1378977.65869159</v>
      </c>
      <c r="AC27" s="168">
        <f t="shared" si="4"/>
        <v>96528.4361084113</v>
      </c>
      <c r="AD27" s="169">
        <v>1378977.65869159</v>
      </c>
      <c r="AE27" s="170">
        <v>0</v>
      </c>
      <c r="AF27" s="158">
        <f t="shared" si="8"/>
        <v>0</v>
      </c>
      <c r="AG27" s="158"/>
      <c r="AH27" s="158"/>
      <c r="AI27" s="158"/>
      <c r="AJ27" s="157">
        <v>0.07</v>
      </c>
      <c r="AK27" s="173">
        <v>0.07</v>
      </c>
    </row>
    <row r="28" s="140" customFormat="1" ht="15" hidden="1" customHeight="1" spans="1:37">
      <c r="A28" s="140">
        <v>2017</v>
      </c>
      <c r="B28" s="140" t="s">
        <v>38</v>
      </c>
      <c r="C28" s="140" t="s">
        <v>88</v>
      </c>
      <c r="D28" s="140" t="s">
        <v>128</v>
      </c>
      <c r="E28" s="140" t="s">
        <v>96</v>
      </c>
      <c r="F28" s="140" t="s">
        <v>129</v>
      </c>
      <c r="G28" s="140" t="s">
        <v>129</v>
      </c>
      <c r="H28" s="140" t="s">
        <v>129</v>
      </c>
      <c r="I28" s="140" t="s">
        <v>43</v>
      </c>
      <c r="J28" s="140" t="s">
        <v>44</v>
      </c>
      <c r="K28" s="140" t="s">
        <v>45</v>
      </c>
      <c r="L28" s="140" t="s">
        <v>130</v>
      </c>
      <c r="M28" s="140" t="s">
        <v>46</v>
      </c>
      <c r="N28" s="156">
        <v>0.1</v>
      </c>
      <c r="O28" s="156" t="s">
        <v>51</v>
      </c>
      <c r="P28" s="156"/>
      <c r="Q28" s="158">
        <v>0</v>
      </c>
      <c r="R28" s="158">
        <v>0</v>
      </c>
      <c r="S28" s="158">
        <v>20000</v>
      </c>
      <c r="T28" s="158">
        <f t="shared" si="0"/>
        <v>2000</v>
      </c>
      <c r="U28" s="158">
        <f t="shared" si="5"/>
        <v>22000</v>
      </c>
      <c r="V28" s="158">
        <v>20000</v>
      </c>
      <c r="W28" s="158">
        <f t="shared" si="6"/>
        <v>2000</v>
      </c>
      <c r="X28" s="158">
        <f t="shared" si="1"/>
        <v>1818.18181818182</v>
      </c>
      <c r="Y28" s="158">
        <f t="shared" si="7"/>
        <v>181.818181818182</v>
      </c>
      <c r="Z28" s="158">
        <v>19985.3</v>
      </c>
      <c r="AA28" s="158">
        <f t="shared" si="2"/>
        <v>14.7000000000007</v>
      </c>
      <c r="AB28" s="167">
        <f t="shared" si="3"/>
        <v>18168.4545454545</v>
      </c>
      <c r="AC28" s="168">
        <f t="shared" si="4"/>
        <v>1816.84545454546</v>
      </c>
      <c r="AD28" s="169">
        <v>18168.4545454545</v>
      </c>
      <c r="AE28" s="170">
        <v>0</v>
      </c>
      <c r="AF28" s="158">
        <f t="shared" si="8"/>
        <v>0</v>
      </c>
      <c r="AG28" s="158"/>
      <c r="AH28" s="158"/>
      <c r="AI28" s="158"/>
      <c r="AJ28" s="156" t="s">
        <v>69</v>
      </c>
      <c r="AK28" s="174" t="s">
        <v>69</v>
      </c>
    </row>
    <row r="29" s="140" customFormat="1" ht="15" hidden="1" customHeight="1" spans="1:38">
      <c r="A29" s="140">
        <v>2017</v>
      </c>
      <c r="B29" s="140" t="s">
        <v>38</v>
      </c>
      <c r="C29" s="140" t="s">
        <v>59</v>
      </c>
      <c r="D29" s="140" t="s">
        <v>106</v>
      </c>
      <c r="E29" s="140" t="s">
        <v>131</v>
      </c>
      <c r="F29" s="140" t="s">
        <v>132</v>
      </c>
      <c r="G29" s="140" t="s">
        <v>132</v>
      </c>
      <c r="H29" s="140" t="s">
        <v>132</v>
      </c>
      <c r="I29" s="140" t="s">
        <v>43</v>
      </c>
      <c r="J29" s="140" t="s">
        <v>44</v>
      </c>
      <c r="K29" s="140" t="s">
        <v>45</v>
      </c>
      <c r="L29" s="140" t="s">
        <v>133</v>
      </c>
      <c r="M29" s="140" t="s">
        <v>46</v>
      </c>
      <c r="N29" s="156">
        <v>0.12</v>
      </c>
      <c r="O29" s="156" t="s">
        <v>51</v>
      </c>
      <c r="P29" s="156"/>
      <c r="Q29" s="158">
        <v>0</v>
      </c>
      <c r="R29" s="158">
        <v>0</v>
      </c>
      <c r="S29" s="158">
        <v>200000</v>
      </c>
      <c r="T29" s="158">
        <f t="shared" si="0"/>
        <v>24000</v>
      </c>
      <c r="U29" s="158">
        <f t="shared" si="5"/>
        <v>224000</v>
      </c>
      <c r="V29" s="158">
        <v>54040.8176</v>
      </c>
      <c r="W29" s="158">
        <f t="shared" si="6"/>
        <v>169959.1824</v>
      </c>
      <c r="X29" s="158">
        <f t="shared" si="1"/>
        <v>151749.27</v>
      </c>
      <c r="Y29" s="158">
        <f t="shared" si="7"/>
        <v>18209.9124</v>
      </c>
      <c r="Z29" s="158">
        <v>54040.8176</v>
      </c>
      <c r="AA29" s="158">
        <f t="shared" si="2"/>
        <v>0</v>
      </c>
      <c r="AB29" s="167">
        <f t="shared" si="3"/>
        <v>48250.73</v>
      </c>
      <c r="AC29" s="168">
        <f t="shared" si="4"/>
        <v>5790.08760000001</v>
      </c>
      <c r="AD29" s="169">
        <v>48250.73</v>
      </c>
      <c r="AE29" s="170">
        <v>0</v>
      </c>
      <c r="AF29" s="158">
        <f t="shared" si="8"/>
        <v>0</v>
      </c>
      <c r="AG29" s="158"/>
      <c r="AH29" s="158"/>
      <c r="AI29" s="158"/>
      <c r="AJ29" s="156" t="s">
        <v>117</v>
      </c>
      <c r="AK29" s="174" t="s">
        <v>117</v>
      </c>
      <c r="AL29" s="140" t="s">
        <v>58</v>
      </c>
    </row>
    <row r="30" s="140" customFormat="1" ht="15" hidden="1" customHeight="1" spans="1:38">
      <c r="A30" s="140">
        <v>2017</v>
      </c>
      <c r="B30" s="140" t="s">
        <v>38</v>
      </c>
      <c r="C30" s="140" t="s">
        <v>59</v>
      </c>
      <c r="D30" s="140" t="s">
        <v>106</v>
      </c>
      <c r="E30" s="140" t="s">
        <v>131</v>
      </c>
      <c r="F30" s="140" t="s">
        <v>134</v>
      </c>
      <c r="G30" s="140" t="s">
        <v>134</v>
      </c>
      <c r="H30" s="140" t="s">
        <v>134</v>
      </c>
      <c r="I30" s="140" t="s">
        <v>43</v>
      </c>
      <c r="J30" s="140" t="s">
        <v>44</v>
      </c>
      <c r="K30" s="140" t="s">
        <v>45</v>
      </c>
      <c r="L30" s="140" t="s">
        <v>134</v>
      </c>
      <c r="M30" s="140" t="s">
        <v>46</v>
      </c>
      <c r="N30" s="156">
        <v>0.12</v>
      </c>
      <c r="O30" s="156" t="s">
        <v>51</v>
      </c>
      <c r="P30" s="156"/>
      <c r="Q30" s="158">
        <v>0</v>
      </c>
      <c r="R30" s="158">
        <v>0</v>
      </c>
      <c r="S30" s="158">
        <v>120000</v>
      </c>
      <c r="T30" s="158">
        <f t="shared" si="0"/>
        <v>14400</v>
      </c>
      <c r="U30" s="158">
        <f t="shared" si="5"/>
        <v>134400</v>
      </c>
      <c r="V30" s="158">
        <v>46544.7136</v>
      </c>
      <c r="W30" s="158">
        <f t="shared" si="6"/>
        <v>87855.2864</v>
      </c>
      <c r="X30" s="158">
        <f t="shared" si="1"/>
        <v>78442.22</v>
      </c>
      <c r="Y30" s="158">
        <f t="shared" si="7"/>
        <v>9413.06640000001</v>
      </c>
      <c r="Z30" s="158">
        <v>46544.7136</v>
      </c>
      <c r="AA30" s="158">
        <f t="shared" si="2"/>
        <v>0</v>
      </c>
      <c r="AB30" s="167">
        <f t="shared" si="3"/>
        <v>41557.78</v>
      </c>
      <c r="AC30" s="168">
        <f t="shared" si="4"/>
        <v>4986.9336</v>
      </c>
      <c r="AD30" s="169">
        <v>41557.78</v>
      </c>
      <c r="AE30" s="170">
        <v>0</v>
      </c>
      <c r="AF30" s="158">
        <f t="shared" si="8"/>
        <v>0</v>
      </c>
      <c r="AG30" s="158"/>
      <c r="AH30" s="158"/>
      <c r="AI30" s="158"/>
      <c r="AJ30" s="156" t="s">
        <v>117</v>
      </c>
      <c r="AK30" s="174" t="s">
        <v>117</v>
      </c>
      <c r="AL30" s="140" t="s">
        <v>58</v>
      </c>
    </row>
    <row r="31" s="140" customFormat="1" ht="15" hidden="1" customHeight="1" spans="1:37">
      <c r="A31" s="140">
        <v>2017</v>
      </c>
      <c r="B31" s="140" t="s">
        <v>38</v>
      </c>
      <c r="C31" s="140" t="s">
        <v>54</v>
      </c>
      <c r="D31" s="140" t="s">
        <v>55</v>
      </c>
      <c r="E31" s="140" t="s">
        <v>64</v>
      </c>
      <c r="F31" s="140" t="s">
        <v>135</v>
      </c>
      <c r="G31" s="140" t="s">
        <v>135</v>
      </c>
      <c r="H31" s="140" t="s">
        <v>135</v>
      </c>
      <c r="I31" s="140" t="s">
        <v>43</v>
      </c>
      <c r="J31" s="140" t="s">
        <v>44</v>
      </c>
      <c r="K31" s="140" t="s">
        <v>45</v>
      </c>
      <c r="L31" s="140" t="s">
        <v>135</v>
      </c>
      <c r="M31" s="140" t="s">
        <v>46</v>
      </c>
      <c r="N31" s="156">
        <v>0.05</v>
      </c>
      <c r="O31" s="156" t="s">
        <v>51</v>
      </c>
      <c r="P31" s="156"/>
      <c r="Q31" s="158">
        <v>0</v>
      </c>
      <c r="R31" s="158">
        <v>0</v>
      </c>
      <c r="S31" s="158">
        <v>23249.29</v>
      </c>
      <c r="T31" s="158">
        <f t="shared" si="0"/>
        <v>1162.4645</v>
      </c>
      <c r="U31" s="158">
        <f t="shared" si="5"/>
        <v>24411.7545</v>
      </c>
      <c r="V31" s="158">
        <v>23249.29</v>
      </c>
      <c r="W31" s="158">
        <f t="shared" si="6"/>
        <v>1162.4645</v>
      </c>
      <c r="X31" s="158">
        <f t="shared" si="1"/>
        <v>1107.10904761905</v>
      </c>
      <c r="Y31" s="158">
        <f t="shared" si="7"/>
        <v>55.3554523809526</v>
      </c>
      <c r="Z31" s="158">
        <v>21943.53</v>
      </c>
      <c r="AA31" s="158">
        <f t="shared" si="2"/>
        <v>1305.76</v>
      </c>
      <c r="AB31" s="167">
        <f t="shared" si="3"/>
        <v>20898.6</v>
      </c>
      <c r="AC31" s="168">
        <f t="shared" si="4"/>
        <v>1044.93</v>
      </c>
      <c r="AD31" s="169">
        <v>20898.6</v>
      </c>
      <c r="AE31" s="170">
        <v>0</v>
      </c>
      <c r="AF31" s="158">
        <f t="shared" si="8"/>
        <v>0</v>
      </c>
      <c r="AG31" s="158"/>
      <c r="AH31" s="158"/>
      <c r="AI31" s="158"/>
      <c r="AJ31" s="156" t="s">
        <v>63</v>
      </c>
      <c r="AK31" s="174" t="s">
        <v>63</v>
      </c>
    </row>
    <row r="32" s="140" customFormat="1" ht="15" hidden="1" customHeight="1" spans="1:37">
      <c r="A32" s="140">
        <v>2017</v>
      </c>
      <c r="B32" s="140" t="s">
        <v>38</v>
      </c>
      <c r="C32" s="140" t="s">
        <v>39</v>
      </c>
      <c r="D32" s="140" t="s">
        <v>40</v>
      </c>
      <c r="E32" s="140" t="s">
        <v>82</v>
      </c>
      <c r="F32" s="140" t="s">
        <v>136</v>
      </c>
      <c r="G32" s="140" t="s">
        <v>136</v>
      </c>
      <c r="H32" s="140" t="s">
        <v>136</v>
      </c>
      <c r="I32" s="140" t="s">
        <v>43</v>
      </c>
      <c r="J32" s="140" t="s">
        <v>44</v>
      </c>
      <c r="K32" s="140" t="s">
        <v>45</v>
      </c>
      <c r="L32" s="140" t="s">
        <v>136</v>
      </c>
      <c r="M32" s="140" t="s">
        <v>46</v>
      </c>
      <c r="N32" s="156">
        <v>0.12</v>
      </c>
      <c r="O32" s="156" t="s">
        <v>51</v>
      </c>
      <c r="P32" s="156"/>
      <c r="Q32" s="158">
        <v>0</v>
      </c>
      <c r="R32" s="158">
        <v>0</v>
      </c>
      <c r="S32" s="158">
        <v>101392.52</v>
      </c>
      <c r="T32" s="158">
        <f t="shared" si="0"/>
        <v>12167.1024</v>
      </c>
      <c r="U32" s="158">
        <f t="shared" si="5"/>
        <v>113559.6224</v>
      </c>
      <c r="V32" s="158">
        <v>113392.52</v>
      </c>
      <c r="W32" s="158">
        <f t="shared" si="6"/>
        <v>167.102400000003</v>
      </c>
      <c r="X32" s="158">
        <f t="shared" si="1"/>
        <v>149.198571428574</v>
      </c>
      <c r="Y32" s="158">
        <f t="shared" si="7"/>
        <v>17.903828571429</v>
      </c>
      <c r="Z32" s="158">
        <v>113387.81</v>
      </c>
      <c r="AA32" s="158">
        <f t="shared" si="2"/>
        <v>4.7100000000064</v>
      </c>
      <c r="AB32" s="167">
        <f t="shared" si="3"/>
        <v>101239.116071429</v>
      </c>
      <c r="AC32" s="168">
        <f t="shared" si="4"/>
        <v>12148.6939285714</v>
      </c>
      <c r="AD32" s="169">
        <v>101239.116071429</v>
      </c>
      <c r="AE32" s="170">
        <v>0</v>
      </c>
      <c r="AF32" s="158">
        <f t="shared" si="8"/>
        <v>0</v>
      </c>
      <c r="AG32" s="158"/>
      <c r="AH32" s="158"/>
      <c r="AI32" s="158"/>
      <c r="AJ32" s="157">
        <v>0.12</v>
      </c>
      <c r="AK32" s="173">
        <v>0.12</v>
      </c>
    </row>
    <row r="33" s="140" customFormat="1" ht="15" hidden="1" customHeight="1" spans="1:38">
      <c r="A33" s="140">
        <v>2017</v>
      </c>
      <c r="B33" s="140" t="s">
        <v>38</v>
      </c>
      <c r="C33" s="140" t="s">
        <v>137</v>
      </c>
      <c r="D33" s="140" t="s">
        <v>138</v>
      </c>
      <c r="E33" s="140" t="s">
        <v>139</v>
      </c>
      <c r="F33" s="140" t="s">
        <v>140</v>
      </c>
      <c r="G33" s="140" t="s">
        <v>141</v>
      </c>
      <c r="H33" s="140" t="s">
        <v>141</v>
      </c>
      <c r="I33" s="140" t="s">
        <v>43</v>
      </c>
      <c r="J33" s="140" t="s">
        <v>44</v>
      </c>
      <c r="K33" s="140" t="s">
        <v>45</v>
      </c>
      <c r="L33" s="140" t="s">
        <v>140</v>
      </c>
      <c r="M33" s="140" t="s">
        <v>46</v>
      </c>
      <c r="N33" s="156">
        <v>0.05</v>
      </c>
      <c r="O33" s="156" t="s">
        <v>51</v>
      </c>
      <c r="P33" s="156"/>
      <c r="Q33" s="158">
        <v>31918</v>
      </c>
      <c r="R33" s="158">
        <v>0</v>
      </c>
      <c r="S33" s="158">
        <v>1500000</v>
      </c>
      <c r="T33" s="158">
        <f t="shared" si="0"/>
        <v>75000</v>
      </c>
      <c r="U33" s="158">
        <f t="shared" si="5"/>
        <v>1575000</v>
      </c>
      <c r="V33" s="158">
        <v>1520000</v>
      </c>
      <c r="W33" s="158">
        <f t="shared" si="6"/>
        <v>55000</v>
      </c>
      <c r="X33" s="158">
        <f t="shared" si="1"/>
        <v>52380.9523809524</v>
      </c>
      <c r="Y33" s="158">
        <f t="shared" si="7"/>
        <v>2619.04761904762</v>
      </c>
      <c r="Z33" s="158">
        <v>1131649.32</v>
      </c>
      <c r="AA33" s="158">
        <f t="shared" si="2"/>
        <v>420268.68</v>
      </c>
      <c r="AB33" s="167">
        <f>IF(O33="返货",(Z33-Q33)/(1+N33),IF(O33="返现",(Z33-Q33),IF(O33="折扣",(Z33-Q33)*N33,IF(O33="无",(Z33-Q33)))))</f>
        <v>1047363.16190476</v>
      </c>
      <c r="AC33" s="168">
        <f t="shared" si="4"/>
        <v>84286.1580952381</v>
      </c>
      <c r="AD33" s="169">
        <v>1047363.16190476</v>
      </c>
      <c r="AE33" s="170">
        <v>0</v>
      </c>
      <c r="AF33" s="158">
        <f t="shared" si="8"/>
        <v>0</v>
      </c>
      <c r="AG33" s="158"/>
      <c r="AH33" s="158"/>
      <c r="AI33" s="158"/>
      <c r="AJ33" s="156" t="s">
        <v>63</v>
      </c>
      <c r="AK33" s="174" t="s">
        <v>63</v>
      </c>
      <c r="AL33" s="140" t="s">
        <v>58</v>
      </c>
    </row>
    <row r="34" s="140" customFormat="1" ht="15" hidden="1" customHeight="1" spans="1:38">
      <c r="A34" s="151">
        <v>2017</v>
      </c>
      <c r="B34" s="151" t="s">
        <v>38</v>
      </c>
      <c r="C34" s="151" t="s">
        <v>137</v>
      </c>
      <c r="D34" s="151" t="s">
        <v>138</v>
      </c>
      <c r="E34" s="151" t="s">
        <v>139</v>
      </c>
      <c r="F34" s="151" t="s">
        <v>140</v>
      </c>
      <c r="G34" s="151" t="s">
        <v>141</v>
      </c>
      <c r="H34" s="151" t="s">
        <v>141</v>
      </c>
      <c r="I34" s="140" t="s">
        <v>43</v>
      </c>
      <c r="J34" s="140" t="s">
        <v>44</v>
      </c>
      <c r="K34" s="151" t="s">
        <v>45</v>
      </c>
      <c r="L34" s="151" t="s">
        <v>142</v>
      </c>
      <c r="M34" s="151" t="s">
        <v>46</v>
      </c>
      <c r="N34" s="156">
        <v>0.05</v>
      </c>
      <c r="O34" s="156" t="s">
        <v>51</v>
      </c>
      <c r="P34" s="156"/>
      <c r="Q34" s="162">
        <v>0</v>
      </c>
      <c r="R34" s="162">
        <v>0</v>
      </c>
      <c r="S34" s="162">
        <v>50000</v>
      </c>
      <c r="T34" s="158">
        <f t="shared" si="0"/>
        <v>2500</v>
      </c>
      <c r="U34" s="158">
        <f t="shared" si="5"/>
        <v>52500</v>
      </c>
      <c r="V34" s="162">
        <v>52500</v>
      </c>
      <c r="W34" s="158">
        <f t="shared" si="6"/>
        <v>0</v>
      </c>
      <c r="X34" s="158">
        <f t="shared" si="1"/>
        <v>0</v>
      </c>
      <c r="Y34" s="158">
        <f t="shared" si="7"/>
        <v>0</v>
      </c>
      <c r="Z34" s="162">
        <v>0</v>
      </c>
      <c r="AA34" s="158">
        <f t="shared" si="2"/>
        <v>52500</v>
      </c>
      <c r="AB34" s="167">
        <f t="shared" ref="AB34:AD40" si="9">IF(O34="返货",Z34/(1+N34),IF(O34="返现",Z34,IF(O34="折扣",Z34*N34,IF(O34="无",Z34))))</f>
        <v>0</v>
      </c>
      <c r="AC34" s="168">
        <f t="shared" si="4"/>
        <v>0</v>
      </c>
      <c r="AD34" s="169">
        <v>0</v>
      </c>
      <c r="AE34" s="170">
        <v>0</v>
      </c>
      <c r="AF34" s="158">
        <f t="shared" si="8"/>
        <v>0</v>
      </c>
      <c r="AG34" s="162"/>
      <c r="AH34" s="151"/>
      <c r="AI34" s="151"/>
      <c r="AJ34" s="156" t="s">
        <v>63</v>
      </c>
      <c r="AK34" s="151" t="s">
        <v>63</v>
      </c>
      <c r="AL34" s="151"/>
    </row>
    <row r="35" s="140" customFormat="1" ht="15" hidden="1" customHeight="1" spans="1:37">
      <c r="A35" s="140">
        <v>2017</v>
      </c>
      <c r="B35" s="140" t="s">
        <v>38</v>
      </c>
      <c r="C35" s="140" t="s">
        <v>88</v>
      </c>
      <c r="D35" s="140" t="s">
        <v>95</v>
      </c>
      <c r="E35" s="140" t="s">
        <v>96</v>
      </c>
      <c r="F35" s="140" t="s">
        <v>143</v>
      </c>
      <c r="G35" s="140" t="s">
        <v>143</v>
      </c>
      <c r="H35" s="140" t="s">
        <v>143</v>
      </c>
      <c r="I35" s="140" t="s">
        <v>43</v>
      </c>
      <c r="J35" s="140" t="s">
        <v>44</v>
      </c>
      <c r="K35" s="140" t="s">
        <v>45</v>
      </c>
      <c r="L35" s="140" t="s">
        <v>143</v>
      </c>
      <c r="M35" s="140" t="s">
        <v>46</v>
      </c>
      <c r="N35" s="156">
        <v>0.05</v>
      </c>
      <c r="O35" s="156" t="s">
        <v>51</v>
      </c>
      <c r="P35" s="156"/>
      <c r="Q35" s="158">
        <v>0</v>
      </c>
      <c r="R35" s="158">
        <v>0</v>
      </c>
      <c r="S35" s="158">
        <v>80000</v>
      </c>
      <c r="T35" s="158">
        <f t="shared" si="0"/>
        <v>4000</v>
      </c>
      <c r="U35" s="158">
        <f t="shared" si="5"/>
        <v>84000</v>
      </c>
      <c r="V35" s="158">
        <v>84000</v>
      </c>
      <c r="W35" s="158">
        <f t="shared" si="6"/>
        <v>0</v>
      </c>
      <c r="X35" s="158">
        <f t="shared" si="1"/>
        <v>0</v>
      </c>
      <c r="Y35" s="158">
        <f t="shared" si="7"/>
        <v>0</v>
      </c>
      <c r="Z35" s="158">
        <v>68783.1</v>
      </c>
      <c r="AA35" s="158">
        <f t="shared" si="2"/>
        <v>15216.9</v>
      </c>
      <c r="AB35" s="167">
        <f t="shared" si="9"/>
        <v>65507.7142857143</v>
      </c>
      <c r="AC35" s="168">
        <f t="shared" si="4"/>
        <v>3275.38571428572</v>
      </c>
      <c r="AD35" s="169">
        <v>65507.7142857143</v>
      </c>
      <c r="AE35" s="170">
        <v>0</v>
      </c>
      <c r="AF35" s="158">
        <f t="shared" si="8"/>
        <v>0</v>
      </c>
      <c r="AG35" s="158"/>
      <c r="AH35" s="158"/>
      <c r="AI35" s="158"/>
      <c r="AJ35" s="156" t="s">
        <v>144</v>
      </c>
      <c r="AK35" s="174" t="s">
        <v>144</v>
      </c>
    </row>
    <row r="36" s="140" customFormat="1" ht="15" hidden="1" customHeight="1" spans="1:37">
      <c r="A36" s="140">
        <v>2017</v>
      </c>
      <c r="B36" s="140" t="s">
        <v>38</v>
      </c>
      <c r="C36" s="140" t="s">
        <v>59</v>
      </c>
      <c r="D36" s="140" t="s">
        <v>106</v>
      </c>
      <c r="E36" s="140" t="s">
        <v>61</v>
      </c>
      <c r="F36" s="140" t="s">
        <v>145</v>
      </c>
      <c r="G36" s="140" t="s">
        <v>146</v>
      </c>
      <c r="H36" s="140" t="s">
        <v>146</v>
      </c>
      <c r="I36" s="140" t="s">
        <v>43</v>
      </c>
      <c r="J36" s="140" t="s">
        <v>44</v>
      </c>
      <c r="K36" s="140" t="s">
        <v>45</v>
      </c>
      <c r="L36" s="140" t="s">
        <v>145</v>
      </c>
      <c r="M36" s="140" t="s">
        <v>46</v>
      </c>
      <c r="N36" s="156">
        <v>0.1</v>
      </c>
      <c r="O36" s="156" t="s">
        <v>51</v>
      </c>
      <c r="P36" s="156"/>
      <c r="Q36" s="158">
        <v>0</v>
      </c>
      <c r="R36" s="158">
        <v>0</v>
      </c>
      <c r="S36" s="158">
        <v>44545.46</v>
      </c>
      <c r="T36" s="158">
        <f t="shared" si="0"/>
        <v>4454.546</v>
      </c>
      <c r="U36" s="158">
        <f t="shared" si="5"/>
        <v>49000.006</v>
      </c>
      <c r="V36" s="158">
        <v>48181.82</v>
      </c>
      <c r="W36" s="158">
        <f t="shared" si="6"/>
        <v>818.186000000002</v>
      </c>
      <c r="X36" s="158">
        <f t="shared" si="1"/>
        <v>743.805454545456</v>
      </c>
      <c r="Y36" s="158">
        <f t="shared" si="7"/>
        <v>74.3805454545457</v>
      </c>
      <c r="Z36" s="158">
        <v>39126.47112</v>
      </c>
      <c r="AA36" s="158">
        <f t="shared" si="2"/>
        <v>9055.34888</v>
      </c>
      <c r="AB36" s="167">
        <f t="shared" si="9"/>
        <v>35569.5192</v>
      </c>
      <c r="AC36" s="168">
        <f t="shared" si="4"/>
        <v>3556.95192</v>
      </c>
      <c r="AD36" s="169">
        <v>35569.5192</v>
      </c>
      <c r="AE36" s="170">
        <v>0</v>
      </c>
      <c r="AF36" s="158">
        <f t="shared" si="8"/>
        <v>0</v>
      </c>
      <c r="AG36" s="158"/>
      <c r="AH36" s="158"/>
      <c r="AI36" s="158"/>
      <c r="AJ36" s="156" t="s">
        <v>69</v>
      </c>
      <c r="AK36" s="174" t="s">
        <v>69</v>
      </c>
    </row>
    <row r="37" s="140" customFormat="1" ht="15" hidden="1" customHeight="1" spans="1:38">
      <c r="A37" s="140">
        <v>2017</v>
      </c>
      <c r="B37" s="140" t="s">
        <v>38</v>
      </c>
      <c r="C37" s="140" t="s">
        <v>110</v>
      </c>
      <c r="D37" s="140" t="s">
        <v>111</v>
      </c>
      <c r="E37" s="140" t="s">
        <v>112</v>
      </c>
      <c r="F37" s="140" t="s">
        <v>147</v>
      </c>
      <c r="G37" s="140" t="s">
        <v>147</v>
      </c>
      <c r="H37" s="140" t="s">
        <v>147</v>
      </c>
      <c r="I37" s="140" t="s">
        <v>43</v>
      </c>
      <c r="J37" s="140" t="s">
        <v>44</v>
      </c>
      <c r="K37" s="140" t="s">
        <v>45</v>
      </c>
      <c r="L37" s="140" t="s">
        <v>148</v>
      </c>
      <c r="M37" s="140" t="s">
        <v>46</v>
      </c>
      <c r="N37" s="156">
        <v>0.05</v>
      </c>
      <c r="O37" s="156" t="s">
        <v>51</v>
      </c>
      <c r="P37" s="156"/>
      <c r="Q37" s="158">
        <v>0</v>
      </c>
      <c r="R37" s="158">
        <v>0</v>
      </c>
      <c r="S37" s="158">
        <v>10000</v>
      </c>
      <c r="T37" s="158">
        <f t="shared" si="0"/>
        <v>500</v>
      </c>
      <c r="U37" s="158">
        <f t="shared" si="5"/>
        <v>10500</v>
      </c>
      <c r="V37" s="158">
        <v>10500</v>
      </c>
      <c r="W37" s="158">
        <f t="shared" si="6"/>
        <v>0</v>
      </c>
      <c r="X37" s="158">
        <f t="shared" si="1"/>
        <v>0</v>
      </c>
      <c r="Y37" s="158">
        <f t="shared" si="7"/>
        <v>0</v>
      </c>
      <c r="Z37" s="158">
        <v>10500</v>
      </c>
      <c r="AA37" s="158">
        <f t="shared" si="2"/>
        <v>0</v>
      </c>
      <c r="AB37" s="167">
        <f t="shared" si="9"/>
        <v>10000</v>
      </c>
      <c r="AC37" s="168">
        <f t="shared" si="4"/>
        <v>500</v>
      </c>
      <c r="AD37" s="169">
        <v>10000</v>
      </c>
      <c r="AE37" s="170">
        <v>0</v>
      </c>
      <c r="AF37" s="158">
        <f t="shared" si="8"/>
        <v>0</v>
      </c>
      <c r="AG37" s="158"/>
      <c r="AH37" s="158"/>
      <c r="AI37" s="158"/>
      <c r="AJ37" s="156" t="s">
        <v>63</v>
      </c>
      <c r="AK37" s="174" t="s">
        <v>63</v>
      </c>
      <c r="AL37" s="140" t="s">
        <v>149</v>
      </c>
    </row>
    <row r="38" s="140" customFormat="1" ht="15" hidden="1" customHeight="1" spans="1:37">
      <c r="A38" s="140">
        <v>2017</v>
      </c>
      <c r="B38" s="140" t="s">
        <v>38</v>
      </c>
      <c r="C38" s="140" t="s">
        <v>75</v>
      </c>
      <c r="D38" s="140" t="s">
        <v>76</v>
      </c>
      <c r="E38" s="140" t="s">
        <v>150</v>
      </c>
      <c r="F38" s="140" t="s">
        <v>151</v>
      </c>
      <c r="G38" s="140" t="s">
        <v>151</v>
      </c>
      <c r="H38" s="140" t="s">
        <v>151</v>
      </c>
      <c r="I38" s="140" t="s">
        <v>43</v>
      </c>
      <c r="J38" s="140" t="s">
        <v>44</v>
      </c>
      <c r="K38" s="140" t="s">
        <v>45</v>
      </c>
      <c r="L38" s="140" t="s">
        <v>151</v>
      </c>
      <c r="M38" s="140" t="s">
        <v>46</v>
      </c>
      <c r="N38" s="156">
        <v>0.11</v>
      </c>
      <c r="O38" s="156" t="s">
        <v>51</v>
      </c>
      <c r="P38" s="156"/>
      <c r="Q38" s="158">
        <v>0</v>
      </c>
      <c r="R38" s="158">
        <v>0</v>
      </c>
      <c r="S38" s="158">
        <v>9009</v>
      </c>
      <c r="T38" s="158">
        <f t="shared" si="0"/>
        <v>990.99</v>
      </c>
      <c r="U38" s="158">
        <f t="shared" si="5"/>
        <v>9999.99</v>
      </c>
      <c r="V38" s="158">
        <v>10000</v>
      </c>
      <c r="W38" s="158">
        <f t="shared" si="6"/>
        <v>-0.0100000000002183</v>
      </c>
      <c r="X38" s="158">
        <f t="shared" si="1"/>
        <v>-0.00900900900920566</v>
      </c>
      <c r="Y38" s="158">
        <f t="shared" si="7"/>
        <v>-0.000990990991012623</v>
      </c>
      <c r="Z38" s="158">
        <v>7317.5</v>
      </c>
      <c r="AA38" s="158">
        <f t="shared" si="2"/>
        <v>2682.5</v>
      </c>
      <c r="AB38" s="167">
        <f t="shared" si="9"/>
        <v>6592.34234234234</v>
      </c>
      <c r="AC38" s="168">
        <f t="shared" si="4"/>
        <v>725.157657657658</v>
      </c>
      <c r="AD38" s="169">
        <v>6592.34234234234</v>
      </c>
      <c r="AE38" s="170">
        <v>0</v>
      </c>
      <c r="AF38" s="158">
        <f t="shared" si="8"/>
        <v>0</v>
      </c>
      <c r="AG38" s="158"/>
      <c r="AH38" s="158"/>
      <c r="AI38" s="158"/>
      <c r="AJ38" s="157">
        <v>0.11</v>
      </c>
      <c r="AK38" s="173">
        <v>0.11</v>
      </c>
    </row>
    <row r="39" s="140" customFormat="1" ht="15" hidden="1" customHeight="1" spans="1:37">
      <c r="A39" s="140">
        <v>2017</v>
      </c>
      <c r="B39" s="140" t="s">
        <v>38</v>
      </c>
      <c r="C39" s="140" t="s">
        <v>39</v>
      </c>
      <c r="D39" s="140" t="s">
        <v>40</v>
      </c>
      <c r="E39" s="140" t="s">
        <v>71</v>
      </c>
      <c r="F39" s="140" t="s">
        <v>152</v>
      </c>
      <c r="G39" s="140" t="s">
        <v>152</v>
      </c>
      <c r="H39" s="140" t="s">
        <v>152</v>
      </c>
      <c r="I39" s="140" t="s">
        <v>43</v>
      </c>
      <c r="J39" s="140" t="s">
        <v>44</v>
      </c>
      <c r="K39" s="140" t="s">
        <v>45</v>
      </c>
      <c r="L39" s="140" t="s">
        <v>153</v>
      </c>
      <c r="M39" s="140" t="s">
        <v>46</v>
      </c>
      <c r="N39" s="156">
        <v>0.11</v>
      </c>
      <c r="O39" s="156" t="s">
        <v>51</v>
      </c>
      <c r="P39" s="156"/>
      <c r="Q39" s="158">
        <v>0</v>
      </c>
      <c r="R39" s="158">
        <v>0</v>
      </c>
      <c r="S39" s="158">
        <v>45045</v>
      </c>
      <c r="T39" s="158">
        <f t="shared" si="0"/>
        <v>4954.95</v>
      </c>
      <c r="U39" s="158">
        <f t="shared" si="5"/>
        <v>49999.95</v>
      </c>
      <c r="V39" s="158">
        <v>50000</v>
      </c>
      <c r="W39" s="158">
        <f t="shared" si="6"/>
        <v>-0.0500000000029104</v>
      </c>
      <c r="X39" s="158">
        <f t="shared" si="1"/>
        <v>-0.045045045047667</v>
      </c>
      <c r="Y39" s="158">
        <f t="shared" si="7"/>
        <v>-0.00495495495524337</v>
      </c>
      <c r="Z39" s="158">
        <v>50004.77</v>
      </c>
      <c r="AA39" s="158">
        <f t="shared" si="2"/>
        <v>-4.7699999999968</v>
      </c>
      <c r="AB39" s="167">
        <f t="shared" si="9"/>
        <v>45049.3423423423</v>
      </c>
      <c r="AC39" s="168">
        <f t="shared" si="4"/>
        <v>4955.42765765766</v>
      </c>
      <c r="AD39" s="169">
        <v>45049.3423423423</v>
      </c>
      <c r="AE39" s="170">
        <v>0</v>
      </c>
      <c r="AF39" s="158">
        <f t="shared" si="8"/>
        <v>0</v>
      </c>
      <c r="AG39" s="158"/>
      <c r="AH39" s="158"/>
      <c r="AI39" s="158"/>
      <c r="AJ39" s="156" t="s">
        <v>94</v>
      </c>
      <c r="AK39" s="174" t="s">
        <v>94</v>
      </c>
    </row>
    <row r="40" s="140" customFormat="1" ht="15" hidden="1" customHeight="1" spans="1:37">
      <c r="A40" s="140">
        <v>2017</v>
      </c>
      <c r="B40" s="140" t="s">
        <v>38</v>
      </c>
      <c r="C40" s="140" t="s">
        <v>59</v>
      </c>
      <c r="D40" s="140" t="s">
        <v>154</v>
      </c>
      <c r="E40" s="140" t="s">
        <v>107</v>
      </c>
      <c r="F40" s="140" t="s">
        <v>155</v>
      </c>
      <c r="G40" s="140" t="s">
        <v>155</v>
      </c>
      <c r="H40" s="140" t="s">
        <v>155</v>
      </c>
      <c r="I40" s="140" t="s">
        <v>43</v>
      </c>
      <c r="J40" s="140" t="s">
        <v>44</v>
      </c>
      <c r="K40" s="140" t="s">
        <v>45</v>
      </c>
      <c r="L40" s="140" t="s">
        <v>155</v>
      </c>
      <c r="M40" s="140" t="s">
        <v>46</v>
      </c>
      <c r="N40" s="156">
        <v>0.05</v>
      </c>
      <c r="O40" s="156" t="s">
        <v>51</v>
      </c>
      <c r="P40" s="156"/>
      <c r="Q40" s="158">
        <v>0</v>
      </c>
      <c r="R40" s="158">
        <v>0</v>
      </c>
      <c r="S40" s="158">
        <v>42100</v>
      </c>
      <c r="T40" s="158">
        <f t="shared" si="0"/>
        <v>2105</v>
      </c>
      <c r="U40" s="158">
        <f t="shared" si="5"/>
        <v>44205</v>
      </c>
      <c r="V40" s="158">
        <v>44205</v>
      </c>
      <c r="W40" s="158">
        <f t="shared" si="6"/>
        <v>0</v>
      </c>
      <c r="X40" s="158">
        <f t="shared" si="1"/>
        <v>0</v>
      </c>
      <c r="Y40" s="158">
        <f t="shared" si="7"/>
        <v>0</v>
      </c>
      <c r="Z40" s="158">
        <v>35670.15</v>
      </c>
      <c r="AA40" s="158">
        <f t="shared" si="2"/>
        <v>8534.85</v>
      </c>
      <c r="AB40" s="167">
        <f t="shared" si="9"/>
        <v>33971.5714285714</v>
      </c>
      <c r="AC40" s="168">
        <f t="shared" si="4"/>
        <v>1698.57857142857</v>
      </c>
      <c r="AD40" s="169">
        <v>33971.5714285714</v>
      </c>
      <c r="AE40" s="170">
        <v>0</v>
      </c>
      <c r="AF40" s="158">
        <f t="shared" si="8"/>
        <v>0</v>
      </c>
      <c r="AG40" s="158"/>
      <c r="AH40" s="158"/>
      <c r="AI40" s="158"/>
      <c r="AJ40" s="156" t="s">
        <v>63</v>
      </c>
      <c r="AK40" s="174" t="s">
        <v>63</v>
      </c>
    </row>
    <row r="41" s="140" customFormat="1" ht="15" hidden="1" customHeight="1" spans="1:36">
      <c r="A41" s="140">
        <v>2017</v>
      </c>
      <c r="B41" s="140" t="s">
        <v>38</v>
      </c>
      <c r="C41" s="140" t="s">
        <v>88</v>
      </c>
      <c r="D41" s="140" t="s">
        <v>128</v>
      </c>
      <c r="E41" s="140" t="s">
        <v>156</v>
      </c>
      <c r="F41" s="140" t="s">
        <v>157</v>
      </c>
      <c r="G41" s="140" t="s">
        <v>157</v>
      </c>
      <c r="H41" s="140" t="s">
        <v>157</v>
      </c>
      <c r="I41" s="140" t="s">
        <v>158</v>
      </c>
      <c r="J41" s="140" t="s">
        <v>159</v>
      </c>
      <c r="K41" s="140" t="s">
        <v>159</v>
      </c>
      <c r="L41" s="140" t="s">
        <v>157</v>
      </c>
      <c r="M41" s="140" t="s">
        <v>160</v>
      </c>
      <c r="N41" s="156">
        <v>0</v>
      </c>
      <c r="O41" s="156" t="s">
        <v>47</v>
      </c>
      <c r="P41" s="156" t="s">
        <v>161</v>
      </c>
      <c r="Q41" s="158"/>
      <c r="R41" s="158"/>
      <c r="S41" s="158">
        <v>1000000</v>
      </c>
      <c r="T41" s="158">
        <f t="shared" si="0"/>
        <v>0</v>
      </c>
      <c r="U41" s="158">
        <f t="shared" si="5"/>
        <v>1000000</v>
      </c>
      <c r="V41" s="158">
        <v>1000000</v>
      </c>
      <c r="W41" s="158">
        <f t="shared" si="6"/>
        <v>0</v>
      </c>
      <c r="X41" s="158">
        <f t="shared" si="1"/>
        <v>0</v>
      </c>
      <c r="Y41" s="158">
        <f t="shared" si="7"/>
        <v>0</v>
      </c>
      <c r="Z41" s="158">
        <v>1000000</v>
      </c>
      <c r="AA41" s="158">
        <f t="shared" si="2"/>
        <v>0</v>
      </c>
      <c r="AB41" s="167">
        <f>Z41*(1+2%)</f>
        <v>1020000</v>
      </c>
      <c r="AC41" s="168">
        <f t="shared" si="4"/>
        <v>-20000</v>
      </c>
      <c r="AD41" s="158">
        <v>900000</v>
      </c>
      <c r="AE41" s="156">
        <v>0</v>
      </c>
      <c r="AF41" s="158">
        <f t="shared" si="8"/>
        <v>0</v>
      </c>
      <c r="AG41" s="158"/>
      <c r="AH41" s="158"/>
      <c r="AI41" s="158"/>
      <c r="AJ41" s="157">
        <v>0</v>
      </c>
    </row>
    <row r="42" s="140" customFormat="1" ht="15" hidden="1" customHeight="1" spans="1:36">
      <c r="A42" s="140">
        <v>2017</v>
      </c>
      <c r="B42" s="140" t="s">
        <v>38</v>
      </c>
      <c r="C42" s="140" t="s">
        <v>88</v>
      </c>
      <c r="D42" s="140" t="s">
        <v>128</v>
      </c>
      <c r="E42" s="140" t="s">
        <v>156</v>
      </c>
      <c r="F42" s="140" t="s">
        <v>162</v>
      </c>
      <c r="G42" s="140" t="s">
        <v>162</v>
      </c>
      <c r="H42" s="140" t="s">
        <v>162</v>
      </c>
      <c r="I42" s="140" t="s">
        <v>158</v>
      </c>
      <c r="J42" s="140" t="s">
        <v>159</v>
      </c>
      <c r="K42" s="140" t="s">
        <v>159</v>
      </c>
      <c r="L42" s="140" t="s">
        <v>162</v>
      </c>
      <c r="M42" s="140" t="s">
        <v>160</v>
      </c>
      <c r="N42" s="156">
        <v>0</v>
      </c>
      <c r="O42" s="156" t="s">
        <v>47</v>
      </c>
      <c r="P42" s="156" t="s">
        <v>161</v>
      </c>
      <c r="Q42" s="158"/>
      <c r="R42" s="158"/>
      <c r="S42" s="158">
        <v>1802500</v>
      </c>
      <c r="T42" s="158">
        <f t="shared" si="0"/>
        <v>0</v>
      </c>
      <c r="U42" s="158">
        <f t="shared" si="5"/>
        <v>1802500</v>
      </c>
      <c r="V42" s="158">
        <v>1802500</v>
      </c>
      <c r="W42" s="158">
        <f t="shared" si="6"/>
        <v>0</v>
      </c>
      <c r="X42" s="158">
        <f t="shared" si="1"/>
        <v>0</v>
      </c>
      <c r="Y42" s="158">
        <f t="shared" si="7"/>
        <v>0</v>
      </c>
      <c r="Z42" s="158">
        <v>1802500</v>
      </c>
      <c r="AA42" s="158">
        <f t="shared" si="2"/>
        <v>0</v>
      </c>
      <c r="AB42" s="167">
        <f>Z42*(1+2%)</f>
        <v>1838550</v>
      </c>
      <c r="AC42" s="168">
        <f t="shared" si="4"/>
        <v>-36050</v>
      </c>
      <c r="AD42" s="158">
        <v>1505000</v>
      </c>
      <c r="AE42" s="156">
        <v>0</v>
      </c>
      <c r="AF42" s="158">
        <f t="shared" si="8"/>
        <v>0</v>
      </c>
      <c r="AG42" s="158"/>
      <c r="AH42" s="158"/>
      <c r="AI42" s="158"/>
      <c r="AJ42" s="157">
        <v>0</v>
      </c>
    </row>
    <row r="43" s="140" customFormat="1" ht="15" hidden="1" customHeight="1" spans="1:36">
      <c r="A43" s="140">
        <v>2017</v>
      </c>
      <c r="B43" s="140" t="s">
        <v>38</v>
      </c>
      <c r="C43" s="140" t="s">
        <v>88</v>
      </c>
      <c r="D43" s="140" t="s">
        <v>128</v>
      </c>
      <c r="E43" s="140" t="s">
        <v>156</v>
      </c>
      <c r="F43" s="140" t="s">
        <v>163</v>
      </c>
      <c r="G43" s="140" t="s">
        <v>163</v>
      </c>
      <c r="H43" s="140" t="s">
        <v>163</v>
      </c>
      <c r="I43" s="140" t="s">
        <v>158</v>
      </c>
      <c r="J43" s="140" t="s">
        <v>159</v>
      </c>
      <c r="K43" s="140" t="s">
        <v>159</v>
      </c>
      <c r="L43" s="140" t="s">
        <v>163</v>
      </c>
      <c r="M43" s="140" t="s">
        <v>160</v>
      </c>
      <c r="N43" s="156">
        <v>0</v>
      </c>
      <c r="O43" s="156" t="s">
        <v>47</v>
      </c>
      <c r="P43" s="156" t="s">
        <v>161</v>
      </c>
      <c r="Q43" s="158"/>
      <c r="R43" s="158"/>
      <c r="S43" s="158">
        <v>1260000</v>
      </c>
      <c r="T43" s="158">
        <f t="shared" si="0"/>
        <v>0</v>
      </c>
      <c r="U43" s="158">
        <f t="shared" si="5"/>
        <v>1260000</v>
      </c>
      <c r="V43" s="158">
        <v>1260000</v>
      </c>
      <c r="W43" s="158">
        <f t="shared" si="6"/>
        <v>0</v>
      </c>
      <c r="X43" s="158">
        <f t="shared" si="1"/>
        <v>0</v>
      </c>
      <c r="Y43" s="158">
        <f t="shared" si="7"/>
        <v>0</v>
      </c>
      <c r="Z43" s="158">
        <v>1260000</v>
      </c>
      <c r="AA43" s="158">
        <f t="shared" si="2"/>
        <v>0</v>
      </c>
      <c r="AB43" s="167">
        <f>Z43*(1+2%)</f>
        <v>1285200</v>
      </c>
      <c r="AC43" s="168">
        <f t="shared" si="4"/>
        <v>-25200</v>
      </c>
      <c r="AD43" s="158">
        <v>1160000</v>
      </c>
      <c r="AE43" s="156">
        <v>0</v>
      </c>
      <c r="AF43" s="158">
        <f t="shared" si="8"/>
        <v>0</v>
      </c>
      <c r="AG43" s="158"/>
      <c r="AH43" s="158"/>
      <c r="AI43" s="158"/>
      <c r="AJ43" s="157">
        <v>0</v>
      </c>
    </row>
    <row r="44" s="140" customFormat="1" ht="15" hidden="1" customHeight="1" spans="1:36">
      <c r="A44" s="140">
        <v>2017</v>
      </c>
      <c r="B44" s="140" t="s">
        <v>38</v>
      </c>
      <c r="C44" s="140" t="s">
        <v>88</v>
      </c>
      <c r="D44" s="140" t="s">
        <v>128</v>
      </c>
      <c r="E44" s="140" t="s">
        <v>156</v>
      </c>
      <c r="F44" s="140" t="s">
        <v>164</v>
      </c>
      <c r="G44" s="140" t="s">
        <v>164</v>
      </c>
      <c r="H44" s="140" t="s">
        <v>164</v>
      </c>
      <c r="I44" s="140" t="s">
        <v>158</v>
      </c>
      <c r="J44" s="140" t="s">
        <v>159</v>
      </c>
      <c r="K44" s="140" t="s">
        <v>159</v>
      </c>
      <c r="L44" s="140" t="s">
        <v>164</v>
      </c>
      <c r="M44" s="140" t="s">
        <v>160</v>
      </c>
      <c r="N44" s="156">
        <v>0</v>
      </c>
      <c r="O44" s="156" t="s">
        <v>47</v>
      </c>
      <c r="P44" s="156" t="s">
        <v>161</v>
      </c>
      <c r="Q44" s="158"/>
      <c r="R44" s="158"/>
      <c r="S44" s="158">
        <v>1480000</v>
      </c>
      <c r="T44" s="158">
        <f t="shared" si="0"/>
        <v>0</v>
      </c>
      <c r="U44" s="158">
        <f t="shared" si="5"/>
        <v>1480000</v>
      </c>
      <c r="V44" s="158">
        <v>1480000</v>
      </c>
      <c r="W44" s="158">
        <f t="shared" si="6"/>
        <v>0</v>
      </c>
      <c r="X44" s="158">
        <f t="shared" si="1"/>
        <v>0</v>
      </c>
      <c r="Y44" s="158">
        <f t="shared" si="7"/>
        <v>0</v>
      </c>
      <c r="Z44" s="158">
        <v>1480000</v>
      </c>
      <c r="AA44" s="158">
        <f t="shared" si="2"/>
        <v>0</v>
      </c>
      <c r="AB44" s="167">
        <f>Z44*(1+10%)</f>
        <v>1628000</v>
      </c>
      <c r="AC44" s="168">
        <f t="shared" si="4"/>
        <v>-148000</v>
      </c>
      <c r="AD44" s="158">
        <v>1332000</v>
      </c>
      <c r="AE44" s="156">
        <v>0</v>
      </c>
      <c r="AF44" s="158">
        <f t="shared" si="8"/>
        <v>0</v>
      </c>
      <c r="AG44" s="158"/>
      <c r="AH44" s="158"/>
      <c r="AI44" s="158"/>
      <c r="AJ44" s="157">
        <v>0</v>
      </c>
    </row>
    <row r="45" s="140" customFormat="1" ht="15" hidden="1" customHeight="1" spans="1:37">
      <c r="A45" s="140">
        <v>2017</v>
      </c>
      <c r="B45" s="140" t="s">
        <v>38</v>
      </c>
      <c r="C45" s="140" t="s">
        <v>39</v>
      </c>
      <c r="D45" s="140" t="s">
        <v>40</v>
      </c>
      <c r="E45" s="140" t="s">
        <v>41</v>
      </c>
      <c r="F45" s="140" t="s">
        <v>42</v>
      </c>
      <c r="G45" s="140" t="s">
        <v>42</v>
      </c>
      <c r="H45" s="140" t="s">
        <v>42</v>
      </c>
      <c r="I45" s="140" t="s">
        <v>165</v>
      </c>
      <c r="J45" s="140" t="s">
        <v>44</v>
      </c>
      <c r="K45" s="140" t="s">
        <v>166</v>
      </c>
      <c r="L45" s="140" t="s">
        <v>42</v>
      </c>
      <c r="M45" s="158" t="s">
        <v>46</v>
      </c>
      <c r="N45" s="156">
        <v>0</v>
      </c>
      <c r="O45" s="156" t="s">
        <v>47</v>
      </c>
      <c r="P45" s="156"/>
      <c r="Q45" s="158">
        <v>0</v>
      </c>
      <c r="R45" s="158">
        <v>0</v>
      </c>
      <c r="S45" s="158">
        <v>40000</v>
      </c>
      <c r="T45" s="158">
        <f t="shared" si="0"/>
        <v>0</v>
      </c>
      <c r="U45" s="158">
        <f t="shared" si="5"/>
        <v>40000</v>
      </c>
      <c r="V45" s="158">
        <v>40000</v>
      </c>
      <c r="W45" s="158">
        <f t="shared" si="6"/>
        <v>0</v>
      </c>
      <c r="X45" s="158">
        <f t="shared" si="1"/>
        <v>0</v>
      </c>
      <c r="Y45" s="158">
        <f t="shared" si="7"/>
        <v>0</v>
      </c>
      <c r="Z45" s="158">
        <v>40000</v>
      </c>
      <c r="AA45" s="158">
        <f t="shared" si="2"/>
        <v>0</v>
      </c>
      <c r="AB45" s="167">
        <f>IF(O45="返货",Z45/(1+N45),IF(O45="返现",Z45,IF(O45="折扣",Z45*N45,IF(O45="无",Z45))))</f>
        <v>40000</v>
      </c>
      <c r="AC45" s="168">
        <f t="shared" si="4"/>
        <v>0</v>
      </c>
      <c r="AD45" s="158">
        <v>40000</v>
      </c>
      <c r="AE45" s="156">
        <v>0</v>
      </c>
      <c r="AF45" s="158">
        <f t="shared" si="8"/>
        <v>0</v>
      </c>
      <c r="AG45" s="158">
        <v>0</v>
      </c>
      <c r="AH45" s="158"/>
      <c r="AI45" s="158"/>
      <c r="AJ45" s="156" t="s">
        <v>47</v>
      </c>
      <c r="AK45" s="173">
        <v>0</v>
      </c>
    </row>
    <row r="46" s="140" customFormat="1" ht="15" hidden="1" customHeight="1" spans="1:37">
      <c r="A46" s="140">
        <v>2017</v>
      </c>
      <c r="B46" s="140" t="s">
        <v>38</v>
      </c>
      <c r="C46" s="140" t="s">
        <v>75</v>
      </c>
      <c r="D46" s="140" t="s">
        <v>76</v>
      </c>
      <c r="E46" s="140" t="s">
        <v>167</v>
      </c>
      <c r="F46" s="140" t="s">
        <v>168</v>
      </c>
      <c r="G46" s="140" t="s">
        <v>168</v>
      </c>
      <c r="H46" s="140" t="s">
        <v>168</v>
      </c>
      <c r="I46" s="140" t="s">
        <v>165</v>
      </c>
      <c r="J46" s="140" t="s">
        <v>44</v>
      </c>
      <c r="K46" s="140" t="s">
        <v>166</v>
      </c>
      <c r="L46" s="140" t="s">
        <v>168</v>
      </c>
      <c r="M46" s="158" t="s">
        <v>46</v>
      </c>
      <c r="N46" s="156">
        <v>0</v>
      </c>
      <c r="O46" s="156" t="s">
        <v>47</v>
      </c>
      <c r="P46" s="156"/>
      <c r="Q46" s="158">
        <v>0</v>
      </c>
      <c r="R46" s="158">
        <v>0</v>
      </c>
      <c r="S46" s="158">
        <v>210000</v>
      </c>
      <c r="T46" s="158">
        <f t="shared" si="0"/>
        <v>0</v>
      </c>
      <c r="U46" s="158">
        <f t="shared" si="5"/>
        <v>210000</v>
      </c>
      <c r="V46" s="158">
        <v>210000</v>
      </c>
      <c r="W46" s="158">
        <f t="shared" si="6"/>
        <v>0</v>
      </c>
      <c r="X46" s="158">
        <f t="shared" si="1"/>
        <v>0</v>
      </c>
      <c r="Y46" s="158">
        <f t="shared" si="7"/>
        <v>0</v>
      </c>
      <c r="Z46" s="158">
        <v>23817.0186915888</v>
      </c>
      <c r="AA46" s="158">
        <f t="shared" si="2"/>
        <v>186182.981308411</v>
      </c>
      <c r="AB46" s="167">
        <f>IF(O46="返货",Z46/(1+N46),IF(O46="返现",Z46,IF(O46="折扣",Z46*N46,IF(O46="无",Z46))))</f>
        <v>23817.0186915888</v>
      </c>
      <c r="AC46" s="168">
        <f t="shared" si="4"/>
        <v>0</v>
      </c>
      <c r="AD46" s="158">
        <v>23817.0186915888</v>
      </c>
      <c r="AE46" s="156">
        <v>0</v>
      </c>
      <c r="AF46" s="158">
        <f t="shared" si="8"/>
        <v>0</v>
      </c>
      <c r="AG46" s="158">
        <v>0</v>
      </c>
      <c r="AH46" s="158"/>
      <c r="AI46" s="158"/>
      <c r="AJ46" s="156" t="s">
        <v>47</v>
      </c>
      <c r="AK46" s="174" t="s">
        <v>47</v>
      </c>
    </row>
    <row r="47" s="140" customFormat="1" ht="15" hidden="1" customHeight="1" spans="1:39">
      <c r="A47" s="140">
        <v>2017</v>
      </c>
      <c r="B47" s="140" t="s">
        <v>38</v>
      </c>
      <c r="C47" s="140" t="s">
        <v>88</v>
      </c>
      <c r="D47" s="140" t="s">
        <v>128</v>
      </c>
      <c r="E47" s="140" t="s">
        <v>124</v>
      </c>
      <c r="F47" s="140" t="s">
        <v>169</v>
      </c>
      <c r="G47" s="140" t="s">
        <v>169</v>
      </c>
      <c r="H47" s="140" t="s">
        <v>169</v>
      </c>
      <c r="I47" s="140" t="s">
        <v>170</v>
      </c>
      <c r="J47" s="140" t="s">
        <v>171</v>
      </c>
      <c r="K47" s="140" t="s">
        <v>172</v>
      </c>
      <c r="L47" s="140" t="s">
        <v>169</v>
      </c>
      <c r="M47" s="140" t="s">
        <v>46</v>
      </c>
      <c r="N47" s="157">
        <v>0.02</v>
      </c>
      <c r="O47" s="156" t="s">
        <v>51</v>
      </c>
      <c r="P47" s="156"/>
      <c r="Q47" s="163">
        <v>2445799.7</v>
      </c>
      <c r="R47" s="158">
        <v>0</v>
      </c>
      <c r="S47" s="158">
        <v>24000000</v>
      </c>
      <c r="T47" s="158">
        <f t="shared" si="0"/>
        <v>480000</v>
      </c>
      <c r="U47" s="158">
        <f t="shared" si="5"/>
        <v>24480000</v>
      </c>
      <c r="V47" s="158">
        <v>24247722.37</v>
      </c>
      <c r="W47" s="158">
        <f t="shared" si="6"/>
        <v>232277.629999999</v>
      </c>
      <c r="X47" s="158">
        <f t="shared" si="1"/>
        <v>227723.166666666</v>
      </c>
      <c r="Y47" s="158">
        <f t="shared" si="7"/>
        <v>4554.46333333332</v>
      </c>
      <c r="Z47" s="158">
        <v>26164503.6</v>
      </c>
      <c r="AA47" s="158">
        <f t="shared" si="2"/>
        <v>529018.469999999</v>
      </c>
      <c r="AB47" s="167">
        <f>IF(O47="返货",(Z47-Q47)/(1+N47),IF(O47="返现",(Z47-Q47),IF(O47="折扣",(Z47-Q47)*N47,IF(O47="无",(Z47-Q47)))))</f>
        <v>23253631.2745098</v>
      </c>
      <c r="AC47" s="168">
        <f t="shared" si="4"/>
        <v>2910872.3254902</v>
      </c>
      <c r="AD47" s="158">
        <f>(Z47-Q47)*0.89807640489087</f>
        <v>21301208.3271831</v>
      </c>
      <c r="AE47" s="159">
        <v>0.112691732739812</v>
      </c>
      <c r="AF47" s="158">
        <f t="shared" ref="AF47:AF110" si="10">AD47*AE47</f>
        <v>2400470.07584197</v>
      </c>
      <c r="AG47" s="158">
        <v>1657032.52700195</v>
      </c>
      <c r="AH47" s="175"/>
      <c r="AI47" s="175"/>
      <c r="AJ47" s="156" t="s">
        <v>173</v>
      </c>
      <c r="AK47" s="140" t="s">
        <v>173</v>
      </c>
      <c r="AM47" s="140" t="s">
        <v>174</v>
      </c>
    </row>
    <row r="48" s="140" customFormat="1" ht="15" hidden="1" customHeight="1" spans="1:37">
      <c r="A48" s="140">
        <v>2017</v>
      </c>
      <c r="B48" s="140" t="s">
        <v>38</v>
      </c>
      <c r="C48" s="140" t="s">
        <v>75</v>
      </c>
      <c r="D48" s="140" t="s">
        <v>76</v>
      </c>
      <c r="E48" s="140" t="s">
        <v>175</v>
      </c>
      <c r="F48" s="140" t="s">
        <v>176</v>
      </c>
      <c r="G48" s="140" t="s">
        <v>176</v>
      </c>
      <c r="H48" s="140" t="s">
        <v>176</v>
      </c>
      <c r="I48" s="140" t="s">
        <v>165</v>
      </c>
      <c r="J48" s="140" t="s">
        <v>44</v>
      </c>
      <c r="K48" s="140" t="s">
        <v>166</v>
      </c>
      <c r="L48" s="140" t="s">
        <v>177</v>
      </c>
      <c r="M48" s="158" t="s">
        <v>178</v>
      </c>
      <c r="N48" s="156">
        <v>0</v>
      </c>
      <c r="O48" s="156" t="s">
        <v>47</v>
      </c>
      <c r="P48" s="156" t="s">
        <v>179</v>
      </c>
      <c r="Q48" s="158">
        <v>0</v>
      </c>
      <c r="R48" s="158">
        <v>0</v>
      </c>
      <c r="S48" s="158">
        <v>21386</v>
      </c>
      <c r="T48" s="158">
        <f t="shared" si="0"/>
        <v>0</v>
      </c>
      <c r="U48" s="158">
        <f t="shared" si="5"/>
        <v>21386</v>
      </c>
      <c r="V48" s="158">
        <v>21386</v>
      </c>
      <c r="W48" s="158">
        <f t="shared" si="6"/>
        <v>0</v>
      </c>
      <c r="X48" s="158">
        <f t="shared" si="1"/>
        <v>0</v>
      </c>
      <c r="Y48" s="158">
        <f t="shared" si="7"/>
        <v>0</v>
      </c>
      <c r="Z48" s="158">
        <v>21386</v>
      </c>
      <c r="AA48" s="158">
        <f t="shared" si="2"/>
        <v>0</v>
      </c>
      <c r="AB48" s="167">
        <f t="shared" ref="AB48:AB65" si="11">IF(O48="返货",Z48/(1+N48),IF(O48="返现",Z48,IF(O48="折扣",Z48*N48,IF(O48="无",Z48))))</f>
        <v>21386</v>
      </c>
      <c r="AC48" s="168">
        <f t="shared" si="4"/>
        <v>0</v>
      </c>
      <c r="AD48" s="158">
        <v>17816</v>
      </c>
      <c r="AE48" s="156">
        <v>0</v>
      </c>
      <c r="AF48" s="158">
        <f t="shared" si="10"/>
        <v>0</v>
      </c>
      <c r="AG48" s="158">
        <v>0</v>
      </c>
      <c r="AH48" s="158"/>
      <c r="AI48" s="158"/>
      <c r="AJ48" s="156" t="s">
        <v>180</v>
      </c>
      <c r="AK48" s="174" t="s">
        <v>180</v>
      </c>
    </row>
    <row r="49" s="140" customFormat="1" ht="15" hidden="1" customHeight="1" spans="1:37">
      <c r="A49" s="140">
        <v>2017</v>
      </c>
      <c r="B49" s="140" t="s">
        <v>38</v>
      </c>
      <c r="C49" s="140" t="s">
        <v>59</v>
      </c>
      <c r="D49" s="140" t="s">
        <v>181</v>
      </c>
      <c r="E49" s="140" t="s">
        <v>61</v>
      </c>
      <c r="F49" s="140" t="s">
        <v>182</v>
      </c>
      <c r="G49" s="140" t="s">
        <v>182</v>
      </c>
      <c r="H49" s="140" t="s">
        <v>182</v>
      </c>
      <c r="I49" s="140" t="s">
        <v>165</v>
      </c>
      <c r="J49" s="140" t="s">
        <v>44</v>
      </c>
      <c r="K49" s="140" t="s">
        <v>166</v>
      </c>
      <c r="L49" s="140" t="s">
        <v>182</v>
      </c>
      <c r="M49" s="158" t="s">
        <v>183</v>
      </c>
      <c r="N49" s="156">
        <v>0</v>
      </c>
      <c r="O49" s="156" t="s">
        <v>47</v>
      </c>
      <c r="P49" s="156"/>
      <c r="Q49" s="158">
        <v>0</v>
      </c>
      <c r="R49" s="158">
        <v>0</v>
      </c>
      <c r="S49" s="158">
        <v>30000</v>
      </c>
      <c r="T49" s="158">
        <f t="shared" si="0"/>
        <v>0</v>
      </c>
      <c r="U49" s="158">
        <f t="shared" si="5"/>
        <v>30000</v>
      </c>
      <c r="V49" s="158">
        <v>26351.35</v>
      </c>
      <c r="W49" s="158">
        <f t="shared" si="6"/>
        <v>3648.65</v>
      </c>
      <c r="X49" s="158">
        <f t="shared" si="1"/>
        <v>3648.65</v>
      </c>
      <c r="Y49" s="158">
        <f t="shared" si="7"/>
        <v>0</v>
      </c>
      <c r="Z49" s="158">
        <v>26351.35</v>
      </c>
      <c r="AA49" s="158">
        <f t="shared" si="2"/>
        <v>0</v>
      </c>
      <c r="AB49" s="167">
        <f t="shared" si="11"/>
        <v>26351.35</v>
      </c>
      <c r="AC49" s="168">
        <f t="shared" si="4"/>
        <v>0</v>
      </c>
      <c r="AD49" s="158">
        <v>26351.35</v>
      </c>
      <c r="AE49" s="156">
        <v>0</v>
      </c>
      <c r="AF49" s="158">
        <f t="shared" si="10"/>
        <v>0</v>
      </c>
      <c r="AG49" s="158">
        <v>-6081.08076923077</v>
      </c>
      <c r="AH49" s="158"/>
      <c r="AI49" s="158"/>
      <c r="AJ49" s="156" t="s">
        <v>184</v>
      </c>
      <c r="AK49" s="174" t="s">
        <v>184</v>
      </c>
    </row>
    <row r="50" s="140" customFormat="1" ht="15" hidden="1" customHeight="1" spans="1:37">
      <c r="A50" s="140">
        <v>2017</v>
      </c>
      <c r="B50" s="140" t="s">
        <v>38</v>
      </c>
      <c r="C50" s="140" t="s">
        <v>59</v>
      </c>
      <c r="D50" s="140" t="s">
        <v>181</v>
      </c>
      <c r="E50" s="140" t="s">
        <v>61</v>
      </c>
      <c r="F50" s="140" t="s">
        <v>182</v>
      </c>
      <c r="G50" s="140" t="s">
        <v>182</v>
      </c>
      <c r="H50" s="140" t="s">
        <v>182</v>
      </c>
      <c r="I50" s="140" t="s">
        <v>165</v>
      </c>
      <c r="J50" s="140" t="s">
        <v>44</v>
      </c>
      <c r="K50" s="140" t="s">
        <v>166</v>
      </c>
      <c r="L50" s="140" t="s">
        <v>182</v>
      </c>
      <c r="M50" s="158" t="s">
        <v>185</v>
      </c>
      <c r="N50" s="156">
        <v>0</v>
      </c>
      <c r="O50" s="156" t="s">
        <v>47</v>
      </c>
      <c r="P50" s="156"/>
      <c r="Q50" s="158">
        <v>0</v>
      </c>
      <c r="R50" s="158">
        <v>0</v>
      </c>
      <c r="S50" s="158">
        <v>50000</v>
      </c>
      <c r="T50" s="158">
        <f t="shared" si="0"/>
        <v>0</v>
      </c>
      <c r="U50" s="158">
        <f t="shared" si="5"/>
        <v>50000</v>
      </c>
      <c r="V50" s="158">
        <v>50000</v>
      </c>
      <c r="W50" s="158">
        <f t="shared" si="6"/>
        <v>0</v>
      </c>
      <c r="X50" s="158">
        <f t="shared" si="1"/>
        <v>0</v>
      </c>
      <c r="Y50" s="158">
        <f t="shared" si="7"/>
        <v>0</v>
      </c>
      <c r="Z50" s="158">
        <v>4873.80036630037</v>
      </c>
      <c r="AA50" s="158">
        <f t="shared" si="2"/>
        <v>45126.1996336996</v>
      </c>
      <c r="AB50" s="167">
        <f t="shared" si="11"/>
        <v>4873.80036630037</v>
      </c>
      <c r="AC50" s="168">
        <f t="shared" si="4"/>
        <v>0</v>
      </c>
      <c r="AD50" s="158">
        <v>4873.80036630037</v>
      </c>
      <c r="AE50" s="156">
        <v>0</v>
      </c>
      <c r="AF50" s="158">
        <f t="shared" si="10"/>
        <v>0</v>
      </c>
      <c r="AG50" s="158">
        <v>-187.453860242322</v>
      </c>
      <c r="AH50" s="158"/>
      <c r="AI50" s="158"/>
      <c r="AJ50" s="156" t="s">
        <v>186</v>
      </c>
      <c r="AK50" s="174" t="s">
        <v>186</v>
      </c>
    </row>
    <row r="51" s="140" customFormat="1" ht="15" hidden="1" customHeight="1" spans="1:37">
      <c r="A51" s="140">
        <v>2017</v>
      </c>
      <c r="B51" s="140" t="s">
        <v>38</v>
      </c>
      <c r="C51" s="140" t="s">
        <v>54</v>
      </c>
      <c r="D51" s="140" t="s">
        <v>102</v>
      </c>
      <c r="E51" s="140" t="s">
        <v>187</v>
      </c>
      <c r="F51" s="140" t="s">
        <v>188</v>
      </c>
      <c r="G51" s="140" t="s">
        <v>188</v>
      </c>
      <c r="H51" s="140" t="s">
        <v>188</v>
      </c>
      <c r="I51" s="140" t="s">
        <v>165</v>
      </c>
      <c r="J51" s="140" t="s">
        <v>44</v>
      </c>
      <c r="K51" s="140" t="s">
        <v>166</v>
      </c>
      <c r="L51" s="140" t="s">
        <v>188</v>
      </c>
      <c r="M51" s="158" t="s">
        <v>46</v>
      </c>
      <c r="N51" s="156">
        <v>0</v>
      </c>
      <c r="O51" s="156" t="s">
        <v>47</v>
      </c>
      <c r="P51" s="156"/>
      <c r="Q51" s="158">
        <v>0</v>
      </c>
      <c r="R51" s="158">
        <v>0</v>
      </c>
      <c r="S51" s="158">
        <v>27000</v>
      </c>
      <c r="T51" s="158">
        <f t="shared" si="0"/>
        <v>0</v>
      </c>
      <c r="U51" s="158">
        <f t="shared" si="5"/>
        <v>27000</v>
      </c>
      <c r="V51" s="158">
        <v>27000</v>
      </c>
      <c r="W51" s="158">
        <f t="shared" si="6"/>
        <v>0</v>
      </c>
      <c r="X51" s="158">
        <f t="shared" si="1"/>
        <v>0</v>
      </c>
      <c r="Y51" s="158">
        <f t="shared" si="7"/>
        <v>0</v>
      </c>
      <c r="Z51" s="158">
        <v>24309.4757281553</v>
      </c>
      <c r="AA51" s="158">
        <f t="shared" si="2"/>
        <v>2690.5242718447</v>
      </c>
      <c r="AB51" s="167">
        <f t="shared" si="11"/>
        <v>24309.4757281553</v>
      </c>
      <c r="AC51" s="168">
        <f t="shared" si="4"/>
        <v>0</v>
      </c>
      <c r="AD51" s="158">
        <v>24309.4757281553</v>
      </c>
      <c r="AE51" s="156">
        <v>0</v>
      </c>
      <c r="AF51" s="158">
        <f t="shared" si="10"/>
        <v>0</v>
      </c>
      <c r="AG51" s="158">
        <v>-708.042982373456</v>
      </c>
      <c r="AH51" s="158"/>
      <c r="AI51" s="158"/>
      <c r="AJ51" s="156" t="s">
        <v>189</v>
      </c>
      <c r="AK51" s="174" t="s">
        <v>189</v>
      </c>
    </row>
    <row r="52" s="140" customFormat="1" ht="15" hidden="1" customHeight="1" spans="1:39">
      <c r="A52" s="140">
        <v>2017</v>
      </c>
      <c r="B52" s="140" t="s">
        <v>38</v>
      </c>
      <c r="C52" s="140" t="s">
        <v>59</v>
      </c>
      <c r="D52" s="140" t="s">
        <v>106</v>
      </c>
      <c r="E52" s="140" t="s">
        <v>190</v>
      </c>
      <c r="F52" s="140" t="s">
        <v>191</v>
      </c>
      <c r="G52" s="140" t="s">
        <v>191</v>
      </c>
      <c r="H52" s="140" t="s">
        <v>191</v>
      </c>
      <c r="I52" s="140" t="s">
        <v>170</v>
      </c>
      <c r="J52" s="140" t="s">
        <v>171</v>
      </c>
      <c r="K52" s="140" t="s">
        <v>172</v>
      </c>
      <c r="L52" s="140" t="s">
        <v>191</v>
      </c>
      <c r="M52" s="140" t="s">
        <v>160</v>
      </c>
      <c r="N52" s="157">
        <v>0.02</v>
      </c>
      <c r="O52" s="156" t="s">
        <v>51</v>
      </c>
      <c r="P52" s="156"/>
      <c r="Q52" s="163">
        <v>524123.82</v>
      </c>
      <c r="R52" s="158">
        <v>0</v>
      </c>
      <c r="S52" s="158">
        <v>3735091.37</v>
      </c>
      <c r="T52" s="158">
        <f t="shared" si="0"/>
        <v>74701.8274</v>
      </c>
      <c r="U52" s="158">
        <f t="shared" si="5"/>
        <v>3809793.1974</v>
      </c>
      <c r="V52" s="158">
        <v>3286375</v>
      </c>
      <c r="W52" s="158">
        <f t="shared" si="6"/>
        <v>523418.1974</v>
      </c>
      <c r="X52" s="158">
        <f t="shared" si="1"/>
        <v>513155.095490196</v>
      </c>
      <c r="Y52" s="158">
        <f t="shared" si="7"/>
        <v>10263.1019098039</v>
      </c>
      <c r="Z52" s="158">
        <v>3810498.82</v>
      </c>
      <c r="AA52" s="158">
        <f t="shared" si="2"/>
        <v>0</v>
      </c>
      <c r="AB52" s="167">
        <f>IF(O52="返货",(Z52-Q52)/(1+N52),IF(O52="返现",(Z52-Q52),IF(O52="折扣",(Z52-Q52)*N52,IF(O52="无",(Z52-Q52)))))</f>
        <v>3221936.2745098</v>
      </c>
      <c r="AC52" s="168">
        <f t="shared" si="4"/>
        <v>588562.545490196</v>
      </c>
      <c r="AD52" s="158">
        <f>(Z52-Q52)*0.826045217867759</f>
        <v>2714694.35287016</v>
      </c>
      <c r="AE52" s="159">
        <v>0.112691732739812</v>
      </c>
      <c r="AF52" s="158">
        <f t="shared" si="10"/>
        <v>305923.610483921</v>
      </c>
      <c r="AG52" s="158">
        <v>229592.304074936</v>
      </c>
      <c r="AH52" s="175"/>
      <c r="AI52" s="175"/>
      <c r="AJ52" s="156" t="s">
        <v>173</v>
      </c>
      <c r="AK52" s="140" t="s">
        <v>173</v>
      </c>
      <c r="AM52" s="140" t="s">
        <v>174</v>
      </c>
    </row>
    <row r="53" s="140" customFormat="1" ht="15" hidden="1" customHeight="1" spans="1:37">
      <c r="A53" s="140">
        <v>2017</v>
      </c>
      <c r="B53" s="140" t="s">
        <v>38</v>
      </c>
      <c r="C53" s="140" t="s">
        <v>59</v>
      </c>
      <c r="D53" s="140" t="s">
        <v>106</v>
      </c>
      <c r="E53" s="140" t="s">
        <v>192</v>
      </c>
      <c r="F53" s="140" t="s">
        <v>108</v>
      </c>
      <c r="G53" s="140" t="s">
        <v>108</v>
      </c>
      <c r="H53" s="140" t="s">
        <v>108</v>
      </c>
      <c r="I53" s="140" t="s">
        <v>165</v>
      </c>
      <c r="J53" s="140" t="s">
        <v>44</v>
      </c>
      <c r="K53" s="140" t="s">
        <v>166</v>
      </c>
      <c r="L53" s="140" t="s">
        <v>109</v>
      </c>
      <c r="M53" s="158" t="s">
        <v>46</v>
      </c>
      <c r="N53" s="156">
        <v>0</v>
      </c>
      <c r="O53" s="156" t="s">
        <v>47</v>
      </c>
      <c r="P53" s="156"/>
      <c r="Q53" s="158">
        <v>0</v>
      </c>
      <c r="R53" s="158">
        <v>0</v>
      </c>
      <c r="S53" s="158">
        <v>20000</v>
      </c>
      <c r="T53" s="158">
        <f t="shared" si="0"/>
        <v>0</v>
      </c>
      <c r="U53" s="158">
        <f t="shared" si="5"/>
        <v>20000</v>
      </c>
      <c r="V53" s="158">
        <v>20000</v>
      </c>
      <c r="W53" s="158">
        <f t="shared" si="6"/>
        <v>0</v>
      </c>
      <c r="X53" s="158">
        <f t="shared" si="1"/>
        <v>0</v>
      </c>
      <c r="Y53" s="158">
        <f t="shared" si="7"/>
        <v>0</v>
      </c>
      <c r="Z53" s="158">
        <v>19590.92</v>
      </c>
      <c r="AA53" s="158">
        <f t="shared" si="2"/>
        <v>409.080000000002</v>
      </c>
      <c r="AB53" s="167">
        <f t="shared" si="11"/>
        <v>19590.92</v>
      </c>
      <c r="AC53" s="168">
        <f t="shared" si="4"/>
        <v>0</v>
      </c>
      <c r="AD53" s="158">
        <v>19590.92</v>
      </c>
      <c r="AE53" s="156">
        <v>0</v>
      </c>
      <c r="AF53" s="158">
        <f t="shared" si="10"/>
        <v>0</v>
      </c>
      <c r="AG53" s="158">
        <v>-1108.92</v>
      </c>
      <c r="AH53" s="158"/>
      <c r="AI53" s="158"/>
      <c r="AJ53" s="156" t="s">
        <v>193</v>
      </c>
      <c r="AK53" s="174" t="s">
        <v>193</v>
      </c>
    </row>
    <row r="54" s="140" customFormat="1" ht="15" hidden="1" customHeight="1" spans="1:37">
      <c r="A54" s="140">
        <v>2017</v>
      </c>
      <c r="B54" s="140" t="s">
        <v>38</v>
      </c>
      <c r="C54" s="140" t="s">
        <v>88</v>
      </c>
      <c r="D54" s="140" t="s">
        <v>89</v>
      </c>
      <c r="E54" s="140" t="s">
        <v>194</v>
      </c>
      <c r="F54" s="140" t="s">
        <v>195</v>
      </c>
      <c r="G54" s="140" t="s">
        <v>195</v>
      </c>
      <c r="H54" s="140" t="s">
        <v>195</v>
      </c>
      <c r="I54" s="140" t="s">
        <v>165</v>
      </c>
      <c r="J54" s="140" t="s">
        <v>44</v>
      </c>
      <c r="K54" s="140" t="s">
        <v>166</v>
      </c>
      <c r="L54" s="140" t="s">
        <v>195</v>
      </c>
      <c r="M54" s="158" t="s">
        <v>46</v>
      </c>
      <c r="N54" s="156">
        <v>0</v>
      </c>
      <c r="O54" s="156" t="s">
        <v>47</v>
      </c>
      <c r="P54" s="156"/>
      <c r="Q54" s="158">
        <v>0</v>
      </c>
      <c r="R54" s="158">
        <v>0</v>
      </c>
      <c r="S54" s="158">
        <v>9524</v>
      </c>
      <c r="T54" s="158">
        <f t="shared" si="0"/>
        <v>0</v>
      </c>
      <c r="U54" s="158">
        <f t="shared" si="5"/>
        <v>9524</v>
      </c>
      <c r="V54" s="158">
        <v>9524</v>
      </c>
      <c r="W54" s="158">
        <f t="shared" si="6"/>
        <v>0</v>
      </c>
      <c r="X54" s="158">
        <f t="shared" si="1"/>
        <v>0</v>
      </c>
      <c r="Y54" s="158">
        <f t="shared" si="7"/>
        <v>0</v>
      </c>
      <c r="Z54" s="158">
        <v>0</v>
      </c>
      <c r="AA54" s="158">
        <f t="shared" si="2"/>
        <v>9524</v>
      </c>
      <c r="AB54" s="167">
        <f t="shared" si="11"/>
        <v>0</v>
      </c>
      <c r="AC54" s="168">
        <f t="shared" si="4"/>
        <v>0</v>
      </c>
      <c r="AD54" s="158">
        <v>0</v>
      </c>
      <c r="AE54" s="156">
        <v>0</v>
      </c>
      <c r="AF54" s="158">
        <f t="shared" si="10"/>
        <v>0</v>
      </c>
      <c r="AG54" s="158">
        <v>0</v>
      </c>
      <c r="AH54" s="158"/>
      <c r="AI54" s="158"/>
      <c r="AJ54" s="156" t="s">
        <v>63</v>
      </c>
      <c r="AK54" s="174" t="s">
        <v>63</v>
      </c>
    </row>
    <row r="55" s="140" customFormat="1" ht="15" hidden="1" customHeight="1" spans="1:37">
      <c r="A55" s="140">
        <v>2017</v>
      </c>
      <c r="B55" s="140" t="s">
        <v>38</v>
      </c>
      <c r="C55" s="140" t="s">
        <v>59</v>
      </c>
      <c r="D55" s="140" t="s">
        <v>106</v>
      </c>
      <c r="E55" s="140" t="s">
        <v>190</v>
      </c>
      <c r="F55" s="140" t="s">
        <v>134</v>
      </c>
      <c r="G55" s="140" t="s">
        <v>134</v>
      </c>
      <c r="H55" s="140" t="s">
        <v>134</v>
      </c>
      <c r="I55" s="140" t="s">
        <v>165</v>
      </c>
      <c r="J55" s="140" t="s">
        <v>44</v>
      </c>
      <c r="K55" s="140" t="s">
        <v>166</v>
      </c>
      <c r="L55" s="140" t="s">
        <v>134</v>
      </c>
      <c r="M55" s="158" t="s">
        <v>185</v>
      </c>
      <c r="N55" s="156">
        <v>0</v>
      </c>
      <c r="O55" s="156" t="s">
        <v>47</v>
      </c>
      <c r="P55" s="156"/>
      <c r="Q55" s="158">
        <v>0</v>
      </c>
      <c r="R55" s="158">
        <v>0</v>
      </c>
      <c r="S55" s="158">
        <v>100000</v>
      </c>
      <c r="T55" s="158">
        <f t="shared" si="0"/>
        <v>0</v>
      </c>
      <c r="U55" s="158">
        <f t="shared" si="5"/>
        <v>100000</v>
      </c>
      <c r="V55" s="158">
        <v>100000</v>
      </c>
      <c r="W55" s="158">
        <f t="shared" si="6"/>
        <v>0</v>
      </c>
      <c r="X55" s="158">
        <f t="shared" si="1"/>
        <v>0</v>
      </c>
      <c r="Y55" s="158">
        <f t="shared" si="7"/>
        <v>0</v>
      </c>
      <c r="Z55" s="158">
        <v>100000</v>
      </c>
      <c r="AA55" s="158">
        <f t="shared" si="2"/>
        <v>0</v>
      </c>
      <c r="AB55" s="167">
        <f t="shared" si="11"/>
        <v>100000</v>
      </c>
      <c r="AC55" s="168">
        <f t="shared" si="4"/>
        <v>0</v>
      </c>
      <c r="AD55" s="158">
        <v>100000</v>
      </c>
      <c r="AE55" s="156">
        <v>0</v>
      </c>
      <c r="AF55" s="158">
        <f t="shared" si="10"/>
        <v>0</v>
      </c>
      <c r="AG55" s="158">
        <v>4000</v>
      </c>
      <c r="AH55" s="158"/>
      <c r="AI55" s="158"/>
      <c r="AJ55" s="156">
        <v>0</v>
      </c>
      <c r="AK55" s="174" t="s">
        <v>186</v>
      </c>
    </row>
    <row r="56" s="140" customFormat="1" ht="15" hidden="1" customHeight="1" spans="1:37">
      <c r="A56" s="140">
        <v>2017</v>
      </c>
      <c r="B56" s="140" t="s">
        <v>38</v>
      </c>
      <c r="C56" s="140" t="s">
        <v>59</v>
      </c>
      <c r="D56" s="140" t="s">
        <v>106</v>
      </c>
      <c r="E56" s="140" t="s">
        <v>107</v>
      </c>
      <c r="F56" s="140" t="s">
        <v>196</v>
      </c>
      <c r="G56" s="140" t="s">
        <v>196</v>
      </c>
      <c r="H56" s="140" t="s">
        <v>196</v>
      </c>
      <c r="I56" s="140" t="s">
        <v>165</v>
      </c>
      <c r="J56" s="140" t="s">
        <v>44</v>
      </c>
      <c r="K56" s="140" t="s">
        <v>166</v>
      </c>
      <c r="L56" s="140" t="s">
        <v>197</v>
      </c>
      <c r="M56" s="158" t="s">
        <v>185</v>
      </c>
      <c r="N56" s="156">
        <v>0</v>
      </c>
      <c r="O56" s="156" t="s">
        <v>47</v>
      </c>
      <c r="P56" s="156"/>
      <c r="Q56" s="158">
        <v>0</v>
      </c>
      <c r="R56" s="158">
        <v>0</v>
      </c>
      <c r="S56" s="158">
        <v>660346</v>
      </c>
      <c r="T56" s="158">
        <f t="shared" si="0"/>
        <v>0</v>
      </c>
      <c r="U56" s="158">
        <f t="shared" si="5"/>
        <v>660346</v>
      </c>
      <c r="V56" s="158">
        <v>660346</v>
      </c>
      <c r="W56" s="158">
        <f t="shared" si="6"/>
        <v>0</v>
      </c>
      <c r="X56" s="158">
        <f t="shared" si="1"/>
        <v>0</v>
      </c>
      <c r="Y56" s="158">
        <f t="shared" si="7"/>
        <v>0</v>
      </c>
      <c r="Z56" s="158">
        <v>609384.96</v>
      </c>
      <c r="AA56" s="158">
        <f t="shared" si="2"/>
        <v>50961.04</v>
      </c>
      <c r="AB56" s="167">
        <f t="shared" si="11"/>
        <v>609384.96</v>
      </c>
      <c r="AC56" s="168">
        <f t="shared" si="4"/>
        <v>0</v>
      </c>
      <c r="AD56" s="158">
        <v>609384.96</v>
      </c>
      <c r="AE56" s="156">
        <v>0</v>
      </c>
      <c r="AF56" s="158">
        <f t="shared" si="10"/>
        <v>0</v>
      </c>
      <c r="AG56" s="158">
        <v>25391.04</v>
      </c>
      <c r="AH56" s="158"/>
      <c r="AI56" s="158"/>
      <c r="AJ56" s="156" t="s">
        <v>198</v>
      </c>
      <c r="AK56" s="174" t="s">
        <v>198</v>
      </c>
    </row>
    <row r="57" s="140" customFormat="1" ht="15" hidden="1" customHeight="1" spans="1:39">
      <c r="A57" s="140">
        <v>2017</v>
      </c>
      <c r="B57" s="140" t="s">
        <v>199</v>
      </c>
      <c r="C57" s="140" t="s">
        <v>200</v>
      </c>
      <c r="D57" s="140" t="s">
        <v>201</v>
      </c>
      <c r="F57" s="152" t="s">
        <v>202</v>
      </c>
      <c r="G57" s="152" t="s">
        <v>203</v>
      </c>
      <c r="H57" s="152" t="s">
        <v>203</v>
      </c>
      <c r="I57" s="152" t="s">
        <v>204</v>
      </c>
      <c r="J57" s="140" t="s">
        <v>205</v>
      </c>
      <c r="K57" s="140" t="s">
        <v>206</v>
      </c>
      <c r="L57" s="140" t="s">
        <v>207</v>
      </c>
      <c r="M57" s="140" t="s">
        <v>185</v>
      </c>
      <c r="N57" s="157">
        <v>0.03</v>
      </c>
      <c r="O57" s="159" t="s">
        <v>51</v>
      </c>
      <c r="P57" s="159"/>
      <c r="Q57" s="158">
        <v>0</v>
      </c>
      <c r="R57" s="158">
        <v>0</v>
      </c>
      <c r="S57" s="158"/>
      <c r="T57" s="158">
        <f t="shared" si="0"/>
        <v>0</v>
      </c>
      <c r="U57" s="158">
        <f t="shared" si="5"/>
        <v>0</v>
      </c>
      <c r="V57" s="158">
        <v>0</v>
      </c>
      <c r="W57" s="158">
        <f t="shared" si="6"/>
        <v>0</v>
      </c>
      <c r="X57" s="158">
        <f t="shared" si="1"/>
        <v>0</v>
      </c>
      <c r="Y57" s="158">
        <f t="shared" si="7"/>
        <v>0</v>
      </c>
      <c r="Z57" s="158">
        <v>483057.67</v>
      </c>
      <c r="AA57" s="158">
        <f t="shared" si="2"/>
        <v>-483057.67</v>
      </c>
      <c r="AB57" s="167">
        <f t="shared" si="11"/>
        <v>468988.029126214</v>
      </c>
      <c r="AC57" s="168">
        <f t="shared" si="4"/>
        <v>14069.6408737864</v>
      </c>
      <c r="AD57" s="158">
        <v>483057.67</v>
      </c>
      <c r="AE57" s="159">
        <v>0.2</v>
      </c>
      <c r="AF57" s="158">
        <f t="shared" si="10"/>
        <v>96611.534</v>
      </c>
      <c r="AG57" s="158">
        <v>96611.534</v>
      </c>
      <c r="AH57" s="175"/>
      <c r="AI57" s="175"/>
      <c r="AJ57" s="157">
        <v>0.03</v>
      </c>
      <c r="AM57" s="152" t="s">
        <v>208</v>
      </c>
    </row>
    <row r="58" s="140" customFormat="1" ht="15" hidden="1" customHeight="1" spans="1:37">
      <c r="A58" s="140">
        <v>2017</v>
      </c>
      <c r="B58" s="140" t="s">
        <v>38</v>
      </c>
      <c r="C58" s="140" t="s">
        <v>88</v>
      </c>
      <c r="D58" s="140" t="s">
        <v>95</v>
      </c>
      <c r="E58" s="140" t="s">
        <v>194</v>
      </c>
      <c r="F58" s="140" t="s">
        <v>209</v>
      </c>
      <c r="G58" s="140" t="s">
        <v>209</v>
      </c>
      <c r="H58" s="140" t="s">
        <v>209</v>
      </c>
      <c r="I58" s="140" t="s">
        <v>165</v>
      </c>
      <c r="J58" s="140" t="s">
        <v>44</v>
      </c>
      <c r="K58" s="140" t="s">
        <v>166</v>
      </c>
      <c r="L58" s="140" t="s">
        <v>209</v>
      </c>
      <c r="M58" s="158" t="s">
        <v>46</v>
      </c>
      <c r="N58" s="156">
        <v>0</v>
      </c>
      <c r="O58" s="156" t="s">
        <v>47</v>
      </c>
      <c r="P58" s="156"/>
      <c r="Q58" s="158">
        <v>0</v>
      </c>
      <c r="R58" s="158">
        <v>0</v>
      </c>
      <c r="S58" s="158">
        <v>210000</v>
      </c>
      <c r="T58" s="158">
        <f t="shared" si="0"/>
        <v>0</v>
      </c>
      <c r="U58" s="158">
        <f t="shared" si="5"/>
        <v>210000</v>
      </c>
      <c r="V58" s="158">
        <v>210000</v>
      </c>
      <c r="W58" s="158">
        <f t="shared" si="6"/>
        <v>0</v>
      </c>
      <c r="X58" s="158">
        <f t="shared" si="1"/>
        <v>0</v>
      </c>
      <c r="Y58" s="158">
        <f t="shared" si="7"/>
        <v>0</v>
      </c>
      <c r="Z58" s="158">
        <v>173214.068627451</v>
      </c>
      <c r="AA58" s="158">
        <f t="shared" si="2"/>
        <v>36785.931372549</v>
      </c>
      <c r="AB58" s="167">
        <f t="shared" si="11"/>
        <v>173214.068627451</v>
      </c>
      <c r="AC58" s="168">
        <f t="shared" si="4"/>
        <v>0</v>
      </c>
      <c r="AD58" s="158">
        <v>173214.068627451</v>
      </c>
      <c r="AE58" s="156">
        <v>0</v>
      </c>
      <c r="AF58" s="158">
        <f t="shared" si="10"/>
        <v>0</v>
      </c>
      <c r="AG58" s="158">
        <v>-3396.35428681277</v>
      </c>
      <c r="AH58" s="158"/>
      <c r="AI58" s="158"/>
      <c r="AJ58" s="156" t="s">
        <v>173</v>
      </c>
      <c r="AK58" s="174" t="s">
        <v>173</v>
      </c>
    </row>
    <row r="59" s="140" customFormat="1" ht="15" hidden="1" customHeight="1" spans="1:37">
      <c r="A59" s="140">
        <v>2017</v>
      </c>
      <c r="B59" s="140" t="s">
        <v>38</v>
      </c>
      <c r="C59" s="140" t="s">
        <v>59</v>
      </c>
      <c r="D59" s="140" t="s">
        <v>106</v>
      </c>
      <c r="E59" s="140" t="s">
        <v>61</v>
      </c>
      <c r="F59" s="140" t="s">
        <v>145</v>
      </c>
      <c r="G59" s="140" t="s">
        <v>146</v>
      </c>
      <c r="H59" s="140" t="s">
        <v>146</v>
      </c>
      <c r="I59" s="140" t="s">
        <v>165</v>
      </c>
      <c r="J59" s="140" t="s">
        <v>44</v>
      </c>
      <c r="K59" s="140" t="s">
        <v>166</v>
      </c>
      <c r="L59" s="140" t="s">
        <v>145</v>
      </c>
      <c r="M59" s="158" t="s">
        <v>46</v>
      </c>
      <c r="N59" s="156">
        <v>0</v>
      </c>
      <c r="O59" s="156" t="s">
        <v>47</v>
      </c>
      <c r="P59" s="156"/>
      <c r="Q59" s="158">
        <v>0</v>
      </c>
      <c r="R59" s="158">
        <v>0</v>
      </c>
      <c r="S59" s="158">
        <v>35000</v>
      </c>
      <c r="T59" s="158">
        <f t="shared" si="0"/>
        <v>0</v>
      </c>
      <c r="U59" s="158">
        <f t="shared" si="5"/>
        <v>35000</v>
      </c>
      <c r="V59" s="158">
        <v>35000</v>
      </c>
      <c r="W59" s="158">
        <f t="shared" si="6"/>
        <v>0</v>
      </c>
      <c r="X59" s="158">
        <f t="shared" si="1"/>
        <v>0</v>
      </c>
      <c r="Y59" s="158">
        <f t="shared" si="7"/>
        <v>0</v>
      </c>
      <c r="Z59" s="158">
        <v>14949.7641509434</v>
      </c>
      <c r="AA59" s="158">
        <f t="shared" si="2"/>
        <v>20050.2358490566</v>
      </c>
      <c r="AB59" s="167">
        <f t="shared" si="11"/>
        <v>14949.7641509434</v>
      </c>
      <c r="AC59" s="168">
        <f t="shared" si="4"/>
        <v>0</v>
      </c>
      <c r="AD59" s="158">
        <v>14949.7641509434</v>
      </c>
      <c r="AE59" s="156">
        <v>0</v>
      </c>
      <c r="AF59" s="158">
        <f t="shared" si="10"/>
        <v>0</v>
      </c>
      <c r="AG59" s="158">
        <v>-846.21306514774</v>
      </c>
      <c r="AH59" s="158"/>
      <c r="AI59" s="158"/>
      <c r="AJ59" s="156" t="s">
        <v>193</v>
      </c>
      <c r="AK59" s="174" t="s">
        <v>193</v>
      </c>
    </row>
    <row r="60" s="140" customFormat="1" ht="15" hidden="1" customHeight="1" spans="1:37">
      <c r="A60" s="140">
        <v>2017</v>
      </c>
      <c r="B60" s="140" t="s">
        <v>38</v>
      </c>
      <c r="C60" s="140" t="s">
        <v>59</v>
      </c>
      <c r="D60" s="140" t="s">
        <v>210</v>
      </c>
      <c r="E60" s="140" t="s">
        <v>131</v>
      </c>
      <c r="F60" s="140" t="s">
        <v>211</v>
      </c>
      <c r="G60" s="140" t="s">
        <v>211</v>
      </c>
      <c r="H60" s="140" t="s">
        <v>211</v>
      </c>
      <c r="I60" s="140" t="s">
        <v>165</v>
      </c>
      <c r="J60" s="140" t="s">
        <v>44</v>
      </c>
      <c r="K60" s="140" t="s">
        <v>166</v>
      </c>
      <c r="L60" s="140" t="s">
        <v>212</v>
      </c>
      <c r="M60" s="158" t="s">
        <v>185</v>
      </c>
      <c r="N60" s="156">
        <v>0</v>
      </c>
      <c r="O60" s="156" t="s">
        <v>47</v>
      </c>
      <c r="P60" s="156"/>
      <c r="Q60" s="158">
        <v>0</v>
      </c>
      <c r="R60" s="158">
        <v>0</v>
      </c>
      <c r="S60" s="158">
        <v>138762</v>
      </c>
      <c r="T60" s="158">
        <f t="shared" si="0"/>
        <v>0</v>
      </c>
      <c r="U60" s="158">
        <f t="shared" si="5"/>
        <v>138762</v>
      </c>
      <c r="V60" s="158">
        <v>138762</v>
      </c>
      <c r="W60" s="158">
        <f t="shared" si="6"/>
        <v>0</v>
      </c>
      <c r="X60" s="158">
        <f t="shared" si="1"/>
        <v>0</v>
      </c>
      <c r="Y60" s="158">
        <f t="shared" si="7"/>
        <v>0</v>
      </c>
      <c r="Z60" s="158">
        <v>106740</v>
      </c>
      <c r="AA60" s="158">
        <f t="shared" si="2"/>
        <v>32022</v>
      </c>
      <c r="AB60" s="167">
        <f t="shared" si="11"/>
        <v>106740</v>
      </c>
      <c r="AC60" s="168">
        <f t="shared" si="4"/>
        <v>0</v>
      </c>
      <c r="AD60" s="158">
        <v>106740</v>
      </c>
      <c r="AE60" s="156">
        <v>0</v>
      </c>
      <c r="AF60" s="158">
        <f t="shared" si="10"/>
        <v>0</v>
      </c>
      <c r="AG60" s="158">
        <v>-24632.3076923077</v>
      </c>
      <c r="AH60" s="158"/>
      <c r="AI60" s="158"/>
      <c r="AJ60" s="156" t="s">
        <v>184</v>
      </c>
      <c r="AK60" s="174" t="s">
        <v>184</v>
      </c>
    </row>
    <row r="61" s="140" customFormat="1" ht="15" hidden="1" customHeight="1" spans="1:37">
      <c r="A61" s="140">
        <v>2017</v>
      </c>
      <c r="B61" s="140" t="s">
        <v>38</v>
      </c>
      <c r="C61" s="140" t="s">
        <v>88</v>
      </c>
      <c r="D61" s="140" t="s">
        <v>95</v>
      </c>
      <c r="E61" s="140" t="s">
        <v>194</v>
      </c>
      <c r="F61" s="140" t="s">
        <v>213</v>
      </c>
      <c r="G61" s="140" t="s">
        <v>213</v>
      </c>
      <c r="H61" s="140" t="s">
        <v>213</v>
      </c>
      <c r="I61" s="140" t="s">
        <v>165</v>
      </c>
      <c r="J61" s="140" t="s">
        <v>44</v>
      </c>
      <c r="K61" s="140" t="s">
        <v>166</v>
      </c>
      <c r="L61" s="140" t="s">
        <v>213</v>
      </c>
      <c r="M61" s="158" t="s">
        <v>185</v>
      </c>
      <c r="N61" s="156">
        <v>0</v>
      </c>
      <c r="O61" s="156" t="s">
        <v>47</v>
      </c>
      <c r="P61" s="156"/>
      <c r="Q61" s="158">
        <v>0</v>
      </c>
      <c r="R61" s="158">
        <v>0</v>
      </c>
      <c r="S61" s="158">
        <v>260000</v>
      </c>
      <c r="T61" s="158">
        <f t="shared" si="0"/>
        <v>0</v>
      </c>
      <c r="U61" s="158">
        <f t="shared" si="5"/>
        <v>260000</v>
      </c>
      <c r="V61" s="158">
        <v>260000</v>
      </c>
      <c r="W61" s="158">
        <f t="shared" si="6"/>
        <v>0</v>
      </c>
      <c r="X61" s="158">
        <f t="shared" si="1"/>
        <v>0</v>
      </c>
      <c r="Y61" s="158">
        <f t="shared" si="7"/>
        <v>0</v>
      </c>
      <c r="Z61" s="158">
        <v>219061.899269512</v>
      </c>
      <c r="AA61" s="158">
        <f t="shared" si="2"/>
        <v>40938.100730488</v>
      </c>
      <c r="AB61" s="167">
        <f t="shared" si="11"/>
        <v>219061.899269512</v>
      </c>
      <c r="AC61" s="168">
        <f t="shared" si="4"/>
        <v>0</v>
      </c>
      <c r="AD61" s="158">
        <v>219061.899269512</v>
      </c>
      <c r="AE61" s="156">
        <v>0</v>
      </c>
      <c r="AF61" s="158">
        <f t="shared" si="10"/>
        <v>0</v>
      </c>
      <c r="AG61" s="158">
        <v>-4295.33135822573</v>
      </c>
      <c r="AH61" s="158"/>
      <c r="AI61" s="158"/>
      <c r="AJ61" s="156" t="s">
        <v>173</v>
      </c>
      <c r="AK61" s="174" t="s">
        <v>173</v>
      </c>
    </row>
    <row r="62" s="140" customFormat="1" ht="15" hidden="1" customHeight="1" spans="1:37">
      <c r="A62" s="140">
        <v>2017</v>
      </c>
      <c r="B62" s="140" t="s">
        <v>38</v>
      </c>
      <c r="C62" s="140" t="s">
        <v>59</v>
      </c>
      <c r="D62" s="140" t="s">
        <v>106</v>
      </c>
      <c r="E62" s="140" t="s">
        <v>190</v>
      </c>
      <c r="F62" s="140" t="s">
        <v>214</v>
      </c>
      <c r="G62" s="140" t="s">
        <v>214</v>
      </c>
      <c r="H62" s="140" t="s">
        <v>214</v>
      </c>
      <c r="I62" s="140" t="s">
        <v>165</v>
      </c>
      <c r="J62" s="140" t="s">
        <v>44</v>
      </c>
      <c r="K62" s="140" t="s">
        <v>166</v>
      </c>
      <c r="L62" s="140" t="s">
        <v>215</v>
      </c>
      <c r="M62" s="158" t="s">
        <v>185</v>
      </c>
      <c r="N62" s="156">
        <v>0</v>
      </c>
      <c r="O62" s="156" t="s">
        <v>47</v>
      </c>
      <c r="P62" s="156"/>
      <c r="Q62" s="158">
        <v>0</v>
      </c>
      <c r="R62" s="158">
        <v>0</v>
      </c>
      <c r="S62" s="158">
        <v>2209890</v>
      </c>
      <c r="T62" s="158">
        <f t="shared" si="0"/>
        <v>0</v>
      </c>
      <c r="U62" s="158">
        <f t="shared" si="5"/>
        <v>2209890</v>
      </c>
      <c r="V62" s="158">
        <v>2209890</v>
      </c>
      <c r="W62" s="158">
        <f t="shared" si="6"/>
        <v>0</v>
      </c>
      <c r="X62" s="158">
        <f t="shared" si="1"/>
        <v>0</v>
      </c>
      <c r="Y62" s="158">
        <f t="shared" si="7"/>
        <v>0</v>
      </c>
      <c r="Z62" s="158">
        <v>1973456.2944</v>
      </c>
      <c r="AA62" s="158">
        <f t="shared" si="2"/>
        <v>236433.7056</v>
      </c>
      <c r="AB62" s="167">
        <f t="shared" si="11"/>
        <v>1973456.2944</v>
      </c>
      <c r="AC62" s="168">
        <f t="shared" si="4"/>
        <v>0</v>
      </c>
      <c r="AD62" s="158">
        <v>1973456.2944</v>
      </c>
      <c r="AE62" s="156">
        <v>0</v>
      </c>
      <c r="AF62" s="158">
        <f t="shared" si="10"/>
        <v>0</v>
      </c>
      <c r="AG62" s="158">
        <v>0</v>
      </c>
      <c r="AH62" s="158"/>
      <c r="AI62" s="158"/>
      <c r="AJ62" s="157">
        <v>0.95</v>
      </c>
      <c r="AK62" s="173">
        <v>0.95</v>
      </c>
    </row>
    <row r="63" s="140" customFormat="1" ht="15" hidden="1" customHeight="1" spans="1:37">
      <c r="A63" s="140">
        <v>2017</v>
      </c>
      <c r="B63" s="140" t="s">
        <v>38</v>
      </c>
      <c r="C63" s="140" t="s">
        <v>59</v>
      </c>
      <c r="D63" s="140" t="s">
        <v>106</v>
      </c>
      <c r="E63" s="140" t="s">
        <v>190</v>
      </c>
      <c r="F63" s="140" t="s">
        <v>214</v>
      </c>
      <c r="G63" s="140" t="s">
        <v>214</v>
      </c>
      <c r="H63" s="140" t="s">
        <v>214</v>
      </c>
      <c r="I63" s="140" t="s">
        <v>165</v>
      </c>
      <c r="J63" s="140" t="s">
        <v>44</v>
      </c>
      <c r="K63" s="140" t="s">
        <v>166</v>
      </c>
      <c r="L63" s="140" t="s">
        <v>215</v>
      </c>
      <c r="M63" s="158" t="s">
        <v>178</v>
      </c>
      <c r="N63" s="156">
        <v>0</v>
      </c>
      <c r="O63" s="156" t="s">
        <v>47</v>
      </c>
      <c r="P63" s="156" t="s">
        <v>179</v>
      </c>
      <c r="Q63" s="158">
        <v>0</v>
      </c>
      <c r="R63" s="158">
        <v>0</v>
      </c>
      <c r="S63" s="158">
        <v>7299086.2</v>
      </c>
      <c r="T63" s="158">
        <f t="shared" si="0"/>
        <v>0</v>
      </c>
      <c r="U63" s="158">
        <f t="shared" si="5"/>
        <v>7299086.2</v>
      </c>
      <c r="V63" s="158">
        <v>7299086.2</v>
      </c>
      <c r="W63" s="158">
        <f t="shared" si="6"/>
        <v>0</v>
      </c>
      <c r="X63" s="158">
        <f t="shared" si="1"/>
        <v>0</v>
      </c>
      <c r="Y63" s="158">
        <f t="shared" si="7"/>
        <v>0</v>
      </c>
      <c r="Z63" s="158">
        <v>7299086.2</v>
      </c>
      <c r="AA63" s="158">
        <f t="shared" si="2"/>
        <v>0</v>
      </c>
      <c r="AB63" s="167">
        <f t="shared" si="11"/>
        <v>7299086.2</v>
      </c>
      <c r="AC63" s="168">
        <f t="shared" si="4"/>
        <v>0</v>
      </c>
      <c r="AD63" s="158">
        <v>5975865</v>
      </c>
      <c r="AE63" s="156">
        <v>0</v>
      </c>
      <c r="AF63" s="158">
        <f t="shared" si="10"/>
        <v>0</v>
      </c>
      <c r="AG63" s="158">
        <v>0</v>
      </c>
      <c r="AH63" s="158"/>
      <c r="AI63" s="158"/>
      <c r="AJ63" s="157">
        <v>0.95</v>
      </c>
      <c r="AK63" s="173">
        <v>0.95</v>
      </c>
    </row>
    <row r="64" s="140" customFormat="1" ht="15" hidden="1" customHeight="1" spans="1:38">
      <c r="A64" s="140">
        <v>2017</v>
      </c>
      <c r="B64" s="140" t="s">
        <v>38</v>
      </c>
      <c r="C64" s="140" t="s">
        <v>75</v>
      </c>
      <c r="D64" s="140" t="s">
        <v>76</v>
      </c>
      <c r="E64" s="140" t="s">
        <v>167</v>
      </c>
      <c r="F64" s="140" t="s">
        <v>216</v>
      </c>
      <c r="G64" s="140" t="s">
        <v>216</v>
      </c>
      <c r="H64" s="140" t="s">
        <v>216</v>
      </c>
      <c r="I64" s="140" t="s">
        <v>217</v>
      </c>
      <c r="J64" s="140" t="s">
        <v>44</v>
      </c>
      <c r="K64" s="140" t="s">
        <v>218</v>
      </c>
      <c r="L64" s="140" t="s">
        <v>219</v>
      </c>
      <c r="M64" s="158" t="s">
        <v>46</v>
      </c>
      <c r="N64" s="156">
        <v>0</v>
      </c>
      <c r="O64" s="156" t="s">
        <v>47</v>
      </c>
      <c r="P64" s="156"/>
      <c r="Q64" s="158">
        <v>0</v>
      </c>
      <c r="R64" s="158">
        <v>0</v>
      </c>
      <c r="S64" s="158">
        <v>1350000</v>
      </c>
      <c r="T64" s="158">
        <f t="shared" si="0"/>
        <v>0</v>
      </c>
      <c r="U64" s="158">
        <f t="shared" si="5"/>
        <v>1350000</v>
      </c>
      <c r="V64" s="158">
        <v>1350000</v>
      </c>
      <c r="W64" s="158">
        <f t="shared" si="6"/>
        <v>0</v>
      </c>
      <c r="X64" s="158">
        <f t="shared" si="1"/>
        <v>0</v>
      </c>
      <c r="Y64" s="158">
        <f t="shared" si="7"/>
        <v>0</v>
      </c>
      <c r="Z64" s="158">
        <v>1238861.44</v>
      </c>
      <c r="AA64" s="158">
        <f t="shared" si="2"/>
        <v>111138.56</v>
      </c>
      <c r="AB64" s="167">
        <f t="shared" si="11"/>
        <v>1238861.44</v>
      </c>
      <c r="AC64" s="168">
        <f t="shared" si="4"/>
        <v>0</v>
      </c>
      <c r="AD64" s="158">
        <v>1238861.44</v>
      </c>
      <c r="AE64" s="156">
        <v>0</v>
      </c>
      <c r="AF64" s="158">
        <f t="shared" si="10"/>
        <v>0</v>
      </c>
      <c r="AG64" s="158">
        <f>AB64-Z64+AF64</f>
        <v>0</v>
      </c>
      <c r="AH64" s="158"/>
      <c r="AI64" s="158"/>
      <c r="AJ64" s="157">
        <v>1</v>
      </c>
      <c r="AK64" s="174" t="s">
        <v>47</v>
      </c>
      <c r="AL64" s="140" t="s">
        <v>220</v>
      </c>
    </row>
    <row r="65" s="140" customFormat="1" ht="15" hidden="1" customHeight="1" spans="1:38">
      <c r="A65" s="140">
        <v>2017</v>
      </c>
      <c r="B65" s="140" t="s">
        <v>38</v>
      </c>
      <c r="C65" s="140" t="s">
        <v>39</v>
      </c>
      <c r="D65" s="140" t="s">
        <v>40</v>
      </c>
      <c r="E65" s="140" t="s">
        <v>41</v>
      </c>
      <c r="F65" s="140" t="s">
        <v>42</v>
      </c>
      <c r="G65" s="140" t="s">
        <v>42</v>
      </c>
      <c r="H65" s="140" t="s">
        <v>42</v>
      </c>
      <c r="I65" s="140" t="s">
        <v>217</v>
      </c>
      <c r="J65" s="140" t="s">
        <v>44</v>
      </c>
      <c r="K65" s="140" t="s">
        <v>218</v>
      </c>
      <c r="L65" s="140" t="s">
        <v>42</v>
      </c>
      <c r="M65" s="158" t="s">
        <v>46</v>
      </c>
      <c r="N65" s="156">
        <v>0</v>
      </c>
      <c r="O65" s="156" t="s">
        <v>47</v>
      </c>
      <c r="P65" s="156"/>
      <c r="Q65" s="158">
        <v>0</v>
      </c>
      <c r="R65" s="158">
        <v>0</v>
      </c>
      <c r="S65" s="158">
        <v>46000</v>
      </c>
      <c r="T65" s="158">
        <f t="shared" si="0"/>
        <v>0</v>
      </c>
      <c r="U65" s="158">
        <f t="shared" si="5"/>
        <v>46000</v>
      </c>
      <c r="V65" s="158">
        <v>46000</v>
      </c>
      <c r="W65" s="158">
        <f t="shared" si="6"/>
        <v>0</v>
      </c>
      <c r="X65" s="158">
        <f t="shared" si="1"/>
        <v>0</v>
      </c>
      <c r="Y65" s="158">
        <f t="shared" si="7"/>
        <v>0</v>
      </c>
      <c r="Z65" s="158">
        <v>45960.35</v>
      </c>
      <c r="AA65" s="158">
        <f t="shared" si="2"/>
        <v>39.6500000000015</v>
      </c>
      <c r="AB65" s="167">
        <f t="shared" si="11"/>
        <v>45960.35</v>
      </c>
      <c r="AC65" s="168">
        <f t="shared" si="4"/>
        <v>0</v>
      </c>
      <c r="AD65" s="158">
        <v>45960.35</v>
      </c>
      <c r="AE65" s="156">
        <v>0</v>
      </c>
      <c r="AF65" s="158">
        <f t="shared" si="10"/>
        <v>0</v>
      </c>
      <c r="AG65" s="158">
        <f>AB65-Z65+AF65</f>
        <v>0</v>
      </c>
      <c r="AH65" s="158"/>
      <c r="AI65" s="158"/>
      <c r="AJ65" s="156" t="s">
        <v>47</v>
      </c>
      <c r="AK65" s="174" t="s">
        <v>47</v>
      </c>
      <c r="AL65" s="140" t="s">
        <v>221</v>
      </c>
    </row>
    <row r="66" s="140" customFormat="1" ht="15" hidden="1" customHeight="1" spans="1:38">
      <c r="A66" s="140">
        <v>2017</v>
      </c>
      <c r="B66" s="140" t="s">
        <v>38</v>
      </c>
      <c r="C66" s="140" t="s">
        <v>75</v>
      </c>
      <c r="D66" s="140" t="s">
        <v>76</v>
      </c>
      <c r="E66" s="140" t="s">
        <v>77</v>
      </c>
      <c r="F66" s="140" t="s">
        <v>78</v>
      </c>
      <c r="G66" s="140" t="s">
        <v>78</v>
      </c>
      <c r="H66" s="140" t="s">
        <v>78</v>
      </c>
      <c r="I66" s="140" t="s">
        <v>217</v>
      </c>
      <c r="J66" s="140" t="s">
        <v>44</v>
      </c>
      <c r="K66" s="140" t="s">
        <v>218</v>
      </c>
      <c r="L66" s="140" t="s">
        <v>79</v>
      </c>
      <c r="M66" s="158" t="s">
        <v>46</v>
      </c>
      <c r="N66" s="156">
        <v>0</v>
      </c>
      <c r="O66" s="156" t="s">
        <v>47</v>
      </c>
      <c r="P66" s="156"/>
      <c r="Q66" s="158">
        <v>79035.89</v>
      </c>
      <c r="R66" s="158">
        <v>0</v>
      </c>
      <c r="S66" s="158">
        <v>540801.8</v>
      </c>
      <c r="T66" s="158">
        <f t="shared" ref="T66:T129" si="12">S66*N66</f>
        <v>0</v>
      </c>
      <c r="U66" s="158">
        <f t="shared" si="5"/>
        <v>540801.8</v>
      </c>
      <c r="V66" s="158">
        <v>540801.8</v>
      </c>
      <c r="W66" s="158">
        <f t="shared" si="6"/>
        <v>0</v>
      </c>
      <c r="X66" s="158">
        <f t="shared" ref="X66:X129" si="13">W66/(1+N66)</f>
        <v>0</v>
      </c>
      <c r="Y66" s="158">
        <f t="shared" si="7"/>
        <v>0</v>
      </c>
      <c r="Z66" s="158">
        <v>619837.69</v>
      </c>
      <c r="AA66" s="158">
        <f t="shared" ref="AA66:AA129" si="14">Q66+V66-Z66</f>
        <v>0</v>
      </c>
      <c r="AB66" s="167">
        <f>IF(O66="返货",(Z66-Q66)/(1+N66),IF(O66="返现",(Z66-Q66),IF(O66="折扣",(Z66-Q66)*N66,IF(O66="无",(Z66-Q66)))))</f>
        <v>540801.8</v>
      </c>
      <c r="AC66" s="168">
        <f t="shared" ref="AC66:AC129" si="15">IF(O66="返现",Z66*N66,Z66-AB66)</f>
        <v>79035.89</v>
      </c>
      <c r="AD66" s="158">
        <v>540801.8</v>
      </c>
      <c r="AE66" s="156">
        <v>0</v>
      </c>
      <c r="AF66" s="158">
        <f t="shared" si="10"/>
        <v>0</v>
      </c>
      <c r="AG66" s="158">
        <f>AB66-Z66+AF66</f>
        <v>-79035.89</v>
      </c>
      <c r="AH66" s="158"/>
      <c r="AI66" s="158"/>
      <c r="AJ66" s="156" t="s">
        <v>47</v>
      </c>
      <c r="AK66" s="174" t="s">
        <v>47</v>
      </c>
      <c r="AL66" s="140" t="s">
        <v>222</v>
      </c>
    </row>
    <row r="67" s="140" customFormat="1" ht="15" hidden="1" customHeight="1" spans="1:38">
      <c r="A67" s="140">
        <v>2017</v>
      </c>
      <c r="B67" s="140" t="s">
        <v>38</v>
      </c>
      <c r="C67" s="140" t="s">
        <v>39</v>
      </c>
      <c r="D67" s="140" t="s">
        <v>40</v>
      </c>
      <c r="E67" s="140" t="s">
        <v>48</v>
      </c>
      <c r="F67" s="140" t="s">
        <v>127</v>
      </c>
      <c r="G67" s="140" t="s">
        <v>127</v>
      </c>
      <c r="H67" s="140" t="s">
        <v>127</v>
      </c>
      <c r="I67" s="140" t="s">
        <v>217</v>
      </c>
      <c r="J67" s="140" t="s">
        <v>44</v>
      </c>
      <c r="K67" s="140" t="s">
        <v>218</v>
      </c>
      <c r="L67" s="140" t="s">
        <v>127</v>
      </c>
      <c r="M67" s="158" t="s">
        <v>46</v>
      </c>
      <c r="N67" s="156">
        <v>0</v>
      </c>
      <c r="O67" s="156" t="s">
        <v>47</v>
      </c>
      <c r="P67" s="156"/>
      <c r="Q67" s="158">
        <v>0</v>
      </c>
      <c r="R67" s="158">
        <v>0</v>
      </c>
      <c r="S67" s="158">
        <v>1640000</v>
      </c>
      <c r="T67" s="158">
        <f t="shared" si="12"/>
        <v>0</v>
      </c>
      <c r="U67" s="158">
        <f t="shared" ref="U67:U130" si="16">R67+S67+T67</f>
        <v>1640000</v>
      </c>
      <c r="V67" s="158">
        <v>1640000</v>
      </c>
      <c r="W67" s="158">
        <f t="shared" ref="W67:W130" si="17">U67-V67</f>
        <v>0</v>
      </c>
      <c r="X67" s="158">
        <f t="shared" si="13"/>
        <v>0</v>
      </c>
      <c r="Y67" s="158">
        <f t="shared" ref="Y67:Y130" si="18">W67-X67</f>
        <v>0</v>
      </c>
      <c r="Z67" s="158">
        <v>1584166</v>
      </c>
      <c r="AA67" s="158">
        <f t="shared" si="14"/>
        <v>55834</v>
      </c>
      <c r="AB67" s="167">
        <f>IF(O67="返货",Z67/(1+N67),IF(O67="返现",Z67,IF(O67="折扣",Z67*N67,IF(O67="无",Z67))))</f>
        <v>1584166</v>
      </c>
      <c r="AC67" s="168">
        <f t="shared" si="15"/>
        <v>0</v>
      </c>
      <c r="AD67" s="158">
        <v>1584166</v>
      </c>
      <c r="AE67" s="156">
        <v>0</v>
      </c>
      <c r="AF67" s="158">
        <f t="shared" si="10"/>
        <v>0</v>
      </c>
      <c r="AG67" s="158">
        <f>AB67-Z67+AF67</f>
        <v>0</v>
      </c>
      <c r="AH67" s="158"/>
      <c r="AI67" s="158"/>
      <c r="AJ67" s="176">
        <v>0</v>
      </c>
      <c r="AK67" s="174" t="s">
        <v>47</v>
      </c>
      <c r="AL67" s="140" t="s">
        <v>223</v>
      </c>
    </row>
    <row r="68" s="140" customFormat="1" ht="15" hidden="1" customHeight="1" spans="1:37">
      <c r="A68" s="140">
        <v>2017</v>
      </c>
      <c r="B68" s="140" t="s">
        <v>38</v>
      </c>
      <c r="C68" s="140" t="s">
        <v>54</v>
      </c>
      <c r="D68" s="140" t="s">
        <v>55</v>
      </c>
      <c r="E68" s="140" t="s">
        <v>64</v>
      </c>
      <c r="F68" s="140" t="s">
        <v>224</v>
      </c>
      <c r="G68" s="140" t="s">
        <v>224</v>
      </c>
      <c r="H68" s="140" t="s">
        <v>224</v>
      </c>
      <c r="I68" s="140" t="s">
        <v>217</v>
      </c>
      <c r="J68" s="140" t="s">
        <v>44</v>
      </c>
      <c r="K68" s="140" t="s">
        <v>218</v>
      </c>
      <c r="L68" s="140" t="s">
        <v>224</v>
      </c>
      <c r="M68" s="158" t="s">
        <v>46</v>
      </c>
      <c r="N68" s="156">
        <v>0</v>
      </c>
      <c r="O68" s="156" t="s">
        <v>47</v>
      </c>
      <c r="P68" s="156" t="s">
        <v>161</v>
      </c>
      <c r="Q68" s="158">
        <v>0</v>
      </c>
      <c r="R68" s="158">
        <v>0</v>
      </c>
      <c r="S68" s="158">
        <v>72100</v>
      </c>
      <c r="T68" s="158">
        <f t="shared" si="12"/>
        <v>0</v>
      </c>
      <c r="U68" s="158">
        <f t="shared" si="16"/>
        <v>72100</v>
      </c>
      <c r="V68" s="158">
        <v>70000</v>
      </c>
      <c r="W68" s="158">
        <f t="shared" si="17"/>
        <v>2100</v>
      </c>
      <c r="X68" s="158">
        <f t="shared" si="13"/>
        <v>2100</v>
      </c>
      <c r="Y68" s="158">
        <f t="shared" si="18"/>
        <v>0</v>
      </c>
      <c r="Z68" s="158">
        <v>34477</v>
      </c>
      <c r="AA68" s="158">
        <f t="shared" si="14"/>
        <v>35523</v>
      </c>
      <c r="AB68" s="167">
        <f>Z68*(1+3%)</f>
        <v>35511.31</v>
      </c>
      <c r="AC68" s="168">
        <f t="shared" si="15"/>
        <v>-1034.31</v>
      </c>
      <c r="AD68" s="158">
        <v>34477</v>
      </c>
      <c r="AE68" s="156">
        <v>0</v>
      </c>
      <c r="AF68" s="158">
        <f t="shared" si="10"/>
        <v>0</v>
      </c>
      <c r="AG68" s="158">
        <f>AB68-Z68+AF68</f>
        <v>1034.31</v>
      </c>
      <c r="AH68" s="158"/>
      <c r="AI68" s="158"/>
      <c r="AJ68" s="156" t="s">
        <v>47</v>
      </c>
      <c r="AK68" s="174" t="s">
        <v>47</v>
      </c>
    </row>
    <row r="69" s="140" customFormat="1" ht="15" hidden="1" customHeight="1" spans="1:37">
      <c r="A69" s="140">
        <v>2017</v>
      </c>
      <c r="B69" s="140" t="s">
        <v>38</v>
      </c>
      <c r="C69" s="140" t="s">
        <v>75</v>
      </c>
      <c r="D69" s="140" t="s">
        <v>76</v>
      </c>
      <c r="E69" s="140" t="s">
        <v>225</v>
      </c>
      <c r="F69" s="140" t="s">
        <v>226</v>
      </c>
      <c r="G69" s="140" t="s">
        <v>226</v>
      </c>
      <c r="H69" s="140" t="s">
        <v>226</v>
      </c>
      <c r="I69" s="140" t="s">
        <v>227</v>
      </c>
      <c r="J69" s="140" t="s">
        <v>228</v>
      </c>
      <c r="K69" s="140" t="s">
        <v>229</v>
      </c>
      <c r="L69" s="140" t="s">
        <v>230</v>
      </c>
      <c r="M69" s="158" t="s">
        <v>185</v>
      </c>
      <c r="N69" s="157">
        <v>0.06</v>
      </c>
      <c r="O69" s="156" t="s">
        <v>51</v>
      </c>
      <c r="P69" s="156"/>
      <c r="Q69" s="158">
        <v>0</v>
      </c>
      <c r="R69" s="158">
        <v>0</v>
      </c>
      <c r="S69" s="158">
        <v>710000</v>
      </c>
      <c r="T69" s="158">
        <f t="shared" si="12"/>
        <v>42600</v>
      </c>
      <c r="U69" s="158">
        <f t="shared" si="16"/>
        <v>752600</v>
      </c>
      <c r="V69" s="158">
        <v>747048</v>
      </c>
      <c r="W69" s="158">
        <f t="shared" si="17"/>
        <v>5552</v>
      </c>
      <c r="X69" s="158">
        <f t="shared" si="13"/>
        <v>5237.7358490566</v>
      </c>
      <c r="Y69" s="158">
        <f t="shared" si="18"/>
        <v>314.264150943396</v>
      </c>
      <c r="Z69" s="158">
        <v>700000</v>
      </c>
      <c r="AA69" s="158">
        <f t="shared" si="14"/>
        <v>47048</v>
      </c>
      <c r="AB69" s="167">
        <f t="shared" ref="AB69:AB90" si="19">IF(O69="返货",Z69/(1+N69),IF(O69="返现",Z69,IF(O69="折扣",Z69*N69,IF(O69="无",Z69))))</f>
        <v>660377.358490566</v>
      </c>
      <c r="AC69" s="168">
        <f t="shared" si="15"/>
        <v>39622.641509434</v>
      </c>
      <c r="AD69" s="158">
        <v>700000</v>
      </c>
      <c r="AE69" s="156">
        <v>0.09</v>
      </c>
      <c r="AF69" s="158">
        <f t="shared" si="10"/>
        <v>63000</v>
      </c>
      <c r="AG69" s="158">
        <v>63000</v>
      </c>
      <c r="AH69" s="158"/>
      <c r="AI69" s="158"/>
      <c r="AJ69" s="156" t="s">
        <v>193</v>
      </c>
      <c r="AK69" s="174" t="s">
        <v>193</v>
      </c>
    </row>
    <row r="70" s="140" customFormat="1" ht="15" hidden="1" customHeight="1" spans="1:38">
      <c r="A70" s="140">
        <v>2017</v>
      </c>
      <c r="B70" s="140" t="s">
        <v>199</v>
      </c>
      <c r="C70" s="140" t="s">
        <v>59</v>
      </c>
      <c r="D70" s="140" t="s">
        <v>106</v>
      </c>
      <c r="E70" s="140" t="s">
        <v>131</v>
      </c>
      <c r="F70" s="140" t="s">
        <v>231</v>
      </c>
      <c r="G70" s="140" t="s">
        <v>232</v>
      </c>
      <c r="H70" s="140" t="s">
        <v>232</v>
      </c>
      <c r="I70" s="140" t="s">
        <v>227</v>
      </c>
      <c r="J70" s="140" t="s">
        <v>228</v>
      </c>
      <c r="K70" s="140" t="s">
        <v>229</v>
      </c>
      <c r="L70" s="140" t="s">
        <v>231</v>
      </c>
      <c r="M70" s="158" t="s">
        <v>185</v>
      </c>
      <c r="N70" s="157">
        <v>0.25</v>
      </c>
      <c r="O70" s="156" t="s">
        <v>51</v>
      </c>
      <c r="P70" s="156"/>
      <c r="Q70" s="158">
        <v>0</v>
      </c>
      <c r="R70" s="158">
        <v>0</v>
      </c>
      <c r="S70" s="158">
        <v>1400000</v>
      </c>
      <c r="T70" s="158">
        <f t="shared" si="12"/>
        <v>350000</v>
      </c>
      <c r="U70" s="158">
        <f t="shared" si="16"/>
        <v>1750000</v>
      </c>
      <c r="V70" s="158">
        <v>1400000</v>
      </c>
      <c r="W70" s="158">
        <f t="shared" si="17"/>
        <v>350000</v>
      </c>
      <c r="X70" s="158">
        <f t="shared" si="13"/>
        <v>280000</v>
      </c>
      <c r="Y70" s="158">
        <f t="shared" si="18"/>
        <v>70000</v>
      </c>
      <c r="Z70" s="158">
        <v>1344030.24</v>
      </c>
      <c r="AA70" s="158">
        <f t="shared" si="14"/>
        <v>55969.76</v>
      </c>
      <c r="AB70" s="167">
        <f t="shared" si="19"/>
        <v>1075224.192</v>
      </c>
      <c r="AC70" s="168">
        <f t="shared" si="15"/>
        <v>268806.048</v>
      </c>
      <c r="AD70" s="158">
        <v>1344030.24</v>
      </c>
      <c r="AE70" s="156">
        <v>0.09</v>
      </c>
      <c r="AF70" s="158">
        <f t="shared" si="10"/>
        <v>120962.7216</v>
      </c>
      <c r="AG70" s="158">
        <v>120962.7216</v>
      </c>
      <c r="AH70" s="158"/>
      <c r="AI70" s="158"/>
      <c r="AJ70" s="156" t="s">
        <v>233</v>
      </c>
      <c r="AK70" s="174" t="s">
        <v>233</v>
      </c>
      <c r="AL70" s="140" t="s">
        <v>234</v>
      </c>
    </row>
    <row r="71" s="140" customFormat="1" ht="15" hidden="1" customHeight="1" spans="1:37">
      <c r="A71" s="140">
        <v>2017</v>
      </c>
      <c r="B71" s="140" t="s">
        <v>199</v>
      </c>
      <c r="C71" s="140" t="s">
        <v>59</v>
      </c>
      <c r="D71" s="140" t="s">
        <v>106</v>
      </c>
      <c r="E71" s="140" t="s">
        <v>131</v>
      </c>
      <c r="F71" s="140" t="s">
        <v>231</v>
      </c>
      <c r="G71" s="140" t="s">
        <v>232</v>
      </c>
      <c r="H71" s="140" t="s">
        <v>232</v>
      </c>
      <c r="I71" s="140" t="s">
        <v>227</v>
      </c>
      <c r="J71" s="140" t="s">
        <v>228</v>
      </c>
      <c r="K71" s="140" t="s">
        <v>229</v>
      </c>
      <c r="L71" s="140" t="s">
        <v>231</v>
      </c>
      <c r="M71" s="158" t="s">
        <v>178</v>
      </c>
      <c r="N71" s="156">
        <v>0</v>
      </c>
      <c r="O71" s="156" t="s">
        <v>47</v>
      </c>
      <c r="P71" s="156" t="s">
        <v>179</v>
      </c>
      <c r="Q71" s="158">
        <v>0</v>
      </c>
      <c r="R71" s="158">
        <v>0</v>
      </c>
      <c r="S71" s="158">
        <v>199800</v>
      </c>
      <c r="T71" s="158">
        <f t="shared" si="12"/>
        <v>0</v>
      </c>
      <c r="U71" s="158">
        <f t="shared" si="16"/>
        <v>199800</v>
      </c>
      <c r="V71" s="158">
        <v>90815</v>
      </c>
      <c r="W71" s="158">
        <f t="shared" si="17"/>
        <v>108985</v>
      </c>
      <c r="X71" s="158">
        <f t="shared" si="13"/>
        <v>108985</v>
      </c>
      <c r="Y71" s="158">
        <f t="shared" si="18"/>
        <v>0</v>
      </c>
      <c r="Z71" s="158">
        <v>199800</v>
      </c>
      <c r="AA71" s="158">
        <f t="shared" si="14"/>
        <v>-108985</v>
      </c>
      <c r="AB71" s="167">
        <f t="shared" si="19"/>
        <v>199800</v>
      </c>
      <c r="AC71" s="168">
        <f t="shared" si="15"/>
        <v>0</v>
      </c>
      <c r="AD71" s="158">
        <v>90815</v>
      </c>
      <c r="AE71" s="156">
        <v>0.09</v>
      </c>
      <c r="AF71" s="158">
        <f t="shared" si="10"/>
        <v>8173.35</v>
      </c>
      <c r="AG71" s="158">
        <v>8173.35</v>
      </c>
      <c r="AH71" s="158"/>
      <c r="AI71" s="158"/>
      <c r="AJ71" s="157">
        <v>0.5</v>
      </c>
      <c r="AK71" s="173">
        <v>0.5</v>
      </c>
    </row>
    <row r="72" s="140" customFormat="1" ht="15" hidden="1" customHeight="1" spans="1:37">
      <c r="A72" s="140">
        <v>2017</v>
      </c>
      <c r="B72" s="140" t="s">
        <v>38</v>
      </c>
      <c r="C72" s="140" t="s">
        <v>75</v>
      </c>
      <c r="D72" s="140" t="s">
        <v>76</v>
      </c>
      <c r="E72" s="140" t="s">
        <v>225</v>
      </c>
      <c r="F72" s="140" t="s">
        <v>235</v>
      </c>
      <c r="G72" s="140" t="s">
        <v>235</v>
      </c>
      <c r="H72" s="140" t="s">
        <v>235</v>
      </c>
      <c r="I72" s="140" t="s">
        <v>227</v>
      </c>
      <c r="J72" s="140" t="s">
        <v>228</v>
      </c>
      <c r="K72" s="140" t="s">
        <v>229</v>
      </c>
      <c r="L72" s="140" t="s">
        <v>235</v>
      </c>
      <c r="M72" s="158" t="s">
        <v>185</v>
      </c>
      <c r="N72" s="157">
        <v>0.06</v>
      </c>
      <c r="O72" s="156" t="s">
        <v>51</v>
      </c>
      <c r="P72" s="156"/>
      <c r="Q72" s="158">
        <v>0</v>
      </c>
      <c r="R72" s="158">
        <v>0</v>
      </c>
      <c r="S72" s="158">
        <v>40000</v>
      </c>
      <c r="T72" s="158">
        <f t="shared" si="12"/>
        <v>2400</v>
      </c>
      <c r="U72" s="158">
        <f t="shared" si="16"/>
        <v>42400</v>
      </c>
      <c r="V72" s="158">
        <v>42610</v>
      </c>
      <c r="W72" s="158">
        <f t="shared" si="17"/>
        <v>-210</v>
      </c>
      <c r="X72" s="158">
        <f t="shared" si="13"/>
        <v>-198.11320754717</v>
      </c>
      <c r="Y72" s="158">
        <f t="shared" si="18"/>
        <v>-11.8867924528302</v>
      </c>
      <c r="Z72" s="158">
        <v>42500</v>
      </c>
      <c r="AA72" s="158">
        <f t="shared" si="14"/>
        <v>110</v>
      </c>
      <c r="AB72" s="167">
        <f t="shared" si="19"/>
        <v>40094.3396226415</v>
      </c>
      <c r="AC72" s="168">
        <f t="shared" si="15"/>
        <v>2405.66037735849</v>
      </c>
      <c r="AD72" s="158">
        <v>42500</v>
      </c>
      <c r="AE72" s="156">
        <v>0.09</v>
      </c>
      <c r="AF72" s="158">
        <f t="shared" si="10"/>
        <v>3825</v>
      </c>
      <c r="AG72" s="158">
        <v>-22142.36</v>
      </c>
      <c r="AH72" s="158"/>
      <c r="AI72" s="158"/>
      <c r="AJ72" s="156" t="s">
        <v>193</v>
      </c>
      <c r="AK72" s="174" t="s">
        <v>193</v>
      </c>
    </row>
    <row r="73" s="140" customFormat="1" ht="15" hidden="1" customHeight="1" spans="1:37">
      <c r="A73" s="140">
        <v>2017</v>
      </c>
      <c r="B73" s="140" t="s">
        <v>38</v>
      </c>
      <c r="C73" s="140" t="s">
        <v>75</v>
      </c>
      <c r="D73" s="140" t="s">
        <v>76</v>
      </c>
      <c r="E73" s="140" t="s">
        <v>225</v>
      </c>
      <c r="F73" s="140" t="s">
        <v>230</v>
      </c>
      <c r="G73" s="140" t="s">
        <v>230</v>
      </c>
      <c r="H73" s="140" t="s">
        <v>230</v>
      </c>
      <c r="I73" s="140" t="s">
        <v>227</v>
      </c>
      <c r="J73" s="140" t="s">
        <v>228</v>
      </c>
      <c r="K73" s="140" t="s">
        <v>229</v>
      </c>
      <c r="L73" s="140" t="s">
        <v>230</v>
      </c>
      <c r="M73" s="158" t="s">
        <v>185</v>
      </c>
      <c r="N73" s="157">
        <v>0.06</v>
      </c>
      <c r="O73" s="156" t="s">
        <v>51</v>
      </c>
      <c r="P73" s="156"/>
      <c r="Q73" s="158">
        <v>0</v>
      </c>
      <c r="R73" s="158">
        <v>0</v>
      </c>
      <c r="S73" s="158">
        <v>1759800</v>
      </c>
      <c r="T73" s="158">
        <f t="shared" si="12"/>
        <v>105588</v>
      </c>
      <c r="U73" s="158">
        <f t="shared" si="16"/>
        <v>1865388</v>
      </c>
      <c r="V73" s="158">
        <v>1846147</v>
      </c>
      <c r="W73" s="158">
        <f t="shared" si="17"/>
        <v>19241</v>
      </c>
      <c r="X73" s="158">
        <f t="shared" si="13"/>
        <v>18151.8867924528</v>
      </c>
      <c r="Y73" s="158">
        <f t="shared" si="18"/>
        <v>1089.11320754717</v>
      </c>
      <c r="Z73" s="158">
        <v>1546147</v>
      </c>
      <c r="AA73" s="158">
        <f t="shared" si="14"/>
        <v>300000</v>
      </c>
      <c r="AB73" s="167">
        <f t="shared" si="19"/>
        <v>1458629.24528302</v>
      </c>
      <c r="AC73" s="168">
        <f t="shared" si="15"/>
        <v>87517.7547169812</v>
      </c>
      <c r="AD73" s="158">
        <v>1546147</v>
      </c>
      <c r="AE73" s="156">
        <v>0.09</v>
      </c>
      <c r="AF73" s="158">
        <f t="shared" si="10"/>
        <v>139153.23</v>
      </c>
      <c r="AG73" s="158">
        <v>3455613.47913044</v>
      </c>
      <c r="AH73" s="158"/>
      <c r="AI73" s="158"/>
      <c r="AJ73" s="156" t="s">
        <v>193</v>
      </c>
      <c r="AK73" s="174" t="s">
        <v>193</v>
      </c>
    </row>
    <row r="74" s="140" customFormat="1" ht="15" hidden="1" customHeight="1" spans="1:37">
      <c r="A74" s="140">
        <v>2017</v>
      </c>
      <c r="B74" s="140" t="s">
        <v>38</v>
      </c>
      <c r="C74" s="140" t="s">
        <v>75</v>
      </c>
      <c r="D74" s="140" t="s">
        <v>76</v>
      </c>
      <c r="E74" s="140" t="s">
        <v>225</v>
      </c>
      <c r="F74" s="140" t="s">
        <v>230</v>
      </c>
      <c r="G74" s="140" t="s">
        <v>230</v>
      </c>
      <c r="H74" s="140" t="s">
        <v>230</v>
      </c>
      <c r="I74" s="140" t="s">
        <v>227</v>
      </c>
      <c r="J74" s="140" t="s">
        <v>228</v>
      </c>
      <c r="K74" s="140" t="s">
        <v>229</v>
      </c>
      <c r="L74" s="140" t="s">
        <v>230</v>
      </c>
      <c r="M74" s="158" t="s">
        <v>178</v>
      </c>
      <c r="N74" s="156">
        <v>0</v>
      </c>
      <c r="O74" s="156" t="s">
        <v>47</v>
      </c>
      <c r="P74" s="156" t="s">
        <v>179</v>
      </c>
      <c r="Q74" s="158">
        <v>0</v>
      </c>
      <c r="R74" s="158">
        <v>0</v>
      </c>
      <c r="S74" s="158">
        <v>486667</v>
      </c>
      <c r="T74" s="158">
        <f t="shared" si="12"/>
        <v>0</v>
      </c>
      <c r="U74" s="158">
        <f t="shared" si="16"/>
        <v>486667</v>
      </c>
      <c r="V74" s="158">
        <v>389333</v>
      </c>
      <c r="W74" s="158">
        <f t="shared" si="17"/>
        <v>97334</v>
      </c>
      <c r="X74" s="158">
        <f t="shared" si="13"/>
        <v>97334</v>
      </c>
      <c r="Y74" s="158">
        <f t="shared" si="18"/>
        <v>0</v>
      </c>
      <c r="Z74" s="158">
        <v>486667</v>
      </c>
      <c r="AA74" s="158">
        <f t="shared" si="14"/>
        <v>-97334</v>
      </c>
      <c r="AB74" s="167">
        <f t="shared" si="19"/>
        <v>486667</v>
      </c>
      <c r="AC74" s="168">
        <f t="shared" si="15"/>
        <v>0</v>
      </c>
      <c r="AD74" s="158">
        <v>389333</v>
      </c>
      <c r="AE74" s="156">
        <v>0.09</v>
      </c>
      <c r="AF74" s="158">
        <f t="shared" si="10"/>
        <v>35039.97</v>
      </c>
      <c r="AG74" s="158">
        <v>35039.97</v>
      </c>
      <c r="AH74" s="158"/>
      <c r="AI74" s="158"/>
      <c r="AJ74" s="157">
        <v>0.5</v>
      </c>
      <c r="AK74" s="173">
        <v>0.5</v>
      </c>
    </row>
    <row r="75" s="140" customFormat="1" ht="15" hidden="1" customHeight="1" spans="1:37">
      <c r="A75" s="140">
        <v>2017</v>
      </c>
      <c r="B75" s="140" t="s">
        <v>38</v>
      </c>
      <c r="C75" s="140" t="s">
        <v>59</v>
      </c>
      <c r="D75" s="140" t="s">
        <v>106</v>
      </c>
      <c r="E75" s="140" t="s">
        <v>131</v>
      </c>
      <c r="F75" s="140" t="s">
        <v>236</v>
      </c>
      <c r="G75" s="140" t="s">
        <v>236</v>
      </c>
      <c r="H75" s="140" t="s">
        <v>236</v>
      </c>
      <c r="I75" s="140" t="s">
        <v>227</v>
      </c>
      <c r="J75" s="140" t="s">
        <v>228</v>
      </c>
      <c r="K75" s="140" t="s">
        <v>229</v>
      </c>
      <c r="L75" s="140" t="s">
        <v>236</v>
      </c>
      <c r="M75" s="158" t="s">
        <v>185</v>
      </c>
      <c r="N75" s="156">
        <v>0.06</v>
      </c>
      <c r="O75" s="156" t="s">
        <v>51</v>
      </c>
      <c r="P75" s="156"/>
      <c r="Q75" s="158">
        <v>0</v>
      </c>
      <c r="R75" s="158">
        <v>0</v>
      </c>
      <c r="S75" s="158">
        <v>10000</v>
      </c>
      <c r="T75" s="158">
        <f t="shared" si="12"/>
        <v>600</v>
      </c>
      <c r="U75" s="158">
        <f t="shared" si="16"/>
        <v>10600</v>
      </c>
      <c r="V75" s="158">
        <v>10600</v>
      </c>
      <c r="W75" s="158">
        <f t="shared" si="17"/>
        <v>0</v>
      </c>
      <c r="X75" s="158">
        <f t="shared" si="13"/>
        <v>0</v>
      </c>
      <c r="Y75" s="158">
        <f t="shared" si="18"/>
        <v>0</v>
      </c>
      <c r="Z75" s="158">
        <v>6317.25</v>
      </c>
      <c r="AA75" s="158">
        <f t="shared" si="14"/>
        <v>4282.75</v>
      </c>
      <c r="AB75" s="167">
        <f t="shared" si="19"/>
        <v>5959.66981132075</v>
      </c>
      <c r="AC75" s="168">
        <f t="shared" si="15"/>
        <v>357.580188679246</v>
      </c>
      <c r="AD75" s="158">
        <v>6317.25</v>
      </c>
      <c r="AE75" s="156">
        <v>0.09</v>
      </c>
      <c r="AF75" s="158">
        <f t="shared" si="10"/>
        <v>568.5525</v>
      </c>
      <c r="AG75" s="158">
        <v>568.5525</v>
      </c>
      <c r="AH75" s="158"/>
      <c r="AI75" s="158"/>
      <c r="AJ75" s="156" t="s">
        <v>193</v>
      </c>
      <c r="AK75" s="174" t="s">
        <v>193</v>
      </c>
    </row>
    <row r="76" s="140" customFormat="1" ht="15" hidden="1" customHeight="1" spans="1:37">
      <c r="A76" s="140">
        <v>2017</v>
      </c>
      <c r="B76" s="140" t="s">
        <v>38</v>
      </c>
      <c r="C76" s="140" t="s">
        <v>75</v>
      </c>
      <c r="D76" s="140" t="s">
        <v>76</v>
      </c>
      <c r="E76" s="140" t="s">
        <v>225</v>
      </c>
      <c r="F76" s="140" t="s">
        <v>237</v>
      </c>
      <c r="G76" s="140" t="s">
        <v>237</v>
      </c>
      <c r="H76" s="140" t="s">
        <v>237</v>
      </c>
      <c r="I76" s="140" t="s">
        <v>227</v>
      </c>
      <c r="J76" s="140" t="s">
        <v>228</v>
      </c>
      <c r="K76" s="140" t="s">
        <v>229</v>
      </c>
      <c r="L76" s="140" t="s">
        <v>237</v>
      </c>
      <c r="M76" s="158" t="s">
        <v>185</v>
      </c>
      <c r="N76" s="157">
        <v>0.09</v>
      </c>
      <c r="O76" s="156" t="s">
        <v>51</v>
      </c>
      <c r="P76" s="156"/>
      <c r="Q76" s="158">
        <v>0</v>
      </c>
      <c r="R76" s="158">
        <v>0</v>
      </c>
      <c r="S76" s="158">
        <v>29920000</v>
      </c>
      <c r="T76" s="158">
        <f t="shared" si="12"/>
        <v>2692800</v>
      </c>
      <c r="U76" s="158">
        <f t="shared" si="16"/>
        <v>32612800</v>
      </c>
      <c r="V76" s="158">
        <v>31790003</v>
      </c>
      <c r="W76" s="158">
        <f t="shared" si="17"/>
        <v>822797</v>
      </c>
      <c r="X76" s="158">
        <f t="shared" si="13"/>
        <v>754859.633027523</v>
      </c>
      <c r="Y76" s="158">
        <f t="shared" si="18"/>
        <v>67937.3669724772</v>
      </c>
      <c r="Z76" s="158">
        <v>25820257.67</v>
      </c>
      <c r="AA76" s="158">
        <f t="shared" si="14"/>
        <v>5969745.33</v>
      </c>
      <c r="AB76" s="167">
        <f t="shared" si="19"/>
        <v>23688309.7889908</v>
      </c>
      <c r="AC76" s="168">
        <f t="shared" si="15"/>
        <v>2131947.88100918</v>
      </c>
      <c r="AD76" s="158">
        <v>25820257.67</v>
      </c>
      <c r="AE76" s="156">
        <v>0.09</v>
      </c>
      <c r="AF76" s="158">
        <f t="shared" si="10"/>
        <v>2323823.1903</v>
      </c>
      <c r="AG76" s="158">
        <v>2323823.1903</v>
      </c>
      <c r="AH76" s="158"/>
      <c r="AI76" s="158"/>
      <c r="AJ76" s="156" t="s">
        <v>238</v>
      </c>
      <c r="AK76" s="174" t="s">
        <v>238</v>
      </c>
    </row>
    <row r="77" s="140" customFormat="1" ht="15" hidden="1" customHeight="1" spans="1:37">
      <c r="A77" s="140">
        <v>2017</v>
      </c>
      <c r="B77" s="140" t="s">
        <v>38</v>
      </c>
      <c r="C77" s="140" t="s">
        <v>75</v>
      </c>
      <c r="D77" s="140" t="s">
        <v>76</v>
      </c>
      <c r="E77" s="140" t="s">
        <v>225</v>
      </c>
      <c r="F77" s="140" t="s">
        <v>237</v>
      </c>
      <c r="G77" s="140" t="s">
        <v>237</v>
      </c>
      <c r="H77" s="140" t="s">
        <v>237</v>
      </c>
      <c r="I77" s="140" t="s">
        <v>227</v>
      </c>
      <c r="J77" s="140" t="s">
        <v>228</v>
      </c>
      <c r="K77" s="140" t="s">
        <v>229</v>
      </c>
      <c r="L77" s="140" t="s">
        <v>237</v>
      </c>
      <c r="M77" s="158" t="s">
        <v>178</v>
      </c>
      <c r="N77" s="156">
        <v>0</v>
      </c>
      <c r="O77" s="156" t="s">
        <v>47</v>
      </c>
      <c r="P77" s="156" t="s">
        <v>179</v>
      </c>
      <c r="Q77" s="158">
        <v>0</v>
      </c>
      <c r="R77" s="158">
        <v>0</v>
      </c>
      <c r="S77" s="158">
        <v>2699333</v>
      </c>
      <c r="T77" s="158">
        <f t="shared" si="12"/>
        <v>0</v>
      </c>
      <c r="U77" s="158">
        <f t="shared" si="16"/>
        <v>2699333</v>
      </c>
      <c r="V77" s="158">
        <v>2296000</v>
      </c>
      <c r="W77" s="158">
        <f t="shared" si="17"/>
        <v>403333</v>
      </c>
      <c r="X77" s="158">
        <f t="shared" si="13"/>
        <v>403333</v>
      </c>
      <c r="Y77" s="158">
        <f t="shared" si="18"/>
        <v>0</v>
      </c>
      <c r="Z77" s="158">
        <v>2699333</v>
      </c>
      <c r="AA77" s="158">
        <f t="shared" si="14"/>
        <v>-403333</v>
      </c>
      <c r="AB77" s="167">
        <f t="shared" si="19"/>
        <v>2699333</v>
      </c>
      <c r="AC77" s="168">
        <f t="shared" si="15"/>
        <v>0</v>
      </c>
      <c r="AD77" s="158">
        <v>2296000</v>
      </c>
      <c r="AE77" s="156">
        <v>0.09</v>
      </c>
      <c r="AF77" s="158">
        <f t="shared" si="10"/>
        <v>206640</v>
      </c>
      <c r="AG77" s="158">
        <v>206640</v>
      </c>
      <c r="AH77" s="158"/>
      <c r="AI77" s="158"/>
      <c r="AJ77" s="157">
        <v>0.5</v>
      </c>
      <c r="AK77" s="173">
        <v>0.5</v>
      </c>
    </row>
    <row r="78" s="140" customFormat="1" ht="15" hidden="1" customHeight="1" spans="1:37">
      <c r="A78" s="140">
        <v>2017</v>
      </c>
      <c r="B78" s="140" t="s">
        <v>38</v>
      </c>
      <c r="C78" s="140" t="s">
        <v>59</v>
      </c>
      <c r="D78" s="140" t="s">
        <v>106</v>
      </c>
      <c r="E78" s="140" t="s">
        <v>239</v>
      </c>
      <c r="F78" s="140" t="s">
        <v>240</v>
      </c>
      <c r="G78" s="140" t="s">
        <v>240</v>
      </c>
      <c r="H78" s="140" t="s">
        <v>240</v>
      </c>
      <c r="I78" s="140" t="s">
        <v>227</v>
      </c>
      <c r="J78" s="140" t="s">
        <v>228</v>
      </c>
      <c r="K78" s="140" t="s">
        <v>229</v>
      </c>
      <c r="L78" s="140" t="s">
        <v>240</v>
      </c>
      <c r="M78" s="158" t="s">
        <v>185</v>
      </c>
      <c r="N78" s="157">
        <v>0.08</v>
      </c>
      <c r="O78" s="156" t="s">
        <v>51</v>
      </c>
      <c r="P78" s="156"/>
      <c r="Q78" s="158">
        <v>0</v>
      </c>
      <c r="R78" s="158">
        <v>0</v>
      </c>
      <c r="S78" s="158">
        <v>120000</v>
      </c>
      <c r="T78" s="158">
        <f t="shared" si="12"/>
        <v>9600</v>
      </c>
      <c r="U78" s="158">
        <f t="shared" si="16"/>
        <v>129600</v>
      </c>
      <c r="V78" s="158">
        <v>120000</v>
      </c>
      <c r="W78" s="158">
        <f t="shared" si="17"/>
        <v>9600</v>
      </c>
      <c r="X78" s="158">
        <f t="shared" si="13"/>
        <v>8888.88888888889</v>
      </c>
      <c r="Y78" s="158">
        <f t="shared" si="18"/>
        <v>711.111111111111</v>
      </c>
      <c r="Z78" s="158">
        <v>179025.68</v>
      </c>
      <c r="AA78" s="158">
        <f t="shared" si="14"/>
        <v>-59025.68</v>
      </c>
      <c r="AB78" s="167">
        <f t="shared" si="19"/>
        <v>165764.518518519</v>
      </c>
      <c r="AC78" s="168">
        <f t="shared" si="15"/>
        <v>13261.1614814815</v>
      </c>
      <c r="AD78" s="158">
        <v>179025.68</v>
      </c>
      <c r="AE78" s="156">
        <v>0.13</v>
      </c>
      <c r="AF78" s="158">
        <f t="shared" si="10"/>
        <v>23273.3384</v>
      </c>
      <c r="AG78" s="158">
        <v>13749.2249074074</v>
      </c>
      <c r="AH78" s="158"/>
      <c r="AI78" s="158"/>
      <c r="AJ78" s="156" t="s">
        <v>53</v>
      </c>
      <c r="AK78" s="174" t="s">
        <v>53</v>
      </c>
    </row>
    <row r="79" s="140" customFormat="1" ht="15" hidden="1" customHeight="1" spans="1:37">
      <c r="A79" s="140">
        <v>2017</v>
      </c>
      <c r="B79" s="140" t="s">
        <v>38</v>
      </c>
      <c r="C79" s="140" t="s">
        <v>59</v>
      </c>
      <c r="D79" s="140" t="s">
        <v>106</v>
      </c>
      <c r="E79" s="140" t="s">
        <v>190</v>
      </c>
      <c r="F79" s="140" t="s">
        <v>197</v>
      </c>
      <c r="G79" s="140" t="s">
        <v>197</v>
      </c>
      <c r="H79" s="140" t="s">
        <v>197</v>
      </c>
      <c r="I79" s="140" t="s">
        <v>170</v>
      </c>
      <c r="J79" s="140" t="s">
        <v>171</v>
      </c>
      <c r="K79" s="140" t="s">
        <v>172</v>
      </c>
      <c r="L79" s="140" t="s">
        <v>197</v>
      </c>
      <c r="M79" s="140" t="s">
        <v>46</v>
      </c>
      <c r="N79" s="157">
        <v>0.02</v>
      </c>
      <c r="O79" s="156" t="s">
        <v>51</v>
      </c>
      <c r="P79" s="156"/>
      <c r="Q79" s="163">
        <v>533197.9</v>
      </c>
      <c r="R79" s="158">
        <v>0</v>
      </c>
      <c r="S79" s="158">
        <v>10540000</v>
      </c>
      <c r="T79" s="158">
        <f t="shared" si="12"/>
        <v>210800</v>
      </c>
      <c r="U79" s="158">
        <f t="shared" si="16"/>
        <v>10750800</v>
      </c>
      <c r="V79" s="158">
        <v>10546000</v>
      </c>
      <c r="W79" s="158">
        <f t="shared" si="17"/>
        <v>204800</v>
      </c>
      <c r="X79" s="158">
        <f t="shared" si="13"/>
        <v>200784.31372549</v>
      </c>
      <c r="Y79" s="158">
        <f t="shared" si="18"/>
        <v>4015.68627450982</v>
      </c>
      <c r="Z79" s="158">
        <v>10915049.6</v>
      </c>
      <c r="AA79" s="158">
        <f t="shared" si="14"/>
        <v>164148.300000001</v>
      </c>
      <c r="AB79" s="167">
        <f>IF(O79="返货",(Z79-Q79)/(1+N79),IF(O79="返现",(Z79-Q79),IF(O79="折扣",(Z79-Q79)*N79,IF(O79="无",(Z79-Q79)))))</f>
        <v>10178285.9803922</v>
      </c>
      <c r="AC79" s="168">
        <f t="shared" si="15"/>
        <v>736763.619607843</v>
      </c>
      <c r="AD79" s="158">
        <f>(Z79-Q79)*0.89807640489087</f>
        <v>9323696.05084617</v>
      </c>
      <c r="AE79" s="159">
        <v>0.112691732739812</v>
      </c>
      <c r="AF79" s="158">
        <f t="shared" si="10"/>
        <v>1050703.4635092</v>
      </c>
      <c r="AG79" s="158">
        <v>762545.779698363</v>
      </c>
      <c r="AH79" s="175"/>
      <c r="AI79" s="175"/>
      <c r="AJ79" s="156" t="s">
        <v>173</v>
      </c>
      <c r="AK79" s="140" t="s">
        <v>173</v>
      </c>
    </row>
    <row r="80" s="140" customFormat="1" ht="15" hidden="1" customHeight="1" spans="1:37">
      <c r="A80" s="140">
        <v>2017</v>
      </c>
      <c r="B80" s="140" t="s">
        <v>38</v>
      </c>
      <c r="C80" s="140" t="s">
        <v>59</v>
      </c>
      <c r="D80" s="140" t="s">
        <v>106</v>
      </c>
      <c r="E80" s="140" t="s">
        <v>239</v>
      </c>
      <c r="F80" s="140" t="s">
        <v>240</v>
      </c>
      <c r="G80" s="140" t="s">
        <v>240</v>
      </c>
      <c r="H80" s="140" t="s">
        <v>240</v>
      </c>
      <c r="I80" s="140" t="s">
        <v>227</v>
      </c>
      <c r="J80" s="140" t="s">
        <v>228</v>
      </c>
      <c r="K80" s="140" t="s">
        <v>229</v>
      </c>
      <c r="L80" s="140" t="s">
        <v>240</v>
      </c>
      <c r="M80" s="158" t="s">
        <v>178</v>
      </c>
      <c r="N80" s="156">
        <v>0</v>
      </c>
      <c r="O80" s="156" t="s">
        <v>47</v>
      </c>
      <c r="P80" s="156" t="s">
        <v>179</v>
      </c>
      <c r="Q80" s="158">
        <v>0</v>
      </c>
      <c r="R80" s="158">
        <v>0</v>
      </c>
      <c r="S80" s="158">
        <v>476233.33</v>
      </c>
      <c r="T80" s="158">
        <f t="shared" si="12"/>
        <v>0</v>
      </c>
      <c r="U80" s="158">
        <f t="shared" si="16"/>
        <v>476233.33</v>
      </c>
      <c r="V80" s="158">
        <v>476233.33</v>
      </c>
      <c r="W80" s="158">
        <f t="shared" si="17"/>
        <v>0</v>
      </c>
      <c r="X80" s="158">
        <f t="shared" si="13"/>
        <v>0</v>
      </c>
      <c r="Y80" s="158">
        <f t="shared" si="18"/>
        <v>0</v>
      </c>
      <c r="Z80" s="158">
        <v>476233.33</v>
      </c>
      <c r="AA80" s="158">
        <f t="shared" si="14"/>
        <v>0</v>
      </c>
      <c r="AB80" s="167">
        <f t="shared" si="19"/>
        <v>476233.33</v>
      </c>
      <c r="AC80" s="168">
        <f t="shared" si="15"/>
        <v>0</v>
      </c>
      <c r="AD80" s="158">
        <v>344471.33</v>
      </c>
      <c r="AE80" s="156">
        <v>0.09</v>
      </c>
      <c r="AF80" s="158">
        <f t="shared" si="10"/>
        <v>31002.4197</v>
      </c>
      <c r="AG80" s="158">
        <v>31002.4197</v>
      </c>
      <c r="AH80" s="158"/>
      <c r="AI80" s="158"/>
      <c r="AJ80" s="157">
        <v>0.5</v>
      </c>
      <c r="AK80" s="174" t="s">
        <v>241</v>
      </c>
    </row>
    <row r="81" s="140" customFormat="1" ht="15" hidden="1" customHeight="1" spans="1:37">
      <c r="A81" s="140">
        <v>2017</v>
      </c>
      <c r="B81" s="140" t="s">
        <v>38</v>
      </c>
      <c r="C81" s="140" t="s">
        <v>75</v>
      </c>
      <c r="D81" s="140" t="s">
        <v>76</v>
      </c>
      <c r="E81" s="140" t="s">
        <v>225</v>
      </c>
      <c r="F81" s="140" t="s">
        <v>159</v>
      </c>
      <c r="G81" s="140" t="s">
        <v>159</v>
      </c>
      <c r="H81" s="140" t="s">
        <v>159</v>
      </c>
      <c r="I81" s="140" t="s">
        <v>227</v>
      </c>
      <c r="J81" s="140" t="s">
        <v>228</v>
      </c>
      <c r="K81" s="140" t="s">
        <v>229</v>
      </c>
      <c r="L81" s="140" t="s">
        <v>159</v>
      </c>
      <c r="M81" s="158" t="s">
        <v>178</v>
      </c>
      <c r="N81" s="156">
        <v>0</v>
      </c>
      <c r="O81" s="156" t="s">
        <v>47</v>
      </c>
      <c r="P81" s="156" t="s">
        <v>179</v>
      </c>
      <c r="Q81" s="158">
        <v>0</v>
      </c>
      <c r="R81" s="158">
        <v>0</v>
      </c>
      <c r="S81" s="158">
        <v>730000</v>
      </c>
      <c r="T81" s="158">
        <f t="shared" si="12"/>
        <v>0</v>
      </c>
      <c r="U81" s="158">
        <f t="shared" si="16"/>
        <v>730000</v>
      </c>
      <c r="V81" s="158">
        <v>730000</v>
      </c>
      <c r="W81" s="158">
        <f t="shared" si="17"/>
        <v>0</v>
      </c>
      <c r="X81" s="158">
        <f t="shared" si="13"/>
        <v>0</v>
      </c>
      <c r="Y81" s="158">
        <f t="shared" si="18"/>
        <v>0</v>
      </c>
      <c r="Z81" s="158">
        <v>730000</v>
      </c>
      <c r="AA81" s="158">
        <f t="shared" si="14"/>
        <v>0</v>
      </c>
      <c r="AB81" s="167">
        <f t="shared" si="19"/>
        <v>730000</v>
      </c>
      <c r="AC81" s="168">
        <f t="shared" si="15"/>
        <v>0</v>
      </c>
      <c r="AD81" s="158">
        <v>730000</v>
      </c>
      <c r="AE81" s="156">
        <v>0.09</v>
      </c>
      <c r="AF81" s="158">
        <f t="shared" si="10"/>
        <v>65700</v>
      </c>
      <c r="AG81" s="158">
        <v>65700</v>
      </c>
      <c r="AH81" s="158"/>
      <c r="AI81" s="158"/>
      <c r="AJ81" s="157">
        <v>0.5</v>
      </c>
      <c r="AK81" s="173">
        <v>0.5</v>
      </c>
    </row>
    <row r="82" s="140" customFormat="1" ht="15" hidden="1" customHeight="1" spans="1:39">
      <c r="A82" s="140">
        <v>2017</v>
      </c>
      <c r="B82" s="152" t="s">
        <v>38</v>
      </c>
      <c r="C82" s="140" t="s">
        <v>54</v>
      </c>
      <c r="D82" s="152"/>
      <c r="E82" s="152"/>
      <c r="F82" s="152" t="s">
        <v>242</v>
      </c>
      <c r="G82" s="152" t="s">
        <v>242</v>
      </c>
      <c r="H82" s="152" t="s">
        <v>242</v>
      </c>
      <c r="I82" s="152" t="s">
        <v>243</v>
      </c>
      <c r="J82" s="140" t="s">
        <v>244</v>
      </c>
      <c r="K82" s="140" t="s">
        <v>245</v>
      </c>
      <c r="L82" s="140" t="s">
        <v>246</v>
      </c>
      <c r="M82" s="140" t="s">
        <v>46</v>
      </c>
      <c r="N82" s="157">
        <v>0.05</v>
      </c>
      <c r="O82" s="156" t="s">
        <v>51</v>
      </c>
      <c r="P82" s="156"/>
      <c r="Q82" s="158">
        <v>0</v>
      </c>
      <c r="T82" s="158">
        <f t="shared" si="12"/>
        <v>0</v>
      </c>
      <c r="U82" s="158">
        <f t="shared" si="16"/>
        <v>0</v>
      </c>
      <c r="V82" s="158">
        <v>30000</v>
      </c>
      <c r="W82" s="158">
        <f t="shared" si="17"/>
        <v>-30000</v>
      </c>
      <c r="X82" s="158">
        <f t="shared" si="13"/>
        <v>-28571.4285714286</v>
      </c>
      <c r="Y82" s="158">
        <f t="shared" si="18"/>
        <v>-1428.57142857143</v>
      </c>
      <c r="Z82" s="158">
        <v>350809.3</v>
      </c>
      <c r="AA82" s="158">
        <f t="shared" si="14"/>
        <v>-320809.3</v>
      </c>
      <c r="AB82" s="167">
        <f t="shared" si="19"/>
        <v>334104.095238095</v>
      </c>
      <c r="AC82" s="168">
        <f t="shared" si="15"/>
        <v>16705.2047619048</v>
      </c>
      <c r="AD82" s="158">
        <v>294072.05284222</v>
      </c>
      <c r="AE82" s="159">
        <v>0.176470588235294</v>
      </c>
      <c r="AF82" s="158">
        <f t="shared" si="10"/>
        <v>51895.068148627</v>
      </c>
      <c r="AG82" s="152"/>
      <c r="AH82" s="152"/>
      <c r="AI82" s="152"/>
      <c r="AJ82" s="156" t="s">
        <v>63</v>
      </c>
      <c r="AK82" s="152"/>
      <c r="AL82" s="152"/>
      <c r="AM82" s="152" t="s">
        <v>208</v>
      </c>
    </row>
    <row r="83" s="140" customFormat="1" ht="15" hidden="1" customHeight="1" spans="1:37">
      <c r="A83" s="140">
        <v>2017</v>
      </c>
      <c r="B83" s="140" t="s">
        <v>199</v>
      </c>
      <c r="C83" s="140" t="s">
        <v>110</v>
      </c>
      <c r="D83" s="140" t="s">
        <v>111</v>
      </c>
      <c r="E83" s="140" t="s">
        <v>112</v>
      </c>
      <c r="F83" s="140" t="s">
        <v>113</v>
      </c>
      <c r="G83" s="140" t="s">
        <v>247</v>
      </c>
      <c r="H83" s="140" t="s">
        <v>247</v>
      </c>
      <c r="I83" s="140" t="s">
        <v>227</v>
      </c>
      <c r="J83" s="140" t="s">
        <v>228</v>
      </c>
      <c r="K83" s="140" t="s">
        <v>229</v>
      </c>
      <c r="L83" s="140" t="s">
        <v>248</v>
      </c>
      <c r="M83" s="158" t="s">
        <v>185</v>
      </c>
      <c r="N83" s="156">
        <v>0.05</v>
      </c>
      <c r="O83" s="156" t="s">
        <v>51</v>
      </c>
      <c r="P83" s="156"/>
      <c r="Q83" s="158">
        <v>0</v>
      </c>
      <c r="R83" s="158">
        <v>0</v>
      </c>
      <c r="S83" s="158">
        <v>70000</v>
      </c>
      <c r="T83" s="158">
        <f t="shared" si="12"/>
        <v>3500</v>
      </c>
      <c r="U83" s="158">
        <f t="shared" si="16"/>
        <v>73500</v>
      </c>
      <c r="V83" s="158">
        <v>73500</v>
      </c>
      <c r="W83" s="158">
        <f t="shared" si="17"/>
        <v>0</v>
      </c>
      <c r="X83" s="158">
        <f t="shared" si="13"/>
        <v>0</v>
      </c>
      <c r="Y83" s="158">
        <f t="shared" si="18"/>
        <v>0</v>
      </c>
      <c r="Z83" s="158">
        <v>53743.7</v>
      </c>
      <c r="AA83" s="158">
        <f t="shared" si="14"/>
        <v>19756.3</v>
      </c>
      <c r="AB83" s="167">
        <f t="shared" si="19"/>
        <v>51184.4761904762</v>
      </c>
      <c r="AC83" s="168">
        <f t="shared" si="15"/>
        <v>2559.22380952381</v>
      </c>
      <c r="AD83" s="158">
        <v>53743.7</v>
      </c>
      <c r="AE83" s="156">
        <v>0.09</v>
      </c>
      <c r="AF83" s="158">
        <f t="shared" si="10"/>
        <v>4836.933</v>
      </c>
      <c r="AG83" s="158">
        <v>4836.933</v>
      </c>
      <c r="AH83" s="158"/>
      <c r="AI83" s="158"/>
      <c r="AJ83" s="156" t="s">
        <v>63</v>
      </c>
      <c r="AK83" s="174" t="s">
        <v>63</v>
      </c>
    </row>
    <row r="84" s="140" customFormat="1" ht="15" hidden="1" customHeight="1" spans="1:37">
      <c r="A84" s="140">
        <v>2017</v>
      </c>
      <c r="B84" s="140" t="s">
        <v>38</v>
      </c>
      <c r="C84" s="140" t="s">
        <v>59</v>
      </c>
      <c r="D84" s="140" t="s">
        <v>106</v>
      </c>
      <c r="E84" s="140" t="s">
        <v>249</v>
      </c>
      <c r="F84" s="140" t="s">
        <v>250</v>
      </c>
      <c r="G84" s="140" t="s">
        <v>250</v>
      </c>
      <c r="H84" s="140" t="s">
        <v>250</v>
      </c>
      <c r="I84" s="140" t="s">
        <v>227</v>
      </c>
      <c r="J84" s="140" t="s">
        <v>228</v>
      </c>
      <c r="K84" s="140" t="s">
        <v>229</v>
      </c>
      <c r="L84" s="140" t="s">
        <v>250</v>
      </c>
      <c r="M84" s="158" t="s">
        <v>185</v>
      </c>
      <c r="N84" s="156">
        <v>0.0699999748214209</v>
      </c>
      <c r="O84" s="156" t="s">
        <v>51</v>
      </c>
      <c r="P84" s="156"/>
      <c r="Q84" s="158">
        <v>0</v>
      </c>
      <c r="R84" s="158">
        <v>0</v>
      </c>
      <c r="S84" s="158">
        <v>19858.15</v>
      </c>
      <c r="T84" s="158">
        <f t="shared" si="12"/>
        <v>1390.07</v>
      </c>
      <c r="U84" s="158">
        <f t="shared" si="16"/>
        <v>21248.22</v>
      </c>
      <c r="V84" s="158">
        <v>21248.22</v>
      </c>
      <c r="W84" s="158">
        <f t="shared" si="17"/>
        <v>0</v>
      </c>
      <c r="X84" s="158">
        <f t="shared" si="13"/>
        <v>0</v>
      </c>
      <c r="Y84" s="158">
        <f t="shared" si="18"/>
        <v>0</v>
      </c>
      <c r="Z84" s="158">
        <v>21248.22</v>
      </c>
      <c r="AA84" s="158">
        <f t="shared" si="14"/>
        <v>0</v>
      </c>
      <c r="AB84" s="167">
        <f t="shared" si="19"/>
        <v>19858.15</v>
      </c>
      <c r="AC84" s="168">
        <f t="shared" si="15"/>
        <v>1390.07</v>
      </c>
      <c r="AD84" s="158">
        <v>21248.22</v>
      </c>
      <c r="AE84" s="156">
        <v>0.09</v>
      </c>
      <c r="AF84" s="158">
        <f t="shared" si="10"/>
        <v>1912.3398</v>
      </c>
      <c r="AG84" s="158">
        <v>1912.3398</v>
      </c>
      <c r="AH84" s="158"/>
      <c r="AI84" s="158"/>
      <c r="AJ84" s="157">
        <v>0.07</v>
      </c>
      <c r="AK84" s="173">
        <v>0.07</v>
      </c>
    </row>
    <row r="85" s="140" customFormat="1" ht="15" hidden="1" customHeight="1" spans="1:37">
      <c r="A85" s="140">
        <v>2017</v>
      </c>
      <c r="B85" s="140" t="s">
        <v>38</v>
      </c>
      <c r="C85" s="140" t="s">
        <v>75</v>
      </c>
      <c r="D85" s="140" t="s">
        <v>76</v>
      </c>
      <c r="E85" s="140" t="s">
        <v>225</v>
      </c>
      <c r="F85" s="140" t="s">
        <v>251</v>
      </c>
      <c r="G85" s="140" t="s">
        <v>251</v>
      </c>
      <c r="H85" s="140" t="s">
        <v>251</v>
      </c>
      <c r="I85" s="140" t="s">
        <v>227</v>
      </c>
      <c r="J85" s="140" t="s">
        <v>228</v>
      </c>
      <c r="K85" s="140" t="s">
        <v>229</v>
      </c>
      <c r="L85" s="140" t="s">
        <v>230</v>
      </c>
      <c r="M85" s="158" t="s">
        <v>185</v>
      </c>
      <c r="N85" s="157">
        <v>0.06</v>
      </c>
      <c r="O85" s="156" t="s">
        <v>51</v>
      </c>
      <c r="P85" s="156"/>
      <c r="Q85" s="158">
        <v>0</v>
      </c>
      <c r="R85" s="158">
        <v>0</v>
      </c>
      <c r="S85" s="158">
        <v>3050000</v>
      </c>
      <c r="T85" s="158">
        <f t="shared" si="12"/>
        <v>183000</v>
      </c>
      <c r="U85" s="158">
        <f t="shared" si="16"/>
        <v>3233000</v>
      </c>
      <c r="V85" s="158">
        <v>3209136</v>
      </c>
      <c r="W85" s="158">
        <f t="shared" si="17"/>
        <v>23864</v>
      </c>
      <c r="X85" s="158">
        <f t="shared" si="13"/>
        <v>22513.2075471698</v>
      </c>
      <c r="Y85" s="158">
        <f t="shared" si="18"/>
        <v>1350.79245283019</v>
      </c>
      <c r="Z85" s="158">
        <v>2120067.49</v>
      </c>
      <c r="AA85" s="158">
        <f t="shared" si="14"/>
        <v>1089068.51</v>
      </c>
      <c r="AB85" s="167">
        <f t="shared" si="19"/>
        <v>2000063.66981132</v>
      </c>
      <c r="AC85" s="168">
        <f t="shared" si="15"/>
        <v>120003.820188679</v>
      </c>
      <c r="AD85" s="158">
        <v>2120067.49</v>
      </c>
      <c r="AE85" s="156">
        <v>0.09</v>
      </c>
      <c r="AF85" s="158">
        <f t="shared" si="10"/>
        <v>190806.0741</v>
      </c>
      <c r="AG85" s="158">
        <v>1196412.3541</v>
      </c>
      <c r="AH85" s="158"/>
      <c r="AI85" s="158"/>
      <c r="AJ85" s="156" t="s">
        <v>193</v>
      </c>
      <c r="AK85" s="174" t="s">
        <v>193</v>
      </c>
    </row>
    <row r="86" s="140" customFormat="1" ht="15" hidden="1" customHeight="1" spans="1:37">
      <c r="A86" s="140">
        <v>2017</v>
      </c>
      <c r="B86" s="140" t="s">
        <v>38</v>
      </c>
      <c r="C86" s="140" t="s">
        <v>75</v>
      </c>
      <c r="D86" s="140" t="s">
        <v>76</v>
      </c>
      <c r="E86" s="140" t="s">
        <v>225</v>
      </c>
      <c r="F86" s="140" t="s">
        <v>251</v>
      </c>
      <c r="G86" s="140" t="s">
        <v>251</v>
      </c>
      <c r="H86" s="140" t="s">
        <v>251</v>
      </c>
      <c r="I86" s="140" t="s">
        <v>227</v>
      </c>
      <c r="J86" s="140" t="s">
        <v>228</v>
      </c>
      <c r="K86" s="140" t="s">
        <v>229</v>
      </c>
      <c r="L86" s="140" t="s">
        <v>230</v>
      </c>
      <c r="M86" s="158" t="s">
        <v>178</v>
      </c>
      <c r="N86" s="156">
        <v>0</v>
      </c>
      <c r="O86" s="156" t="s">
        <v>47</v>
      </c>
      <c r="P86" s="156" t="s">
        <v>179</v>
      </c>
      <c r="Q86" s="158">
        <v>0</v>
      </c>
      <c r="R86" s="158">
        <v>0</v>
      </c>
      <c r="S86" s="158">
        <v>1858734</v>
      </c>
      <c r="T86" s="158">
        <f t="shared" si="12"/>
        <v>0</v>
      </c>
      <c r="U86" s="158">
        <f t="shared" si="16"/>
        <v>1858734</v>
      </c>
      <c r="V86" s="158">
        <v>1634867</v>
      </c>
      <c r="W86" s="158">
        <f t="shared" si="17"/>
        <v>223867</v>
      </c>
      <c r="X86" s="158">
        <f t="shared" si="13"/>
        <v>223867</v>
      </c>
      <c r="Y86" s="158">
        <f t="shared" si="18"/>
        <v>0</v>
      </c>
      <c r="Z86" s="158">
        <v>1858734</v>
      </c>
      <c r="AA86" s="158">
        <f t="shared" si="14"/>
        <v>-223867</v>
      </c>
      <c r="AB86" s="167">
        <f t="shared" si="19"/>
        <v>1858734</v>
      </c>
      <c r="AC86" s="168">
        <f t="shared" si="15"/>
        <v>0</v>
      </c>
      <c r="AD86" s="158">
        <v>1634867</v>
      </c>
      <c r="AE86" s="156">
        <v>0.09</v>
      </c>
      <c r="AF86" s="158">
        <f t="shared" si="10"/>
        <v>147138.03</v>
      </c>
      <c r="AG86" s="158">
        <v>147138.03</v>
      </c>
      <c r="AH86" s="158"/>
      <c r="AI86" s="158"/>
      <c r="AJ86" s="157">
        <v>0.5</v>
      </c>
      <c r="AK86" s="173">
        <v>0.5</v>
      </c>
    </row>
    <row r="87" s="140" customFormat="1" ht="15" hidden="1" customHeight="1" spans="1:37">
      <c r="A87" s="140">
        <v>2017</v>
      </c>
      <c r="B87" s="140" t="s">
        <v>252</v>
      </c>
      <c r="C87" s="140" t="s">
        <v>110</v>
      </c>
      <c r="D87" s="140" t="s">
        <v>111</v>
      </c>
      <c r="E87" s="140" t="s">
        <v>253</v>
      </c>
      <c r="F87" s="140" t="s">
        <v>254</v>
      </c>
      <c r="G87" s="140" t="s">
        <v>255</v>
      </c>
      <c r="H87" s="140" t="s">
        <v>255</v>
      </c>
      <c r="I87" s="140" t="s">
        <v>227</v>
      </c>
      <c r="J87" s="140" t="s">
        <v>228</v>
      </c>
      <c r="K87" s="140" t="s">
        <v>229</v>
      </c>
      <c r="L87" s="140" t="s">
        <v>254</v>
      </c>
      <c r="M87" s="158" t="s">
        <v>178</v>
      </c>
      <c r="N87" s="156">
        <v>0</v>
      </c>
      <c r="O87" s="156" t="s">
        <v>47</v>
      </c>
      <c r="P87" s="156" t="s">
        <v>179</v>
      </c>
      <c r="Q87" s="158">
        <v>0</v>
      </c>
      <c r="R87" s="158">
        <v>0</v>
      </c>
      <c r="S87" s="158">
        <v>149806</v>
      </c>
      <c r="T87" s="158">
        <f t="shared" si="12"/>
        <v>0</v>
      </c>
      <c r="U87" s="158">
        <f t="shared" si="16"/>
        <v>149806</v>
      </c>
      <c r="V87" s="158">
        <v>149806</v>
      </c>
      <c r="W87" s="158">
        <f t="shared" si="17"/>
        <v>0</v>
      </c>
      <c r="X87" s="158">
        <f t="shared" si="13"/>
        <v>0</v>
      </c>
      <c r="Y87" s="158">
        <f t="shared" si="18"/>
        <v>0</v>
      </c>
      <c r="Z87" s="158">
        <v>162000</v>
      </c>
      <c r="AA87" s="158">
        <f t="shared" si="14"/>
        <v>-12194</v>
      </c>
      <c r="AB87" s="167">
        <f t="shared" si="19"/>
        <v>162000</v>
      </c>
      <c r="AC87" s="168">
        <f t="shared" si="15"/>
        <v>0</v>
      </c>
      <c r="AD87" s="158">
        <v>162000</v>
      </c>
      <c r="AE87" s="156">
        <v>0.09</v>
      </c>
      <c r="AF87" s="158">
        <f t="shared" si="10"/>
        <v>14580</v>
      </c>
      <c r="AG87" s="158">
        <v>14580</v>
      </c>
      <c r="AH87" s="158"/>
      <c r="AI87" s="158"/>
      <c r="AJ87" s="157">
        <v>0.6</v>
      </c>
      <c r="AK87" s="173">
        <v>0.6</v>
      </c>
    </row>
    <row r="88" s="140" customFormat="1" ht="15" hidden="1" customHeight="1" spans="1:37">
      <c r="A88" s="140">
        <v>2017</v>
      </c>
      <c r="B88" s="140" t="s">
        <v>38</v>
      </c>
      <c r="C88" s="140" t="s">
        <v>75</v>
      </c>
      <c r="D88" s="140" t="s">
        <v>256</v>
      </c>
      <c r="E88" s="140" t="s">
        <v>257</v>
      </c>
      <c r="F88" s="140" t="s">
        <v>258</v>
      </c>
      <c r="G88" s="140" t="s">
        <v>258</v>
      </c>
      <c r="H88" s="140" t="s">
        <v>258</v>
      </c>
      <c r="I88" s="140" t="s">
        <v>227</v>
      </c>
      <c r="J88" s="140" t="s">
        <v>228</v>
      </c>
      <c r="K88" s="140" t="s">
        <v>229</v>
      </c>
      <c r="L88" s="140" t="s">
        <v>258</v>
      </c>
      <c r="M88" s="158" t="s">
        <v>185</v>
      </c>
      <c r="N88" s="156">
        <v>0</v>
      </c>
      <c r="O88" s="156" t="s">
        <v>47</v>
      </c>
      <c r="P88" s="156"/>
      <c r="Q88" s="158">
        <v>0</v>
      </c>
      <c r="R88" s="158">
        <v>0</v>
      </c>
      <c r="S88" s="158">
        <v>250000</v>
      </c>
      <c r="T88" s="158">
        <f t="shared" si="12"/>
        <v>0</v>
      </c>
      <c r="U88" s="158">
        <f t="shared" si="16"/>
        <v>250000</v>
      </c>
      <c r="V88" s="158">
        <v>250000</v>
      </c>
      <c r="W88" s="158">
        <f t="shared" si="17"/>
        <v>0</v>
      </c>
      <c r="X88" s="158">
        <f t="shared" si="13"/>
        <v>0</v>
      </c>
      <c r="Y88" s="158">
        <f t="shared" si="18"/>
        <v>0</v>
      </c>
      <c r="Z88" s="158">
        <v>181691.76</v>
      </c>
      <c r="AA88" s="158">
        <f t="shared" si="14"/>
        <v>68308.24</v>
      </c>
      <c r="AB88" s="167">
        <f t="shared" si="19"/>
        <v>181691.76</v>
      </c>
      <c r="AC88" s="168">
        <f t="shared" si="15"/>
        <v>0</v>
      </c>
      <c r="AD88" s="158">
        <v>181691.76</v>
      </c>
      <c r="AE88" s="156">
        <v>0.09</v>
      </c>
      <c r="AF88" s="158">
        <f t="shared" si="10"/>
        <v>16352.2584</v>
      </c>
      <c r="AG88" s="158">
        <v>16352.2584</v>
      </c>
      <c r="AH88" s="158"/>
      <c r="AI88" s="158"/>
      <c r="AJ88" s="157">
        <v>1</v>
      </c>
      <c r="AK88" s="173">
        <v>1</v>
      </c>
    </row>
    <row r="89" s="140" customFormat="1" ht="15" hidden="1" customHeight="1" spans="1:37">
      <c r="A89" s="140">
        <v>2017</v>
      </c>
      <c r="B89" s="140" t="s">
        <v>38</v>
      </c>
      <c r="C89" s="140" t="s">
        <v>59</v>
      </c>
      <c r="D89" s="140" t="s">
        <v>106</v>
      </c>
      <c r="E89" s="140" t="s">
        <v>190</v>
      </c>
      <c r="F89" s="140" t="s">
        <v>214</v>
      </c>
      <c r="G89" s="140" t="s">
        <v>214</v>
      </c>
      <c r="H89" s="140" t="s">
        <v>214</v>
      </c>
      <c r="I89" s="140" t="s">
        <v>227</v>
      </c>
      <c r="J89" s="140" t="s">
        <v>228</v>
      </c>
      <c r="K89" s="140" t="s">
        <v>229</v>
      </c>
      <c r="L89" s="140" t="s">
        <v>215</v>
      </c>
      <c r="M89" s="158" t="s">
        <v>185</v>
      </c>
      <c r="N89" s="157">
        <v>0.94</v>
      </c>
      <c r="O89" s="156" t="s">
        <v>259</v>
      </c>
      <c r="P89" s="156"/>
      <c r="Q89" s="158">
        <v>0</v>
      </c>
      <c r="R89" s="158">
        <v>0</v>
      </c>
      <c r="S89" s="158">
        <v>1438200</v>
      </c>
      <c r="T89" s="158">
        <f t="shared" si="12"/>
        <v>1351908</v>
      </c>
      <c r="U89" s="158">
        <f t="shared" si="16"/>
        <v>2790108</v>
      </c>
      <c r="V89" s="158">
        <v>1530000</v>
      </c>
      <c r="W89" s="158">
        <f t="shared" si="17"/>
        <v>1260108</v>
      </c>
      <c r="X89" s="158">
        <f t="shared" si="13"/>
        <v>649540.206185567</v>
      </c>
      <c r="Y89" s="158">
        <f t="shared" si="18"/>
        <v>610567.793814433</v>
      </c>
      <c r="Z89" s="158">
        <v>986733.669230769</v>
      </c>
      <c r="AA89" s="158">
        <f t="shared" si="14"/>
        <v>543266.330769231</v>
      </c>
      <c r="AB89" s="167">
        <f t="shared" si="19"/>
        <v>927529.649076923</v>
      </c>
      <c r="AC89" s="168">
        <f t="shared" si="15"/>
        <v>59204.0201538462</v>
      </c>
      <c r="AD89" s="158">
        <v>986733.669230769</v>
      </c>
      <c r="AE89" s="156">
        <v>0.09</v>
      </c>
      <c r="AF89" s="158">
        <f t="shared" si="10"/>
        <v>88806.0302307692</v>
      </c>
      <c r="AG89" s="158">
        <v>88806.0302307692</v>
      </c>
      <c r="AH89" s="158"/>
      <c r="AI89" s="158"/>
      <c r="AJ89" s="157">
        <v>0.94</v>
      </c>
      <c r="AK89" s="173">
        <v>0.94</v>
      </c>
    </row>
    <row r="90" s="140" customFormat="1" ht="15" hidden="1" customHeight="1" spans="1:38">
      <c r="A90" s="140">
        <v>2017</v>
      </c>
      <c r="B90" s="140" t="s">
        <v>38</v>
      </c>
      <c r="C90" s="140" t="s">
        <v>75</v>
      </c>
      <c r="D90" s="140" t="s">
        <v>76</v>
      </c>
      <c r="E90" s="140" t="s">
        <v>225</v>
      </c>
      <c r="F90" s="140" t="s">
        <v>260</v>
      </c>
      <c r="G90" s="140" t="s">
        <v>260</v>
      </c>
      <c r="H90" s="140" t="s">
        <v>260</v>
      </c>
      <c r="I90" s="140" t="s">
        <v>227</v>
      </c>
      <c r="J90" s="140" t="s">
        <v>228</v>
      </c>
      <c r="K90" s="140" t="s">
        <v>229</v>
      </c>
      <c r="L90" s="140" t="s">
        <v>261</v>
      </c>
      <c r="M90" s="158" t="s">
        <v>185</v>
      </c>
      <c r="N90" s="157">
        <v>0.09</v>
      </c>
      <c r="O90" s="156" t="s">
        <v>51</v>
      </c>
      <c r="P90" s="156"/>
      <c r="Q90" s="158">
        <v>0</v>
      </c>
      <c r="R90" s="158">
        <v>0</v>
      </c>
      <c r="S90" s="158">
        <v>100000</v>
      </c>
      <c r="T90" s="158">
        <f t="shared" si="12"/>
        <v>9000</v>
      </c>
      <c r="U90" s="158">
        <f t="shared" si="16"/>
        <v>109000</v>
      </c>
      <c r="V90" s="158">
        <v>106250</v>
      </c>
      <c r="W90" s="158">
        <f t="shared" si="17"/>
        <v>2750</v>
      </c>
      <c r="X90" s="158">
        <f t="shared" si="13"/>
        <v>2522.93577981651</v>
      </c>
      <c r="Y90" s="158">
        <f t="shared" si="18"/>
        <v>227.064220183486</v>
      </c>
      <c r="Z90" s="158">
        <v>0</v>
      </c>
      <c r="AA90" s="158">
        <f t="shared" si="14"/>
        <v>106250</v>
      </c>
      <c r="AB90" s="167">
        <f t="shared" si="19"/>
        <v>0</v>
      </c>
      <c r="AC90" s="168">
        <f t="shared" si="15"/>
        <v>0</v>
      </c>
      <c r="AD90" s="158">
        <v>0</v>
      </c>
      <c r="AE90" s="156">
        <v>0.09</v>
      </c>
      <c r="AF90" s="158">
        <f t="shared" si="10"/>
        <v>0</v>
      </c>
      <c r="AG90" s="158">
        <v>0</v>
      </c>
      <c r="AH90" s="158"/>
      <c r="AI90" s="158"/>
      <c r="AJ90" s="156" t="s">
        <v>238</v>
      </c>
      <c r="AK90" s="174" t="s">
        <v>238</v>
      </c>
      <c r="AL90" s="140" t="s">
        <v>262</v>
      </c>
    </row>
    <row r="91" s="140" customFormat="1" ht="15" hidden="1" customHeight="1" spans="1:37">
      <c r="A91" s="140">
        <v>2017</v>
      </c>
      <c r="B91" s="140" t="s">
        <v>38</v>
      </c>
      <c r="C91" s="140" t="s">
        <v>75</v>
      </c>
      <c r="D91" s="140" t="s">
        <v>76</v>
      </c>
      <c r="E91" s="140" t="s">
        <v>150</v>
      </c>
      <c r="F91" s="140" t="s">
        <v>263</v>
      </c>
      <c r="G91" s="140" t="s">
        <v>263</v>
      </c>
      <c r="H91" s="140" t="s">
        <v>263</v>
      </c>
      <c r="I91" s="140" t="s">
        <v>170</v>
      </c>
      <c r="J91" s="140" t="s">
        <v>171</v>
      </c>
      <c r="K91" s="140" t="s">
        <v>172</v>
      </c>
      <c r="L91" s="140" t="s">
        <v>263</v>
      </c>
      <c r="M91" s="140" t="s">
        <v>46</v>
      </c>
      <c r="N91" s="156">
        <v>0.06</v>
      </c>
      <c r="O91" s="156" t="s">
        <v>51</v>
      </c>
      <c r="P91" s="156"/>
      <c r="Q91" s="158">
        <v>78306.1</v>
      </c>
      <c r="R91" s="158">
        <v>0</v>
      </c>
      <c r="S91" s="158">
        <v>5269435.3</v>
      </c>
      <c r="T91" s="158">
        <f t="shared" si="12"/>
        <v>316166.118</v>
      </c>
      <c r="U91" s="158">
        <f t="shared" si="16"/>
        <v>5585601.418</v>
      </c>
      <c r="V91" s="158">
        <v>5532991.77</v>
      </c>
      <c r="W91" s="158">
        <f t="shared" si="17"/>
        <v>52609.648</v>
      </c>
      <c r="X91" s="158">
        <f t="shared" si="13"/>
        <v>49631.7433962265</v>
      </c>
      <c r="Y91" s="158">
        <f t="shared" si="18"/>
        <v>2977.90460377359</v>
      </c>
      <c r="Z91" s="158">
        <v>5896509.2</v>
      </c>
      <c r="AA91" s="158">
        <f t="shared" si="14"/>
        <v>-285211.330000001</v>
      </c>
      <c r="AB91" s="167">
        <f>IF(O91="返货",(Z91-Q91)/(1+N91),IF(O91="返现",(Z91-Q91),IF(O91="折扣",(Z91-Q91)*N91,IF(O91="无",(Z91-Q91)))))</f>
        <v>5488870.8490566</v>
      </c>
      <c r="AC91" s="168">
        <f t="shared" si="15"/>
        <v>407638.350943396</v>
      </c>
      <c r="AD91" s="158">
        <f>(Z91-Q91)*0.89807640489087</f>
        <v>5225190.92297292</v>
      </c>
      <c r="AE91" s="159">
        <v>0.112691732739812</v>
      </c>
      <c r="AF91" s="158">
        <f t="shared" si="10"/>
        <v>588835.819006155</v>
      </c>
      <c r="AG91" s="158">
        <v>193794.316827625</v>
      </c>
      <c r="AH91" s="175"/>
      <c r="AI91" s="175"/>
      <c r="AJ91" s="156" t="s">
        <v>193</v>
      </c>
      <c r="AK91" s="140" t="s">
        <v>193</v>
      </c>
    </row>
    <row r="92" s="140" customFormat="1" ht="15" hidden="1" customHeight="1" spans="1:39">
      <c r="A92" s="140">
        <v>2017</v>
      </c>
      <c r="B92" s="140" t="s">
        <v>38</v>
      </c>
      <c r="C92" s="140" t="s">
        <v>137</v>
      </c>
      <c r="D92" s="140" t="s">
        <v>138</v>
      </c>
      <c r="E92" s="140" t="s">
        <v>139</v>
      </c>
      <c r="F92" s="140" t="s">
        <v>264</v>
      </c>
      <c r="G92" s="140" t="s">
        <v>265</v>
      </c>
      <c r="H92" s="140" t="s">
        <v>265</v>
      </c>
      <c r="I92" s="152" t="s">
        <v>243</v>
      </c>
      <c r="J92" s="140" t="s">
        <v>244</v>
      </c>
      <c r="K92" s="140" t="s">
        <v>266</v>
      </c>
      <c r="L92" s="140" t="s">
        <v>267</v>
      </c>
      <c r="M92" s="140" t="s">
        <v>46</v>
      </c>
      <c r="N92" s="157">
        <v>0</v>
      </c>
      <c r="O92" s="156" t="s">
        <v>47</v>
      </c>
      <c r="P92" s="156"/>
      <c r="Q92" s="158">
        <v>0</v>
      </c>
      <c r="R92" s="158">
        <v>0</v>
      </c>
      <c r="S92" s="158">
        <v>20000</v>
      </c>
      <c r="T92" s="158">
        <f t="shared" si="12"/>
        <v>0</v>
      </c>
      <c r="U92" s="158">
        <f t="shared" si="16"/>
        <v>20000</v>
      </c>
      <c r="V92" s="158">
        <v>15000</v>
      </c>
      <c r="W92" s="158">
        <f t="shared" si="17"/>
        <v>5000</v>
      </c>
      <c r="X92" s="158">
        <f t="shared" si="13"/>
        <v>5000</v>
      </c>
      <c r="Y92" s="158">
        <f t="shared" si="18"/>
        <v>0</v>
      </c>
      <c r="Z92" s="158">
        <v>20000</v>
      </c>
      <c r="AA92" s="158">
        <f t="shared" si="14"/>
        <v>-5000</v>
      </c>
      <c r="AB92" s="167">
        <f t="shared" ref="AB92:AB99" si="20">IF(O92="返货",Z92/(1+N92),IF(O92="返现",Z92,IF(O92="折扣",Z92*N92,IF(O92="无",Z92))))</f>
        <v>20000</v>
      </c>
      <c r="AC92" s="168">
        <f t="shared" si="15"/>
        <v>0</v>
      </c>
      <c r="AD92" s="158">
        <v>15000</v>
      </c>
      <c r="AE92" s="159">
        <v>0</v>
      </c>
      <c r="AF92" s="158">
        <f t="shared" si="10"/>
        <v>0</v>
      </c>
      <c r="AG92" s="158">
        <f t="shared" ref="AG92:AG123" si="21">AB92-Z92+AF92</f>
        <v>0</v>
      </c>
      <c r="AH92" s="175"/>
      <c r="AI92" s="175"/>
      <c r="AJ92" s="156" t="s">
        <v>268</v>
      </c>
      <c r="AK92" s="140" t="s">
        <v>268</v>
      </c>
      <c r="AL92" s="140" t="s">
        <v>269</v>
      </c>
      <c r="AM92" s="152"/>
    </row>
    <row r="93" s="140" customFormat="1" ht="15" hidden="1" customHeight="1" spans="1:39">
      <c r="A93" s="140">
        <v>2017</v>
      </c>
      <c r="B93" s="140" t="s">
        <v>38</v>
      </c>
      <c r="C93" s="140" t="s">
        <v>137</v>
      </c>
      <c r="D93" s="140" t="s">
        <v>270</v>
      </c>
      <c r="E93" s="140" t="s">
        <v>270</v>
      </c>
      <c r="F93" s="140" t="s">
        <v>271</v>
      </c>
      <c r="G93" s="140" t="s">
        <v>272</v>
      </c>
      <c r="H93" s="140" t="s">
        <v>272</v>
      </c>
      <c r="I93" s="152" t="s">
        <v>243</v>
      </c>
      <c r="J93" s="140" t="s">
        <v>244</v>
      </c>
      <c r="K93" s="140" t="s">
        <v>266</v>
      </c>
      <c r="L93" s="140" t="s">
        <v>273</v>
      </c>
      <c r="M93" s="140" t="s">
        <v>46</v>
      </c>
      <c r="N93" s="156">
        <v>0</v>
      </c>
      <c r="O93" s="156" t="s">
        <v>47</v>
      </c>
      <c r="P93" s="156"/>
      <c r="Q93" s="158">
        <v>0</v>
      </c>
      <c r="R93" s="158">
        <v>0</v>
      </c>
      <c r="S93" s="158">
        <v>38182</v>
      </c>
      <c r="T93" s="158">
        <f t="shared" si="12"/>
        <v>0</v>
      </c>
      <c r="U93" s="158">
        <f t="shared" si="16"/>
        <v>38182</v>
      </c>
      <c r="V93" s="158">
        <v>13395</v>
      </c>
      <c r="W93" s="158">
        <f t="shared" si="17"/>
        <v>24787</v>
      </c>
      <c r="X93" s="158">
        <f t="shared" si="13"/>
        <v>24787</v>
      </c>
      <c r="Y93" s="158">
        <f t="shared" si="18"/>
        <v>0</v>
      </c>
      <c r="Z93" s="158">
        <v>19180</v>
      </c>
      <c r="AA93" s="158">
        <f t="shared" si="14"/>
        <v>-5785</v>
      </c>
      <c r="AB93" s="167">
        <f t="shared" si="20"/>
        <v>19180</v>
      </c>
      <c r="AC93" s="168">
        <f t="shared" si="15"/>
        <v>0</v>
      </c>
      <c r="AD93" s="158">
        <v>13395</v>
      </c>
      <c r="AE93" s="159">
        <v>0</v>
      </c>
      <c r="AF93" s="158">
        <f t="shared" si="10"/>
        <v>0</v>
      </c>
      <c r="AG93" s="158">
        <f t="shared" si="21"/>
        <v>0</v>
      </c>
      <c r="AH93" s="175"/>
      <c r="AI93" s="175"/>
      <c r="AJ93" s="156" t="s">
        <v>47</v>
      </c>
      <c r="AK93" s="140" t="s">
        <v>47</v>
      </c>
      <c r="AL93" s="140" t="s">
        <v>269</v>
      </c>
      <c r="AM93" s="152"/>
    </row>
    <row r="94" s="140" customFormat="1" ht="15" hidden="1" customHeight="1" spans="1:39">
      <c r="A94" s="140">
        <v>2017</v>
      </c>
      <c r="B94" s="140" t="s">
        <v>38</v>
      </c>
      <c r="C94" s="140" t="s">
        <v>88</v>
      </c>
      <c r="D94" s="140" t="s">
        <v>128</v>
      </c>
      <c r="E94" s="140" t="s">
        <v>96</v>
      </c>
      <c r="F94" s="140" t="s">
        <v>274</v>
      </c>
      <c r="G94" s="140" t="s">
        <v>275</v>
      </c>
      <c r="H94" s="140" t="s">
        <v>275</v>
      </c>
      <c r="I94" s="152" t="s">
        <v>243</v>
      </c>
      <c r="J94" s="140" t="s">
        <v>244</v>
      </c>
      <c r="K94" s="140" t="s">
        <v>266</v>
      </c>
      <c r="L94" s="140" t="s">
        <v>276</v>
      </c>
      <c r="M94" s="140" t="s">
        <v>46</v>
      </c>
      <c r="N94" s="157">
        <v>0</v>
      </c>
      <c r="O94" s="156" t="s">
        <v>47</v>
      </c>
      <c r="P94" s="156"/>
      <c r="Q94" s="158">
        <v>0</v>
      </c>
      <c r="R94" s="158">
        <v>0</v>
      </c>
      <c r="S94" s="158">
        <v>52345.24</v>
      </c>
      <c r="T94" s="158">
        <f t="shared" si="12"/>
        <v>0</v>
      </c>
      <c r="U94" s="158">
        <f t="shared" si="16"/>
        <v>52345.24</v>
      </c>
      <c r="V94" s="158">
        <v>0</v>
      </c>
      <c r="W94" s="158">
        <f t="shared" si="17"/>
        <v>52345.24</v>
      </c>
      <c r="X94" s="158">
        <f t="shared" si="13"/>
        <v>52345.24</v>
      </c>
      <c r="Y94" s="158">
        <f t="shared" si="18"/>
        <v>0</v>
      </c>
      <c r="Z94" s="158">
        <v>0</v>
      </c>
      <c r="AA94" s="158">
        <f t="shared" si="14"/>
        <v>0</v>
      </c>
      <c r="AB94" s="167">
        <f t="shared" si="20"/>
        <v>0</v>
      </c>
      <c r="AC94" s="168">
        <f t="shared" si="15"/>
        <v>0</v>
      </c>
      <c r="AD94" s="158">
        <v>0</v>
      </c>
      <c r="AE94" s="159">
        <v>0</v>
      </c>
      <c r="AF94" s="158">
        <f t="shared" si="10"/>
        <v>0</v>
      </c>
      <c r="AG94" s="158">
        <f t="shared" si="21"/>
        <v>0</v>
      </c>
      <c r="AH94" s="175"/>
      <c r="AI94" s="175"/>
      <c r="AJ94" s="176">
        <v>0</v>
      </c>
      <c r="AK94" s="140" t="s">
        <v>120</v>
      </c>
      <c r="AL94" s="140" t="s">
        <v>269</v>
      </c>
      <c r="AM94" s="152"/>
    </row>
    <row r="95" s="140" customFormat="1" ht="15" hidden="1" customHeight="1" spans="1:39">
      <c r="A95" s="140">
        <v>2017</v>
      </c>
      <c r="B95" s="140" t="s">
        <v>38</v>
      </c>
      <c r="C95" s="140" t="s">
        <v>88</v>
      </c>
      <c r="D95" s="140" t="s">
        <v>128</v>
      </c>
      <c r="E95" s="140" t="s">
        <v>277</v>
      </c>
      <c r="F95" s="140" t="s">
        <v>278</v>
      </c>
      <c r="G95" s="140" t="s">
        <v>278</v>
      </c>
      <c r="H95" s="140" t="s">
        <v>278</v>
      </c>
      <c r="I95" s="152" t="s">
        <v>243</v>
      </c>
      <c r="J95" s="140" t="s">
        <v>244</v>
      </c>
      <c r="K95" s="140" t="s">
        <v>266</v>
      </c>
      <c r="L95" s="140" t="s">
        <v>279</v>
      </c>
      <c r="M95" s="140" t="s">
        <v>46</v>
      </c>
      <c r="N95" s="156">
        <v>0</v>
      </c>
      <c r="O95" s="156" t="s">
        <v>47</v>
      </c>
      <c r="P95" s="156"/>
      <c r="Q95" s="158">
        <v>0</v>
      </c>
      <c r="R95" s="158">
        <v>0</v>
      </c>
      <c r="S95" s="158">
        <v>9991</v>
      </c>
      <c r="T95" s="158">
        <f t="shared" si="12"/>
        <v>0</v>
      </c>
      <c r="U95" s="158">
        <f t="shared" si="16"/>
        <v>9991</v>
      </c>
      <c r="V95" s="158">
        <v>6898.5</v>
      </c>
      <c r="W95" s="158">
        <f t="shared" si="17"/>
        <v>3092.5</v>
      </c>
      <c r="X95" s="158">
        <f t="shared" si="13"/>
        <v>3092.5</v>
      </c>
      <c r="Y95" s="158">
        <f t="shared" si="18"/>
        <v>0</v>
      </c>
      <c r="Z95" s="158">
        <v>9991</v>
      </c>
      <c r="AA95" s="158">
        <f t="shared" si="14"/>
        <v>-3092.5</v>
      </c>
      <c r="AB95" s="167">
        <f t="shared" si="20"/>
        <v>9991</v>
      </c>
      <c r="AC95" s="168">
        <f t="shared" si="15"/>
        <v>0</v>
      </c>
      <c r="AD95" s="158">
        <v>6898.5</v>
      </c>
      <c r="AE95" s="159">
        <v>0</v>
      </c>
      <c r="AF95" s="158">
        <f t="shared" si="10"/>
        <v>0</v>
      </c>
      <c r="AG95" s="158">
        <f t="shared" si="21"/>
        <v>0</v>
      </c>
      <c r="AH95" s="175"/>
      <c r="AI95" s="175"/>
      <c r="AJ95" s="156" t="s">
        <v>47</v>
      </c>
      <c r="AK95" s="140" t="s">
        <v>47</v>
      </c>
      <c r="AL95" s="140" t="s">
        <v>269</v>
      </c>
      <c r="AM95" s="152"/>
    </row>
    <row r="96" s="140" customFormat="1" ht="15" hidden="1" customHeight="1" spans="1:39">
      <c r="A96" s="140">
        <v>2017</v>
      </c>
      <c r="B96" s="140" t="s">
        <v>38</v>
      </c>
      <c r="C96" s="140" t="s">
        <v>110</v>
      </c>
      <c r="D96" s="140" t="s">
        <v>280</v>
      </c>
      <c r="E96" s="140" t="s">
        <v>281</v>
      </c>
      <c r="F96" s="140" t="s">
        <v>282</v>
      </c>
      <c r="G96" s="140" t="s">
        <v>282</v>
      </c>
      <c r="H96" s="140" t="s">
        <v>282</v>
      </c>
      <c r="I96" s="152" t="s">
        <v>243</v>
      </c>
      <c r="J96" s="140" t="s">
        <v>244</v>
      </c>
      <c r="K96" s="140" t="s">
        <v>266</v>
      </c>
      <c r="L96" s="140" t="s">
        <v>283</v>
      </c>
      <c r="M96" s="140" t="s">
        <v>46</v>
      </c>
      <c r="N96" s="156">
        <v>0</v>
      </c>
      <c r="O96" s="156" t="s">
        <v>47</v>
      </c>
      <c r="P96" s="156"/>
      <c r="Q96" s="158">
        <v>0</v>
      </c>
      <c r="R96" s="158">
        <v>0</v>
      </c>
      <c r="S96" s="158">
        <v>457576</v>
      </c>
      <c r="T96" s="158">
        <f t="shared" si="12"/>
        <v>0</v>
      </c>
      <c r="U96" s="158">
        <f t="shared" si="16"/>
        <v>457576</v>
      </c>
      <c r="V96" s="158">
        <v>227181</v>
      </c>
      <c r="W96" s="158">
        <f t="shared" si="17"/>
        <v>230395</v>
      </c>
      <c r="X96" s="158">
        <f t="shared" si="13"/>
        <v>230395</v>
      </c>
      <c r="Y96" s="158">
        <f t="shared" si="18"/>
        <v>0</v>
      </c>
      <c r="Z96" s="158">
        <v>336160.5</v>
      </c>
      <c r="AA96" s="158">
        <f t="shared" si="14"/>
        <v>-108979.5</v>
      </c>
      <c r="AB96" s="167">
        <f t="shared" si="20"/>
        <v>336160.5</v>
      </c>
      <c r="AC96" s="168">
        <f t="shared" si="15"/>
        <v>0</v>
      </c>
      <c r="AD96" s="158">
        <v>227181</v>
      </c>
      <c r="AE96" s="159">
        <v>0</v>
      </c>
      <c r="AF96" s="158">
        <f t="shared" si="10"/>
        <v>0</v>
      </c>
      <c r="AG96" s="158">
        <f t="shared" si="21"/>
        <v>0</v>
      </c>
      <c r="AH96" s="175"/>
      <c r="AI96" s="175"/>
      <c r="AJ96" s="156" t="s">
        <v>47</v>
      </c>
      <c r="AK96" s="140" t="s">
        <v>120</v>
      </c>
      <c r="AL96" s="140" t="s">
        <v>269</v>
      </c>
      <c r="AM96" s="152"/>
    </row>
    <row r="97" s="140" customFormat="1" ht="15" hidden="1" customHeight="1" spans="1:39">
      <c r="A97" s="140">
        <v>2017</v>
      </c>
      <c r="B97" s="140" t="s">
        <v>252</v>
      </c>
      <c r="C97" s="140" t="s">
        <v>110</v>
      </c>
      <c r="D97" s="140" t="s">
        <v>111</v>
      </c>
      <c r="E97" s="140" t="s">
        <v>112</v>
      </c>
      <c r="F97" s="140" t="s">
        <v>284</v>
      </c>
      <c r="G97" s="140" t="s">
        <v>285</v>
      </c>
      <c r="H97" s="140" t="s">
        <v>285</v>
      </c>
      <c r="I97" s="152" t="s">
        <v>243</v>
      </c>
      <c r="J97" s="140" t="s">
        <v>244</v>
      </c>
      <c r="K97" s="140" t="s">
        <v>266</v>
      </c>
      <c r="L97" s="140" t="s">
        <v>284</v>
      </c>
      <c r="M97" s="140" t="s">
        <v>46</v>
      </c>
      <c r="N97" s="156">
        <v>0</v>
      </c>
      <c r="O97" s="156" t="s">
        <v>47</v>
      </c>
      <c r="P97" s="156"/>
      <c r="Q97" s="158">
        <v>0</v>
      </c>
      <c r="R97" s="158">
        <v>0</v>
      </c>
      <c r="S97" s="158">
        <v>33284</v>
      </c>
      <c r="T97" s="158">
        <f t="shared" si="12"/>
        <v>0</v>
      </c>
      <c r="U97" s="158">
        <f t="shared" si="16"/>
        <v>33284</v>
      </c>
      <c r="V97" s="158">
        <v>23559</v>
      </c>
      <c r="W97" s="158">
        <f t="shared" si="17"/>
        <v>9725</v>
      </c>
      <c r="X97" s="158">
        <f t="shared" si="13"/>
        <v>9725</v>
      </c>
      <c r="Y97" s="158">
        <f t="shared" si="18"/>
        <v>0</v>
      </c>
      <c r="Z97" s="158">
        <v>33284</v>
      </c>
      <c r="AA97" s="158">
        <f t="shared" si="14"/>
        <v>-9725</v>
      </c>
      <c r="AB97" s="167">
        <f t="shared" si="20"/>
        <v>33284</v>
      </c>
      <c r="AC97" s="168">
        <f t="shared" si="15"/>
        <v>0</v>
      </c>
      <c r="AD97" s="158">
        <v>23559</v>
      </c>
      <c r="AE97" s="159">
        <v>0</v>
      </c>
      <c r="AF97" s="158">
        <f t="shared" si="10"/>
        <v>0</v>
      </c>
      <c r="AG97" s="158">
        <f t="shared" si="21"/>
        <v>0</v>
      </c>
      <c r="AH97" s="175"/>
      <c r="AI97" s="175"/>
      <c r="AJ97" s="156" t="s">
        <v>47</v>
      </c>
      <c r="AK97" s="140" t="s">
        <v>47</v>
      </c>
      <c r="AL97" s="140" t="s">
        <v>269</v>
      </c>
      <c r="AM97" s="152"/>
    </row>
    <row r="98" s="140" customFormat="1" ht="15" hidden="1" customHeight="1" spans="1:39">
      <c r="A98" s="140">
        <v>2017</v>
      </c>
      <c r="B98" s="140" t="s">
        <v>252</v>
      </c>
      <c r="C98" s="140" t="s">
        <v>110</v>
      </c>
      <c r="D98" s="140" t="s">
        <v>111</v>
      </c>
      <c r="E98" s="140" t="s">
        <v>281</v>
      </c>
      <c r="F98" s="140" t="s">
        <v>286</v>
      </c>
      <c r="G98" s="140" t="s">
        <v>287</v>
      </c>
      <c r="H98" s="140" t="s">
        <v>287</v>
      </c>
      <c r="I98" s="152" t="s">
        <v>243</v>
      </c>
      <c r="J98" s="140" t="s">
        <v>244</v>
      </c>
      <c r="K98" s="140" t="s">
        <v>266</v>
      </c>
      <c r="L98" s="140" t="s">
        <v>286</v>
      </c>
      <c r="M98" s="140" t="s">
        <v>46</v>
      </c>
      <c r="N98" s="156">
        <v>0</v>
      </c>
      <c r="O98" s="156" t="s">
        <v>47</v>
      </c>
      <c r="P98" s="156"/>
      <c r="Q98" s="158">
        <v>0</v>
      </c>
      <c r="R98" s="158">
        <v>0</v>
      </c>
      <c r="S98" s="158">
        <v>53242.5</v>
      </c>
      <c r="T98" s="158">
        <f t="shared" si="12"/>
        <v>0</v>
      </c>
      <c r="U98" s="158">
        <f t="shared" si="16"/>
        <v>53242.5</v>
      </c>
      <c r="V98" s="158">
        <v>37507.5</v>
      </c>
      <c r="W98" s="158">
        <f t="shared" si="17"/>
        <v>15735</v>
      </c>
      <c r="X98" s="158">
        <f t="shared" si="13"/>
        <v>15735</v>
      </c>
      <c r="Y98" s="158">
        <f t="shared" si="18"/>
        <v>0</v>
      </c>
      <c r="Z98" s="158">
        <v>53242.5</v>
      </c>
      <c r="AA98" s="158">
        <f t="shared" si="14"/>
        <v>-15735</v>
      </c>
      <c r="AB98" s="167">
        <f t="shared" si="20"/>
        <v>53242.5</v>
      </c>
      <c r="AC98" s="168">
        <f t="shared" si="15"/>
        <v>0</v>
      </c>
      <c r="AD98" s="158">
        <v>37507.5</v>
      </c>
      <c r="AE98" s="159">
        <v>0</v>
      </c>
      <c r="AF98" s="158">
        <f t="shared" si="10"/>
        <v>0</v>
      </c>
      <c r="AG98" s="158">
        <f t="shared" si="21"/>
        <v>0</v>
      </c>
      <c r="AH98" s="175"/>
      <c r="AI98" s="175"/>
      <c r="AJ98" s="156" t="s">
        <v>47</v>
      </c>
      <c r="AK98" s="140" t="s">
        <v>47</v>
      </c>
      <c r="AL98" s="140" t="s">
        <v>269</v>
      </c>
      <c r="AM98" s="152"/>
    </row>
    <row r="99" s="140" customFormat="1" ht="15" hidden="1" customHeight="1" spans="1:39">
      <c r="A99" s="140">
        <v>2017</v>
      </c>
      <c r="B99" s="140" t="s">
        <v>199</v>
      </c>
      <c r="C99" s="140" t="s">
        <v>88</v>
      </c>
      <c r="D99" s="140" t="s">
        <v>89</v>
      </c>
      <c r="E99" s="140" t="s">
        <v>277</v>
      </c>
      <c r="F99" s="140" t="s">
        <v>288</v>
      </c>
      <c r="G99" s="140" t="s">
        <v>289</v>
      </c>
      <c r="H99" s="140" t="s">
        <v>289</v>
      </c>
      <c r="I99" s="152" t="s">
        <v>243</v>
      </c>
      <c r="J99" s="140" t="s">
        <v>244</v>
      </c>
      <c r="K99" s="140" t="s">
        <v>266</v>
      </c>
      <c r="L99" s="140" t="s">
        <v>288</v>
      </c>
      <c r="M99" s="140" t="s">
        <v>46</v>
      </c>
      <c r="N99" s="156">
        <v>0</v>
      </c>
      <c r="O99" s="156" t="s">
        <v>47</v>
      </c>
      <c r="P99" s="156"/>
      <c r="Q99" s="158">
        <v>0</v>
      </c>
      <c r="R99" s="158">
        <v>0</v>
      </c>
      <c r="S99" s="158">
        <v>18675</v>
      </c>
      <c r="T99" s="158">
        <f t="shared" si="12"/>
        <v>0</v>
      </c>
      <c r="U99" s="158">
        <f t="shared" si="16"/>
        <v>18675</v>
      </c>
      <c r="V99" s="158">
        <v>12750</v>
      </c>
      <c r="W99" s="158">
        <f t="shared" si="17"/>
        <v>5925</v>
      </c>
      <c r="X99" s="158">
        <f t="shared" si="13"/>
        <v>5925</v>
      </c>
      <c r="Y99" s="158">
        <f t="shared" si="18"/>
        <v>0</v>
      </c>
      <c r="Z99" s="158">
        <v>18675</v>
      </c>
      <c r="AA99" s="158">
        <f t="shared" si="14"/>
        <v>-5925</v>
      </c>
      <c r="AB99" s="167">
        <f t="shared" si="20"/>
        <v>18675</v>
      </c>
      <c r="AC99" s="168">
        <f t="shared" si="15"/>
        <v>0</v>
      </c>
      <c r="AD99" s="158">
        <v>12750</v>
      </c>
      <c r="AE99" s="159">
        <v>0</v>
      </c>
      <c r="AF99" s="158">
        <f t="shared" si="10"/>
        <v>0</v>
      </c>
      <c r="AG99" s="158">
        <f t="shared" si="21"/>
        <v>0</v>
      </c>
      <c r="AH99" s="175"/>
      <c r="AI99" s="175"/>
      <c r="AJ99" s="156" t="s">
        <v>47</v>
      </c>
      <c r="AK99" s="140" t="s">
        <v>47</v>
      </c>
      <c r="AL99" s="140" t="s">
        <v>269</v>
      </c>
      <c r="AM99" s="152"/>
    </row>
    <row r="100" s="140" customFormat="1" ht="15" hidden="1" customHeight="1" spans="1:40">
      <c r="A100" s="140">
        <v>2017</v>
      </c>
      <c r="B100" s="140" t="s">
        <v>290</v>
      </c>
      <c r="C100" s="140" t="s">
        <v>88</v>
      </c>
      <c r="D100" s="140" t="s">
        <v>89</v>
      </c>
      <c r="E100" s="140" t="s">
        <v>277</v>
      </c>
      <c r="F100" s="140" t="s">
        <v>291</v>
      </c>
      <c r="G100" s="140" t="s">
        <v>291</v>
      </c>
      <c r="H100" s="140" t="s">
        <v>291</v>
      </c>
      <c r="I100" s="152" t="s">
        <v>243</v>
      </c>
      <c r="J100" s="140" t="s">
        <v>244</v>
      </c>
      <c r="K100" s="140" t="s">
        <v>266</v>
      </c>
      <c r="L100" s="140" t="s">
        <v>291</v>
      </c>
      <c r="M100" s="140" t="s">
        <v>46</v>
      </c>
      <c r="N100" s="156">
        <v>0</v>
      </c>
      <c r="O100" s="156" t="s">
        <v>47</v>
      </c>
      <c r="P100" s="156" t="s">
        <v>15</v>
      </c>
      <c r="Q100" s="158">
        <v>0</v>
      </c>
      <c r="R100" s="158">
        <v>0</v>
      </c>
      <c r="S100" s="158">
        <v>0</v>
      </c>
      <c r="T100" s="158">
        <f t="shared" si="12"/>
        <v>0</v>
      </c>
      <c r="U100" s="158">
        <f t="shared" si="16"/>
        <v>0</v>
      </c>
      <c r="V100" s="158">
        <v>14949</v>
      </c>
      <c r="W100" s="158">
        <f t="shared" si="17"/>
        <v>-14949</v>
      </c>
      <c r="X100" s="158">
        <f t="shared" si="13"/>
        <v>-14949</v>
      </c>
      <c r="Y100" s="158">
        <f t="shared" si="18"/>
        <v>0</v>
      </c>
      <c r="Z100" s="158">
        <v>19932</v>
      </c>
      <c r="AA100" s="158">
        <f t="shared" si="14"/>
        <v>-4983</v>
      </c>
      <c r="AB100" s="167">
        <v>0</v>
      </c>
      <c r="AC100" s="168">
        <f t="shared" si="15"/>
        <v>19932</v>
      </c>
      <c r="AD100" s="158">
        <v>14949</v>
      </c>
      <c r="AE100" s="159">
        <v>0</v>
      </c>
      <c r="AF100" s="158">
        <f t="shared" si="10"/>
        <v>0</v>
      </c>
      <c r="AG100" s="158">
        <f t="shared" si="21"/>
        <v>-19932</v>
      </c>
      <c r="AH100" s="175"/>
      <c r="AI100" s="175"/>
      <c r="AJ100" s="157">
        <v>1</v>
      </c>
      <c r="AK100" s="177">
        <v>1</v>
      </c>
      <c r="AL100" s="140" t="s">
        <v>269</v>
      </c>
      <c r="AM100" s="152"/>
      <c r="AN100" s="140" t="s">
        <v>292</v>
      </c>
    </row>
    <row r="101" s="140" customFormat="1" ht="15" hidden="1" customHeight="1" spans="1:39">
      <c r="A101" s="140">
        <v>2017</v>
      </c>
      <c r="B101" s="140" t="s">
        <v>38</v>
      </c>
      <c r="C101" s="140" t="s">
        <v>88</v>
      </c>
      <c r="D101" s="140" t="s">
        <v>293</v>
      </c>
      <c r="E101" s="140" t="s">
        <v>194</v>
      </c>
      <c r="F101" s="140" t="s">
        <v>294</v>
      </c>
      <c r="G101" s="140" t="s">
        <v>294</v>
      </c>
      <c r="H101" s="140" t="s">
        <v>294</v>
      </c>
      <c r="I101" s="152" t="s">
        <v>243</v>
      </c>
      <c r="J101" s="140" t="s">
        <v>244</v>
      </c>
      <c r="K101" s="140" t="s">
        <v>266</v>
      </c>
      <c r="L101" s="140" t="s">
        <v>294</v>
      </c>
      <c r="M101" s="140" t="s">
        <v>46</v>
      </c>
      <c r="N101" s="156">
        <v>0</v>
      </c>
      <c r="O101" s="156" t="s">
        <v>47</v>
      </c>
      <c r="P101" s="156"/>
      <c r="Q101" s="158">
        <v>0</v>
      </c>
      <c r="R101" s="158">
        <v>0</v>
      </c>
      <c r="S101" s="158">
        <v>19946.5</v>
      </c>
      <c r="T101" s="158">
        <f t="shared" si="12"/>
        <v>0</v>
      </c>
      <c r="U101" s="158">
        <f t="shared" si="16"/>
        <v>19946.5</v>
      </c>
      <c r="V101" s="158">
        <v>13888.5</v>
      </c>
      <c r="W101" s="158">
        <f t="shared" si="17"/>
        <v>6058</v>
      </c>
      <c r="X101" s="158">
        <f t="shared" si="13"/>
        <v>6058</v>
      </c>
      <c r="Y101" s="158">
        <f t="shared" si="18"/>
        <v>0</v>
      </c>
      <c r="Z101" s="158">
        <v>19946.5</v>
      </c>
      <c r="AA101" s="158">
        <f t="shared" si="14"/>
        <v>-6058</v>
      </c>
      <c r="AB101" s="167">
        <f t="shared" ref="AB101:AB164" si="22">IF(O101="返货",Z101/(1+N101),IF(O101="返现",Z101,IF(O101="折扣",Z101*N101,IF(O101="无",Z101))))</f>
        <v>19946.5</v>
      </c>
      <c r="AC101" s="168">
        <f t="shared" si="15"/>
        <v>0</v>
      </c>
      <c r="AD101" s="158">
        <v>13888.5</v>
      </c>
      <c r="AE101" s="159">
        <v>0</v>
      </c>
      <c r="AF101" s="158">
        <f t="shared" si="10"/>
        <v>0</v>
      </c>
      <c r="AG101" s="158">
        <f t="shared" si="21"/>
        <v>0</v>
      </c>
      <c r="AH101" s="175"/>
      <c r="AI101" s="175"/>
      <c r="AJ101" s="157">
        <v>0</v>
      </c>
      <c r="AK101" s="140" t="s">
        <v>120</v>
      </c>
      <c r="AL101" s="140" t="s">
        <v>269</v>
      </c>
      <c r="AM101" s="152"/>
    </row>
    <row r="102" s="140" customFormat="1" ht="15" hidden="1" customHeight="1" spans="1:39">
      <c r="A102" s="140">
        <v>2017</v>
      </c>
      <c r="B102" s="140" t="s">
        <v>38</v>
      </c>
      <c r="C102" s="140" t="s">
        <v>75</v>
      </c>
      <c r="D102" s="140" t="s">
        <v>76</v>
      </c>
      <c r="E102" s="140" t="s">
        <v>167</v>
      </c>
      <c r="F102" s="140" t="s">
        <v>168</v>
      </c>
      <c r="G102" s="140" t="s">
        <v>168</v>
      </c>
      <c r="H102" s="140" t="s">
        <v>168</v>
      </c>
      <c r="I102" s="152" t="s">
        <v>243</v>
      </c>
      <c r="J102" s="140" t="s">
        <v>244</v>
      </c>
      <c r="K102" s="140" t="s">
        <v>266</v>
      </c>
      <c r="L102" s="140" t="s">
        <v>168</v>
      </c>
      <c r="M102" s="140" t="s">
        <v>46</v>
      </c>
      <c r="N102" s="157">
        <v>0</v>
      </c>
      <c r="O102" s="156" t="s">
        <v>47</v>
      </c>
      <c r="P102" s="156"/>
      <c r="Q102" s="158">
        <v>0</v>
      </c>
      <c r="R102" s="158">
        <v>0</v>
      </c>
      <c r="S102" s="158">
        <v>40000</v>
      </c>
      <c r="T102" s="158">
        <f t="shared" si="12"/>
        <v>0</v>
      </c>
      <c r="U102" s="158">
        <f t="shared" si="16"/>
        <v>40000</v>
      </c>
      <c r="V102" s="158">
        <v>29923.5</v>
      </c>
      <c r="W102" s="158">
        <f t="shared" si="17"/>
        <v>10076.5</v>
      </c>
      <c r="X102" s="158">
        <f t="shared" si="13"/>
        <v>10076.5</v>
      </c>
      <c r="Y102" s="158">
        <f t="shared" si="18"/>
        <v>0</v>
      </c>
      <c r="Z102" s="158">
        <v>39898</v>
      </c>
      <c r="AA102" s="158">
        <f t="shared" si="14"/>
        <v>-9974.5</v>
      </c>
      <c r="AB102" s="167">
        <f t="shared" si="22"/>
        <v>39898</v>
      </c>
      <c r="AC102" s="168">
        <f t="shared" si="15"/>
        <v>0</v>
      </c>
      <c r="AD102" s="158">
        <v>29923.5</v>
      </c>
      <c r="AE102" s="159">
        <v>0</v>
      </c>
      <c r="AF102" s="158">
        <f t="shared" si="10"/>
        <v>0</v>
      </c>
      <c r="AG102" s="158">
        <f t="shared" si="21"/>
        <v>0</v>
      </c>
      <c r="AH102" s="175"/>
      <c r="AI102" s="175"/>
      <c r="AJ102" s="157">
        <v>1</v>
      </c>
      <c r="AK102" s="177">
        <v>1</v>
      </c>
      <c r="AL102" s="140" t="s">
        <v>269</v>
      </c>
      <c r="AM102" s="152"/>
    </row>
    <row r="103" s="140" customFormat="1" ht="15" hidden="1" customHeight="1" spans="1:39">
      <c r="A103" s="140">
        <v>2017</v>
      </c>
      <c r="B103" s="140" t="s">
        <v>38</v>
      </c>
      <c r="C103" s="140" t="s">
        <v>75</v>
      </c>
      <c r="D103" s="140" t="s">
        <v>76</v>
      </c>
      <c r="E103" s="140" t="s">
        <v>167</v>
      </c>
      <c r="F103" s="140" t="s">
        <v>295</v>
      </c>
      <c r="G103" s="140" t="s">
        <v>295</v>
      </c>
      <c r="H103" s="140" t="s">
        <v>295</v>
      </c>
      <c r="I103" s="152" t="s">
        <v>243</v>
      </c>
      <c r="J103" s="140" t="s">
        <v>244</v>
      </c>
      <c r="K103" s="140" t="s">
        <v>266</v>
      </c>
      <c r="L103" s="140" t="s">
        <v>295</v>
      </c>
      <c r="M103" s="140" t="s">
        <v>46</v>
      </c>
      <c r="N103" s="156">
        <v>0</v>
      </c>
      <c r="O103" s="156" t="s">
        <v>47</v>
      </c>
      <c r="P103" s="156"/>
      <c r="Q103" s="158">
        <v>0</v>
      </c>
      <c r="R103" s="158">
        <v>0</v>
      </c>
      <c r="S103" s="158">
        <v>103099</v>
      </c>
      <c r="T103" s="158">
        <f t="shared" si="12"/>
        <v>0</v>
      </c>
      <c r="U103" s="158">
        <f t="shared" si="16"/>
        <v>103099</v>
      </c>
      <c r="V103" s="158">
        <v>73519.5</v>
      </c>
      <c r="W103" s="158">
        <f t="shared" si="17"/>
        <v>29579.5</v>
      </c>
      <c r="X103" s="158">
        <f t="shared" si="13"/>
        <v>29579.5</v>
      </c>
      <c r="Y103" s="158">
        <f t="shared" si="18"/>
        <v>0</v>
      </c>
      <c r="Z103" s="158">
        <v>103099</v>
      </c>
      <c r="AA103" s="158">
        <f t="shared" si="14"/>
        <v>-29579.5</v>
      </c>
      <c r="AB103" s="167">
        <f t="shared" si="22"/>
        <v>103099</v>
      </c>
      <c r="AC103" s="168">
        <f t="shared" si="15"/>
        <v>0</v>
      </c>
      <c r="AD103" s="158">
        <v>73519.5</v>
      </c>
      <c r="AE103" s="159">
        <v>0</v>
      </c>
      <c r="AF103" s="158">
        <f t="shared" si="10"/>
        <v>0</v>
      </c>
      <c r="AG103" s="158">
        <f t="shared" si="21"/>
        <v>0</v>
      </c>
      <c r="AH103" s="175"/>
      <c r="AI103" s="175"/>
      <c r="AJ103" s="157">
        <v>1</v>
      </c>
      <c r="AK103" s="177">
        <v>1</v>
      </c>
      <c r="AL103" s="140" t="s">
        <v>269</v>
      </c>
      <c r="AM103" s="152"/>
    </row>
    <row r="104" s="140" customFormat="1" ht="15" hidden="1" customHeight="1" spans="1:39">
      <c r="A104" s="140">
        <v>2017</v>
      </c>
      <c r="B104" s="140" t="s">
        <v>38</v>
      </c>
      <c r="C104" s="140" t="s">
        <v>75</v>
      </c>
      <c r="D104" s="140" t="s">
        <v>76</v>
      </c>
      <c r="E104" s="140" t="s">
        <v>296</v>
      </c>
      <c r="F104" s="140" t="s">
        <v>205</v>
      </c>
      <c r="G104" s="140" t="s">
        <v>205</v>
      </c>
      <c r="H104" s="140" t="s">
        <v>205</v>
      </c>
      <c r="I104" s="152" t="s">
        <v>243</v>
      </c>
      <c r="J104" s="140" t="s">
        <v>244</v>
      </c>
      <c r="K104" s="140" t="s">
        <v>266</v>
      </c>
      <c r="L104" s="140" t="s">
        <v>205</v>
      </c>
      <c r="M104" s="140" t="s">
        <v>46</v>
      </c>
      <c r="N104" s="157">
        <v>0.02</v>
      </c>
      <c r="O104" s="156" t="s">
        <v>51</v>
      </c>
      <c r="P104" s="156"/>
      <c r="Q104" s="158">
        <v>0</v>
      </c>
      <c r="R104" s="158">
        <v>0</v>
      </c>
      <c r="S104" s="158">
        <v>6823.5</v>
      </c>
      <c r="T104" s="158">
        <f t="shared" si="12"/>
        <v>136.47</v>
      </c>
      <c r="U104" s="158">
        <f t="shared" si="16"/>
        <v>6959.97</v>
      </c>
      <c r="V104" s="158">
        <v>4102.5</v>
      </c>
      <c r="W104" s="158">
        <f t="shared" si="17"/>
        <v>2857.47</v>
      </c>
      <c r="X104" s="158">
        <f t="shared" si="13"/>
        <v>2801.44117647059</v>
      </c>
      <c r="Y104" s="158">
        <f t="shared" si="18"/>
        <v>56.028823529412</v>
      </c>
      <c r="Z104" s="158">
        <v>6823.5</v>
      </c>
      <c r="AA104" s="158">
        <f t="shared" si="14"/>
        <v>-2721</v>
      </c>
      <c r="AB104" s="167">
        <f t="shared" si="22"/>
        <v>6689.70588235294</v>
      </c>
      <c r="AC104" s="168">
        <f t="shared" si="15"/>
        <v>133.794117647059</v>
      </c>
      <c r="AD104" s="158">
        <v>4102.5</v>
      </c>
      <c r="AE104" s="159">
        <v>0</v>
      </c>
      <c r="AF104" s="158">
        <f t="shared" si="10"/>
        <v>0</v>
      </c>
      <c r="AG104" s="158">
        <f t="shared" si="21"/>
        <v>-133.794117647059</v>
      </c>
      <c r="AH104" s="175"/>
      <c r="AI104" s="175"/>
      <c r="AJ104" s="157">
        <v>0.02</v>
      </c>
      <c r="AK104" s="177">
        <v>0.02</v>
      </c>
      <c r="AL104" s="140" t="s">
        <v>269</v>
      </c>
      <c r="AM104" s="152"/>
    </row>
    <row r="105" s="140" customFormat="1" ht="15" hidden="1" customHeight="1" spans="1:39">
      <c r="A105" s="140">
        <v>2017</v>
      </c>
      <c r="B105" s="140" t="s">
        <v>252</v>
      </c>
      <c r="C105" s="140" t="s">
        <v>75</v>
      </c>
      <c r="D105" s="140" t="s">
        <v>76</v>
      </c>
      <c r="E105" s="140" t="s">
        <v>150</v>
      </c>
      <c r="F105" s="140" t="s">
        <v>297</v>
      </c>
      <c r="G105" s="140" t="s">
        <v>298</v>
      </c>
      <c r="H105" s="140" t="s">
        <v>299</v>
      </c>
      <c r="I105" s="152" t="s">
        <v>243</v>
      </c>
      <c r="J105" s="140" t="s">
        <v>244</v>
      </c>
      <c r="K105" s="140" t="s">
        <v>266</v>
      </c>
      <c r="L105" s="140" t="s">
        <v>300</v>
      </c>
      <c r="M105" s="140" t="s">
        <v>46</v>
      </c>
      <c r="N105" s="156">
        <v>0</v>
      </c>
      <c r="O105" s="156" t="s">
        <v>47</v>
      </c>
      <c r="P105" s="156"/>
      <c r="Q105" s="158">
        <v>0</v>
      </c>
      <c r="R105" s="158">
        <v>0</v>
      </c>
      <c r="S105" s="158">
        <v>942992</v>
      </c>
      <c r="T105" s="158">
        <f t="shared" si="12"/>
        <v>0</v>
      </c>
      <c r="U105" s="158">
        <f t="shared" si="16"/>
        <v>942992</v>
      </c>
      <c r="V105" s="158">
        <v>859330.5</v>
      </c>
      <c r="W105" s="158">
        <f t="shared" si="17"/>
        <v>83661.5</v>
      </c>
      <c r="X105" s="158">
        <f t="shared" si="13"/>
        <v>83661.5</v>
      </c>
      <c r="Y105" s="158">
        <f t="shared" si="18"/>
        <v>0</v>
      </c>
      <c r="Z105" s="158">
        <v>1222377.5</v>
      </c>
      <c r="AA105" s="158">
        <f t="shared" si="14"/>
        <v>-363047</v>
      </c>
      <c r="AB105" s="167">
        <f t="shared" si="22"/>
        <v>1222377.5</v>
      </c>
      <c r="AC105" s="168">
        <f t="shared" si="15"/>
        <v>0</v>
      </c>
      <c r="AD105" s="158">
        <v>859330.5</v>
      </c>
      <c r="AE105" s="159">
        <v>0</v>
      </c>
      <c r="AF105" s="158">
        <f t="shared" si="10"/>
        <v>0</v>
      </c>
      <c r="AG105" s="158">
        <f t="shared" si="21"/>
        <v>0</v>
      </c>
      <c r="AH105" s="175"/>
      <c r="AI105" s="175"/>
      <c r="AJ105" s="156" t="s">
        <v>47</v>
      </c>
      <c r="AK105" s="140" t="s">
        <v>47</v>
      </c>
      <c r="AL105" s="140" t="s">
        <v>269</v>
      </c>
      <c r="AM105" s="152"/>
    </row>
    <row r="106" s="140" customFormat="1" ht="15" hidden="1" customHeight="1" spans="1:39">
      <c r="A106" s="140">
        <v>2017</v>
      </c>
      <c r="B106" s="140" t="s">
        <v>38</v>
      </c>
      <c r="C106" s="140" t="s">
        <v>75</v>
      </c>
      <c r="D106" s="140" t="s">
        <v>76</v>
      </c>
      <c r="E106" s="140" t="s">
        <v>150</v>
      </c>
      <c r="F106" s="140" t="s">
        <v>300</v>
      </c>
      <c r="G106" s="140" t="s">
        <v>301</v>
      </c>
      <c r="H106" s="140" t="s">
        <v>301</v>
      </c>
      <c r="I106" s="152" t="s">
        <v>243</v>
      </c>
      <c r="J106" s="140" t="s">
        <v>244</v>
      </c>
      <c r="K106" s="140" t="s">
        <v>266</v>
      </c>
      <c r="L106" s="140" t="s">
        <v>300</v>
      </c>
      <c r="M106" s="140" t="s">
        <v>46</v>
      </c>
      <c r="N106" s="156">
        <v>0</v>
      </c>
      <c r="O106" s="156" t="s">
        <v>47</v>
      </c>
      <c r="P106" s="156"/>
      <c r="Q106" s="158">
        <v>0</v>
      </c>
      <c r="R106" s="158">
        <v>0</v>
      </c>
      <c r="S106" s="158">
        <v>128043.5</v>
      </c>
      <c r="T106" s="158">
        <f t="shared" si="12"/>
        <v>0</v>
      </c>
      <c r="U106" s="158">
        <f t="shared" si="16"/>
        <v>128043.5</v>
      </c>
      <c r="V106" s="158">
        <v>0</v>
      </c>
      <c r="W106" s="158">
        <f t="shared" si="17"/>
        <v>128043.5</v>
      </c>
      <c r="X106" s="158">
        <f t="shared" si="13"/>
        <v>128043.5</v>
      </c>
      <c r="Y106" s="158">
        <f t="shared" si="18"/>
        <v>0</v>
      </c>
      <c r="Z106" s="158">
        <v>0</v>
      </c>
      <c r="AA106" s="158">
        <f t="shared" si="14"/>
        <v>0</v>
      </c>
      <c r="AB106" s="167">
        <f t="shared" si="22"/>
        <v>0</v>
      </c>
      <c r="AC106" s="168">
        <f t="shared" si="15"/>
        <v>0</v>
      </c>
      <c r="AD106" s="158">
        <v>0</v>
      </c>
      <c r="AE106" s="159">
        <v>0</v>
      </c>
      <c r="AF106" s="158">
        <f t="shared" si="10"/>
        <v>0</v>
      </c>
      <c r="AG106" s="158">
        <f t="shared" si="21"/>
        <v>0</v>
      </c>
      <c r="AH106" s="175"/>
      <c r="AI106" s="175"/>
      <c r="AJ106" s="156" t="s">
        <v>47</v>
      </c>
      <c r="AK106" s="140" t="s">
        <v>47</v>
      </c>
      <c r="AL106" s="140" t="s">
        <v>269</v>
      </c>
      <c r="AM106" s="140" t="s">
        <v>302</v>
      </c>
    </row>
    <row r="107" s="140" customFormat="1" ht="15" hidden="1" customHeight="1" spans="1:39">
      <c r="A107" s="140">
        <v>2017</v>
      </c>
      <c r="B107" s="140" t="s">
        <v>38</v>
      </c>
      <c r="C107" s="140" t="s">
        <v>75</v>
      </c>
      <c r="D107" s="140" t="s">
        <v>76</v>
      </c>
      <c r="E107" s="140" t="s">
        <v>77</v>
      </c>
      <c r="F107" s="140" t="s">
        <v>303</v>
      </c>
      <c r="G107" s="140" t="s">
        <v>303</v>
      </c>
      <c r="H107" s="140" t="s">
        <v>303</v>
      </c>
      <c r="I107" s="152" t="s">
        <v>243</v>
      </c>
      <c r="J107" s="140" t="s">
        <v>244</v>
      </c>
      <c r="K107" s="140" t="s">
        <v>266</v>
      </c>
      <c r="L107" s="140" t="s">
        <v>303</v>
      </c>
      <c r="M107" s="140" t="s">
        <v>46</v>
      </c>
      <c r="N107" s="156">
        <v>0</v>
      </c>
      <c r="O107" s="156" t="s">
        <v>47</v>
      </c>
      <c r="P107" s="156"/>
      <c r="Q107" s="158">
        <v>0</v>
      </c>
      <c r="R107" s="158">
        <v>0</v>
      </c>
      <c r="S107" s="158">
        <v>71715.5</v>
      </c>
      <c r="T107" s="158">
        <f t="shared" si="12"/>
        <v>0</v>
      </c>
      <c r="U107" s="158">
        <f t="shared" si="16"/>
        <v>71715.5</v>
      </c>
      <c r="V107" s="158">
        <v>51933</v>
      </c>
      <c r="W107" s="158">
        <f t="shared" si="17"/>
        <v>19782.5</v>
      </c>
      <c r="X107" s="158">
        <f t="shared" si="13"/>
        <v>19782.5</v>
      </c>
      <c r="Y107" s="158">
        <f t="shared" si="18"/>
        <v>0</v>
      </c>
      <c r="Z107" s="158">
        <v>71681.5</v>
      </c>
      <c r="AA107" s="158">
        <f t="shared" si="14"/>
        <v>-19748.5</v>
      </c>
      <c r="AB107" s="167">
        <f t="shared" si="22"/>
        <v>71681.5</v>
      </c>
      <c r="AC107" s="168">
        <f t="shared" si="15"/>
        <v>0</v>
      </c>
      <c r="AD107" s="158">
        <v>51933</v>
      </c>
      <c r="AE107" s="159">
        <v>0</v>
      </c>
      <c r="AF107" s="158">
        <f t="shared" si="10"/>
        <v>0</v>
      </c>
      <c r="AG107" s="158">
        <f t="shared" si="21"/>
        <v>0</v>
      </c>
      <c r="AH107" s="175"/>
      <c r="AI107" s="175"/>
      <c r="AJ107" s="157">
        <v>1</v>
      </c>
      <c r="AK107" s="177">
        <v>1</v>
      </c>
      <c r="AL107" s="140" t="s">
        <v>269</v>
      </c>
      <c r="AM107" s="152"/>
    </row>
    <row r="108" s="140" customFormat="1" ht="15" hidden="1" customHeight="1" spans="1:39">
      <c r="A108" s="140">
        <v>2017</v>
      </c>
      <c r="B108" s="140" t="s">
        <v>38</v>
      </c>
      <c r="C108" s="140" t="s">
        <v>75</v>
      </c>
      <c r="D108" s="140" t="s">
        <v>76</v>
      </c>
      <c r="E108" s="140" t="s">
        <v>257</v>
      </c>
      <c r="F108" s="140" t="s">
        <v>251</v>
      </c>
      <c r="G108" s="140" t="s">
        <v>251</v>
      </c>
      <c r="H108" s="140" t="s">
        <v>251</v>
      </c>
      <c r="I108" s="152" t="s">
        <v>243</v>
      </c>
      <c r="J108" s="140" t="s">
        <v>244</v>
      </c>
      <c r="K108" s="140" t="s">
        <v>266</v>
      </c>
      <c r="L108" s="140" t="s">
        <v>251</v>
      </c>
      <c r="M108" s="140" t="s">
        <v>46</v>
      </c>
      <c r="N108" s="156">
        <v>0</v>
      </c>
      <c r="O108" s="156" t="s">
        <v>47</v>
      </c>
      <c r="P108" s="156"/>
      <c r="Q108" s="158">
        <v>0</v>
      </c>
      <c r="R108" s="158">
        <v>0</v>
      </c>
      <c r="S108" s="158">
        <v>7258</v>
      </c>
      <c r="T108" s="158">
        <f t="shared" si="12"/>
        <v>0</v>
      </c>
      <c r="U108" s="158">
        <f t="shared" si="16"/>
        <v>7258</v>
      </c>
      <c r="V108" s="158">
        <v>0</v>
      </c>
      <c r="W108" s="158">
        <f t="shared" si="17"/>
        <v>7258</v>
      </c>
      <c r="X108" s="158">
        <f t="shared" si="13"/>
        <v>7258</v>
      </c>
      <c r="Y108" s="158">
        <f t="shared" si="18"/>
        <v>0</v>
      </c>
      <c r="Z108" s="158">
        <v>0</v>
      </c>
      <c r="AA108" s="158">
        <f t="shared" si="14"/>
        <v>0</v>
      </c>
      <c r="AB108" s="167">
        <f t="shared" si="22"/>
        <v>0</v>
      </c>
      <c r="AC108" s="168">
        <f t="shared" si="15"/>
        <v>0</v>
      </c>
      <c r="AD108" s="158">
        <v>0</v>
      </c>
      <c r="AE108" s="159">
        <v>0</v>
      </c>
      <c r="AF108" s="158">
        <f t="shared" si="10"/>
        <v>0</v>
      </c>
      <c r="AG108" s="158">
        <f t="shared" si="21"/>
        <v>0</v>
      </c>
      <c r="AH108" s="175"/>
      <c r="AI108" s="175"/>
      <c r="AJ108" s="156" t="s">
        <v>47</v>
      </c>
      <c r="AK108" s="140" t="s">
        <v>47</v>
      </c>
      <c r="AL108" s="140" t="s">
        <v>269</v>
      </c>
      <c r="AM108" s="152"/>
    </row>
    <row r="109" s="140" customFormat="1" ht="15" hidden="1" customHeight="1" spans="1:39">
      <c r="A109" s="140">
        <v>2017</v>
      </c>
      <c r="B109" s="140" t="s">
        <v>38</v>
      </c>
      <c r="C109" s="140" t="s">
        <v>75</v>
      </c>
      <c r="D109" s="140" t="s">
        <v>76</v>
      </c>
      <c r="E109" s="140" t="s">
        <v>304</v>
      </c>
      <c r="F109" s="140" t="s">
        <v>305</v>
      </c>
      <c r="G109" s="140" t="s">
        <v>305</v>
      </c>
      <c r="H109" s="140" t="s">
        <v>305</v>
      </c>
      <c r="I109" s="152" t="s">
        <v>243</v>
      </c>
      <c r="J109" s="140" t="s">
        <v>244</v>
      </c>
      <c r="K109" s="140" t="s">
        <v>266</v>
      </c>
      <c r="L109" s="140" t="s">
        <v>305</v>
      </c>
      <c r="M109" s="140" t="s">
        <v>46</v>
      </c>
      <c r="N109" s="156">
        <v>0</v>
      </c>
      <c r="O109" s="156" t="s">
        <v>47</v>
      </c>
      <c r="P109" s="156"/>
      <c r="Q109" s="158">
        <v>0</v>
      </c>
      <c r="R109" s="158">
        <v>0</v>
      </c>
      <c r="S109" s="158">
        <v>253142</v>
      </c>
      <c r="T109" s="158">
        <f t="shared" si="12"/>
        <v>0</v>
      </c>
      <c r="U109" s="158">
        <f t="shared" si="16"/>
        <v>253142</v>
      </c>
      <c r="V109" s="158">
        <v>177921</v>
      </c>
      <c r="W109" s="158">
        <f t="shared" si="17"/>
        <v>75221</v>
      </c>
      <c r="X109" s="158">
        <f t="shared" si="13"/>
        <v>75221</v>
      </c>
      <c r="Y109" s="158">
        <f t="shared" si="18"/>
        <v>0</v>
      </c>
      <c r="Z109" s="158">
        <v>253139</v>
      </c>
      <c r="AA109" s="158">
        <f t="shared" si="14"/>
        <v>-75218</v>
      </c>
      <c r="AB109" s="167">
        <f t="shared" si="22"/>
        <v>253139</v>
      </c>
      <c r="AC109" s="168">
        <f t="shared" si="15"/>
        <v>0</v>
      </c>
      <c r="AD109" s="158">
        <v>177921</v>
      </c>
      <c r="AE109" s="159">
        <v>0</v>
      </c>
      <c r="AF109" s="158">
        <f t="shared" si="10"/>
        <v>0</v>
      </c>
      <c r="AG109" s="158">
        <f t="shared" si="21"/>
        <v>0</v>
      </c>
      <c r="AH109" s="175"/>
      <c r="AI109" s="175"/>
      <c r="AJ109" s="157">
        <v>1</v>
      </c>
      <c r="AK109" s="177">
        <v>1</v>
      </c>
      <c r="AL109" s="140" t="s">
        <v>269</v>
      </c>
      <c r="AM109" s="152"/>
    </row>
    <row r="110" s="140" customFormat="1" ht="15" hidden="1" customHeight="1" spans="1:39">
      <c r="A110" s="140">
        <v>2017</v>
      </c>
      <c r="B110" s="140" t="s">
        <v>38</v>
      </c>
      <c r="C110" s="140" t="s">
        <v>75</v>
      </c>
      <c r="D110" s="140" t="s">
        <v>76</v>
      </c>
      <c r="E110" s="140" t="s">
        <v>304</v>
      </c>
      <c r="F110" s="140" t="s">
        <v>306</v>
      </c>
      <c r="G110" s="140" t="s">
        <v>306</v>
      </c>
      <c r="H110" s="140" t="s">
        <v>306</v>
      </c>
      <c r="I110" s="152" t="s">
        <v>243</v>
      </c>
      <c r="J110" s="140" t="s">
        <v>244</v>
      </c>
      <c r="K110" s="140" t="s">
        <v>266</v>
      </c>
      <c r="L110" s="140" t="s">
        <v>307</v>
      </c>
      <c r="M110" s="140" t="s">
        <v>46</v>
      </c>
      <c r="N110" s="156">
        <v>0</v>
      </c>
      <c r="O110" s="156" t="s">
        <v>47</v>
      </c>
      <c r="P110" s="156"/>
      <c r="Q110" s="158">
        <v>0</v>
      </c>
      <c r="R110" s="158">
        <v>0</v>
      </c>
      <c r="S110" s="158">
        <v>84918</v>
      </c>
      <c r="T110" s="158">
        <f t="shared" si="12"/>
        <v>0</v>
      </c>
      <c r="U110" s="158">
        <f t="shared" si="16"/>
        <v>84918</v>
      </c>
      <c r="V110" s="158">
        <v>24</v>
      </c>
      <c r="W110" s="158">
        <f t="shared" si="17"/>
        <v>84894</v>
      </c>
      <c r="X110" s="158">
        <f t="shared" si="13"/>
        <v>84894</v>
      </c>
      <c r="Y110" s="158">
        <f t="shared" si="18"/>
        <v>0</v>
      </c>
      <c r="Z110" s="158">
        <v>32</v>
      </c>
      <c r="AA110" s="158">
        <f t="shared" si="14"/>
        <v>-8</v>
      </c>
      <c r="AB110" s="167">
        <f t="shared" si="22"/>
        <v>32</v>
      </c>
      <c r="AC110" s="168">
        <f t="shared" si="15"/>
        <v>0</v>
      </c>
      <c r="AD110" s="158">
        <v>24</v>
      </c>
      <c r="AE110" s="159">
        <v>0</v>
      </c>
      <c r="AF110" s="158">
        <f t="shared" si="10"/>
        <v>0</v>
      </c>
      <c r="AG110" s="158">
        <f t="shared" si="21"/>
        <v>0</v>
      </c>
      <c r="AH110" s="175"/>
      <c r="AI110" s="175"/>
      <c r="AJ110" s="156" t="s">
        <v>47</v>
      </c>
      <c r="AK110" s="140" t="s">
        <v>47</v>
      </c>
      <c r="AL110" s="140" t="s">
        <v>269</v>
      </c>
      <c r="AM110" s="152"/>
    </row>
    <row r="111" s="140" customFormat="1" ht="15" hidden="1" customHeight="1" spans="1:39">
      <c r="A111" s="140">
        <v>2017</v>
      </c>
      <c r="B111" s="140" t="s">
        <v>38</v>
      </c>
      <c r="C111" s="140" t="s">
        <v>75</v>
      </c>
      <c r="D111" s="140" t="s">
        <v>76</v>
      </c>
      <c r="E111" s="140" t="s">
        <v>304</v>
      </c>
      <c r="F111" s="140" t="s">
        <v>237</v>
      </c>
      <c r="G111" s="140" t="s">
        <v>237</v>
      </c>
      <c r="H111" s="140" t="s">
        <v>237</v>
      </c>
      <c r="I111" s="152" t="s">
        <v>243</v>
      </c>
      <c r="J111" s="140" t="s">
        <v>244</v>
      </c>
      <c r="K111" s="140" t="s">
        <v>266</v>
      </c>
      <c r="L111" s="140" t="s">
        <v>308</v>
      </c>
      <c r="M111" s="140" t="s">
        <v>46</v>
      </c>
      <c r="N111" s="156">
        <v>0</v>
      </c>
      <c r="O111" s="156" t="s">
        <v>47</v>
      </c>
      <c r="P111" s="156"/>
      <c r="Q111" s="158">
        <v>0</v>
      </c>
      <c r="R111" s="158">
        <v>0</v>
      </c>
      <c r="S111" s="158">
        <v>646336</v>
      </c>
      <c r="T111" s="158">
        <f t="shared" si="12"/>
        <v>0</v>
      </c>
      <c r="U111" s="158">
        <f t="shared" si="16"/>
        <v>646336</v>
      </c>
      <c r="V111" s="158">
        <v>199485</v>
      </c>
      <c r="W111" s="158">
        <f t="shared" si="17"/>
        <v>446851</v>
      </c>
      <c r="X111" s="158">
        <f t="shared" si="13"/>
        <v>446851</v>
      </c>
      <c r="Y111" s="158">
        <f t="shared" si="18"/>
        <v>0</v>
      </c>
      <c r="Z111" s="158">
        <v>281575</v>
      </c>
      <c r="AA111" s="158">
        <f t="shared" si="14"/>
        <v>-82090</v>
      </c>
      <c r="AB111" s="167">
        <f t="shared" si="22"/>
        <v>281575</v>
      </c>
      <c r="AC111" s="168">
        <f t="shared" si="15"/>
        <v>0</v>
      </c>
      <c r="AD111" s="158">
        <v>199485</v>
      </c>
      <c r="AE111" s="159">
        <v>0</v>
      </c>
      <c r="AF111" s="158">
        <f t="shared" ref="AF111:AF174" si="23">AD111*AE111</f>
        <v>0</v>
      </c>
      <c r="AG111" s="158">
        <f t="shared" si="21"/>
        <v>0</v>
      </c>
      <c r="AH111" s="175"/>
      <c r="AI111" s="175"/>
      <c r="AJ111" s="157">
        <v>1</v>
      </c>
      <c r="AK111" s="177">
        <v>1</v>
      </c>
      <c r="AL111" s="140" t="s">
        <v>269</v>
      </c>
      <c r="AM111" s="152"/>
    </row>
    <row r="112" s="140" customFormat="1" ht="15" hidden="1" customHeight="1" spans="1:39">
      <c r="A112" s="140">
        <v>2017</v>
      </c>
      <c r="B112" s="140" t="s">
        <v>38</v>
      </c>
      <c r="C112" s="140" t="s">
        <v>75</v>
      </c>
      <c r="D112" s="140" t="s">
        <v>76</v>
      </c>
      <c r="E112" s="140" t="s">
        <v>304</v>
      </c>
      <c r="F112" s="140" t="s">
        <v>159</v>
      </c>
      <c r="G112" s="140" t="s">
        <v>159</v>
      </c>
      <c r="H112" s="140" t="s">
        <v>159</v>
      </c>
      <c r="I112" s="152" t="s">
        <v>243</v>
      </c>
      <c r="J112" s="140" t="s">
        <v>244</v>
      </c>
      <c r="K112" s="140" t="s">
        <v>266</v>
      </c>
      <c r="L112" s="140" t="s">
        <v>159</v>
      </c>
      <c r="M112" s="140" t="s">
        <v>46</v>
      </c>
      <c r="N112" s="156">
        <v>0</v>
      </c>
      <c r="O112" s="156" t="s">
        <v>47</v>
      </c>
      <c r="P112" s="156"/>
      <c r="Q112" s="158">
        <v>0</v>
      </c>
      <c r="R112" s="158">
        <v>0</v>
      </c>
      <c r="S112" s="158">
        <v>215604</v>
      </c>
      <c r="T112" s="158">
        <f t="shared" si="12"/>
        <v>0</v>
      </c>
      <c r="U112" s="158">
        <f t="shared" si="16"/>
        <v>215604</v>
      </c>
      <c r="V112" s="158">
        <v>147552</v>
      </c>
      <c r="W112" s="158">
        <f t="shared" si="17"/>
        <v>68052</v>
      </c>
      <c r="X112" s="158">
        <f t="shared" si="13"/>
        <v>68052</v>
      </c>
      <c r="Y112" s="158">
        <f t="shared" si="18"/>
        <v>0</v>
      </c>
      <c r="Z112" s="158">
        <v>215582</v>
      </c>
      <c r="AA112" s="158">
        <f t="shared" si="14"/>
        <v>-68030</v>
      </c>
      <c r="AB112" s="167">
        <f t="shared" si="22"/>
        <v>215582</v>
      </c>
      <c r="AC112" s="168">
        <f t="shared" si="15"/>
        <v>0</v>
      </c>
      <c r="AD112" s="158">
        <v>147552</v>
      </c>
      <c r="AE112" s="159">
        <v>0</v>
      </c>
      <c r="AF112" s="158">
        <f t="shared" si="23"/>
        <v>0</v>
      </c>
      <c r="AG112" s="158">
        <f t="shared" si="21"/>
        <v>0</v>
      </c>
      <c r="AH112" s="175"/>
      <c r="AI112" s="175"/>
      <c r="AJ112" s="157">
        <v>1</v>
      </c>
      <c r="AK112" s="177">
        <v>1</v>
      </c>
      <c r="AL112" s="140" t="s">
        <v>269</v>
      </c>
      <c r="AM112" s="152"/>
    </row>
    <row r="113" s="140" customFormat="1" ht="15" hidden="1" customHeight="1" spans="1:39">
      <c r="A113" s="140">
        <v>2017</v>
      </c>
      <c r="B113" s="140" t="s">
        <v>252</v>
      </c>
      <c r="C113" s="140" t="s">
        <v>75</v>
      </c>
      <c r="D113" s="140" t="s">
        <v>76</v>
      </c>
      <c r="E113" s="140" t="s">
        <v>304</v>
      </c>
      <c r="F113" s="140" t="s">
        <v>309</v>
      </c>
      <c r="G113" s="140" t="s">
        <v>310</v>
      </c>
      <c r="H113" s="140" t="s">
        <v>311</v>
      </c>
      <c r="I113" s="152" t="s">
        <v>243</v>
      </c>
      <c r="J113" s="140" t="s">
        <v>244</v>
      </c>
      <c r="K113" s="140" t="s">
        <v>266</v>
      </c>
      <c r="L113" s="140" t="s">
        <v>309</v>
      </c>
      <c r="M113" s="140" t="s">
        <v>46</v>
      </c>
      <c r="N113" s="156">
        <v>0</v>
      </c>
      <c r="O113" s="156" t="s">
        <v>47</v>
      </c>
      <c r="P113" s="156"/>
      <c r="Q113" s="158">
        <v>0</v>
      </c>
      <c r="R113" s="158">
        <v>0</v>
      </c>
      <c r="S113" s="158">
        <v>1634</v>
      </c>
      <c r="T113" s="158">
        <f t="shared" si="12"/>
        <v>0</v>
      </c>
      <c r="U113" s="158">
        <f t="shared" si="16"/>
        <v>1634</v>
      </c>
      <c r="V113" s="158">
        <v>1225.5</v>
      </c>
      <c r="W113" s="158">
        <f t="shared" si="17"/>
        <v>408.5</v>
      </c>
      <c r="X113" s="158">
        <f t="shared" si="13"/>
        <v>408.5</v>
      </c>
      <c r="Y113" s="158">
        <f t="shared" si="18"/>
        <v>0</v>
      </c>
      <c r="Z113" s="158">
        <v>1634</v>
      </c>
      <c r="AA113" s="158">
        <f t="shared" si="14"/>
        <v>-408.5</v>
      </c>
      <c r="AB113" s="167">
        <f t="shared" si="22"/>
        <v>1634</v>
      </c>
      <c r="AC113" s="168">
        <f t="shared" si="15"/>
        <v>0</v>
      </c>
      <c r="AD113" s="158">
        <v>1225.5</v>
      </c>
      <c r="AE113" s="159">
        <v>0</v>
      </c>
      <c r="AF113" s="158">
        <f t="shared" si="23"/>
        <v>0</v>
      </c>
      <c r="AG113" s="158">
        <f t="shared" si="21"/>
        <v>0</v>
      </c>
      <c r="AH113" s="175"/>
      <c r="AI113" s="175"/>
      <c r="AJ113" s="156" t="s">
        <v>47</v>
      </c>
      <c r="AK113" s="140" t="s">
        <v>47</v>
      </c>
      <c r="AL113" s="140" t="s">
        <v>269</v>
      </c>
      <c r="AM113" s="152"/>
    </row>
    <row r="114" s="140" customFormat="1" ht="15" hidden="1" customHeight="1" spans="1:39">
      <c r="A114" s="140">
        <v>2017</v>
      </c>
      <c r="B114" s="140" t="s">
        <v>38</v>
      </c>
      <c r="C114" s="140" t="s">
        <v>75</v>
      </c>
      <c r="D114" s="140" t="s">
        <v>76</v>
      </c>
      <c r="E114" s="140" t="s">
        <v>304</v>
      </c>
      <c r="F114" s="140" t="s">
        <v>312</v>
      </c>
      <c r="G114" s="140" t="s">
        <v>312</v>
      </c>
      <c r="H114" s="140" t="s">
        <v>312</v>
      </c>
      <c r="I114" s="152" t="s">
        <v>243</v>
      </c>
      <c r="J114" s="140" t="s">
        <v>244</v>
      </c>
      <c r="K114" s="140" t="s">
        <v>266</v>
      </c>
      <c r="L114" s="140" t="s">
        <v>313</v>
      </c>
      <c r="M114" s="140" t="s">
        <v>46</v>
      </c>
      <c r="N114" s="156">
        <v>0</v>
      </c>
      <c r="O114" s="156" t="s">
        <v>47</v>
      </c>
      <c r="P114" s="156"/>
      <c r="Q114" s="158">
        <v>0</v>
      </c>
      <c r="R114" s="158">
        <v>0</v>
      </c>
      <c r="S114" s="158">
        <v>3190</v>
      </c>
      <c r="T114" s="158">
        <f t="shared" si="12"/>
        <v>0</v>
      </c>
      <c r="U114" s="158">
        <f t="shared" si="16"/>
        <v>3190</v>
      </c>
      <c r="V114" s="158">
        <v>2392.5</v>
      </c>
      <c r="W114" s="158">
        <f t="shared" si="17"/>
        <v>797.5</v>
      </c>
      <c r="X114" s="158">
        <f t="shared" si="13"/>
        <v>797.5</v>
      </c>
      <c r="Y114" s="158">
        <f t="shared" si="18"/>
        <v>0</v>
      </c>
      <c r="Z114" s="158">
        <v>3190</v>
      </c>
      <c r="AA114" s="158">
        <f t="shared" si="14"/>
        <v>-797.5</v>
      </c>
      <c r="AB114" s="167">
        <f t="shared" si="22"/>
        <v>3190</v>
      </c>
      <c r="AC114" s="168">
        <f t="shared" si="15"/>
        <v>0</v>
      </c>
      <c r="AD114" s="158">
        <v>2392.5</v>
      </c>
      <c r="AE114" s="159">
        <v>0</v>
      </c>
      <c r="AF114" s="158">
        <f t="shared" si="23"/>
        <v>0</v>
      </c>
      <c r="AG114" s="158">
        <f t="shared" si="21"/>
        <v>0</v>
      </c>
      <c r="AH114" s="175"/>
      <c r="AI114" s="175"/>
      <c r="AJ114" s="156" t="s">
        <v>47</v>
      </c>
      <c r="AK114" s="140" t="s">
        <v>47</v>
      </c>
      <c r="AL114" s="140" t="s">
        <v>269</v>
      </c>
      <c r="AM114" s="152"/>
    </row>
    <row r="115" s="140" customFormat="1" ht="15" hidden="1" customHeight="1" spans="1:39">
      <c r="A115" s="140">
        <v>2017</v>
      </c>
      <c r="B115" s="140" t="s">
        <v>38</v>
      </c>
      <c r="C115" s="140" t="s">
        <v>75</v>
      </c>
      <c r="D115" s="140" t="s">
        <v>76</v>
      </c>
      <c r="E115" s="140" t="s">
        <v>225</v>
      </c>
      <c r="F115" s="140" t="s">
        <v>230</v>
      </c>
      <c r="G115" s="140" t="s">
        <v>230</v>
      </c>
      <c r="H115" s="140" t="s">
        <v>230</v>
      </c>
      <c r="I115" s="152" t="s">
        <v>243</v>
      </c>
      <c r="J115" s="140" t="s">
        <v>244</v>
      </c>
      <c r="K115" s="140" t="s">
        <v>266</v>
      </c>
      <c r="L115" s="140" t="s">
        <v>314</v>
      </c>
      <c r="M115" s="140" t="s">
        <v>46</v>
      </c>
      <c r="N115" s="156">
        <v>0</v>
      </c>
      <c r="O115" s="156" t="s">
        <v>47</v>
      </c>
      <c r="P115" s="156"/>
      <c r="Q115" s="158">
        <v>0</v>
      </c>
      <c r="R115" s="158">
        <v>0</v>
      </c>
      <c r="S115" s="158">
        <v>383486</v>
      </c>
      <c r="T115" s="158">
        <f t="shared" si="12"/>
        <v>0</v>
      </c>
      <c r="U115" s="158">
        <f t="shared" si="16"/>
        <v>383486</v>
      </c>
      <c r="V115" s="158">
        <v>287415</v>
      </c>
      <c r="W115" s="158">
        <f t="shared" si="17"/>
        <v>96071</v>
      </c>
      <c r="X115" s="158">
        <f t="shared" si="13"/>
        <v>96071</v>
      </c>
      <c r="Y115" s="158">
        <f t="shared" si="18"/>
        <v>0</v>
      </c>
      <c r="Z115" s="158">
        <v>389448</v>
      </c>
      <c r="AA115" s="158">
        <f t="shared" si="14"/>
        <v>-102033</v>
      </c>
      <c r="AB115" s="167">
        <f t="shared" si="22"/>
        <v>389448</v>
      </c>
      <c r="AC115" s="168">
        <f t="shared" si="15"/>
        <v>0</v>
      </c>
      <c r="AD115" s="158">
        <v>287415</v>
      </c>
      <c r="AE115" s="159">
        <v>0</v>
      </c>
      <c r="AF115" s="158">
        <f t="shared" si="23"/>
        <v>0</v>
      </c>
      <c r="AG115" s="158">
        <f t="shared" si="21"/>
        <v>0</v>
      </c>
      <c r="AH115" s="175"/>
      <c r="AI115" s="175"/>
      <c r="AJ115" s="156" t="s">
        <v>47</v>
      </c>
      <c r="AK115" s="140" t="s">
        <v>47</v>
      </c>
      <c r="AL115" s="140" t="s">
        <v>269</v>
      </c>
      <c r="AM115" s="152"/>
    </row>
    <row r="116" s="140" customFormat="1" ht="15" hidden="1" customHeight="1" spans="1:39">
      <c r="A116" s="140">
        <v>2017</v>
      </c>
      <c r="B116" s="140" t="s">
        <v>38</v>
      </c>
      <c r="C116" s="140" t="s">
        <v>75</v>
      </c>
      <c r="D116" s="140" t="s">
        <v>76</v>
      </c>
      <c r="E116" s="140" t="s">
        <v>118</v>
      </c>
      <c r="F116" s="140" t="s">
        <v>264</v>
      </c>
      <c r="G116" s="140" t="s">
        <v>264</v>
      </c>
      <c r="H116" s="140" t="s">
        <v>264</v>
      </c>
      <c r="I116" s="152" t="s">
        <v>243</v>
      </c>
      <c r="J116" s="140" t="s">
        <v>244</v>
      </c>
      <c r="K116" s="140" t="s">
        <v>266</v>
      </c>
      <c r="L116" s="140" t="s">
        <v>264</v>
      </c>
      <c r="M116" s="140" t="s">
        <v>46</v>
      </c>
      <c r="N116" s="156">
        <v>0</v>
      </c>
      <c r="O116" s="156" t="s">
        <v>47</v>
      </c>
      <c r="P116" s="156"/>
      <c r="Q116" s="158">
        <v>0</v>
      </c>
      <c r="R116" s="158">
        <v>0</v>
      </c>
      <c r="S116" s="158">
        <v>20000</v>
      </c>
      <c r="T116" s="158">
        <f t="shared" si="12"/>
        <v>0</v>
      </c>
      <c r="U116" s="158">
        <f t="shared" si="16"/>
        <v>20000</v>
      </c>
      <c r="V116" s="158">
        <v>0</v>
      </c>
      <c r="W116" s="158">
        <f t="shared" si="17"/>
        <v>20000</v>
      </c>
      <c r="X116" s="158">
        <f t="shared" si="13"/>
        <v>20000</v>
      </c>
      <c r="Y116" s="158">
        <f t="shared" si="18"/>
        <v>0</v>
      </c>
      <c r="Z116" s="158">
        <v>0</v>
      </c>
      <c r="AA116" s="158">
        <f t="shared" si="14"/>
        <v>0</v>
      </c>
      <c r="AB116" s="167">
        <f t="shared" si="22"/>
        <v>0</v>
      </c>
      <c r="AC116" s="168">
        <f t="shared" si="15"/>
        <v>0</v>
      </c>
      <c r="AD116" s="158">
        <v>0</v>
      </c>
      <c r="AE116" s="159">
        <v>0</v>
      </c>
      <c r="AF116" s="158">
        <f t="shared" si="23"/>
        <v>0</v>
      </c>
      <c r="AG116" s="158">
        <f t="shared" si="21"/>
        <v>0</v>
      </c>
      <c r="AH116" s="175"/>
      <c r="AI116" s="175"/>
      <c r="AJ116" s="157">
        <v>0</v>
      </c>
      <c r="AK116" s="140" t="s">
        <v>120</v>
      </c>
      <c r="AL116" s="140" t="s">
        <v>269</v>
      </c>
      <c r="AM116" s="152"/>
    </row>
    <row r="117" s="140" customFormat="1" ht="15" hidden="1" customHeight="1" spans="1:39">
      <c r="A117" s="140">
        <v>2017</v>
      </c>
      <c r="B117" s="140" t="s">
        <v>38</v>
      </c>
      <c r="C117" s="140" t="s">
        <v>75</v>
      </c>
      <c r="D117" s="140" t="s">
        <v>256</v>
      </c>
      <c r="E117" s="140" t="s">
        <v>315</v>
      </c>
      <c r="F117" s="140" t="s">
        <v>316</v>
      </c>
      <c r="G117" s="140" t="s">
        <v>316</v>
      </c>
      <c r="H117" s="140" t="s">
        <v>316</v>
      </c>
      <c r="I117" s="152" t="s">
        <v>243</v>
      </c>
      <c r="J117" s="140" t="s">
        <v>244</v>
      </c>
      <c r="K117" s="140" t="s">
        <v>266</v>
      </c>
      <c r="L117" s="140" t="s">
        <v>316</v>
      </c>
      <c r="M117" s="140" t="s">
        <v>46</v>
      </c>
      <c r="N117" s="156">
        <v>0</v>
      </c>
      <c r="O117" s="156" t="s">
        <v>47</v>
      </c>
      <c r="P117" s="156"/>
      <c r="Q117" s="158">
        <v>0</v>
      </c>
      <c r="R117" s="158">
        <v>0</v>
      </c>
      <c r="S117" s="158">
        <v>29959</v>
      </c>
      <c r="T117" s="158">
        <f t="shared" si="12"/>
        <v>0</v>
      </c>
      <c r="U117" s="158">
        <f t="shared" si="16"/>
        <v>29959</v>
      </c>
      <c r="V117" s="158">
        <v>0</v>
      </c>
      <c r="W117" s="158">
        <f t="shared" si="17"/>
        <v>29959</v>
      </c>
      <c r="X117" s="158">
        <f t="shared" si="13"/>
        <v>29959</v>
      </c>
      <c r="Y117" s="158">
        <f t="shared" si="18"/>
        <v>0</v>
      </c>
      <c r="Z117" s="158">
        <v>0</v>
      </c>
      <c r="AA117" s="158">
        <f t="shared" si="14"/>
        <v>0</v>
      </c>
      <c r="AB117" s="167">
        <f t="shared" si="22"/>
        <v>0</v>
      </c>
      <c r="AC117" s="168">
        <f t="shared" si="15"/>
        <v>0</v>
      </c>
      <c r="AD117" s="158">
        <v>0</v>
      </c>
      <c r="AE117" s="159">
        <v>0</v>
      </c>
      <c r="AF117" s="158">
        <f t="shared" si="23"/>
        <v>0</v>
      </c>
      <c r="AG117" s="158">
        <f t="shared" si="21"/>
        <v>0</v>
      </c>
      <c r="AH117" s="175"/>
      <c r="AI117" s="175"/>
      <c r="AJ117" s="156" t="s">
        <v>47</v>
      </c>
      <c r="AK117" s="140" t="s">
        <v>47</v>
      </c>
      <c r="AL117" s="140" t="s">
        <v>269</v>
      </c>
      <c r="AM117" s="140" t="s">
        <v>302</v>
      </c>
    </row>
    <row r="118" s="140" customFormat="1" ht="15" hidden="1" customHeight="1" spans="1:39">
      <c r="A118" s="140">
        <v>2017</v>
      </c>
      <c r="B118" s="140" t="s">
        <v>199</v>
      </c>
      <c r="C118" s="140" t="s">
        <v>75</v>
      </c>
      <c r="D118" s="140" t="s">
        <v>256</v>
      </c>
      <c r="E118" s="140" t="s">
        <v>315</v>
      </c>
      <c r="F118" s="140" t="s">
        <v>316</v>
      </c>
      <c r="G118" s="140" t="s">
        <v>317</v>
      </c>
      <c r="H118" s="140" t="s">
        <v>318</v>
      </c>
      <c r="I118" s="152" t="s">
        <v>243</v>
      </c>
      <c r="J118" s="140" t="s">
        <v>244</v>
      </c>
      <c r="K118" s="140" t="s">
        <v>266</v>
      </c>
      <c r="L118" s="140" t="s">
        <v>316</v>
      </c>
      <c r="M118" s="140" t="s">
        <v>46</v>
      </c>
      <c r="N118" s="156">
        <v>0</v>
      </c>
      <c r="O118" s="156" t="s">
        <v>47</v>
      </c>
      <c r="P118" s="156"/>
      <c r="Q118" s="158">
        <v>0</v>
      </c>
      <c r="R118" s="158">
        <v>0</v>
      </c>
      <c r="S118" s="158">
        <v>86</v>
      </c>
      <c r="T118" s="158">
        <f t="shared" si="12"/>
        <v>0</v>
      </c>
      <c r="U118" s="158">
        <f t="shared" si="16"/>
        <v>86</v>
      </c>
      <c r="V118" s="158">
        <v>19726.5</v>
      </c>
      <c r="W118" s="158">
        <f t="shared" si="17"/>
        <v>-19640.5</v>
      </c>
      <c r="X118" s="158">
        <f t="shared" si="13"/>
        <v>-19640.5</v>
      </c>
      <c r="Y118" s="158">
        <f t="shared" si="18"/>
        <v>0</v>
      </c>
      <c r="Z118" s="158">
        <v>30045</v>
      </c>
      <c r="AA118" s="158">
        <f t="shared" si="14"/>
        <v>-10318.5</v>
      </c>
      <c r="AB118" s="167">
        <f t="shared" si="22"/>
        <v>30045</v>
      </c>
      <c r="AC118" s="168">
        <f t="shared" si="15"/>
        <v>0</v>
      </c>
      <c r="AD118" s="158">
        <v>19726.5</v>
      </c>
      <c r="AE118" s="159">
        <v>0</v>
      </c>
      <c r="AF118" s="158">
        <f t="shared" si="23"/>
        <v>0</v>
      </c>
      <c r="AG118" s="158">
        <f t="shared" si="21"/>
        <v>0</v>
      </c>
      <c r="AH118" s="175"/>
      <c r="AI118" s="175"/>
      <c r="AJ118" s="156" t="s">
        <v>47</v>
      </c>
      <c r="AK118" s="140" t="s">
        <v>47</v>
      </c>
      <c r="AL118" s="140" t="s">
        <v>269</v>
      </c>
      <c r="AM118" s="152"/>
    </row>
    <row r="119" s="140" customFormat="1" ht="15" hidden="1" customHeight="1" spans="1:39">
      <c r="A119" s="140">
        <v>2017</v>
      </c>
      <c r="B119" s="140" t="s">
        <v>38</v>
      </c>
      <c r="C119" s="140" t="s">
        <v>75</v>
      </c>
      <c r="D119" s="140" t="s">
        <v>256</v>
      </c>
      <c r="E119" s="140" t="s">
        <v>175</v>
      </c>
      <c r="F119" s="140" t="s">
        <v>319</v>
      </c>
      <c r="G119" s="140" t="s">
        <v>319</v>
      </c>
      <c r="H119" s="140" t="s">
        <v>319</v>
      </c>
      <c r="I119" s="152" t="s">
        <v>243</v>
      </c>
      <c r="J119" s="140" t="s">
        <v>244</v>
      </c>
      <c r="K119" s="140" t="s">
        <v>266</v>
      </c>
      <c r="L119" s="140" t="s">
        <v>319</v>
      </c>
      <c r="M119" s="140" t="s">
        <v>46</v>
      </c>
      <c r="N119" s="156">
        <v>0</v>
      </c>
      <c r="O119" s="156" t="s">
        <v>47</v>
      </c>
      <c r="P119" s="156"/>
      <c r="Q119" s="158">
        <v>0</v>
      </c>
      <c r="R119" s="158">
        <v>0</v>
      </c>
      <c r="S119" s="158">
        <v>64078.5</v>
      </c>
      <c r="T119" s="158">
        <f t="shared" si="12"/>
        <v>0</v>
      </c>
      <c r="U119" s="158">
        <f t="shared" si="16"/>
        <v>64078.5</v>
      </c>
      <c r="V119" s="158">
        <v>45142.5</v>
      </c>
      <c r="W119" s="158">
        <f t="shared" si="17"/>
        <v>18936</v>
      </c>
      <c r="X119" s="158">
        <f t="shared" si="13"/>
        <v>18936</v>
      </c>
      <c r="Y119" s="158">
        <f t="shared" si="18"/>
        <v>0</v>
      </c>
      <c r="Z119" s="158">
        <v>64040.5</v>
      </c>
      <c r="AA119" s="158">
        <f t="shared" si="14"/>
        <v>-18898</v>
      </c>
      <c r="AB119" s="167">
        <f t="shared" si="22"/>
        <v>64040.5</v>
      </c>
      <c r="AC119" s="168">
        <f t="shared" si="15"/>
        <v>0</v>
      </c>
      <c r="AD119" s="158">
        <v>45142.5</v>
      </c>
      <c r="AE119" s="159">
        <v>0</v>
      </c>
      <c r="AF119" s="158">
        <f t="shared" si="23"/>
        <v>0</v>
      </c>
      <c r="AG119" s="158">
        <f t="shared" si="21"/>
        <v>0</v>
      </c>
      <c r="AH119" s="175"/>
      <c r="AI119" s="175"/>
      <c r="AJ119" s="156" t="s">
        <v>47</v>
      </c>
      <c r="AK119" s="140" t="s">
        <v>47</v>
      </c>
      <c r="AL119" s="140" t="s">
        <v>269</v>
      </c>
      <c r="AM119" s="152"/>
    </row>
    <row r="120" s="140" customFormat="1" ht="15" hidden="1" customHeight="1" spans="1:39">
      <c r="A120" s="140">
        <v>2017</v>
      </c>
      <c r="B120" s="140" t="s">
        <v>38</v>
      </c>
      <c r="C120" s="140" t="s">
        <v>75</v>
      </c>
      <c r="D120" s="140" t="s">
        <v>256</v>
      </c>
      <c r="E120" s="140" t="s">
        <v>175</v>
      </c>
      <c r="F120" s="140" t="s">
        <v>320</v>
      </c>
      <c r="G120" s="140" t="s">
        <v>320</v>
      </c>
      <c r="H120" s="140" t="s">
        <v>320</v>
      </c>
      <c r="I120" s="152" t="s">
        <v>243</v>
      </c>
      <c r="J120" s="140" t="s">
        <v>244</v>
      </c>
      <c r="K120" s="140" t="s">
        <v>266</v>
      </c>
      <c r="L120" s="140" t="s">
        <v>320</v>
      </c>
      <c r="M120" s="140" t="s">
        <v>46</v>
      </c>
      <c r="N120" s="156">
        <v>0</v>
      </c>
      <c r="O120" s="156" t="s">
        <v>47</v>
      </c>
      <c r="P120" s="156"/>
      <c r="Q120" s="158">
        <v>0</v>
      </c>
      <c r="R120" s="158">
        <v>0</v>
      </c>
      <c r="S120" s="158">
        <v>13675</v>
      </c>
      <c r="T120" s="158">
        <f t="shared" si="12"/>
        <v>0</v>
      </c>
      <c r="U120" s="158">
        <f t="shared" si="16"/>
        <v>13675</v>
      </c>
      <c r="V120" s="158">
        <v>9304.5</v>
      </c>
      <c r="W120" s="158">
        <f t="shared" si="17"/>
        <v>4370.5</v>
      </c>
      <c r="X120" s="158">
        <f t="shared" si="13"/>
        <v>4370.5</v>
      </c>
      <c r="Y120" s="158">
        <f t="shared" si="18"/>
        <v>0</v>
      </c>
      <c r="Z120" s="158">
        <v>13675</v>
      </c>
      <c r="AA120" s="158">
        <f t="shared" si="14"/>
        <v>-4370.5</v>
      </c>
      <c r="AB120" s="167">
        <f t="shared" si="22"/>
        <v>13675</v>
      </c>
      <c r="AC120" s="168">
        <f t="shared" si="15"/>
        <v>0</v>
      </c>
      <c r="AD120" s="158">
        <v>9304.5</v>
      </c>
      <c r="AE120" s="159">
        <v>0</v>
      </c>
      <c r="AF120" s="158">
        <f t="shared" si="23"/>
        <v>0</v>
      </c>
      <c r="AG120" s="158">
        <f t="shared" si="21"/>
        <v>0</v>
      </c>
      <c r="AH120" s="175"/>
      <c r="AI120" s="175"/>
      <c r="AJ120" s="157">
        <v>0</v>
      </c>
      <c r="AK120" s="140" t="s">
        <v>120</v>
      </c>
      <c r="AL120" s="140" t="s">
        <v>269</v>
      </c>
      <c r="AM120" s="152"/>
    </row>
    <row r="121" s="140" customFormat="1" ht="15" hidden="1" customHeight="1" spans="1:39">
      <c r="A121" s="140">
        <v>2017</v>
      </c>
      <c r="B121" s="140" t="s">
        <v>38</v>
      </c>
      <c r="C121" s="140" t="s">
        <v>75</v>
      </c>
      <c r="D121" s="140" t="s">
        <v>256</v>
      </c>
      <c r="E121" s="140" t="s">
        <v>321</v>
      </c>
      <c r="F121" s="140" t="s">
        <v>322</v>
      </c>
      <c r="G121" s="140" t="s">
        <v>322</v>
      </c>
      <c r="H121" s="140" t="s">
        <v>322</v>
      </c>
      <c r="I121" s="152" t="s">
        <v>243</v>
      </c>
      <c r="J121" s="140" t="s">
        <v>244</v>
      </c>
      <c r="K121" s="140" t="s">
        <v>266</v>
      </c>
      <c r="L121" s="140" t="s">
        <v>322</v>
      </c>
      <c r="M121" s="140" t="s">
        <v>46</v>
      </c>
      <c r="N121" s="156">
        <v>0</v>
      </c>
      <c r="O121" s="156" t="s">
        <v>47</v>
      </c>
      <c r="P121" s="156"/>
      <c r="Q121" s="158">
        <v>0</v>
      </c>
      <c r="R121" s="158">
        <v>0</v>
      </c>
      <c r="S121" s="158">
        <v>71365.5</v>
      </c>
      <c r="T121" s="158">
        <f t="shared" si="12"/>
        <v>0</v>
      </c>
      <c r="U121" s="158">
        <f t="shared" si="16"/>
        <v>71365.5</v>
      </c>
      <c r="V121" s="158">
        <v>50209.5</v>
      </c>
      <c r="W121" s="158">
        <f t="shared" si="17"/>
        <v>21156</v>
      </c>
      <c r="X121" s="158">
        <f t="shared" si="13"/>
        <v>21156</v>
      </c>
      <c r="Y121" s="158">
        <f t="shared" si="18"/>
        <v>0</v>
      </c>
      <c r="Z121" s="158">
        <v>71053</v>
      </c>
      <c r="AA121" s="158">
        <f t="shared" si="14"/>
        <v>-20843.5</v>
      </c>
      <c r="AB121" s="167">
        <f t="shared" si="22"/>
        <v>71053</v>
      </c>
      <c r="AC121" s="168">
        <f t="shared" si="15"/>
        <v>0</v>
      </c>
      <c r="AD121" s="158">
        <v>50209.5</v>
      </c>
      <c r="AE121" s="159">
        <v>0</v>
      </c>
      <c r="AF121" s="158">
        <f t="shared" si="23"/>
        <v>0</v>
      </c>
      <c r="AG121" s="158">
        <f t="shared" si="21"/>
        <v>0</v>
      </c>
      <c r="AH121" s="175"/>
      <c r="AI121" s="175"/>
      <c r="AJ121" s="157">
        <v>0</v>
      </c>
      <c r="AK121" s="140" t="s">
        <v>120</v>
      </c>
      <c r="AL121" s="140" t="s">
        <v>269</v>
      </c>
      <c r="AM121" s="152"/>
    </row>
    <row r="122" s="140" customFormat="1" ht="15" customHeight="1" spans="1:39">
      <c r="A122" s="140">
        <v>2017</v>
      </c>
      <c r="B122" s="140" t="s">
        <v>38</v>
      </c>
      <c r="C122" s="140" t="s">
        <v>75</v>
      </c>
      <c r="D122" s="140" t="s">
        <v>256</v>
      </c>
      <c r="E122" s="140" t="s">
        <v>321</v>
      </c>
      <c r="F122" s="140" t="s">
        <v>323</v>
      </c>
      <c r="G122" s="140" t="s">
        <v>323</v>
      </c>
      <c r="H122" s="140" t="s">
        <v>323</v>
      </c>
      <c r="I122" s="152" t="s">
        <v>243</v>
      </c>
      <c r="J122" s="140" t="s">
        <v>244</v>
      </c>
      <c r="K122" s="140" t="s">
        <v>266</v>
      </c>
      <c r="L122" s="140" t="s">
        <v>324</v>
      </c>
      <c r="M122" s="140" t="s">
        <v>46</v>
      </c>
      <c r="N122" s="156">
        <v>0</v>
      </c>
      <c r="O122" s="156" t="s">
        <v>47</v>
      </c>
      <c r="P122" s="156"/>
      <c r="Q122" s="158">
        <v>0</v>
      </c>
      <c r="R122" s="158">
        <v>0</v>
      </c>
      <c r="S122" s="158">
        <v>3342</v>
      </c>
      <c r="T122" s="158">
        <f t="shared" si="12"/>
        <v>0</v>
      </c>
      <c r="U122" s="158">
        <f t="shared" si="16"/>
        <v>3342</v>
      </c>
      <c r="V122" s="158">
        <v>2152.5</v>
      </c>
      <c r="W122" s="158">
        <f t="shared" si="17"/>
        <v>1189.5</v>
      </c>
      <c r="X122" s="158">
        <f t="shared" si="13"/>
        <v>1189.5</v>
      </c>
      <c r="Y122" s="158">
        <f t="shared" si="18"/>
        <v>0</v>
      </c>
      <c r="Z122" s="158">
        <v>3342</v>
      </c>
      <c r="AA122" s="158">
        <f t="shared" si="14"/>
        <v>-1189.5</v>
      </c>
      <c r="AB122" s="167">
        <f t="shared" si="22"/>
        <v>3342</v>
      </c>
      <c r="AC122" s="168">
        <f t="shared" si="15"/>
        <v>0</v>
      </c>
      <c r="AD122" s="158">
        <v>2152.5</v>
      </c>
      <c r="AE122" s="159">
        <v>0</v>
      </c>
      <c r="AF122" s="158">
        <f t="shared" si="23"/>
        <v>0</v>
      </c>
      <c r="AG122" s="158">
        <f t="shared" si="21"/>
        <v>0</v>
      </c>
      <c r="AH122" s="175"/>
      <c r="AI122" s="175"/>
      <c r="AJ122" s="156" t="s">
        <v>47</v>
      </c>
      <c r="AK122" s="140" t="s">
        <v>47</v>
      </c>
      <c r="AL122" s="140" t="s">
        <v>269</v>
      </c>
      <c r="AM122" s="152"/>
    </row>
    <row r="123" s="140" customFormat="1" ht="15" hidden="1" customHeight="1" spans="1:39">
      <c r="A123" s="140">
        <v>2017</v>
      </c>
      <c r="B123" s="140" t="s">
        <v>38</v>
      </c>
      <c r="C123" s="140" t="s">
        <v>39</v>
      </c>
      <c r="D123" s="140" t="s">
        <v>81</v>
      </c>
      <c r="E123" s="140" t="s">
        <v>48</v>
      </c>
      <c r="F123" s="140" t="s">
        <v>325</v>
      </c>
      <c r="G123" s="140" t="s">
        <v>325</v>
      </c>
      <c r="H123" s="140" t="s">
        <v>325</v>
      </c>
      <c r="I123" s="152" t="s">
        <v>243</v>
      </c>
      <c r="J123" s="140" t="s">
        <v>244</v>
      </c>
      <c r="K123" s="140" t="s">
        <v>266</v>
      </c>
      <c r="L123" s="140" t="s">
        <v>325</v>
      </c>
      <c r="M123" s="140" t="s">
        <v>46</v>
      </c>
      <c r="N123" s="156">
        <v>0</v>
      </c>
      <c r="O123" s="156" t="s">
        <v>47</v>
      </c>
      <c r="P123" s="156"/>
      <c r="Q123" s="158">
        <v>0</v>
      </c>
      <c r="R123" s="158">
        <v>0</v>
      </c>
      <c r="S123" s="158">
        <v>10572</v>
      </c>
      <c r="T123" s="158">
        <f t="shared" si="12"/>
        <v>0</v>
      </c>
      <c r="U123" s="158">
        <f t="shared" si="16"/>
        <v>10572</v>
      </c>
      <c r="V123" s="158">
        <v>0</v>
      </c>
      <c r="W123" s="158">
        <f t="shared" si="17"/>
        <v>10572</v>
      </c>
      <c r="X123" s="158">
        <f t="shared" si="13"/>
        <v>10572</v>
      </c>
      <c r="Y123" s="158">
        <f t="shared" si="18"/>
        <v>0</v>
      </c>
      <c r="Z123" s="158">
        <v>0</v>
      </c>
      <c r="AA123" s="158">
        <f t="shared" si="14"/>
        <v>0</v>
      </c>
      <c r="AB123" s="167">
        <f t="shared" si="22"/>
        <v>0</v>
      </c>
      <c r="AC123" s="168">
        <f t="shared" si="15"/>
        <v>0</v>
      </c>
      <c r="AD123" s="158">
        <v>0</v>
      </c>
      <c r="AE123" s="159">
        <v>0</v>
      </c>
      <c r="AF123" s="158">
        <f t="shared" si="23"/>
        <v>0</v>
      </c>
      <c r="AG123" s="158">
        <f t="shared" si="21"/>
        <v>0</v>
      </c>
      <c r="AH123" s="175"/>
      <c r="AI123" s="175"/>
      <c r="AJ123" s="156" t="s">
        <v>47</v>
      </c>
      <c r="AK123" s="140" t="s">
        <v>47</v>
      </c>
      <c r="AL123" s="140" t="s">
        <v>269</v>
      </c>
      <c r="AM123" s="152"/>
    </row>
    <row r="124" s="140" customFormat="1" ht="15" hidden="1" customHeight="1" spans="1:39">
      <c r="A124" s="140">
        <v>2017</v>
      </c>
      <c r="B124" s="140" t="s">
        <v>38</v>
      </c>
      <c r="C124" s="140" t="s">
        <v>39</v>
      </c>
      <c r="D124" s="140" t="s">
        <v>81</v>
      </c>
      <c r="E124" s="140" t="s">
        <v>82</v>
      </c>
      <c r="F124" s="140" t="s">
        <v>326</v>
      </c>
      <c r="G124" s="140" t="s">
        <v>326</v>
      </c>
      <c r="H124" s="140" t="s">
        <v>326</v>
      </c>
      <c r="I124" s="152" t="s">
        <v>243</v>
      </c>
      <c r="J124" s="140" t="s">
        <v>244</v>
      </c>
      <c r="K124" s="140" t="s">
        <v>266</v>
      </c>
      <c r="L124" s="140" t="s">
        <v>326</v>
      </c>
      <c r="M124" s="140" t="s">
        <v>46</v>
      </c>
      <c r="N124" s="156">
        <v>0</v>
      </c>
      <c r="O124" s="156" t="s">
        <v>47</v>
      </c>
      <c r="P124" s="156"/>
      <c r="Q124" s="158">
        <v>0</v>
      </c>
      <c r="R124" s="158">
        <v>0</v>
      </c>
      <c r="S124" s="158">
        <v>20000</v>
      </c>
      <c r="T124" s="158">
        <f t="shared" si="12"/>
        <v>0</v>
      </c>
      <c r="U124" s="158">
        <f t="shared" si="16"/>
        <v>20000</v>
      </c>
      <c r="V124" s="158">
        <v>6426</v>
      </c>
      <c r="W124" s="158">
        <f t="shared" si="17"/>
        <v>13574</v>
      </c>
      <c r="X124" s="158">
        <f t="shared" si="13"/>
        <v>13574</v>
      </c>
      <c r="Y124" s="158">
        <f t="shared" si="18"/>
        <v>0</v>
      </c>
      <c r="Z124" s="158">
        <v>8715.5</v>
      </c>
      <c r="AA124" s="158">
        <f t="shared" si="14"/>
        <v>-2289.5</v>
      </c>
      <c r="AB124" s="167">
        <f t="shared" si="22"/>
        <v>8715.5</v>
      </c>
      <c r="AC124" s="168">
        <f t="shared" si="15"/>
        <v>0</v>
      </c>
      <c r="AD124" s="158">
        <v>6426</v>
      </c>
      <c r="AE124" s="159">
        <v>0</v>
      </c>
      <c r="AF124" s="158">
        <f t="shared" si="23"/>
        <v>0</v>
      </c>
      <c r="AG124" s="158">
        <f t="shared" ref="AG124:AG155" si="24">AB124-Z124+AF124</f>
        <v>0</v>
      </c>
      <c r="AH124" s="175"/>
      <c r="AI124" s="175"/>
      <c r="AJ124" s="157">
        <v>0</v>
      </c>
      <c r="AK124" s="140" t="s">
        <v>120</v>
      </c>
      <c r="AL124" s="140" t="s">
        <v>269</v>
      </c>
      <c r="AM124" s="152"/>
    </row>
    <row r="125" s="140" customFormat="1" ht="15" hidden="1" customHeight="1" spans="1:39">
      <c r="A125" s="140">
        <v>2017</v>
      </c>
      <c r="B125" s="140" t="s">
        <v>38</v>
      </c>
      <c r="C125" s="140" t="s">
        <v>39</v>
      </c>
      <c r="D125" s="140" t="s">
        <v>81</v>
      </c>
      <c r="E125" s="140" t="s">
        <v>82</v>
      </c>
      <c r="F125" s="140" t="s">
        <v>83</v>
      </c>
      <c r="G125" s="140" t="s">
        <v>83</v>
      </c>
      <c r="H125" s="140" t="s">
        <v>83</v>
      </c>
      <c r="I125" s="152" t="s">
        <v>243</v>
      </c>
      <c r="J125" s="140" t="s">
        <v>244</v>
      </c>
      <c r="K125" s="140" t="s">
        <v>266</v>
      </c>
      <c r="L125" s="140" t="s">
        <v>83</v>
      </c>
      <c r="M125" s="140" t="s">
        <v>46</v>
      </c>
      <c r="N125" s="156">
        <v>0</v>
      </c>
      <c r="O125" s="156" t="s">
        <v>47</v>
      </c>
      <c r="P125" s="156"/>
      <c r="Q125" s="158">
        <v>0</v>
      </c>
      <c r="R125" s="158">
        <v>0</v>
      </c>
      <c r="S125" s="158">
        <v>188908.33</v>
      </c>
      <c r="T125" s="158">
        <f t="shared" si="12"/>
        <v>0</v>
      </c>
      <c r="U125" s="158">
        <f t="shared" si="16"/>
        <v>188908.33</v>
      </c>
      <c r="V125" s="158">
        <v>66475.5</v>
      </c>
      <c r="W125" s="158">
        <f t="shared" si="17"/>
        <v>122432.83</v>
      </c>
      <c r="X125" s="158">
        <f t="shared" si="13"/>
        <v>122432.83</v>
      </c>
      <c r="Y125" s="158">
        <f t="shared" si="18"/>
        <v>0</v>
      </c>
      <c r="Z125" s="158">
        <v>100399</v>
      </c>
      <c r="AA125" s="158">
        <f t="shared" si="14"/>
        <v>-33923.5</v>
      </c>
      <c r="AB125" s="167">
        <f t="shared" si="22"/>
        <v>100399</v>
      </c>
      <c r="AC125" s="168">
        <f t="shared" si="15"/>
        <v>0</v>
      </c>
      <c r="AD125" s="158">
        <v>66475.5</v>
      </c>
      <c r="AE125" s="159">
        <v>0</v>
      </c>
      <c r="AF125" s="158">
        <f t="shared" si="23"/>
        <v>0</v>
      </c>
      <c r="AG125" s="158">
        <f t="shared" si="24"/>
        <v>0</v>
      </c>
      <c r="AH125" s="175"/>
      <c r="AI125" s="175"/>
      <c r="AJ125" s="157">
        <v>0</v>
      </c>
      <c r="AK125" s="140" t="s">
        <v>120</v>
      </c>
      <c r="AL125" s="140" t="s">
        <v>269</v>
      </c>
      <c r="AM125" s="152"/>
    </row>
    <row r="126" s="140" customFormat="1" ht="15" hidden="1" customHeight="1" spans="1:39">
      <c r="A126" s="140">
        <v>2017</v>
      </c>
      <c r="B126" s="140" t="s">
        <v>38</v>
      </c>
      <c r="C126" s="140" t="s">
        <v>39</v>
      </c>
      <c r="D126" s="140" t="s">
        <v>81</v>
      </c>
      <c r="E126" s="140" t="s">
        <v>82</v>
      </c>
      <c r="F126" s="140" t="s">
        <v>327</v>
      </c>
      <c r="G126" s="140" t="s">
        <v>327</v>
      </c>
      <c r="H126" s="140" t="s">
        <v>327</v>
      </c>
      <c r="I126" s="152" t="s">
        <v>243</v>
      </c>
      <c r="J126" s="140" t="s">
        <v>244</v>
      </c>
      <c r="K126" s="140" t="s">
        <v>266</v>
      </c>
      <c r="L126" s="140" t="s">
        <v>327</v>
      </c>
      <c r="M126" s="140" t="s">
        <v>46</v>
      </c>
      <c r="N126" s="156">
        <v>0</v>
      </c>
      <c r="O126" s="156" t="s">
        <v>47</v>
      </c>
      <c r="P126" s="156"/>
      <c r="Q126" s="158">
        <v>0</v>
      </c>
      <c r="R126" s="158">
        <v>0</v>
      </c>
      <c r="S126" s="158">
        <v>67414.5</v>
      </c>
      <c r="T126" s="158">
        <f t="shared" si="12"/>
        <v>0</v>
      </c>
      <c r="U126" s="158">
        <f t="shared" si="16"/>
        <v>67414.5</v>
      </c>
      <c r="V126" s="158">
        <v>537</v>
      </c>
      <c r="W126" s="158">
        <f t="shared" si="17"/>
        <v>66877.5</v>
      </c>
      <c r="X126" s="158">
        <f t="shared" si="13"/>
        <v>66877.5</v>
      </c>
      <c r="Y126" s="158">
        <f t="shared" si="18"/>
        <v>0</v>
      </c>
      <c r="Z126" s="158">
        <v>716</v>
      </c>
      <c r="AA126" s="158">
        <f t="shared" si="14"/>
        <v>-179</v>
      </c>
      <c r="AB126" s="167">
        <f t="shared" si="22"/>
        <v>716</v>
      </c>
      <c r="AC126" s="168">
        <f t="shared" si="15"/>
        <v>0</v>
      </c>
      <c r="AD126" s="158">
        <v>537</v>
      </c>
      <c r="AE126" s="159">
        <v>0</v>
      </c>
      <c r="AF126" s="158">
        <f t="shared" si="23"/>
        <v>0</v>
      </c>
      <c r="AG126" s="158">
        <f t="shared" si="24"/>
        <v>0</v>
      </c>
      <c r="AH126" s="175"/>
      <c r="AI126" s="175"/>
      <c r="AJ126" s="157">
        <v>0</v>
      </c>
      <c r="AK126" s="140" t="s">
        <v>120</v>
      </c>
      <c r="AL126" s="140" t="s">
        <v>269</v>
      </c>
      <c r="AM126" s="152"/>
    </row>
    <row r="127" s="140" customFormat="1" ht="15" hidden="1" customHeight="1" spans="1:39">
      <c r="A127" s="140">
        <v>2017</v>
      </c>
      <c r="B127" s="140" t="s">
        <v>38</v>
      </c>
      <c r="C127" s="140" t="s">
        <v>39</v>
      </c>
      <c r="D127" s="140" t="s">
        <v>40</v>
      </c>
      <c r="E127" s="140" t="s">
        <v>48</v>
      </c>
      <c r="F127" s="140" t="s">
        <v>328</v>
      </c>
      <c r="G127" s="140" t="s">
        <v>328</v>
      </c>
      <c r="H127" s="140" t="s">
        <v>328</v>
      </c>
      <c r="I127" s="152" t="s">
        <v>243</v>
      </c>
      <c r="J127" s="140" t="s">
        <v>244</v>
      </c>
      <c r="K127" s="140" t="s">
        <v>266</v>
      </c>
      <c r="L127" s="140" t="s">
        <v>136</v>
      </c>
      <c r="M127" s="140" t="s">
        <v>46</v>
      </c>
      <c r="N127" s="156">
        <v>0</v>
      </c>
      <c r="O127" s="156" t="s">
        <v>47</v>
      </c>
      <c r="P127" s="156"/>
      <c r="Q127" s="158">
        <v>0</v>
      </c>
      <c r="R127" s="158">
        <v>0</v>
      </c>
      <c r="S127" s="158">
        <v>266532</v>
      </c>
      <c r="T127" s="158">
        <f t="shared" si="12"/>
        <v>0</v>
      </c>
      <c r="U127" s="158">
        <f t="shared" si="16"/>
        <v>266532</v>
      </c>
      <c r="V127" s="158">
        <v>0</v>
      </c>
      <c r="W127" s="158">
        <f t="shared" si="17"/>
        <v>266532</v>
      </c>
      <c r="X127" s="158">
        <f t="shared" si="13"/>
        <v>266532</v>
      </c>
      <c r="Y127" s="158">
        <f t="shared" si="18"/>
        <v>0</v>
      </c>
      <c r="Z127" s="158">
        <v>0</v>
      </c>
      <c r="AA127" s="158">
        <f t="shared" si="14"/>
        <v>0</v>
      </c>
      <c r="AB127" s="167">
        <f t="shared" si="22"/>
        <v>0</v>
      </c>
      <c r="AC127" s="168">
        <f t="shared" si="15"/>
        <v>0</v>
      </c>
      <c r="AD127" s="158">
        <v>0</v>
      </c>
      <c r="AE127" s="159">
        <v>0</v>
      </c>
      <c r="AF127" s="158">
        <f t="shared" si="23"/>
        <v>0</v>
      </c>
      <c r="AG127" s="158">
        <f t="shared" si="24"/>
        <v>0</v>
      </c>
      <c r="AH127" s="175"/>
      <c r="AI127" s="175"/>
      <c r="AJ127" s="156" t="s">
        <v>47</v>
      </c>
      <c r="AK127" s="140" t="s">
        <v>47</v>
      </c>
      <c r="AL127" s="140" t="s">
        <v>269</v>
      </c>
      <c r="AM127" s="152"/>
    </row>
    <row r="128" s="140" customFormat="1" ht="15" hidden="1" customHeight="1" spans="1:39">
      <c r="A128" s="140">
        <v>2017</v>
      </c>
      <c r="B128" s="140" t="s">
        <v>38</v>
      </c>
      <c r="C128" s="140" t="s">
        <v>39</v>
      </c>
      <c r="D128" s="140" t="s">
        <v>40</v>
      </c>
      <c r="E128" s="140" t="s">
        <v>48</v>
      </c>
      <c r="F128" s="140" t="s">
        <v>329</v>
      </c>
      <c r="G128" s="140" t="s">
        <v>329</v>
      </c>
      <c r="H128" s="140" t="s">
        <v>329</v>
      </c>
      <c r="I128" s="152" t="s">
        <v>243</v>
      </c>
      <c r="J128" s="140" t="s">
        <v>244</v>
      </c>
      <c r="K128" s="140" t="s">
        <v>266</v>
      </c>
      <c r="L128" s="140" t="s">
        <v>330</v>
      </c>
      <c r="M128" s="140" t="s">
        <v>46</v>
      </c>
      <c r="N128" s="156">
        <v>0</v>
      </c>
      <c r="O128" s="156" t="s">
        <v>47</v>
      </c>
      <c r="P128" s="156"/>
      <c r="Q128" s="158">
        <v>0</v>
      </c>
      <c r="R128" s="158">
        <v>0</v>
      </c>
      <c r="S128" s="158">
        <v>26703</v>
      </c>
      <c r="T128" s="158">
        <f t="shared" si="12"/>
        <v>0</v>
      </c>
      <c r="U128" s="158">
        <f t="shared" si="16"/>
        <v>26703</v>
      </c>
      <c r="V128" s="158">
        <v>12682.5</v>
      </c>
      <c r="W128" s="158">
        <f t="shared" si="17"/>
        <v>14020.5</v>
      </c>
      <c r="X128" s="158">
        <f t="shared" si="13"/>
        <v>14020.5</v>
      </c>
      <c r="Y128" s="158">
        <f t="shared" si="18"/>
        <v>0</v>
      </c>
      <c r="Z128" s="158">
        <v>19317.5</v>
      </c>
      <c r="AA128" s="158">
        <f t="shared" si="14"/>
        <v>-6635</v>
      </c>
      <c r="AB128" s="167">
        <f t="shared" si="22"/>
        <v>19317.5</v>
      </c>
      <c r="AC128" s="168">
        <f t="shared" si="15"/>
        <v>0</v>
      </c>
      <c r="AD128" s="158">
        <v>12682.5</v>
      </c>
      <c r="AE128" s="159">
        <v>0</v>
      </c>
      <c r="AF128" s="158">
        <f t="shared" si="23"/>
        <v>0</v>
      </c>
      <c r="AG128" s="158">
        <f t="shared" si="24"/>
        <v>0</v>
      </c>
      <c r="AH128" s="175"/>
      <c r="AI128" s="175"/>
      <c r="AJ128" s="157">
        <v>0</v>
      </c>
      <c r="AK128" s="140" t="s">
        <v>120</v>
      </c>
      <c r="AL128" s="140" t="s">
        <v>269</v>
      </c>
      <c r="AM128" s="152"/>
    </row>
    <row r="129" s="140" customFormat="1" ht="15" hidden="1" customHeight="1" spans="1:39">
      <c r="A129" s="140">
        <v>2017</v>
      </c>
      <c r="B129" s="140" t="s">
        <v>38</v>
      </c>
      <c r="C129" s="140" t="s">
        <v>39</v>
      </c>
      <c r="D129" s="140" t="s">
        <v>40</v>
      </c>
      <c r="E129" s="140" t="s">
        <v>48</v>
      </c>
      <c r="F129" s="140" t="s">
        <v>127</v>
      </c>
      <c r="G129" s="140" t="s">
        <v>127</v>
      </c>
      <c r="H129" s="140" t="s">
        <v>127</v>
      </c>
      <c r="I129" s="152" t="s">
        <v>243</v>
      </c>
      <c r="J129" s="140" t="s">
        <v>244</v>
      </c>
      <c r="K129" s="140" t="s">
        <v>266</v>
      </c>
      <c r="L129" s="140" t="s">
        <v>127</v>
      </c>
      <c r="M129" s="140" t="s">
        <v>46</v>
      </c>
      <c r="N129" s="156">
        <v>0</v>
      </c>
      <c r="O129" s="156" t="s">
        <v>47</v>
      </c>
      <c r="P129" s="156"/>
      <c r="Q129" s="158">
        <v>0</v>
      </c>
      <c r="R129" s="158">
        <v>0</v>
      </c>
      <c r="S129" s="158">
        <v>84992</v>
      </c>
      <c r="T129" s="158">
        <f t="shared" si="12"/>
        <v>0</v>
      </c>
      <c r="U129" s="158">
        <f t="shared" si="16"/>
        <v>84992</v>
      </c>
      <c r="V129" s="158">
        <v>37669.5</v>
      </c>
      <c r="W129" s="158">
        <f t="shared" si="17"/>
        <v>47322.5</v>
      </c>
      <c r="X129" s="158">
        <f t="shared" si="13"/>
        <v>47322.5</v>
      </c>
      <c r="Y129" s="158">
        <f t="shared" si="18"/>
        <v>0</v>
      </c>
      <c r="Z129" s="158">
        <v>53143</v>
      </c>
      <c r="AA129" s="158">
        <f t="shared" si="14"/>
        <v>-15473.5</v>
      </c>
      <c r="AB129" s="167">
        <f t="shared" si="22"/>
        <v>53143</v>
      </c>
      <c r="AC129" s="168">
        <f t="shared" si="15"/>
        <v>0</v>
      </c>
      <c r="AD129" s="158">
        <v>37669.5</v>
      </c>
      <c r="AE129" s="159">
        <v>0</v>
      </c>
      <c r="AF129" s="158">
        <f t="shared" si="23"/>
        <v>0</v>
      </c>
      <c r="AG129" s="158">
        <f t="shared" si="24"/>
        <v>0</v>
      </c>
      <c r="AH129" s="175"/>
      <c r="AI129" s="175"/>
      <c r="AJ129" s="157">
        <v>0</v>
      </c>
      <c r="AK129" s="140" t="s">
        <v>120</v>
      </c>
      <c r="AL129" s="140" t="s">
        <v>269</v>
      </c>
      <c r="AM129" s="152"/>
    </row>
    <row r="130" s="140" customFormat="1" ht="15" hidden="1" customHeight="1" spans="1:39">
      <c r="A130" s="140">
        <v>2017</v>
      </c>
      <c r="B130" s="140" t="s">
        <v>38</v>
      </c>
      <c r="C130" s="140" t="s">
        <v>39</v>
      </c>
      <c r="D130" s="140" t="s">
        <v>40</v>
      </c>
      <c r="E130" s="140" t="s">
        <v>48</v>
      </c>
      <c r="F130" s="140" t="s">
        <v>331</v>
      </c>
      <c r="G130" s="140" t="s">
        <v>331</v>
      </c>
      <c r="H130" s="140" t="s">
        <v>331</v>
      </c>
      <c r="I130" s="152" t="s">
        <v>243</v>
      </c>
      <c r="J130" s="140" t="s">
        <v>244</v>
      </c>
      <c r="K130" s="140" t="s">
        <v>266</v>
      </c>
      <c r="L130" s="140" t="s">
        <v>332</v>
      </c>
      <c r="M130" s="140" t="s">
        <v>46</v>
      </c>
      <c r="N130" s="156">
        <v>0</v>
      </c>
      <c r="O130" s="156" t="s">
        <v>47</v>
      </c>
      <c r="P130" s="156"/>
      <c r="Q130" s="158">
        <v>0</v>
      </c>
      <c r="R130" s="158">
        <v>0</v>
      </c>
      <c r="S130" s="158">
        <v>90000</v>
      </c>
      <c r="T130" s="158">
        <f t="shared" ref="T130:T193" si="25">S130*N130</f>
        <v>0</v>
      </c>
      <c r="U130" s="158">
        <f t="shared" si="16"/>
        <v>90000</v>
      </c>
      <c r="V130" s="158">
        <v>64243.5</v>
      </c>
      <c r="W130" s="158">
        <f t="shared" si="17"/>
        <v>25756.5</v>
      </c>
      <c r="X130" s="158">
        <f t="shared" ref="X130:X193" si="26">W130/(1+N130)</f>
        <v>25756.5</v>
      </c>
      <c r="Y130" s="158">
        <f t="shared" si="18"/>
        <v>0</v>
      </c>
      <c r="Z130" s="158">
        <v>92212</v>
      </c>
      <c r="AA130" s="158">
        <f t="shared" ref="AA130:AA193" si="27">Q130+V130-Z130</f>
        <v>-27968.5</v>
      </c>
      <c r="AB130" s="167">
        <f t="shared" si="22"/>
        <v>92212</v>
      </c>
      <c r="AC130" s="168">
        <f t="shared" ref="AC130:AC193" si="28">IF(O130="返现",Z130*N130,Z130-AB130)</f>
        <v>0</v>
      </c>
      <c r="AD130" s="158">
        <v>64243.5</v>
      </c>
      <c r="AE130" s="159">
        <v>0</v>
      </c>
      <c r="AF130" s="158">
        <f t="shared" si="23"/>
        <v>0</v>
      </c>
      <c r="AG130" s="158">
        <f t="shared" si="24"/>
        <v>0</v>
      </c>
      <c r="AH130" s="175"/>
      <c r="AI130" s="175"/>
      <c r="AJ130" s="157">
        <v>0</v>
      </c>
      <c r="AK130" s="140" t="s">
        <v>120</v>
      </c>
      <c r="AL130" s="140" t="s">
        <v>269</v>
      </c>
      <c r="AM130" s="152"/>
    </row>
    <row r="131" s="140" customFormat="1" ht="15" hidden="1" customHeight="1" spans="1:39">
      <c r="A131" s="140">
        <v>2017</v>
      </c>
      <c r="B131" s="140" t="s">
        <v>333</v>
      </c>
      <c r="C131" s="140" t="s">
        <v>39</v>
      </c>
      <c r="D131" s="140" t="s">
        <v>40</v>
      </c>
      <c r="E131" s="140" t="s">
        <v>41</v>
      </c>
      <c r="F131" s="140" t="s">
        <v>334</v>
      </c>
      <c r="G131" s="140" t="s">
        <v>335</v>
      </c>
      <c r="H131" s="140" t="s">
        <v>335</v>
      </c>
      <c r="I131" s="152" t="s">
        <v>243</v>
      </c>
      <c r="J131" s="140" t="s">
        <v>244</v>
      </c>
      <c r="K131" s="140" t="s">
        <v>266</v>
      </c>
      <c r="L131" s="140" t="s">
        <v>336</v>
      </c>
      <c r="M131" s="140" t="s">
        <v>46</v>
      </c>
      <c r="N131" s="156">
        <v>0</v>
      </c>
      <c r="O131" s="156" t="s">
        <v>47</v>
      </c>
      <c r="P131" s="156"/>
      <c r="Q131" s="158">
        <v>0</v>
      </c>
      <c r="R131" s="158">
        <v>0</v>
      </c>
      <c r="S131" s="158">
        <v>107.5</v>
      </c>
      <c r="T131" s="158">
        <f t="shared" si="25"/>
        <v>0</v>
      </c>
      <c r="U131" s="158">
        <f t="shared" ref="U131:U194" si="29">R131+S131+T131</f>
        <v>107.5</v>
      </c>
      <c r="V131" s="158">
        <v>64.5</v>
      </c>
      <c r="W131" s="158">
        <f t="shared" ref="W131:W194" si="30">U131-V131</f>
        <v>43</v>
      </c>
      <c r="X131" s="158">
        <f t="shared" si="26"/>
        <v>43</v>
      </c>
      <c r="Y131" s="158">
        <f t="shared" ref="Y131:Y194" si="31">W131-X131</f>
        <v>0</v>
      </c>
      <c r="Z131" s="158">
        <v>107.5</v>
      </c>
      <c r="AA131" s="158">
        <f t="shared" si="27"/>
        <v>-43</v>
      </c>
      <c r="AB131" s="167">
        <f t="shared" si="22"/>
        <v>107.5</v>
      </c>
      <c r="AC131" s="168">
        <f t="shared" si="28"/>
        <v>0</v>
      </c>
      <c r="AD131" s="158">
        <v>64.5</v>
      </c>
      <c r="AE131" s="159">
        <v>0</v>
      </c>
      <c r="AF131" s="158">
        <f t="shared" si="23"/>
        <v>0</v>
      </c>
      <c r="AG131" s="158">
        <f t="shared" si="24"/>
        <v>0</v>
      </c>
      <c r="AH131" s="175"/>
      <c r="AI131" s="175"/>
      <c r="AJ131" s="156" t="s">
        <v>47</v>
      </c>
      <c r="AK131" s="140" t="s">
        <v>47</v>
      </c>
      <c r="AL131" s="140" t="s">
        <v>269</v>
      </c>
      <c r="AM131" s="152"/>
    </row>
    <row r="132" s="140" customFormat="1" ht="15" hidden="1" customHeight="1" spans="1:39">
      <c r="A132" s="140">
        <v>2017</v>
      </c>
      <c r="B132" s="140" t="s">
        <v>38</v>
      </c>
      <c r="C132" s="140" t="s">
        <v>39</v>
      </c>
      <c r="D132" s="140" t="s">
        <v>40</v>
      </c>
      <c r="E132" s="140" t="s">
        <v>82</v>
      </c>
      <c r="F132" s="140" t="s">
        <v>136</v>
      </c>
      <c r="G132" s="140" t="s">
        <v>136</v>
      </c>
      <c r="H132" s="140" t="s">
        <v>136</v>
      </c>
      <c r="I132" s="152" t="s">
        <v>243</v>
      </c>
      <c r="J132" s="140" t="s">
        <v>244</v>
      </c>
      <c r="K132" s="140" t="s">
        <v>266</v>
      </c>
      <c r="L132" s="140" t="s">
        <v>136</v>
      </c>
      <c r="M132" s="140" t="s">
        <v>46</v>
      </c>
      <c r="N132" s="156">
        <v>0</v>
      </c>
      <c r="O132" s="156" t="s">
        <v>47</v>
      </c>
      <c r="P132" s="156"/>
      <c r="Q132" s="158">
        <v>0</v>
      </c>
      <c r="R132" s="158">
        <v>0</v>
      </c>
      <c r="S132" s="158">
        <v>5800</v>
      </c>
      <c r="T132" s="158">
        <f t="shared" si="25"/>
        <v>0</v>
      </c>
      <c r="U132" s="158">
        <f t="shared" si="29"/>
        <v>5800</v>
      </c>
      <c r="V132" s="158">
        <v>4350</v>
      </c>
      <c r="W132" s="158">
        <f t="shared" si="30"/>
        <v>1450</v>
      </c>
      <c r="X132" s="158">
        <f t="shared" si="26"/>
        <v>1450</v>
      </c>
      <c r="Y132" s="158">
        <f t="shared" si="31"/>
        <v>0</v>
      </c>
      <c r="Z132" s="158">
        <v>5800</v>
      </c>
      <c r="AA132" s="158">
        <f t="shared" si="27"/>
        <v>-1450</v>
      </c>
      <c r="AB132" s="167">
        <f t="shared" si="22"/>
        <v>5800</v>
      </c>
      <c r="AC132" s="168">
        <f t="shared" si="28"/>
        <v>0</v>
      </c>
      <c r="AD132" s="158">
        <v>4350</v>
      </c>
      <c r="AE132" s="159">
        <v>0</v>
      </c>
      <c r="AF132" s="158">
        <f t="shared" si="23"/>
        <v>0</v>
      </c>
      <c r="AG132" s="158">
        <f t="shared" si="24"/>
        <v>0</v>
      </c>
      <c r="AH132" s="175"/>
      <c r="AI132" s="175"/>
      <c r="AJ132" s="176">
        <v>0</v>
      </c>
      <c r="AK132" s="140">
        <v>0</v>
      </c>
      <c r="AL132" s="140" t="s">
        <v>269</v>
      </c>
      <c r="AM132" s="152"/>
    </row>
    <row r="133" s="140" customFormat="1" ht="15" hidden="1" customHeight="1" spans="1:39">
      <c r="A133" s="140">
        <v>2017</v>
      </c>
      <c r="B133" s="140" t="s">
        <v>38</v>
      </c>
      <c r="C133" s="140" t="s">
        <v>59</v>
      </c>
      <c r="D133" s="140" t="s">
        <v>154</v>
      </c>
      <c r="E133" s="140" t="s">
        <v>107</v>
      </c>
      <c r="F133" s="140" t="s">
        <v>337</v>
      </c>
      <c r="G133" s="140" t="s">
        <v>337</v>
      </c>
      <c r="H133" s="140" t="s">
        <v>337</v>
      </c>
      <c r="I133" s="152" t="s">
        <v>243</v>
      </c>
      <c r="J133" s="140" t="s">
        <v>244</v>
      </c>
      <c r="K133" s="140" t="s">
        <v>266</v>
      </c>
      <c r="L133" s="140" t="s">
        <v>337</v>
      </c>
      <c r="M133" s="140" t="s">
        <v>46</v>
      </c>
      <c r="N133" s="156">
        <v>0</v>
      </c>
      <c r="O133" s="156" t="s">
        <v>47</v>
      </c>
      <c r="P133" s="156"/>
      <c r="Q133" s="158">
        <v>0</v>
      </c>
      <c r="R133" s="158">
        <v>0</v>
      </c>
      <c r="S133" s="158">
        <v>9346</v>
      </c>
      <c r="T133" s="158">
        <f t="shared" si="25"/>
        <v>0</v>
      </c>
      <c r="U133" s="158">
        <f t="shared" si="29"/>
        <v>9346</v>
      </c>
      <c r="V133" s="158">
        <v>5917.5</v>
      </c>
      <c r="W133" s="158">
        <f t="shared" si="30"/>
        <v>3428.5</v>
      </c>
      <c r="X133" s="158">
        <f t="shared" si="26"/>
        <v>3428.5</v>
      </c>
      <c r="Y133" s="158">
        <f t="shared" si="31"/>
        <v>0</v>
      </c>
      <c r="Z133" s="158">
        <v>9343.5</v>
      </c>
      <c r="AA133" s="158">
        <f t="shared" si="27"/>
        <v>-3426</v>
      </c>
      <c r="AB133" s="167">
        <f t="shared" si="22"/>
        <v>9343.5</v>
      </c>
      <c r="AC133" s="168">
        <f t="shared" si="28"/>
        <v>0</v>
      </c>
      <c r="AD133" s="158">
        <v>5917.5</v>
      </c>
      <c r="AE133" s="159">
        <v>0</v>
      </c>
      <c r="AF133" s="158">
        <f t="shared" si="23"/>
        <v>0</v>
      </c>
      <c r="AG133" s="158">
        <f t="shared" si="24"/>
        <v>0</v>
      </c>
      <c r="AH133" s="175"/>
      <c r="AI133" s="175"/>
      <c r="AJ133" s="157">
        <v>0</v>
      </c>
      <c r="AK133" s="140" t="s">
        <v>120</v>
      </c>
      <c r="AL133" s="140" t="s">
        <v>269</v>
      </c>
      <c r="AM133" s="152"/>
    </row>
    <row r="134" s="140" customFormat="1" ht="15" hidden="1" customHeight="1" spans="1:39">
      <c r="A134" s="140">
        <v>2017</v>
      </c>
      <c r="B134" s="140" t="s">
        <v>38</v>
      </c>
      <c r="C134" s="140" t="s">
        <v>59</v>
      </c>
      <c r="D134" s="140" t="s">
        <v>154</v>
      </c>
      <c r="E134" s="140" t="s">
        <v>107</v>
      </c>
      <c r="F134" s="140" t="s">
        <v>338</v>
      </c>
      <c r="G134" s="140" t="s">
        <v>339</v>
      </c>
      <c r="H134" s="140" t="s">
        <v>339</v>
      </c>
      <c r="I134" s="152" t="s">
        <v>243</v>
      </c>
      <c r="J134" s="140" t="s">
        <v>244</v>
      </c>
      <c r="K134" s="140" t="s">
        <v>266</v>
      </c>
      <c r="L134" s="140" t="s">
        <v>338</v>
      </c>
      <c r="M134" s="140" t="s">
        <v>46</v>
      </c>
      <c r="N134" s="156">
        <v>0</v>
      </c>
      <c r="O134" s="156" t="s">
        <v>47</v>
      </c>
      <c r="P134" s="156"/>
      <c r="Q134" s="158">
        <v>0</v>
      </c>
      <c r="R134" s="158">
        <v>0</v>
      </c>
      <c r="S134" s="158">
        <v>30848</v>
      </c>
      <c r="T134" s="158">
        <f t="shared" si="25"/>
        <v>0</v>
      </c>
      <c r="U134" s="158">
        <f t="shared" si="29"/>
        <v>30848</v>
      </c>
      <c r="V134" s="158">
        <v>21853.5</v>
      </c>
      <c r="W134" s="158">
        <f t="shared" si="30"/>
        <v>8994.5</v>
      </c>
      <c r="X134" s="158">
        <f t="shared" si="26"/>
        <v>8994.5</v>
      </c>
      <c r="Y134" s="158">
        <f t="shared" si="31"/>
        <v>0</v>
      </c>
      <c r="Z134" s="158">
        <v>30848</v>
      </c>
      <c r="AA134" s="158">
        <f t="shared" si="27"/>
        <v>-8994.5</v>
      </c>
      <c r="AB134" s="167">
        <f t="shared" si="22"/>
        <v>30848</v>
      </c>
      <c r="AC134" s="168">
        <f t="shared" si="28"/>
        <v>0</v>
      </c>
      <c r="AD134" s="158">
        <v>21853.5</v>
      </c>
      <c r="AE134" s="159">
        <v>0</v>
      </c>
      <c r="AF134" s="158">
        <f t="shared" si="23"/>
        <v>0</v>
      </c>
      <c r="AG134" s="158">
        <f t="shared" si="24"/>
        <v>0</v>
      </c>
      <c r="AH134" s="175"/>
      <c r="AI134" s="175"/>
      <c r="AJ134" s="157">
        <v>0</v>
      </c>
      <c r="AK134" s="140" t="s">
        <v>120</v>
      </c>
      <c r="AL134" s="140" t="s">
        <v>269</v>
      </c>
      <c r="AM134" s="152"/>
    </row>
    <row r="135" s="140" customFormat="1" ht="15" hidden="1" customHeight="1" spans="1:39">
      <c r="A135" s="140">
        <v>2017</v>
      </c>
      <c r="B135" s="140" t="s">
        <v>199</v>
      </c>
      <c r="C135" s="140" t="s">
        <v>59</v>
      </c>
      <c r="D135" s="140" t="s">
        <v>154</v>
      </c>
      <c r="E135" s="140" t="s">
        <v>61</v>
      </c>
      <c r="F135" s="140" t="s">
        <v>340</v>
      </c>
      <c r="G135" s="140" t="s">
        <v>341</v>
      </c>
      <c r="H135" s="140" t="s">
        <v>341</v>
      </c>
      <c r="I135" s="152" t="s">
        <v>243</v>
      </c>
      <c r="J135" s="140" t="s">
        <v>244</v>
      </c>
      <c r="K135" s="140" t="s">
        <v>266</v>
      </c>
      <c r="L135" s="140" t="s">
        <v>342</v>
      </c>
      <c r="M135" s="140" t="s">
        <v>46</v>
      </c>
      <c r="N135" s="156">
        <v>0</v>
      </c>
      <c r="O135" s="156" t="s">
        <v>47</v>
      </c>
      <c r="P135" s="156"/>
      <c r="Q135" s="158">
        <v>0</v>
      </c>
      <c r="R135" s="158">
        <v>0</v>
      </c>
      <c r="S135" s="158">
        <v>20000</v>
      </c>
      <c r="T135" s="158">
        <f t="shared" si="25"/>
        <v>0</v>
      </c>
      <c r="U135" s="158">
        <f t="shared" si="29"/>
        <v>20000</v>
      </c>
      <c r="V135" s="158">
        <v>7846.5</v>
      </c>
      <c r="W135" s="158">
        <f t="shared" si="30"/>
        <v>12153.5</v>
      </c>
      <c r="X135" s="158">
        <f t="shared" si="26"/>
        <v>12153.5</v>
      </c>
      <c r="Y135" s="158">
        <f t="shared" si="31"/>
        <v>0</v>
      </c>
      <c r="Z135" s="158">
        <v>10462</v>
      </c>
      <c r="AA135" s="158">
        <f t="shared" si="27"/>
        <v>-2615.5</v>
      </c>
      <c r="AB135" s="167">
        <f t="shared" si="22"/>
        <v>10462</v>
      </c>
      <c r="AC135" s="168">
        <f t="shared" si="28"/>
        <v>0</v>
      </c>
      <c r="AD135" s="158">
        <v>7846.5</v>
      </c>
      <c r="AE135" s="159">
        <v>0</v>
      </c>
      <c r="AF135" s="158">
        <f t="shared" si="23"/>
        <v>0</v>
      </c>
      <c r="AG135" s="158">
        <f t="shared" si="24"/>
        <v>0</v>
      </c>
      <c r="AH135" s="175"/>
      <c r="AI135" s="175"/>
      <c r="AJ135" s="156" t="s">
        <v>47</v>
      </c>
      <c r="AK135" s="140" t="s">
        <v>47</v>
      </c>
      <c r="AL135" s="140" t="s">
        <v>269</v>
      </c>
      <c r="AM135" s="152"/>
    </row>
    <row r="136" s="140" customFormat="1" ht="15" hidden="1" customHeight="1" spans="1:39">
      <c r="A136" s="140">
        <v>2017</v>
      </c>
      <c r="B136" s="140" t="s">
        <v>38</v>
      </c>
      <c r="C136" s="140" t="s">
        <v>59</v>
      </c>
      <c r="D136" s="140" t="s">
        <v>154</v>
      </c>
      <c r="E136" s="140" t="s">
        <v>61</v>
      </c>
      <c r="F136" s="140" t="s">
        <v>343</v>
      </c>
      <c r="G136" s="140" t="s">
        <v>343</v>
      </c>
      <c r="H136" s="140" t="s">
        <v>343</v>
      </c>
      <c r="I136" s="152" t="s">
        <v>243</v>
      </c>
      <c r="J136" s="140" t="s">
        <v>244</v>
      </c>
      <c r="K136" s="140" t="s">
        <v>266</v>
      </c>
      <c r="L136" s="140" t="s">
        <v>343</v>
      </c>
      <c r="M136" s="140" t="s">
        <v>46</v>
      </c>
      <c r="N136" s="156">
        <v>0</v>
      </c>
      <c r="O136" s="156" t="s">
        <v>47</v>
      </c>
      <c r="P136" s="156"/>
      <c r="Q136" s="158">
        <v>0</v>
      </c>
      <c r="R136" s="158">
        <v>0</v>
      </c>
      <c r="S136" s="158">
        <v>82838</v>
      </c>
      <c r="T136" s="158">
        <f t="shared" si="25"/>
        <v>0</v>
      </c>
      <c r="U136" s="158">
        <f t="shared" si="29"/>
        <v>82838</v>
      </c>
      <c r="V136" s="158">
        <v>58720.5</v>
      </c>
      <c r="W136" s="158">
        <f t="shared" si="30"/>
        <v>24117.5</v>
      </c>
      <c r="X136" s="158">
        <f t="shared" si="26"/>
        <v>24117.5</v>
      </c>
      <c r="Y136" s="158">
        <f t="shared" si="31"/>
        <v>0</v>
      </c>
      <c r="Z136" s="158">
        <v>82820.5</v>
      </c>
      <c r="AA136" s="158">
        <f t="shared" si="27"/>
        <v>-24100</v>
      </c>
      <c r="AB136" s="167">
        <f t="shared" si="22"/>
        <v>82820.5</v>
      </c>
      <c r="AC136" s="168">
        <f t="shared" si="28"/>
        <v>0</v>
      </c>
      <c r="AD136" s="158">
        <v>58720.5</v>
      </c>
      <c r="AE136" s="159">
        <v>0</v>
      </c>
      <c r="AF136" s="158">
        <f t="shared" si="23"/>
        <v>0</v>
      </c>
      <c r="AG136" s="158">
        <f t="shared" si="24"/>
        <v>0</v>
      </c>
      <c r="AH136" s="175"/>
      <c r="AI136" s="175"/>
      <c r="AJ136" s="156" t="s">
        <v>47</v>
      </c>
      <c r="AK136" s="140" t="s">
        <v>120</v>
      </c>
      <c r="AL136" s="140" t="s">
        <v>269</v>
      </c>
      <c r="AM136" s="152"/>
    </row>
    <row r="137" s="140" customFormat="1" ht="15" hidden="1" customHeight="1" spans="1:39">
      <c r="A137" s="140">
        <v>2017</v>
      </c>
      <c r="B137" s="140" t="s">
        <v>38</v>
      </c>
      <c r="C137" s="140" t="s">
        <v>59</v>
      </c>
      <c r="D137" s="140" t="s">
        <v>154</v>
      </c>
      <c r="E137" s="140" t="s">
        <v>61</v>
      </c>
      <c r="F137" s="140" t="s">
        <v>344</v>
      </c>
      <c r="G137" s="140" t="s">
        <v>344</v>
      </c>
      <c r="H137" s="140" t="s">
        <v>344</v>
      </c>
      <c r="I137" s="152" t="s">
        <v>243</v>
      </c>
      <c r="J137" s="140" t="s">
        <v>244</v>
      </c>
      <c r="K137" s="140" t="s">
        <v>266</v>
      </c>
      <c r="L137" s="140" t="s">
        <v>344</v>
      </c>
      <c r="M137" s="140" t="s">
        <v>46</v>
      </c>
      <c r="N137" s="156">
        <v>0</v>
      </c>
      <c r="O137" s="156" t="s">
        <v>47</v>
      </c>
      <c r="P137" s="156"/>
      <c r="Q137" s="158">
        <v>0</v>
      </c>
      <c r="R137" s="158">
        <v>0</v>
      </c>
      <c r="S137" s="158">
        <v>38855</v>
      </c>
      <c r="T137" s="158">
        <f t="shared" si="25"/>
        <v>0</v>
      </c>
      <c r="U137" s="158">
        <f t="shared" si="29"/>
        <v>38855</v>
      </c>
      <c r="V137" s="158">
        <v>23545.5</v>
      </c>
      <c r="W137" s="158">
        <f t="shared" si="30"/>
        <v>15309.5</v>
      </c>
      <c r="X137" s="158">
        <f t="shared" si="26"/>
        <v>15309.5</v>
      </c>
      <c r="Y137" s="158">
        <f t="shared" si="31"/>
        <v>0</v>
      </c>
      <c r="Z137" s="158">
        <v>35165</v>
      </c>
      <c r="AA137" s="158">
        <f t="shared" si="27"/>
        <v>-11619.5</v>
      </c>
      <c r="AB137" s="167">
        <f t="shared" si="22"/>
        <v>35165</v>
      </c>
      <c r="AC137" s="168">
        <f t="shared" si="28"/>
        <v>0</v>
      </c>
      <c r="AD137" s="158">
        <v>23545.5</v>
      </c>
      <c r="AE137" s="159">
        <v>0</v>
      </c>
      <c r="AF137" s="158">
        <f t="shared" si="23"/>
        <v>0</v>
      </c>
      <c r="AG137" s="158">
        <f t="shared" si="24"/>
        <v>0</v>
      </c>
      <c r="AH137" s="175"/>
      <c r="AI137" s="175"/>
      <c r="AJ137" s="156" t="s">
        <v>47</v>
      </c>
      <c r="AK137" s="140" t="s">
        <v>120</v>
      </c>
      <c r="AL137" s="140" t="s">
        <v>269</v>
      </c>
      <c r="AM137" s="152"/>
    </row>
    <row r="138" s="140" customFormat="1" ht="15" hidden="1" customHeight="1" spans="1:39">
      <c r="A138" s="140">
        <v>2017</v>
      </c>
      <c r="B138" s="140" t="s">
        <v>38</v>
      </c>
      <c r="C138" s="140" t="s">
        <v>59</v>
      </c>
      <c r="D138" s="140" t="s">
        <v>154</v>
      </c>
      <c r="E138" s="140" t="s">
        <v>67</v>
      </c>
      <c r="F138" s="140" t="s">
        <v>345</v>
      </c>
      <c r="G138" s="140" t="s">
        <v>345</v>
      </c>
      <c r="H138" s="140" t="s">
        <v>345</v>
      </c>
      <c r="I138" s="152" t="s">
        <v>243</v>
      </c>
      <c r="J138" s="140" t="s">
        <v>244</v>
      </c>
      <c r="K138" s="140" t="s">
        <v>266</v>
      </c>
      <c r="L138" s="140" t="s">
        <v>345</v>
      </c>
      <c r="M138" s="140" t="s">
        <v>46</v>
      </c>
      <c r="N138" s="156">
        <v>0</v>
      </c>
      <c r="O138" s="156" t="s">
        <v>47</v>
      </c>
      <c r="P138" s="156"/>
      <c r="Q138" s="158">
        <v>0</v>
      </c>
      <c r="R138" s="158">
        <v>0</v>
      </c>
      <c r="S138" s="158">
        <v>498969</v>
      </c>
      <c r="T138" s="158">
        <f t="shared" si="25"/>
        <v>0</v>
      </c>
      <c r="U138" s="158">
        <f t="shared" si="29"/>
        <v>498969</v>
      </c>
      <c r="V138" s="158">
        <v>321802.5</v>
      </c>
      <c r="W138" s="158">
        <f t="shared" si="30"/>
        <v>177166.5</v>
      </c>
      <c r="X138" s="158">
        <f t="shared" si="26"/>
        <v>177166.5</v>
      </c>
      <c r="Y138" s="158">
        <f t="shared" si="31"/>
        <v>0</v>
      </c>
      <c r="Z138" s="158">
        <v>497578.5</v>
      </c>
      <c r="AA138" s="158">
        <f t="shared" si="27"/>
        <v>-175776</v>
      </c>
      <c r="AB138" s="167">
        <f t="shared" si="22"/>
        <v>497578.5</v>
      </c>
      <c r="AC138" s="168">
        <f t="shared" si="28"/>
        <v>0</v>
      </c>
      <c r="AD138" s="158">
        <v>321802.5</v>
      </c>
      <c r="AE138" s="159">
        <v>0</v>
      </c>
      <c r="AF138" s="158">
        <f t="shared" si="23"/>
        <v>0</v>
      </c>
      <c r="AG138" s="158">
        <f t="shared" si="24"/>
        <v>0</v>
      </c>
      <c r="AH138" s="175"/>
      <c r="AI138" s="175"/>
      <c r="AJ138" s="156" t="s">
        <v>47</v>
      </c>
      <c r="AK138" s="140" t="s">
        <v>47</v>
      </c>
      <c r="AL138" s="140" t="s">
        <v>269</v>
      </c>
      <c r="AM138" s="152"/>
    </row>
    <row r="139" s="140" customFormat="1" ht="15" hidden="1" customHeight="1" spans="1:39">
      <c r="A139" s="140">
        <v>2017</v>
      </c>
      <c r="B139" s="140" t="s">
        <v>38</v>
      </c>
      <c r="C139" s="140" t="s">
        <v>59</v>
      </c>
      <c r="D139" s="140" t="s">
        <v>154</v>
      </c>
      <c r="E139" s="140" t="s">
        <v>131</v>
      </c>
      <c r="F139" s="140" t="s">
        <v>346</v>
      </c>
      <c r="G139" s="140" t="s">
        <v>346</v>
      </c>
      <c r="H139" s="140" t="s">
        <v>346</v>
      </c>
      <c r="I139" s="152" t="s">
        <v>243</v>
      </c>
      <c r="J139" s="140" t="s">
        <v>244</v>
      </c>
      <c r="K139" s="140" t="s">
        <v>266</v>
      </c>
      <c r="L139" s="140" t="s">
        <v>347</v>
      </c>
      <c r="M139" s="140" t="s">
        <v>46</v>
      </c>
      <c r="N139" s="156">
        <v>0</v>
      </c>
      <c r="O139" s="156" t="s">
        <v>47</v>
      </c>
      <c r="P139" s="156"/>
      <c r="Q139" s="158">
        <v>0</v>
      </c>
      <c r="R139" s="158">
        <v>0</v>
      </c>
      <c r="S139" s="158">
        <v>106216</v>
      </c>
      <c r="T139" s="158">
        <f t="shared" si="25"/>
        <v>0</v>
      </c>
      <c r="U139" s="158">
        <f t="shared" si="29"/>
        <v>106216</v>
      </c>
      <c r="V139" s="158">
        <v>79656</v>
      </c>
      <c r="W139" s="158">
        <f t="shared" si="30"/>
        <v>26560</v>
      </c>
      <c r="X139" s="158">
        <f t="shared" si="26"/>
        <v>26560</v>
      </c>
      <c r="Y139" s="158">
        <f t="shared" si="31"/>
        <v>0</v>
      </c>
      <c r="Z139" s="158">
        <v>106208</v>
      </c>
      <c r="AA139" s="158">
        <f t="shared" si="27"/>
        <v>-26552</v>
      </c>
      <c r="AB139" s="167">
        <f t="shared" si="22"/>
        <v>106208</v>
      </c>
      <c r="AC139" s="168">
        <f t="shared" si="28"/>
        <v>0</v>
      </c>
      <c r="AD139" s="158">
        <v>79656</v>
      </c>
      <c r="AE139" s="159">
        <v>0</v>
      </c>
      <c r="AF139" s="158">
        <f t="shared" si="23"/>
        <v>0</v>
      </c>
      <c r="AG139" s="158">
        <f t="shared" si="24"/>
        <v>0</v>
      </c>
      <c r="AH139" s="175"/>
      <c r="AI139" s="175"/>
      <c r="AJ139" s="156" t="s">
        <v>47</v>
      </c>
      <c r="AK139" s="140" t="s">
        <v>47</v>
      </c>
      <c r="AL139" s="140" t="s">
        <v>269</v>
      </c>
      <c r="AM139" s="152"/>
    </row>
    <row r="140" s="140" customFormat="1" ht="15" hidden="1" customHeight="1" spans="1:39">
      <c r="A140" s="140">
        <v>2017</v>
      </c>
      <c r="B140" s="140" t="s">
        <v>199</v>
      </c>
      <c r="C140" s="140" t="s">
        <v>59</v>
      </c>
      <c r="D140" s="140" t="s">
        <v>154</v>
      </c>
      <c r="E140" s="140" t="s">
        <v>192</v>
      </c>
      <c r="F140" s="140" t="s">
        <v>348</v>
      </c>
      <c r="G140" s="140" t="s">
        <v>349</v>
      </c>
      <c r="H140" s="140" t="s">
        <v>349</v>
      </c>
      <c r="I140" s="152" t="s">
        <v>243</v>
      </c>
      <c r="J140" s="140" t="s">
        <v>244</v>
      </c>
      <c r="K140" s="140" t="s">
        <v>266</v>
      </c>
      <c r="L140" s="140" t="s">
        <v>348</v>
      </c>
      <c r="M140" s="140" t="s">
        <v>46</v>
      </c>
      <c r="N140" s="156">
        <v>0</v>
      </c>
      <c r="O140" s="156" t="s">
        <v>47</v>
      </c>
      <c r="P140" s="156"/>
      <c r="Q140" s="158">
        <v>0</v>
      </c>
      <c r="R140" s="158">
        <v>0</v>
      </c>
      <c r="S140" s="158">
        <v>11142.5</v>
      </c>
      <c r="T140" s="158">
        <f t="shared" si="25"/>
        <v>0</v>
      </c>
      <c r="U140" s="158">
        <f t="shared" si="29"/>
        <v>11142.5</v>
      </c>
      <c r="V140" s="158">
        <v>7344</v>
      </c>
      <c r="W140" s="158">
        <f t="shared" si="30"/>
        <v>3798.5</v>
      </c>
      <c r="X140" s="158">
        <f t="shared" si="26"/>
        <v>3798.5</v>
      </c>
      <c r="Y140" s="158">
        <f t="shared" si="31"/>
        <v>0</v>
      </c>
      <c r="Z140" s="158">
        <v>11140.5</v>
      </c>
      <c r="AA140" s="158">
        <f t="shared" si="27"/>
        <v>-3796.5</v>
      </c>
      <c r="AB140" s="167">
        <f t="shared" si="22"/>
        <v>11140.5</v>
      </c>
      <c r="AC140" s="168">
        <f t="shared" si="28"/>
        <v>0</v>
      </c>
      <c r="AD140" s="158">
        <v>7344</v>
      </c>
      <c r="AE140" s="159">
        <v>0</v>
      </c>
      <c r="AF140" s="158">
        <f t="shared" si="23"/>
        <v>0</v>
      </c>
      <c r="AG140" s="158">
        <f t="shared" si="24"/>
        <v>0</v>
      </c>
      <c r="AH140" s="175"/>
      <c r="AI140" s="175"/>
      <c r="AJ140" s="176">
        <v>0</v>
      </c>
      <c r="AK140" s="140">
        <v>0</v>
      </c>
      <c r="AL140" s="140" t="s">
        <v>269</v>
      </c>
      <c r="AM140" s="152"/>
    </row>
    <row r="141" s="140" customFormat="1" ht="15" hidden="1" customHeight="1" spans="1:39">
      <c r="A141" s="140">
        <v>2017</v>
      </c>
      <c r="B141" s="140" t="s">
        <v>38</v>
      </c>
      <c r="C141" s="140" t="s">
        <v>59</v>
      </c>
      <c r="D141" s="140" t="s">
        <v>181</v>
      </c>
      <c r="E141" s="140" t="s">
        <v>67</v>
      </c>
      <c r="F141" s="140" t="s">
        <v>350</v>
      </c>
      <c r="G141" s="140" t="s">
        <v>350</v>
      </c>
      <c r="H141" s="140" t="s">
        <v>350</v>
      </c>
      <c r="I141" s="152" t="s">
        <v>243</v>
      </c>
      <c r="J141" s="140" t="s">
        <v>244</v>
      </c>
      <c r="K141" s="140" t="s">
        <v>266</v>
      </c>
      <c r="L141" s="140" t="s">
        <v>351</v>
      </c>
      <c r="M141" s="140" t="s">
        <v>46</v>
      </c>
      <c r="N141" s="156">
        <v>0</v>
      </c>
      <c r="O141" s="156" t="s">
        <v>47</v>
      </c>
      <c r="P141" s="156"/>
      <c r="Q141" s="158">
        <v>0</v>
      </c>
      <c r="R141" s="158">
        <v>0</v>
      </c>
      <c r="S141" s="158">
        <v>9170</v>
      </c>
      <c r="T141" s="158">
        <f t="shared" si="25"/>
        <v>0</v>
      </c>
      <c r="U141" s="158">
        <f t="shared" si="29"/>
        <v>9170</v>
      </c>
      <c r="V141" s="158">
        <v>6831</v>
      </c>
      <c r="W141" s="158">
        <f t="shared" si="30"/>
        <v>2339</v>
      </c>
      <c r="X141" s="158">
        <f t="shared" si="26"/>
        <v>2339</v>
      </c>
      <c r="Y141" s="158">
        <f t="shared" si="31"/>
        <v>0</v>
      </c>
      <c r="Z141" s="158">
        <v>9108</v>
      </c>
      <c r="AA141" s="158">
        <f t="shared" si="27"/>
        <v>-2277</v>
      </c>
      <c r="AB141" s="167">
        <f t="shared" si="22"/>
        <v>9108</v>
      </c>
      <c r="AC141" s="168">
        <f t="shared" si="28"/>
        <v>0</v>
      </c>
      <c r="AD141" s="158">
        <v>6831</v>
      </c>
      <c r="AE141" s="159">
        <v>0</v>
      </c>
      <c r="AF141" s="158">
        <f t="shared" si="23"/>
        <v>0</v>
      </c>
      <c r="AG141" s="158">
        <f t="shared" si="24"/>
        <v>0</v>
      </c>
      <c r="AH141" s="175"/>
      <c r="AI141" s="175"/>
      <c r="AJ141" s="156" t="s">
        <v>47</v>
      </c>
      <c r="AK141" s="140" t="s">
        <v>47</v>
      </c>
      <c r="AL141" s="140" t="s">
        <v>269</v>
      </c>
      <c r="AM141" s="152"/>
    </row>
    <row r="142" s="140" customFormat="1" ht="15" hidden="1" customHeight="1" spans="1:39">
      <c r="A142" s="140">
        <v>2017</v>
      </c>
      <c r="B142" s="140" t="s">
        <v>38</v>
      </c>
      <c r="C142" s="140" t="s">
        <v>59</v>
      </c>
      <c r="D142" s="140" t="s">
        <v>106</v>
      </c>
      <c r="E142" s="140" t="s">
        <v>239</v>
      </c>
      <c r="F142" s="140" t="s">
        <v>240</v>
      </c>
      <c r="G142" s="140" t="s">
        <v>240</v>
      </c>
      <c r="H142" s="140" t="s">
        <v>240</v>
      </c>
      <c r="I142" s="152" t="s">
        <v>243</v>
      </c>
      <c r="J142" s="140" t="s">
        <v>244</v>
      </c>
      <c r="K142" s="140" t="s">
        <v>266</v>
      </c>
      <c r="L142" s="140" t="s">
        <v>240</v>
      </c>
      <c r="M142" s="140" t="s">
        <v>46</v>
      </c>
      <c r="N142" s="156">
        <v>0</v>
      </c>
      <c r="O142" s="156" t="s">
        <v>47</v>
      </c>
      <c r="P142" s="156"/>
      <c r="Q142" s="158">
        <v>0</v>
      </c>
      <c r="R142" s="158">
        <v>0</v>
      </c>
      <c r="S142" s="158">
        <v>20248</v>
      </c>
      <c r="T142" s="158">
        <f t="shared" si="25"/>
        <v>0</v>
      </c>
      <c r="U142" s="158">
        <f t="shared" si="29"/>
        <v>20248</v>
      </c>
      <c r="V142" s="158">
        <v>13570.5</v>
      </c>
      <c r="W142" s="158">
        <f t="shared" si="30"/>
        <v>6677.5</v>
      </c>
      <c r="X142" s="158">
        <f t="shared" si="26"/>
        <v>6677.5</v>
      </c>
      <c r="Y142" s="158">
        <f t="shared" si="31"/>
        <v>0</v>
      </c>
      <c r="Z142" s="158">
        <v>20248</v>
      </c>
      <c r="AA142" s="158">
        <f t="shared" si="27"/>
        <v>-6677.5</v>
      </c>
      <c r="AB142" s="167">
        <f t="shared" si="22"/>
        <v>20248</v>
      </c>
      <c r="AC142" s="168">
        <f t="shared" si="28"/>
        <v>0</v>
      </c>
      <c r="AD142" s="158">
        <v>13570.5</v>
      </c>
      <c r="AE142" s="159">
        <v>0</v>
      </c>
      <c r="AF142" s="158">
        <f t="shared" si="23"/>
        <v>0</v>
      </c>
      <c r="AG142" s="158">
        <f t="shared" si="24"/>
        <v>0</v>
      </c>
      <c r="AH142" s="175"/>
      <c r="AI142" s="175"/>
      <c r="AJ142" s="156" t="s">
        <v>47</v>
      </c>
      <c r="AK142" s="140" t="s">
        <v>47</v>
      </c>
      <c r="AL142" s="140" t="s">
        <v>269</v>
      </c>
      <c r="AM142" s="152"/>
    </row>
    <row r="143" s="140" customFormat="1" ht="15" hidden="1" customHeight="1" spans="1:39">
      <c r="A143" s="140">
        <v>2017</v>
      </c>
      <c r="B143" s="140" t="s">
        <v>38</v>
      </c>
      <c r="C143" s="140" t="s">
        <v>59</v>
      </c>
      <c r="D143" s="140" t="s">
        <v>106</v>
      </c>
      <c r="E143" s="140" t="s">
        <v>239</v>
      </c>
      <c r="F143" s="140" t="s">
        <v>352</v>
      </c>
      <c r="G143" s="140" t="s">
        <v>352</v>
      </c>
      <c r="H143" s="140" t="s">
        <v>352</v>
      </c>
      <c r="I143" s="152" t="s">
        <v>243</v>
      </c>
      <c r="J143" s="140" t="s">
        <v>244</v>
      </c>
      <c r="K143" s="140" t="s">
        <v>266</v>
      </c>
      <c r="L143" s="140" t="s">
        <v>352</v>
      </c>
      <c r="M143" s="140" t="s">
        <v>46</v>
      </c>
      <c r="N143" s="156">
        <v>0</v>
      </c>
      <c r="O143" s="156" t="s">
        <v>47</v>
      </c>
      <c r="P143" s="156"/>
      <c r="Q143" s="158">
        <v>0</v>
      </c>
      <c r="R143" s="158">
        <v>0</v>
      </c>
      <c r="S143" s="158">
        <v>955516</v>
      </c>
      <c r="T143" s="158">
        <f t="shared" si="25"/>
        <v>0</v>
      </c>
      <c r="U143" s="158">
        <f t="shared" si="29"/>
        <v>955516</v>
      </c>
      <c r="V143" s="158">
        <v>524698.5</v>
      </c>
      <c r="W143" s="158">
        <f t="shared" si="30"/>
        <v>430817.5</v>
      </c>
      <c r="X143" s="158">
        <f t="shared" si="26"/>
        <v>430817.5</v>
      </c>
      <c r="Y143" s="158">
        <f t="shared" si="31"/>
        <v>0</v>
      </c>
      <c r="Z143" s="158">
        <v>734300</v>
      </c>
      <c r="AA143" s="158">
        <f t="shared" si="27"/>
        <v>-209601.5</v>
      </c>
      <c r="AB143" s="167">
        <f t="shared" si="22"/>
        <v>734300</v>
      </c>
      <c r="AC143" s="168">
        <f t="shared" si="28"/>
        <v>0</v>
      </c>
      <c r="AD143" s="158">
        <v>524698.5</v>
      </c>
      <c r="AE143" s="159">
        <v>0</v>
      </c>
      <c r="AF143" s="158">
        <f t="shared" si="23"/>
        <v>0</v>
      </c>
      <c r="AG143" s="158">
        <f t="shared" si="24"/>
        <v>0</v>
      </c>
      <c r="AH143" s="175"/>
      <c r="AI143" s="175"/>
      <c r="AJ143" s="157">
        <v>0</v>
      </c>
      <c r="AK143" s="140" t="s">
        <v>120</v>
      </c>
      <c r="AL143" s="140" t="s">
        <v>269</v>
      </c>
      <c r="AM143" s="152"/>
    </row>
    <row r="144" s="140" customFormat="1" ht="15" hidden="1" customHeight="1" spans="1:39">
      <c r="A144" s="140">
        <v>2017</v>
      </c>
      <c r="B144" s="140" t="s">
        <v>38</v>
      </c>
      <c r="C144" s="140" t="s">
        <v>59</v>
      </c>
      <c r="D144" s="140" t="s">
        <v>106</v>
      </c>
      <c r="E144" s="140" t="s">
        <v>190</v>
      </c>
      <c r="F144" s="140" t="s">
        <v>353</v>
      </c>
      <c r="G144" s="140" t="s">
        <v>353</v>
      </c>
      <c r="H144" s="140" t="s">
        <v>353</v>
      </c>
      <c r="I144" s="152" t="s">
        <v>243</v>
      </c>
      <c r="J144" s="140" t="s">
        <v>244</v>
      </c>
      <c r="K144" s="140" t="s">
        <v>266</v>
      </c>
      <c r="L144" s="140" t="s">
        <v>354</v>
      </c>
      <c r="M144" s="140" t="s">
        <v>46</v>
      </c>
      <c r="N144" s="156">
        <v>0</v>
      </c>
      <c r="O144" s="156" t="s">
        <v>47</v>
      </c>
      <c r="P144" s="156"/>
      <c r="Q144" s="158">
        <v>0</v>
      </c>
      <c r="R144" s="158">
        <v>0</v>
      </c>
      <c r="S144" s="158">
        <v>91181</v>
      </c>
      <c r="T144" s="158">
        <f t="shared" si="25"/>
        <v>0</v>
      </c>
      <c r="U144" s="158">
        <f t="shared" si="29"/>
        <v>91181</v>
      </c>
      <c r="V144" s="158">
        <v>65053.5</v>
      </c>
      <c r="W144" s="158">
        <f t="shared" si="30"/>
        <v>26127.5</v>
      </c>
      <c r="X144" s="158">
        <f t="shared" si="26"/>
        <v>26127.5</v>
      </c>
      <c r="Y144" s="158">
        <f t="shared" si="31"/>
        <v>0</v>
      </c>
      <c r="Z144" s="158">
        <v>90381</v>
      </c>
      <c r="AA144" s="158">
        <f t="shared" si="27"/>
        <v>-25327.5</v>
      </c>
      <c r="AB144" s="167">
        <f t="shared" si="22"/>
        <v>90381</v>
      </c>
      <c r="AC144" s="168">
        <f t="shared" si="28"/>
        <v>0</v>
      </c>
      <c r="AD144" s="158">
        <v>65053.5</v>
      </c>
      <c r="AE144" s="159">
        <v>0</v>
      </c>
      <c r="AF144" s="158">
        <f t="shared" si="23"/>
        <v>0</v>
      </c>
      <c r="AG144" s="158">
        <f t="shared" si="24"/>
        <v>0</v>
      </c>
      <c r="AH144" s="175"/>
      <c r="AI144" s="175"/>
      <c r="AJ144" s="157">
        <v>0</v>
      </c>
      <c r="AK144" s="140" t="s">
        <v>47</v>
      </c>
      <c r="AL144" s="140" t="s">
        <v>269</v>
      </c>
      <c r="AM144" s="152"/>
    </row>
    <row r="145" s="140" customFormat="1" ht="15" hidden="1" customHeight="1" spans="1:39">
      <c r="A145" s="140">
        <v>2017</v>
      </c>
      <c r="B145" s="140" t="s">
        <v>38</v>
      </c>
      <c r="C145" s="140" t="s">
        <v>59</v>
      </c>
      <c r="D145" s="140" t="s">
        <v>106</v>
      </c>
      <c r="E145" s="140" t="s">
        <v>190</v>
      </c>
      <c r="F145" s="140" t="s">
        <v>355</v>
      </c>
      <c r="G145" s="140" t="s">
        <v>356</v>
      </c>
      <c r="H145" s="140" t="s">
        <v>356</v>
      </c>
      <c r="I145" s="152" t="s">
        <v>243</v>
      </c>
      <c r="J145" s="140" t="s">
        <v>244</v>
      </c>
      <c r="K145" s="140" t="s">
        <v>266</v>
      </c>
      <c r="L145" s="140" t="s">
        <v>357</v>
      </c>
      <c r="M145" s="140" t="s">
        <v>46</v>
      </c>
      <c r="N145" s="156">
        <v>0</v>
      </c>
      <c r="O145" s="156" t="s">
        <v>47</v>
      </c>
      <c r="P145" s="156"/>
      <c r="Q145" s="158">
        <v>0</v>
      </c>
      <c r="R145" s="158">
        <v>0</v>
      </c>
      <c r="S145" s="158">
        <v>240841</v>
      </c>
      <c r="T145" s="158">
        <f t="shared" si="25"/>
        <v>0</v>
      </c>
      <c r="U145" s="158">
        <f t="shared" si="29"/>
        <v>240841</v>
      </c>
      <c r="V145" s="158">
        <v>102546</v>
      </c>
      <c r="W145" s="158">
        <f t="shared" si="30"/>
        <v>138295</v>
      </c>
      <c r="X145" s="158">
        <f t="shared" si="26"/>
        <v>138295</v>
      </c>
      <c r="Y145" s="158">
        <f t="shared" si="31"/>
        <v>0</v>
      </c>
      <c r="Z145" s="158">
        <v>140483.5</v>
      </c>
      <c r="AA145" s="158">
        <f t="shared" si="27"/>
        <v>-37937.5</v>
      </c>
      <c r="AB145" s="167">
        <f t="shared" si="22"/>
        <v>140483.5</v>
      </c>
      <c r="AC145" s="168">
        <f t="shared" si="28"/>
        <v>0</v>
      </c>
      <c r="AD145" s="158">
        <v>102546</v>
      </c>
      <c r="AE145" s="159">
        <v>0</v>
      </c>
      <c r="AF145" s="158">
        <f t="shared" si="23"/>
        <v>0</v>
      </c>
      <c r="AG145" s="158">
        <f t="shared" si="24"/>
        <v>0</v>
      </c>
      <c r="AH145" s="175"/>
      <c r="AI145" s="175"/>
      <c r="AJ145" s="156" t="s">
        <v>47</v>
      </c>
      <c r="AK145" s="140" t="s">
        <v>47</v>
      </c>
      <c r="AL145" s="140" t="s">
        <v>269</v>
      </c>
      <c r="AM145" s="152"/>
    </row>
    <row r="146" s="140" customFormat="1" ht="15" hidden="1" customHeight="1" spans="1:39">
      <c r="A146" s="140">
        <v>2017</v>
      </c>
      <c r="B146" s="140" t="s">
        <v>38</v>
      </c>
      <c r="C146" s="140" t="s">
        <v>59</v>
      </c>
      <c r="D146" s="140" t="s">
        <v>106</v>
      </c>
      <c r="E146" s="140" t="s">
        <v>131</v>
      </c>
      <c r="F146" s="140" t="s">
        <v>358</v>
      </c>
      <c r="G146" s="140" t="s">
        <v>358</v>
      </c>
      <c r="H146" s="140" t="s">
        <v>358</v>
      </c>
      <c r="I146" s="152" t="s">
        <v>243</v>
      </c>
      <c r="J146" s="140" t="s">
        <v>244</v>
      </c>
      <c r="K146" s="140" t="s">
        <v>266</v>
      </c>
      <c r="L146" s="140" t="s">
        <v>359</v>
      </c>
      <c r="M146" s="140" t="s">
        <v>46</v>
      </c>
      <c r="N146" s="156">
        <v>0</v>
      </c>
      <c r="O146" s="156" t="s">
        <v>47</v>
      </c>
      <c r="P146" s="156"/>
      <c r="Q146" s="158">
        <v>0</v>
      </c>
      <c r="R146" s="158">
        <v>0</v>
      </c>
      <c r="S146" s="158">
        <v>27632.5</v>
      </c>
      <c r="T146" s="158">
        <f t="shared" si="25"/>
        <v>0</v>
      </c>
      <c r="U146" s="158">
        <f t="shared" si="29"/>
        <v>27632.5</v>
      </c>
      <c r="V146" s="158">
        <v>19408.5</v>
      </c>
      <c r="W146" s="158">
        <f t="shared" si="30"/>
        <v>8224</v>
      </c>
      <c r="X146" s="158">
        <f t="shared" si="26"/>
        <v>8224</v>
      </c>
      <c r="Y146" s="158">
        <f t="shared" si="31"/>
        <v>0</v>
      </c>
      <c r="Z146" s="158">
        <v>27499</v>
      </c>
      <c r="AA146" s="158">
        <f t="shared" si="27"/>
        <v>-8090.5</v>
      </c>
      <c r="AB146" s="167">
        <f t="shared" si="22"/>
        <v>27499</v>
      </c>
      <c r="AC146" s="168">
        <f t="shared" si="28"/>
        <v>0</v>
      </c>
      <c r="AD146" s="158">
        <v>19408.5</v>
      </c>
      <c r="AE146" s="159">
        <v>0</v>
      </c>
      <c r="AF146" s="158">
        <f t="shared" si="23"/>
        <v>0</v>
      </c>
      <c r="AG146" s="158">
        <f t="shared" si="24"/>
        <v>0</v>
      </c>
      <c r="AH146" s="175"/>
      <c r="AI146" s="175"/>
      <c r="AJ146" s="157">
        <v>0</v>
      </c>
      <c r="AK146" s="140" t="s">
        <v>120</v>
      </c>
      <c r="AL146" s="140" t="s">
        <v>269</v>
      </c>
      <c r="AM146" s="152"/>
    </row>
    <row r="147" s="140" customFormat="1" ht="15" hidden="1" customHeight="1" spans="1:39">
      <c r="A147" s="140">
        <v>2017</v>
      </c>
      <c r="B147" s="140" t="s">
        <v>38</v>
      </c>
      <c r="C147" s="140" t="s">
        <v>59</v>
      </c>
      <c r="D147" s="140" t="s">
        <v>60</v>
      </c>
      <c r="E147" s="140" t="s">
        <v>61</v>
      </c>
      <c r="F147" s="140" t="s">
        <v>360</v>
      </c>
      <c r="G147" s="140" t="s">
        <v>360</v>
      </c>
      <c r="H147" s="140" t="s">
        <v>360</v>
      </c>
      <c r="I147" s="152" t="s">
        <v>243</v>
      </c>
      <c r="J147" s="140" t="s">
        <v>244</v>
      </c>
      <c r="K147" s="140" t="s">
        <v>266</v>
      </c>
      <c r="L147" s="140" t="s">
        <v>361</v>
      </c>
      <c r="M147" s="140" t="s">
        <v>46</v>
      </c>
      <c r="N147" s="156">
        <v>0</v>
      </c>
      <c r="O147" s="156" t="s">
        <v>47</v>
      </c>
      <c r="P147" s="156"/>
      <c r="Q147" s="158">
        <v>0</v>
      </c>
      <c r="R147" s="158">
        <v>0</v>
      </c>
      <c r="S147" s="158">
        <v>41978</v>
      </c>
      <c r="T147" s="158">
        <f t="shared" si="25"/>
        <v>0</v>
      </c>
      <c r="U147" s="158">
        <f t="shared" si="29"/>
        <v>41978</v>
      </c>
      <c r="V147" s="158">
        <v>0</v>
      </c>
      <c r="W147" s="158">
        <f t="shared" si="30"/>
        <v>41978</v>
      </c>
      <c r="X147" s="158">
        <f t="shared" si="26"/>
        <v>41978</v>
      </c>
      <c r="Y147" s="158">
        <f t="shared" si="31"/>
        <v>0</v>
      </c>
      <c r="Z147" s="158">
        <v>0</v>
      </c>
      <c r="AA147" s="158">
        <f t="shared" si="27"/>
        <v>0</v>
      </c>
      <c r="AB147" s="167">
        <f t="shared" si="22"/>
        <v>0</v>
      </c>
      <c r="AC147" s="168">
        <f t="shared" si="28"/>
        <v>0</v>
      </c>
      <c r="AD147" s="158">
        <v>0</v>
      </c>
      <c r="AE147" s="159">
        <v>0</v>
      </c>
      <c r="AF147" s="158">
        <f t="shared" si="23"/>
        <v>0</v>
      </c>
      <c r="AG147" s="158">
        <f t="shared" si="24"/>
        <v>0</v>
      </c>
      <c r="AH147" s="175"/>
      <c r="AI147" s="175"/>
      <c r="AJ147" s="156" t="s">
        <v>47</v>
      </c>
      <c r="AK147" s="140" t="s">
        <v>120</v>
      </c>
      <c r="AL147" s="140" t="s">
        <v>269</v>
      </c>
      <c r="AM147" s="152"/>
    </row>
    <row r="148" s="140" customFormat="1" ht="15" hidden="1" customHeight="1" spans="1:39">
      <c r="A148" s="140">
        <v>2017</v>
      </c>
      <c r="B148" s="140" t="s">
        <v>38</v>
      </c>
      <c r="C148" s="140" t="s">
        <v>59</v>
      </c>
      <c r="D148" s="140" t="s">
        <v>60</v>
      </c>
      <c r="E148" s="140" t="s">
        <v>61</v>
      </c>
      <c r="F148" s="140" t="s">
        <v>362</v>
      </c>
      <c r="G148" s="140" t="s">
        <v>362</v>
      </c>
      <c r="H148" s="140" t="s">
        <v>362</v>
      </c>
      <c r="I148" s="152" t="s">
        <v>243</v>
      </c>
      <c r="J148" s="140" t="s">
        <v>244</v>
      </c>
      <c r="K148" s="140" t="s">
        <v>266</v>
      </c>
      <c r="L148" s="140" t="s">
        <v>362</v>
      </c>
      <c r="M148" s="140" t="s">
        <v>46</v>
      </c>
      <c r="N148" s="156">
        <v>0</v>
      </c>
      <c r="O148" s="156" t="s">
        <v>47</v>
      </c>
      <c r="P148" s="156"/>
      <c r="Q148" s="158">
        <v>0</v>
      </c>
      <c r="R148" s="158">
        <v>0</v>
      </c>
      <c r="S148" s="158">
        <v>20510.5</v>
      </c>
      <c r="T148" s="158">
        <f t="shared" si="25"/>
        <v>0</v>
      </c>
      <c r="U148" s="158">
        <f t="shared" si="29"/>
        <v>20510.5</v>
      </c>
      <c r="V148" s="158">
        <v>15453</v>
      </c>
      <c r="W148" s="158">
        <f t="shared" si="30"/>
        <v>5057.5</v>
      </c>
      <c r="X148" s="158">
        <f t="shared" si="26"/>
        <v>5057.5</v>
      </c>
      <c r="Y148" s="158">
        <f t="shared" si="31"/>
        <v>0</v>
      </c>
      <c r="Z148" s="158">
        <v>20697.5</v>
      </c>
      <c r="AA148" s="158">
        <f t="shared" si="27"/>
        <v>-5244.5</v>
      </c>
      <c r="AB148" s="167">
        <f t="shared" si="22"/>
        <v>20697.5</v>
      </c>
      <c r="AC148" s="168">
        <f t="shared" si="28"/>
        <v>0</v>
      </c>
      <c r="AD148" s="158">
        <v>15453</v>
      </c>
      <c r="AE148" s="159">
        <v>0</v>
      </c>
      <c r="AF148" s="158">
        <f t="shared" si="23"/>
        <v>0</v>
      </c>
      <c r="AG148" s="158">
        <f t="shared" si="24"/>
        <v>0</v>
      </c>
      <c r="AH148" s="175"/>
      <c r="AI148" s="175"/>
      <c r="AJ148" s="156" t="s">
        <v>47</v>
      </c>
      <c r="AK148" s="140" t="s">
        <v>47</v>
      </c>
      <c r="AL148" s="140" t="s">
        <v>269</v>
      </c>
      <c r="AM148" s="152"/>
    </row>
    <row r="149" s="140" customFormat="1" ht="15" hidden="1" customHeight="1" spans="1:39">
      <c r="A149" s="140">
        <v>2017</v>
      </c>
      <c r="B149" s="140" t="s">
        <v>38</v>
      </c>
      <c r="C149" s="140" t="s">
        <v>59</v>
      </c>
      <c r="D149" s="140" t="s">
        <v>60</v>
      </c>
      <c r="E149" s="140" t="s">
        <v>61</v>
      </c>
      <c r="F149" s="140" t="s">
        <v>274</v>
      </c>
      <c r="G149" s="140" t="s">
        <v>274</v>
      </c>
      <c r="H149" s="140" t="s">
        <v>274</v>
      </c>
      <c r="I149" s="152" t="s">
        <v>243</v>
      </c>
      <c r="J149" s="140" t="s">
        <v>244</v>
      </c>
      <c r="K149" s="140" t="s">
        <v>266</v>
      </c>
      <c r="L149" s="140" t="s">
        <v>274</v>
      </c>
      <c r="M149" s="140" t="s">
        <v>46</v>
      </c>
      <c r="N149" s="156">
        <v>0</v>
      </c>
      <c r="O149" s="156" t="s">
        <v>47</v>
      </c>
      <c r="P149" s="156"/>
      <c r="Q149" s="158">
        <v>0</v>
      </c>
      <c r="R149" s="158">
        <v>0</v>
      </c>
      <c r="S149" s="158">
        <v>9461.5</v>
      </c>
      <c r="T149" s="158">
        <f t="shared" si="25"/>
        <v>0</v>
      </c>
      <c r="U149" s="158">
        <f t="shared" si="29"/>
        <v>9461.5</v>
      </c>
      <c r="V149" s="158">
        <v>36256.5</v>
      </c>
      <c r="W149" s="158">
        <f t="shared" si="30"/>
        <v>-26795</v>
      </c>
      <c r="X149" s="158">
        <f t="shared" si="26"/>
        <v>-26795</v>
      </c>
      <c r="Y149" s="158">
        <f t="shared" si="31"/>
        <v>0</v>
      </c>
      <c r="Z149" s="158">
        <v>51008</v>
      </c>
      <c r="AA149" s="158">
        <f t="shared" si="27"/>
        <v>-14751.5</v>
      </c>
      <c r="AB149" s="167">
        <f t="shared" si="22"/>
        <v>51008</v>
      </c>
      <c r="AC149" s="168">
        <f t="shared" si="28"/>
        <v>0</v>
      </c>
      <c r="AD149" s="158">
        <v>36256.5</v>
      </c>
      <c r="AE149" s="159">
        <v>0</v>
      </c>
      <c r="AF149" s="158">
        <f t="shared" si="23"/>
        <v>0</v>
      </c>
      <c r="AG149" s="158">
        <f t="shared" si="24"/>
        <v>0</v>
      </c>
      <c r="AH149" s="175"/>
      <c r="AI149" s="175"/>
      <c r="AJ149" s="157">
        <v>0</v>
      </c>
      <c r="AK149" s="140" t="s">
        <v>120</v>
      </c>
      <c r="AL149" s="140" t="s">
        <v>269</v>
      </c>
      <c r="AM149" s="152"/>
    </row>
    <row r="150" s="140" customFormat="1" ht="15" hidden="1" customHeight="1" spans="1:39">
      <c r="A150" s="140">
        <v>2017</v>
      </c>
      <c r="B150" s="140" t="s">
        <v>38</v>
      </c>
      <c r="C150" s="140" t="s">
        <v>59</v>
      </c>
      <c r="D150" s="140" t="s">
        <v>210</v>
      </c>
      <c r="E150" s="140" t="s">
        <v>190</v>
      </c>
      <c r="F150" s="140" t="s">
        <v>363</v>
      </c>
      <c r="G150" s="140" t="s">
        <v>363</v>
      </c>
      <c r="H150" s="140" t="s">
        <v>363</v>
      </c>
      <c r="I150" s="152" t="s">
        <v>243</v>
      </c>
      <c r="J150" s="140" t="s">
        <v>244</v>
      </c>
      <c r="K150" s="140" t="s">
        <v>266</v>
      </c>
      <c r="L150" s="140" t="s">
        <v>363</v>
      </c>
      <c r="M150" s="140" t="s">
        <v>46</v>
      </c>
      <c r="N150" s="156">
        <v>0</v>
      </c>
      <c r="O150" s="156" t="s">
        <v>47</v>
      </c>
      <c r="P150" s="156"/>
      <c r="Q150" s="158">
        <v>0</v>
      </c>
      <c r="R150" s="158">
        <v>0</v>
      </c>
      <c r="S150" s="158">
        <v>370506.5</v>
      </c>
      <c r="T150" s="158">
        <f t="shared" si="25"/>
        <v>0</v>
      </c>
      <c r="U150" s="158">
        <f t="shared" si="29"/>
        <v>370506.5</v>
      </c>
      <c r="V150" s="158">
        <v>267919.5</v>
      </c>
      <c r="W150" s="158">
        <f t="shared" si="30"/>
        <v>102587</v>
      </c>
      <c r="X150" s="158">
        <f t="shared" si="26"/>
        <v>102587</v>
      </c>
      <c r="Y150" s="158">
        <f t="shared" si="31"/>
        <v>0</v>
      </c>
      <c r="Z150" s="158">
        <v>373529</v>
      </c>
      <c r="AA150" s="158">
        <f t="shared" si="27"/>
        <v>-105609.5</v>
      </c>
      <c r="AB150" s="167">
        <f t="shared" si="22"/>
        <v>373529</v>
      </c>
      <c r="AC150" s="168">
        <f t="shared" si="28"/>
        <v>0</v>
      </c>
      <c r="AD150" s="158">
        <v>267919.5</v>
      </c>
      <c r="AE150" s="159">
        <v>0</v>
      </c>
      <c r="AF150" s="158">
        <f t="shared" si="23"/>
        <v>0</v>
      </c>
      <c r="AG150" s="158">
        <f t="shared" si="24"/>
        <v>0</v>
      </c>
      <c r="AH150" s="175"/>
      <c r="AI150" s="175"/>
      <c r="AJ150" s="156" t="s">
        <v>47</v>
      </c>
      <c r="AK150" s="140" t="s">
        <v>47</v>
      </c>
      <c r="AL150" s="140" t="s">
        <v>269</v>
      </c>
      <c r="AM150" s="152"/>
    </row>
    <row r="151" s="140" customFormat="1" ht="15" hidden="1" customHeight="1" spans="1:39">
      <c r="A151" s="140">
        <v>2017</v>
      </c>
      <c r="B151" s="140" t="s">
        <v>38</v>
      </c>
      <c r="C151" s="140" t="s">
        <v>59</v>
      </c>
      <c r="D151" s="140" t="s">
        <v>210</v>
      </c>
      <c r="E151" s="140" t="s">
        <v>131</v>
      </c>
      <c r="F151" s="140" t="s">
        <v>364</v>
      </c>
      <c r="G151" s="140" t="s">
        <v>364</v>
      </c>
      <c r="H151" s="140" t="s">
        <v>364</v>
      </c>
      <c r="I151" s="152" t="s">
        <v>243</v>
      </c>
      <c r="J151" s="140" t="s">
        <v>244</v>
      </c>
      <c r="K151" s="140" t="s">
        <v>266</v>
      </c>
      <c r="L151" s="140" t="s">
        <v>365</v>
      </c>
      <c r="M151" s="140" t="s">
        <v>46</v>
      </c>
      <c r="N151" s="156">
        <v>0</v>
      </c>
      <c r="O151" s="156" t="s">
        <v>47</v>
      </c>
      <c r="P151" s="156"/>
      <c r="Q151" s="158">
        <v>0</v>
      </c>
      <c r="R151" s="158">
        <v>0</v>
      </c>
      <c r="S151" s="158">
        <v>47395.5</v>
      </c>
      <c r="T151" s="158">
        <f t="shared" si="25"/>
        <v>0</v>
      </c>
      <c r="U151" s="158">
        <f t="shared" si="29"/>
        <v>47395.5</v>
      </c>
      <c r="V151" s="158">
        <v>6244.5</v>
      </c>
      <c r="W151" s="158">
        <f t="shared" si="30"/>
        <v>41151</v>
      </c>
      <c r="X151" s="158">
        <f t="shared" si="26"/>
        <v>41151</v>
      </c>
      <c r="Y151" s="158">
        <f t="shared" si="31"/>
        <v>0</v>
      </c>
      <c r="Z151" s="158">
        <v>10407.5</v>
      </c>
      <c r="AA151" s="158">
        <f t="shared" si="27"/>
        <v>-4163</v>
      </c>
      <c r="AB151" s="167">
        <f t="shared" si="22"/>
        <v>10407.5</v>
      </c>
      <c r="AC151" s="168">
        <f t="shared" si="28"/>
        <v>0</v>
      </c>
      <c r="AD151" s="158">
        <v>6244.5</v>
      </c>
      <c r="AE151" s="159">
        <v>0</v>
      </c>
      <c r="AF151" s="158">
        <f t="shared" si="23"/>
        <v>0</v>
      </c>
      <c r="AG151" s="158">
        <f t="shared" si="24"/>
        <v>0</v>
      </c>
      <c r="AH151" s="175"/>
      <c r="AI151" s="175"/>
      <c r="AJ151" s="156" t="s">
        <v>47</v>
      </c>
      <c r="AK151" s="140" t="s">
        <v>47</v>
      </c>
      <c r="AL151" s="140" t="s">
        <v>269</v>
      </c>
      <c r="AM151" s="152"/>
    </row>
    <row r="152" s="140" customFormat="1" ht="15" hidden="1" customHeight="1" spans="1:39">
      <c r="A152" s="140">
        <v>2017</v>
      </c>
      <c r="B152" s="140" t="s">
        <v>38</v>
      </c>
      <c r="C152" s="140" t="s">
        <v>54</v>
      </c>
      <c r="D152" s="140" t="s">
        <v>55</v>
      </c>
      <c r="E152" s="140" t="s">
        <v>56</v>
      </c>
      <c r="F152" s="140" t="s">
        <v>366</v>
      </c>
      <c r="G152" s="140" t="s">
        <v>366</v>
      </c>
      <c r="H152" s="140" t="s">
        <v>366</v>
      </c>
      <c r="I152" s="152" t="s">
        <v>243</v>
      </c>
      <c r="J152" s="140" t="s">
        <v>244</v>
      </c>
      <c r="K152" s="140" t="s">
        <v>266</v>
      </c>
      <c r="L152" s="140" t="s">
        <v>366</v>
      </c>
      <c r="M152" s="140" t="s">
        <v>46</v>
      </c>
      <c r="N152" s="156">
        <v>0</v>
      </c>
      <c r="O152" s="156" t="s">
        <v>47</v>
      </c>
      <c r="P152" s="156"/>
      <c r="Q152" s="158">
        <v>0</v>
      </c>
      <c r="R152" s="158">
        <v>0</v>
      </c>
      <c r="S152" s="158">
        <v>12114</v>
      </c>
      <c r="T152" s="158">
        <f t="shared" si="25"/>
        <v>0</v>
      </c>
      <c r="U152" s="158">
        <f t="shared" si="29"/>
        <v>12114</v>
      </c>
      <c r="V152" s="158">
        <v>9085.5</v>
      </c>
      <c r="W152" s="158">
        <f t="shared" si="30"/>
        <v>3028.5</v>
      </c>
      <c r="X152" s="158">
        <f t="shared" si="26"/>
        <v>3028.5</v>
      </c>
      <c r="Y152" s="158">
        <f t="shared" si="31"/>
        <v>0</v>
      </c>
      <c r="Z152" s="158">
        <v>12114</v>
      </c>
      <c r="AA152" s="158">
        <f t="shared" si="27"/>
        <v>-3028.5</v>
      </c>
      <c r="AB152" s="167">
        <f t="shared" si="22"/>
        <v>12114</v>
      </c>
      <c r="AC152" s="168">
        <f t="shared" si="28"/>
        <v>0</v>
      </c>
      <c r="AD152" s="158">
        <v>9085.5</v>
      </c>
      <c r="AE152" s="159">
        <v>0</v>
      </c>
      <c r="AF152" s="158">
        <f t="shared" si="23"/>
        <v>0</v>
      </c>
      <c r="AG152" s="158">
        <f t="shared" si="24"/>
        <v>0</v>
      </c>
      <c r="AH152" s="175"/>
      <c r="AI152" s="175"/>
      <c r="AJ152" s="156" t="s">
        <v>47</v>
      </c>
      <c r="AK152" s="140" t="s">
        <v>47</v>
      </c>
      <c r="AL152" s="140" t="s">
        <v>269</v>
      </c>
      <c r="AM152" s="152"/>
    </row>
    <row r="153" s="140" customFormat="1" ht="15" hidden="1" customHeight="1" spans="1:39">
      <c r="A153" s="140">
        <v>2017</v>
      </c>
      <c r="B153" s="140" t="s">
        <v>38</v>
      </c>
      <c r="C153" s="140" t="s">
        <v>54</v>
      </c>
      <c r="D153" s="140" t="s">
        <v>55</v>
      </c>
      <c r="E153" s="140" t="s">
        <v>56</v>
      </c>
      <c r="F153" s="140" t="s">
        <v>367</v>
      </c>
      <c r="G153" s="140" t="s">
        <v>367</v>
      </c>
      <c r="H153" s="140" t="s">
        <v>367</v>
      </c>
      <c r="I153" s="152" t="s">
        <v>243</v>
      </c>
      <c r="J153" s="140" t="s">
        <v>244</v>
      </c>
      <c r="K153" s="140" t="s">
        <v>266</v>
      </c>
      <c r="L153" s="140" t="s">
        <v>367</v>
      </c>
      <c r="M153" s="140" t="s">
        <v>46</v>
      </c>
      <c r="N153" s="156">
        <v>0</v>
      </c>
      <c r="O153" s="156" t="s">
        <v>47</v>
      </c>
      <c r="P153" s="156"/>
      <c r="Q153" s="158">
        <v>0</v>
      </c>
      <c r="R153" s="158">
        <v>0</v>
      </c>
      <c r="S153" s="158">
        <v>3588</v>
      </c>
      <c r="T153" s="158">
        <f t="shared" si="25"/>
        <v>0</v>
      </c>
      <c r="U153" s="158">
        <f t="shared" si="29"/>
        <v>3588</v>
      </c>
      <c r="V153" s="158">
        <v>2691</v>
      </c>
      <c r="W153" s="158">
        <f t="shared" si="30"/>
        <v>897</v>
      </c>
      <c r="X153" s="158">
        <f t="shared" si="26"/>
        <v>897</v>
      </c>
      <c r="Y153" s="158">
        <f t="shared" si="31"/>
        <v>0</v>
      </c>
      <c r="Z153" s="158">
        <v>3588</v>
      </c>
      <c r="AA153" s="158">
        <f t="shared" si="27"/>
        <v>-897</v>
      </c>
      <c r="AB153" s="167">
        <f t="shared" si="22"/>
        <v>3588</v>
      </c>
      <c r="AC153" s="168">
        <f t="shared" si="28"/>
        <v>0</v>
      </c>
      <c r="AD153" s="158">
        <v>2691</v>
      </c>
      <c r="AE153" s="159">
        <v>0</v>
      </c>
      <c r="AF153" s="158">
        <f t="shared" si="23"/>
        <v>0</v>
      </c>
      <c r="AG153" s="158">
        <f t="shared" si="24"/>
        <v>0</v>
      </c>
      <c r="AH153" s="175"/>
      <c r="AI153" s="175"/>
      <c r="AJ153" s="157">
        <v>0</v>
      </c>
      <c r="AK153" s="140" t="s">
        <v>120</v>
      </c>
      <c r="AL153" s="140" t="s">
        <v>269</v>
      </c>
      <c r="AM153" s="152"/>
    </row>
    <row r="154" s="140" customFormat="1" ht="15" hidden="1" customHeight="1" spans="1:39">
      <c r="A154" s="140">
        <v>2017</v>
      </c>
      <c r="B154" s="140" t="s">
        <v>38</v>
      </c>
      <c r="C154" s="140" t="s">
        <v>54</v>
      </c>
      <c r="D154" s="140" t="s">
        <v>55</v>
      </c>
      <c r="E154" s="140" t="s">
        <v>368</v>
      </c>
      <c r="F154" s="140" t="s">
        <v>369</v>
      </c>
      <c r="G154" s="140" t="s">
        <v>369</v>
      </c>
      <c r="H154" s="140" t="s">
        <v>369</v>
      </c>
      <c r="I154" s="152" t="s">
        <v>243</v>
      </c>
      <c r="J154" s="140" t="s">
        <v>244</v>
      </c>
      <c r="K154" s="140" t="s">
        <v>266</v>
      </c>
      <c r="L154" s="140" t="s">
        <v>369</v>
      </c>
      <c r="M154" s="140" t="s">
        <v>46</v>
      </c>
      <c r="N154" s="156">
        <v>0</v>
      </c>
      <c r="O154" s="156" t="s">
        <v>47</v>
      </c>
      <c r="P154" s="156"/>
      <c r="Q154" s="158">
        <v>0</v>
      </c>
      <c r="R154" s="158">
        <v>0</v>
      </c>
      <c r="S154" s="158">
        <v>13824.5</v>
      </c>
      <c r="T154" s="158">
        <f t="shared" si="25"/>
        <v>0</v>
      </c>
      <c r="U154" s="158">
        <f t="shared" si="29"/>
        <v>13824.5</v>
      </c>
      <c r="V154" s="158">
        <v>8958</v>
      </c>
      <c r="W154" s="158">
        <f t="shared" si="30"/>
        <v>4866.5</v>
      </c>
      <c r="X154" s="158">
        <f t="shared" si="26"/>
        <v>4866.5</v>
      </c>
      <c r="Y154" s="158">
        <f t="shared" si="31"/>
        <v>0</v>
      </c>
      <c r="Z154" s="158">
        <v>13824.5</v>
      </c>
      <c r="AA154" s="158">
        <f t="shared" si="27"/>
        <v>-4866.5</v>
      </c>
      <c r="AB154" s="167">
        <f t="shared" si="22"/>
        <v>13824.5</v>
      </c>
      <c r="AC154" s="168">
        <f t="shared" si="28"/>
        <v>0</v>
      </c>
      <c r="AD154" s="158">
        <v>8958</v>
      </c>
      <c r="AE154" s="159">
        <v>0</v>
      </c>
      <c r="AF154" s="158">
        <f t="shared" si="23"/>
        <v>0</v>
      </c>
      <c r="AG154" s="158">
        <f t="shared" si="24"/>
        <v>0</v>
      </c>
      <c r="AH154" s="175"/>
      <c r="AI154" s="175"/>
      <c r="AJ154" s="157">
        <v>0</v>
      </c>
      <c r="AK154" s="140" t="s">
        <v>120</v>
      </c>
      <c r="AL154" s="140" t="s">
        <v>269</v>
      </c>
      <c r="AM154" s="152"/>
    </row>
    <row r="155" s="140" customFormat="1" ht="15" hidden="1" customHeight="1" spans="1:39">
      <c r="A155" s="140">
        <v>2017</v>
      </c>
      <c r="B155" s="140" t="s">
        <v>38</v>
      </c>
      <c r="C155" s="140" t="s">
        <v>54</v>
      </c>
      <c r="D155" s="140" t="s">
        <v>55</v>
      </c>
      <c r="E155" s="140" t="s">
        <v>368</v>
      </c>
      <c r="F155" s="140" t="s">
        <v>65</v>
      </c>
      <c r="G155" s="140" t="s">
        <v>65</v>
      </c>
      <c r="H155" s="140" t="s">
        <v>65</v>
      </c>
      <c r="I155" s="152" t="s">
        <v>243</v>
      </c>
      <c r="J155" s="140" t="s">
        <v>244</v>
      </c>
      <c r="K155" s="140" t="s">
        <v>266</v>
      </c>
      <c r="L155" s="140" t="s">
        <v>65</v>
      </c>
      <c r="M155" s="140" t="s">
        <v>46</v>
      </c>
      <c r="N155" s="156">
        <v>0</v>
      </c>
      <c r="O155" s="156" t="s">
        <v>47</v>
      </c>
      <c r="P155" s="156"/>
      <c r="Q155" s="158">
        <v>0</v>
      </c>
      <c r="R155" s="158">
        <v>0</v>
      </c>
      <c r="S155" s="158">
        <v>54264</v>
      </c>
      <c r="T155" s="158">
        <f t="shared" si="25"/>
        <v>0</v>
      </c>
      <c r="U155" s="158">
        <f t="shared" si="29"/>
        <v>54264</v>
      </c>
      <c r="V155" s="158">
        <v>0</v>
      </c>
      <c r="W155" s="158">
        <f t="shared" si="30"/>
        <v>54264</v>
      </c>
      <c r="X155" s="158">
        <f t="shared" si="26"/>
        <v>54264</v>
      </c>
      <c r="Y155" s="158">
        <f t="shared" si="31"/>
        <v>0</v>
      </c>
      <c r="Z155" s="158">
        <v>0</v>
      </c>
      <c r="AA155" s="158">
        <f t="shared" si="27"/>
        <v>0</v>
      </c>
      <c r="AB155" s="167">
        <f t="shared" si="22"/>
        <v>0</v>
      </c>
      <c r="AC155" s="168">
        <f t="shared" si="28"/>
        <v>0</v>
      </c>
      <c r="AD155" s="158">
        <v>0</v>
      </c>
      <c r="AE155" s="159">
        <v>0</v>
      </c>
      <c r="AF155" s="158">
        <f t="shared" si="23"/>
        <v>0</v>
      </c>
      <c r="AG155" s="158">
        <f t="shared" si="24"/>
        <v>0</v>
      </c>
      <c r="AH155" s="175"/>
      <c r="AI155" s="175"/>
      <c r="AJ155" s="156" t="s">
        <v>47</v>
      </c>
      <c r="AK155" s="140" t="s">
        <v>47</v>
      </c>
      <c r="AL155" s="140" t="s">
        <v>269</v>
      </c>
      <c r="AM155" s="152"/>
    </row>
    <row r="156" s="140" customFormat="1" ht="15" hidden="1" customHeight="1" spans="1:39">
      <c r="A156" s="140">
        <v>2017</v>
      </c>
      <c r="B156" s="140" t="s">
        <v>199</v>
      </c>
      <c r="C156" s="140" t="s">
        <v>54</v>
      </c>
      <c r="D156" s="140" t="s">
        <v>55</v>
      </c>
      <c r="E156" s="140" t="s">
        <v>370</v>
      </c>
      <c r="F156" s="140" t="s">
        <v>242</v>
      </c>
      <c r="G156" s="140" t="s">
        <v>371</v>
      </c>
      <c r="H156" s="140" t="s">
        <v>372</v>
      </c>
      <c r="I156" s="152" t="s">
        <v>243</v>
      </c>
      <c r="J156" s="140" t="s">
        <v>244</v>
      </c>
      <c r="K156" s="140" t="s">
        <v>266</v>
      </c>
      <c r="L156" s="140" t="s">
        <v>373</v>
      </c>
      <c r="M156" s="140" t="s">
        <v>46</v>
      </c>
      <c r="N156" s="156">
        <v>0</v>
      </c>
      <c r="O156" s="156" t="s">
        <v>47</v>
      </c>
      <c r="P156" s="156"/>
      <c r="Q156" s="158">
        <v>0</v>
      </c>
      <c r="R156" s="158">
        <v>0</v>
      </c>
      <c r="S156" s="158">
        <v>100000</v>
      </c>
      <c r="T156" s="158">
        <f t="shared" si="25"/>
        <v>0</v>
      </c>
      <c r="U156" s="158">
        <f t="shared" si="29"/>
        <v>100000</v>
      </c>
      <c r="V156" s="158">
        <v>30220.5</v>
      </c>
      <c r="W156" s="158">
        <f t="shared" si="30"/>
        <v>69779.5</v>
      </c>
      <c r="X156" s="158">
        <f t="shared" si="26"/>
        <v>69779.5</v>
      </c>
      <c r="Y156" s="158">
        <f t="shared" si="31"/>
        <v>0</v>
      </c>
      <c r="Z156" s="158">
        <v>50367.5</v>
      </c>
      <c r="AA156" s="158">
        <f t="shared" si="27"/>
        <v>-20147</v>
      </c>
      <c r="AB156" s="167">
        <f t="shared" si="22"/>
        <v>50367.5</v>
      </c>
      <c r="AC156" s="168">
        <f t="shared" si="28"/>
        <v>0</v>
      </c>
      <c r="AD156" s="158">
        <v>30220.5</v>
      </c>
      <c r="AE156" s="159">
        <v>0</v>
      </c>
      <c r="AF156" s="158">
        <f t="shared" si="23"/>
        <v>0</v>
      </c>
      <c r="AG156" s="158">
        <f t="shared" ref="AG156:AG187" si="32">AB156-Z156+AF156</f>
        <v>0</v>
      </c>
      <c r="AH156" s="175"/>
      <c r="AI156" s="175"/>
      <c r="AJ156" s="156" t="s">
        <v>47</v>
      </c>
      <c r="AK156" s="140" t="s">
        <v>47</v>
      </c>
      <c r="AL156" s="140" t="s">
        <v>269</v>
      </c>
      <c r="AM156" s="152"/>
    </row>
    <row r="157" s="140" customFormat="1" ht="15" hidden="1" customHeight="1" spans="1:39">
      <c r="A157" s="140">
        <v>2017</v>
      </c>
      <c r="B157" s="140" t="s">
        <v>38</v>
      </c>
      <c r="C157" s="140" t="s">
        <v>54</v>
      </c>
      <c r="D157" s="140" t="s">
        <v>55</v>
      </c>
      <c r="E157" s="140" t="s">
        <v>64</v>
      </c>
      <c r="F157" s="140" t="s">
        <v>374</v>
      </c>
      <c r="G157" s="140" t="s">
        <v>374</v>
      </c>
      <c r="H157" s="140" t="s">
        <v>374</v>
      </c>
      <c r="I157" s="152" t="s">
        <v>243</v>
      </c>
      <c r="J157" s="140" t="s">
        <v>244</v>
      </c>
      <c r="K157" s="140" t="s">
        <v>266</v>
      </c>
      <c r="L157" s="140" t="s">
        <v>375</v>
      </c>
      <c r="M157" s="140" t="s">
        <v>46</v>
      </c>
      <c r="N157" s="156">
        <v>0</v>
      </c>
      <c r="O157" s="156" t="s">
        <v>47</v>
      </c>
      <c r="P157" s="156"/>
      <c r="Q157" s="158">
        <v>0</v>
      </c>
      <c r="R157" s="158">
        <v>0</v>
      </c>
      <c r="S157" s="158">
        <v>20000</v>
      </c>
      <c r="T157" s="158">
        <f t="shared" si="25"/>
        <v>0</v>
      </c>
      <c r="U157" s="158">
        <f t="shared" si="29"/>
        <v>20000</v>
      </c>
      <c r="V157" s="158">
        <v>14296.5</v>
      </c>
      <c r="W157" s="158">
        <f t="shared" si="30"/>
        <v>5703.5</v>
      </c>
      <c r="X157" s="158">
        <f t="shared" si="26"/>
        <v>5703.5</v>
      </c>
      <c r="Y157" s="158">
        <f t="shared" si="31"/>
        <v>0</v>
      </c>
      <c r="Z157" s="158">
        <v>21316.5</v>
      </c>
      <c r="AA157" s="158">
        <f t="shared" si="27"/>
        <v>-7020</v>
      </c>
      <c r="AB157" s="167">
        <f t="shared" si="22"/>
        <v>21316.5</v>
      </c>
      <c r="AC157" s="168">
        <f t="shared" si="28"/>
        <v>0</v>
      </c>
      <c r="AD157" s="158">
        <v>14296.5</v>
      </c>
      <c r="AE157" s="159">
        <v>0</v>
      </c>
      <c r="AF157" s="158">
        <f t="shared" si="23"/>
        <v>0</v>
      </c>
      <c r="AG157" s="158">
        <f t="shared" si="32"/>
        <v>0</v>
      </c>
      <c r="AH157" s="175"/>
      <c r="AI157" s="175"/>
      <c r="AJ157" s="156" t="s">
        <v>47</v>
      </c>
      <c r="AK157" s="140" t="s">
        <v>47</v>
      </c>
      <c r="AL157" s="140" t="s">
        <v>269</v>
      </c>
      <c r="AM157" s="152"/>
    </row>
    <row r="158" s="140" customFormat="1" ht="15" hidden="1" customHeight="1" spans="1:39">
      <c r="A158" s="140">
        <v>2017</v>
      </c>
      <c r="B158" s="140" t="s">
        <v>38</v>
      </c>
      <c r="C158" s="140" t="s">
        <v>54</v>
      </c>
      <c r="D158" s="140" t="s">
        <v>55</v>
      </c>
      <c r="E158" s="140" t="s">
        <v>64</v>
      </c>
      <c r="F158" s="140" t="s">
        <v>376</v>
      </c>
      <c r="G158" s="140" t="s">
        <v>376</v>
      </c>
      <c r="H158" s="140" t="s">
        <v>376</v>
      </c>
      <c r="I158" s="152" t="s">
        <v>243</v>
      </c>
      <c r="J158" s="140" t="s">
        <v>244</v>
      </c>
      <c r="K158" s="140" t="s">
        <v>266</v>
      </c>
      <c r="L158" s="140" t="s">
        <v>377</v>
      </c>
      <c r="M158" s="140" t="s">
        <v>46</v>
      </c>
      <c r="N158" s="156">
        <v>0</v>
      </c>
      <c r="O158" s="156" t="s">
        <v>47</v>
      </c>
      <c r="P158" s="156"/>
      <c r="Q158" s="158">
        <v>0</v>
      </c>
      <c r="R158" s="158">
        <v>0</v>
      </c>
      <c r="S158" s="158">
        <v>20000</v>
      </c>
      <c r="T158" s="158">
        <f t="shared" si="25"/>
        <v>0</v>
      </c>
      <c r="U158" s="158">
        <f t="shared" si="29"/>
        <v>20000</v>
      </c>
      <c r="V158" s="158">
        <v>5022</v>
      </c>
      <c r="W158" s="158">
        <f t="shared" si="30"/>
        <v>14978</v>
      </c>
      <c r="X158" s="158">
        <f t="shared" si="26"/>
        <v>14978</v>
      </c>
      <c r="Y158" s="158">
        <f t="shared" si="31"/>
        <v>0</v>
      </c>
      <c r="Z158" s="158">
        <v>6775</v>
      </c>
      <c r="AA158" s="158">
        <f t="shared" si="27"/>
        <v>-1753</v>
      </c>
      <c r="AB158" s="167">
        <f t="shared" si="22"/>
        <v>6775</v>
      </c>
      <c r="AC158" s="168">
        <f t="shared" si="28"/>
        <v>0</v>
      </c>
      <c r="AD158" s="158">
        <v>5022</v>
      </c>
      <c r="AE158" s="159">
        <v>0</v>
      </c>
      <c r="AF158" s="158">
        <f t="shared" si="23"/>
        <v>0</v>
      </c>
      <c r="AG158" s="158">
        <f t="shared" si="32"/>
        <v>0</v>
      </c>
      <c r="AH158" s="175"/>
      <c r="AI158" s="175"/>
      <c r="AJ158" s="156" t="s">
        <v>47</v>
      </c>
      <c r="AK158" s="140" t="s">
        <v>47</v>
      </c>
      <c r="AL158" s="140" t="s">
        <v>269</v>
      </c>
      <c r="AM158" s="152"/>
    </row>
    <row r="159" s="140" customFormat="1" ht="15" hidden="1" customHeight="1" spans="1:39">
      <c r="A159" s="140">
        <v>2017</v>
      </c>
      <c r="B159" s="140" t="s">
        <v>38</v>
      </c>
      <c r="C159" s="140" t="s">
        <v>54</v>
      </c>
      <c r="D159" s="140" t="s">
        <v>55</v>
      </c>
      <c r="E159" s="140" t="s">
        <v>64</v>
      </c>
      <c r="F159" s="140" t="s">
        <v>378</v>
      </c>
      <c r="G159" s="140" t="s">
        <v>378</v>
      </c>
      <c r="H159" s="140" t="s">
        <v>378</v>
      </c>
      <c r="I159" s="152" t="s">
        <v>243</v>
      </c>
      <c r="J159" s="140" t="s">
        <v>244</v>
      </c>
      <c r="K159" s="140" t="s">
        <v>266</v>
      </c>
      <c r="L159" s="140" t="s">
        <v>378</v>
      </c>
      <c r="M159" s="140" t="s">
        <v>46</v>
      </c>
      <c r="N159" s="156">
        <v>0</v>
      </c>
      <c r="O159" s="156" t="s">
        <v>47</v>
      </c>
      <c r="P159" s="156"/>
      <c r="Q159" s="158">
        <v>0</v>
      </c>
      <c r="R159" s="158">
        <v>0</v>
      </c>
      <c r="S159" s="158">
        <v>3134</v>
      </c>
      <c r="T159" s="158">
        <f t="shared" si="25"/>
        <v>0</v>
      </c>
      <c r="U159" s="158">
        <f t="shared" si="29"/>
        <v>3134</v>
      </c>
      <c r="V159" s="158">
        <v>2125.5</v>
      </c>
      <c r="W159" s="158">
        <f t="shared" si="30"/>
        <v>1008.5</v>
      </c>
      <c r="X159" s="158">
        <f t="shared" si="26"/>
        <v>1008.5</v>
      </c>
      <c r="Y159" s="158">
        <f t="shared" si="31"/>
        <v>0</v>
      </c>
      <c r="Z159" s="158">
        <v>2834</v>
      </c>
      <c r="AA159" s="158">
        <f t="shared" si="27"/>
        <v>-708.5</v>
      </c>
      <c r="AB159" s="167">
        <f t="shared" si="22"/>
        <v>2834</v>
      </c>
      <c r="AC159" s="168">
        <f t="shared" si="28"/>
        <v>0</v>
      </c>
      <c r="AD159" s="158">
        <v>2125.5</v>
      </c>
      <c r="AE159" s="159">
        <v>0</v>
      </c>
      <c r="AF159" s="158">
        <f t="shared" si="23"/>
        <v>0</v>
      </c>
      <c r="AG159" s="158">
        <f t="shared" si="32"/>
        <v>0</v>
      </c>
      <c r="AH159" s="175"/>
      <c r="AI159" s="175"/>
      <c r="AJ159" s="156" t="s">
        <v>47</v>
      </c>
      <c r="AK159" s="140" t="s">
        <v>47</v>
      </c>
      <c r="AL159" s="140" t="s">
        <v>269</v>
      </c>
      <c r="AM159" s="152"/>
    </row>
    <row r="160" s="140" customFormat="1" ht="15" hidden="1" customHeight="1" spans="1:39">
      <c r="A160" s="140">
        <v>2017</v>
      </c>
      <c r="B160" s="140" t="s">
        <v>38</v>
      </c>
      <c r="C160" s="140" t="s">
        <v>54</v>
      </c>
      <c r="D160" s="140" t="s">
        <v>102</v>
      </c>
      <c r="E160" s="140" t="s">
        <v>115</v>
      </c>
      <c r="F160" s="140" t="s">
        <v>379</v>
      </c>
      <c r="G160" s="140" t="s">
        <v>379</v>
      </c>
      <c r="H160" s="140" t="s">
        <v>379</v>
      </c>
      <c r="I160" s="152" t="s">
        <v>243</v>
      </c>
      <c r="J160" s="140" t="s">
        <v>244</v>
      </c>
      <c r="K160" s="140" t="s">
        <v>266</v>
      </c>
      <c r="L160" s="140" t="s">
        <v>379</v>
      </c>
      <c r="M160" s="140" t="s">
        <v>46</v>
      </c>
      <c r="N160" s="156">
        <v>0</v>
      </c>
      <c r="O160" s="156" t="s">
        <v>47</v>
      </c>
      <c r="P160" s="156"/>
      <c r="Q160" s="158">
        <v>0</v>
      </c>
      <c r="R160" s="158">
        <v>0</v>
      </c>
      <c r="S160" s="158">
        <v>104159.5</v>
      </c>
      <c r="T160" s="158">
        <f t="shared" si="25"/>
        <v>0</v>
      </c>
      <c r="U160" s="158">
        <f t="shared" si="29"/>
        <v>104159.5</v>
      </c>
      <c r="V160" s="158">
        <v>74319</v>
      </c>
      <c r="W160" s="158">
        <f t="shared" si="30"/>
        <v>29840.5</v>
      </c>
      <c r="X160" s="158">
        <f t="shared" si="26"/>
        <v>29840.5</v>
      </c>
      <c r="Y160" s="158">
        <f t="shared" si="31"/>
        <v>0</v>
      </c>
      <c r="Z160" s="158">
        <v>104159.5</v>
      </c>
      <c r="AA160" s="158">
        <f t="shared" si="27"/>
        <v>-29840.5</v>
      </c>
      <c r="AB160" s="167">
        <f t="shared" si="22"/>
        <v>104159.5</v>
      </c>
      <c r="AC160" s="168">
        <f t="shared" si="28"/>
        <v>0</v>
      </c>
      <c r="AD160" s="158">
        <v>74319</v>
      </c>
      <c r="AE160" s="159">
        <v>0</v>
      </c>
      <c r="AF160" s="158">
        <f t="shared" si="23"/>
        <v>0</v>
      </c>
      <c r="AG160" s="158">
        <f t="shared" si="32"/>
        <v>0</v>
      </c>
      <c r="AH160" s="175"/>
      <c r="AI160" s="175"/>
      <c r="AJ160" s="156" t="s">
        <v>47</v>
      </c>
      <c r="AK160" s="140" t="s">
        <v>47</v>
      </c>
      <c r="AL160" s="140" t="s">
        <v>269</v>
      </c>
      <c r="AM160" s="152"/>
    </row>
    <row r="161" s="140" customFormat="1" ht="15" hidden="1" customHeight="1" spans="1:39">
      <c r="A161" s="140">
        <v>2017</v>
      </c>
      <c r="B161" s="140" t="s">
        <v>38</v>
      </c>
      <c r="C161" s="140" t="s">
        <v>54</v>
      </c>
      <c r="D161" s="140" t="s">
        <v>102</v>
      </c>
      <c r="E161" s="140" t="s">
        <v>115</v>
      </c>
      <c r="F161" s="140" t="s">
        <v>380</v>
      </c>
      <c r="G161" s="140" t="s">
        <v>380</v>
      </c>
      <c r="H161" s="140" t="s">
        <v>380</v>
      </c>
      <c r="I161" s="152" t="s">
        <v>243</v>
      </c>
      <c r="J161" s="140" t="s">
        <v>244</v>
      </c>
      <c r="K161" s="140" t="s">
        <v>266</v>
      </c>
      <c r="L161" s="140" t="s">
        <v>380</v>
      </c>
      <c r="M161" s="140" t="s">
        <v>46</v>
      </c>
      <c r="N161" s="156">
        <v>0</v>
      </c>
      <c r="O161" s="156" t="s">
        <v>47</v>
      </c>
      <c r="P161" s="156"/>
      <c r="Q161" s="158">
        <v>0</v>
      </c>
      <c r="R161" s="158">
        <v>0</v>
      </c>
      <c r="S161" s="158">
        <v>45801</v>
      </c>
      <c r="T161" s="158">
        <f t="shared" si="25"/>
        <v>0</v>
      </c>
      <c r="U161" s="158">
        <f t="shared" si="29"/>
        <v>45801</v>
      </c>
      <c r="V161" s="158">
        <v>32355</v>
      </c>
      <c r="W161" s="158">
        <f t="shared" si="30"/>
        <v>13446</v>
      </c>
      <c r="X161" s="158">
        <f t="shared" si="26"/>
        <v>13446</v>
      </c>
      <c r="Y161" s="158">
        <f t="shared" si="31"/>
        <v>0</v>
      </c>
      <c r="Z161" s="158">
        <v>45801</v>
      </c>
      <c r="AA161" s="158">
        <f t="shared" si="27"/>
        <v>-13446</v>
      </c>
      <c r="AB161" s="167">
        <f t="shared" si="22"/>
        <v>45801</v>
      </c>
      <c r="AC161" s="168">
        <f t="shared" si="28"/>
        <v>0</v>
      </c>
      <c r="AD161" s="158">
        <v>32355</v>
      </c>
      <c r="AE161" s="159">
        <v>0</v>
      </c>
      <c r="AF161" s="158">
        <f t="shared" si="23"/>
        <v>0</v>
      </c>
      <c r="AG161" s="158">
        <f t="shared" si="32"/>
        <v>0</v>
      </c>
      <c r="AH161" s="175"/>
      <c r="AI161" s="175"/>
      <c r="AJ161" s="156" t="s">
        <v>47</v>
      </c>
      <c r="AK161" s="140" t="s">
        <v>47</v>
      </c>
      <c r="AL161" s="140" t="s">
        <v>269</v>
      </c>
      <c r="AM161" s="152"/>
    </row>
    <row r="162" s="140" customFormat="1" ht="15" hidden="1" customHeight="1" spans="1:39">
      <c r="A162" s="140">
        <v>2017</v>
      </c>
      <c r="B162" s="140" t="s">
        <v>38</v>
      </c>
      <c r="C162" s="140" t="s">
        <v>54</v>
      </c>
      <c r="D162" s="140" t="s">
        <v>102</v>
      </c>
      <c r="E162" s="140" t="s">
        <v>115</v>
      </c>
      <c r="F162" s="140" t="s">
        <v>381</v>
      </c>
      <c r="G162" s="140" t="s">
        <v>381</v>
      </c>
      <c r="H162" s="140" t="s">
        <v>381</v>
      </c>
      <c r="I162" s="152" t="s">
        <v>243</v>
      </c>
      <c r="J162" s="140" t="s">
        <v>244</v>
      </c>
      <c r="K162" s="140" t="s">
        <v>266</v>
      </c>
      <c r="L162" s="140" t="s">
        <v>381</v>
      </c>
      <c r="M162" s="140" t="s">
        <v>46</v>
      </c>
      <c r="N162" s="156">
        <v>0</v>
      </c>
      <c r="O162" s="156" t="s">
        <v>47</v>
      </c>
      <c r="P162" s="156"/>
      <c r="Q162" s="158">
        <v>0</v>
      </c>
      <c r="R162" s="158">
        <v>0</v>
      </c>
      <c r="S162" s="158">
        <v>298</v>
      </c>
      <c r="T162" s="158">
        <f t="shared" si="25"/>
        <v>0</v>
      </c>
      <c r="U162" s="158">
        <f t="shared" si="29"/>
        <v>298</v>
      </c>
      <c r="V162" s="158">
        <v>210</v>
      </c>
      <c r="W162" s="158">
        <f t="shared" si="30"/>
        <v>88</v>
      </c>
      <c r="X162" s="158">
        <f t="shared" si="26"/>
        <v>88</v>
      </c>
      <c r="Y162" s="158">
        <f t="shared" si="31"/>
        <v>0</v>
      </c>
      <c r="Z162" s="158">
        <v>280</v>
      </c>
      <c r="AA162" s="158">
        <f t="shared" si="27"/>
        <v>-70</v>
      </c>
      <c r="AB162" s="167">
        <f t="shared" si="22"/>
        <v>280</v>
      </c>
      <c r="AC162" s="168">
        <f t="shared" si="28"/>
        <v>0</v>
      </c>
      <c r="AD162" s="158">
        <v>210</v>
      </c>
      <c r="AE162" s="159">
        <v>0</v>
      </c>
      <c r="AF162" s="158">
        <f t="shared" si="23"/>
        <v>0</v>
      </c>
      <c r="AG162" s="158">
        <f t="shared" si="32"/>
        <v>0</v>
      </c>
      <c r="AH162" s="175"/>
      <c r="AI162" s="175"/>
      <c r="AJ162" s="157">
        <v>1</v>
      </c>
      <c r="AK162" s="177">
        <v>1</v>
      </c>
      <c r="AL162" s="140" t="s">
        <v>269</v>
      </c>
      <c r="AM162" s="152"/>
    </row>
    <row r="163" s="140" customFormat="1" ht="15" hidden="1" customHeight="1" spans="1:39">
      <c r="A163" s="140">
        <v>2017</v>
      </c>
      <c r="B163" s="140" t="s">
        <v>38</v>
      </c>
      <c r="C163" s="140" t="s">
        <v>54</v>
      </c>
      <c r="D163" s="140" t="s">
        <v>102</v>
      </c>
      <c r="E163" s="140" t="s">
        <v>115</v>
      </c>
      <c r="F163" s="140" t="s">
        <v>382</v>
      </c>
      <c r="G163" s="140" t="s">
        <v>382</v>
      </c>
      <c r="H163" s="140" t="s">
        <v>382</v>
      </c>
      <c r="I163" s="152" t="s">
        <v>243</v>
      </c>
      <c r="J163" s="140" t="s">
        <v>244</v>
      </c>
      <c r="K163" s="140" t="s">
        <v>266</v>
      </c>
      <c r="L163" s="140" t="s">
        <v>382</v>
      </c>
      <c r="M163" s="140" t="s">
        <v>46</v>
      </c>
      <c r="N163" s="156">
        <v>0</v>
      </c>
      <c r="O163" s="156" t="s">
        <v>47</v>
      </c>
      <c r="P163" s="156"/>
      <c r="Q163" s="158">
        <v>0</v>
      </c>
      <c r="R163" s="158">
        <v>0</v>
      </c>
      <c r="S163" s="158">
        <v>37283.5</v>
      </c>
      <c r="T163" s="158">
        <f t="shared" si="25"/>
        <v>0</v>
      </c>
      <c r="U163" s="158">
        <f t="shared" si="29"/>
        <v>37283.5</v>
      </c>
      <c r="V163" s="158">
        <v>26680.5</v>
      </c>
      <c r="W163" s="158">
        <f t="shared" si="30"/>
        <v>10603</v>
      </c>
      <c r="X163" s="158">
        <f t="shared" si="26"/>
        <v>10603</v>
      </c>
      <c r="Y163" s="158">
        <f t="shared" si="31"/>
        <v>0</v>
      </c>
      <c r="Z163" s="158">
        <v>37283.5</v>
      </c>
      <c r="AA163" s="158">
        <f t="shared" si="27"/>
        <v>-10603</v>
      </c>
      <c r="AB163" s="167">
        <f t="shared" si="22"/>
        <v>37283.5</v>
      </c>
      <c r="AC163" s="168">
        <f t="shared" si="28"/>
        <v>0</v>
      </c>
      <c r="AD163" s="158">
        <v>26680.5</v>
      </c>
      <c r="AE163" s="159">
        <v>0</v>
      </c>
      <c r="AF163" s="158">
        <f t="shared" si="23"/>
        <v>0</v>
      </c>
      <c r="AG163" s="158">
        <f t="shared" si="32"/>
        <v>0</v>
      </c>
      <c r="AH163" s="175"/>
      <c r="AI163" s="175"/>
      <c r="AJ163" s="156" t="s">
        <v>47</v>
      </c>
      <c r="AK163" s="140" t="s">
        <v>47</v>
      </c>
      <c r="AL163" s="140" t="s">
        <v>269</v>
      </c>
      <c r="AM163" s="152"/>
    </row>
    <row r="164" s="140" customFormat="1" ht="15" hidden="1" customHeight="1" spans="1:39">
      <c r="A164" s="140">
        <v>2017</v>
      </c>
      <c r="B164" s="140" t="s">
        <v>38</v>
      </c>
      <c r="C164" s="140" t="s">
        <v>54</v>
      </c>
      <c r="D164" s="140" t="s">
        <v>102</v>
      </c>
      <c r="E164" s="140" t="s">
        <v>115</v>
      </c>
      <c r="F164" s="140" t="s">
        <v>383</v>
      </c>
      <c r="G164" s="140" t="s">
        <v>383</v>
      </c>
      <c r="H164" s="140" t="s">
        <v>383</v>
      </c>
      <c r="I164" s="152" t="s">
        <v>243</v>
      </c>
      <c r="J164" s="140" t="s">
        <v>244</v>
      </c>
      <c r="K164" s="140" t="s">
        <v>266</v>
      </c>
      <c r="L164" s="140" t="s">
        <v>384</v>
      </c>
      <c r="M164" s="140" t="s">
        <v>46</v>
      </c>
      <c r="N164" s="156">
        <v>0</v>
      </c>
      <c r="O164" s="156" t="s">
        <v>47</v>
      </c>
      <c r="P164" s="156"/>
      <c r="Q164" s="158">
        <v>0</v>
      </c>
      <c r="R164" s="158">
        <v>0</v>
      </c>
      <c r="S164" s="158">
        <v>17080</v>
      </c>
      <c r="T164" s="158">
        <f t="shared" si="25"/>
        <v>0</v>
      </c>
      <c r="U164" s="158">
        <f t="shared" si="29"/>
        <v>17080</v>
      </c>
      <c r="V164" s="158">
        <v>11580</v>
      </c>
      <c r="W164" s="158">
        <f t="shared" si="30"/>
        <v>5500</v>
      </c>
      <c r="X164" s="158">
        <f t="shared" si="26"/>
        <v>5500</v>
      </c>
      <c r="Y164" s="158">
        <f t="shared" si="31"/>
        <v>0</v>
      </c>
      <c r="Z164" s="158">
        <v>16990</v>
      </c>
      <c r="AA164" s="158">
        <f t="shared" si="27"/>
        <v>-5410</v>
      </c>
      <c r="AB164" s="167">
        <f t="shared" si="22"/>
        <v>16990</v>
      </c>
      <c r="AC164" s="168">
        <f t="shared" si="28"/>
        <v>0</v>
      </c>
      <c r="AD164" s="158">
        <v>11580</v>
      </c>
      <c r="AE164" s="159">
        <v>0</v>
      </c>
      <c r="AF164" s="158">
        <f t="shared" si="23"/>
        <v>0</v>
      </c>
      <c r="AG164" s="158">
        <f t="shared" si="32"/>
        <v>0</v>
      </c>
      <c r="AH164" s="175"/>
      <c r="AI164" s="175"/>
      <c r="AJ164" s="156" t="s">
        <v>47</v>
      </c>
      <c r="AK164" s="140" t="s">
        <v>47</v>
      </c>
      <c r="AL164" s="140" t="s">
        <v>269</v>
      </c>
      <c r="AM164" s="152"/>
    </row>
    <row r="165" s="140" customFormat="1" ht="15" hidden="1" customHeight="1" spans="1:39">
      <c r="A165" s="140">
        <v>2017</v>
      </c>
      <c r="B165" s="140" t="s">
        <v>38</v>
      </c>
      <c r="C165" s="140" t="s">
        <v>54</v>
      </c>
      <c r="D165" s="140" t="s">
        <v>102</v>
      </c>
      <c r="E165" s="140" t="s">
        <v>187</v>
      </c>
      <c r="F165" s="140" t="s">
        <v>385</v>
      </c>
      <c r="G165" s="140" t="s">
        <v>385</v>
      </c>
      <c r="H165" s="140" t="s">
        <v>385</v>
      </c>
      <c r="I165" s="152" t="s">
        <v>243</v>
      </c>
      <c r="J165" s="140" t="s">
        <v>244</v>
      </c>
      <c r="K165" s="140" t="s">
        <v>266</v>
      </c>
      <c r="L165" s="140" t="s">
        <v>386</v>
      </c>
      <c r="M165" s="140" t="s">
        <v>46</v>
      </c>
      <c r="N165" s="156">
        <v>0</v>
      </c>
      <c r="O165" s="156" t="s">
        <v>47</v>
      </c>
      <c r="P165" s="156"/>
      <c r="Q165" s="158">
        <v>0</v>
      </c>
      <c r="R165" s="158">
        <v>0</v>
      </c>
      <c r="S165" s="158">
        <v>10935</v>
      </c>
      <c r="T165" s="158">
        <f t="shared" si="25"/>
        <v>0</v>
      </c>
      <c r="U165" s="158">
        <f t="shared" si="29"/>
        <v>10935</v>
      </c>
      <c r="V165" s="158">
        <v>0</v>
      </c>
      <c r="W165" s="158">
        <f t="shared" si="30"/>
        <v>10935</v>
      </c>
      <c r="X165" s="158">
        <f t="shared" si="26"/>
        <v>10935</v>
      </c>
      <c r="Y165" s="158">
        <f t="shared" si="31"/>
        <v>0</v>
      </c>
      <c r="Z165" s="158">
        <v>0</v>
      </c>
      <c r="AA165" s="158">
        <f t="shared" si="27"/>
        <v>0</v>
      </c>
      <c r="AB165" s="167">
        <f t="shared" ref="AB165:AB228" si="33">IF(O165="返货",Z165/(1+N165),IF(O165="返现",Z165,IF(O165="折扣",Z165*N165,IF(O165="无",Z165))))</f>
        <v>0</v>
      </c>
      <c r="AC165" s="168">
        <f t="shared" si="28"/>
        <v>0</v>
      </c>
      <c r="AD165" s="158">
        <v>0</v>
      </c>
      <c r="AE165" s="159">
        <v>0</v>
      </c>
      <c r="AF165" s="158">
        <f t="shared" si="23"/>
        <v>0</v>
      </c>
      <c r="AG165" s="158">
        <f t="shared" si="32"/>
        <v>0</v>
      </c>
      <c r="AH165" s="175"/>
      <c r="AI165" s="175"/>
      <c r="AJ165" s="156" t="s">
        <v>47</v>
      </c>
      <c r="AK165" s="140" t="s">
        <v>47</v>
      </c>
      <c r="AL165" s="140" t="s">
        <v>269</v>
      </c>
      <c r="AM165" s="152"/>
    </row>
    <row r="166" s="140" customFormat="1" ht="15" hidden="1" customHeight="1" spans="1:39">
      <c r="A166" s="140">
        <v>2017</v>
      </c>
      <c r="B166" s="140" t="s">
        <v>38</v>
      </c>
      <c r="C166" s="140" t="s">
        <v>54</v>
      </c>
      <c r="D166" s="140" t="s">
        <v>102</v>
      </c>
      <c r="E166" s="140" t="s">
        <v>370</v>
      </c>
      <c r="F166" s="140" t="s">
        <v>387</v>
      </c>
      <c r="G166" s="140" t="s">
        <v>387</v>
      </c>
      <c r="H166" s="140" t="s">
        <v>387</v>
      </c>
      <c r="I166" s="152" t="s">
        <v>243</v>
      </c>
      <c r="J166" s="140" t="s">
        <v>244</v>
      </c>
      <c r="K166" s="140" t="s">
        <v>266</v>
      </c>
      <c r="L166" s="140" t="s">
        <v>388</v>
      </c>
      <c r="M166" s="140" t="s">
        <v>46</v>
      </c>
      <c r="N166" s="156">
        <v>0</v>
      </c>
      <c r="O166" s="156" t="s">
        <v>47</v>
      </c>
      <c r="P166" s="156"/>
      <c r="Q166" s="158">
        <v>0</v>
      </c>
      <c r="R166" s="158">
        <v>0</v>
      </c>
      <c r="S166" s="158">
        <v>31722</v>
      </c>
      <c r="T166" s="158">
        <f t="shared" si="25"/>
        <v>0</v>
      </c>
      <c r="U166" s="158">
        <f t="shared" si="29"/>
        <v>31722</v>
      </c>
      <c r="V166" s="158">
        <v>22090.5</v>
      </c>
      <c r="W166" s="158">
        <f t="shared" si="30"/>
        <v>9631.5</v>
      </c>
      <c r="X166" s="158">
        <f t="shared" si="26"/>
        <v>9631.5</v>
      </c>
      <c r="Y166" s="158">
        <f t="shared" si="31"/>
        <v>0</v>
      </c>
      <c r="Z166" s="158">
        <v>29454</v>
      </c>
      <c r="AA166" s="158">
        <f t="shared" si="27"/>
        <v>-7363.5</v>
      </c>
      <c r="AB166" s="167">
        <f t="shared" si="33"/>
        <v>29454</v>
      </c>
      <c r="AC166" s="168">
        <f t="shared" si="28"/>
        <v>0</v>
      </c>
      <c r="AD166" s="158">
        <v>22090.5</v>
      </c>
      <c r="AE166" s="159">
        <v>0</v>
      </c>
      <c r="AF166" s="158">
        <f t="shared" si="23"/>
        <v>0</v>
      </c>
      <c r="AG166" s="158">
        <f t="shared" si="32"/>
        <v>0</v>
      </c>
      <c r="AH166" s="175"/>
      <c r="AI166" s="175"/>
      <c r="AJ166" s="156" t="s">
        <v>47</v>
      </c>
      <c r="AK166" s="140" t="s">
        <v>120</v>
      </c>
      <c r="AL166" s="140" t="s">
        <v>269</v>
      </c>
      <c r="AM166" s="152"/>
    </row>
    <row r="167" s="140" customFormat="1" ht="15" hidden="1" customHeight="1" spans="1:39">
      <c r="A167" s="140">
        <v>2017</v>
      </c>
      <c r="B167" s="140" t="s">
        <v>199</v>
      </c>
      <c r="C167" s="140" t="s">
        <v>54</v>
      </c>
      <c r="D167" s="140" t="s">
        <v>102</v>
      </c>
      <c r="E167" s="140" t="s">
        <v>103</v>
      </c>
      <c r="F167" s="140" t="s">
        <v>389</v>
      </c>
      <c r="G167" s="140" t="s">
        <v>390</v>
      </c>
      <c r="H167" s="140" t="s">
        <v>391</v>
      </c>
      <c r="I167" s="152" t="s">
        <v>243</v>
      </c>
      <c r="J167" s="140" t="s">
        <v>244</v>
      </c>
      <c r="K167" s="140" t="s">
        <v>266</v>
      </c>
      <c r="L167" s="140" t="s">
        <v>392</v>
      </c>
      <c r="M167" s="140" t="s">
        <v>46</v>
      </c>
      <c r="N167" s="156">
        <v>0</v>
      </c>
      <c r="O167" s="156" t="s">
        <v>47</v>
      </c>
      <c r="P167" s="156"/>
      <c r="Q167" s="158">
        <v>0</v>
      </c>
      <c r="R167" s="158">
        <v>0</v>
      </c>
      <c r="S167" s="158">
        <v>332306.5</v>
      </c>
      <c r="T167" s="158">
        <f t="shared" si="25"/>
        <v>0</v>
      </c>
      <c r="U167" s="158">
        <f t="shared" si="29"/>
        <v>332306.5</v>
      </c>
      <c r="V167" s="158">
        <v>0</v>
      </c>
      <c r="W167" s="158">
        <f t="shared" si="30"/>
        <v>332306.5</v>
      </c>
      <c r="X167" s="158">
        <f t="shared" si="26"/>
        <v>332306.5</v>
      </c>
      <c r="Y167" s="158">
        <f t="shared" si="31"/>
        <v>0</v>
      </c>
      <c r="Z167" s="158">
        <v>0</v>
      </c>
      <c r="AA167" s="158">
        <f t="shared" si="27"/>
        <v>0</v>
      </c>
      <c r="AB167" s="167">
        <f t="shared" si="33"/>
        <v>0</v>
      </c>
      <c r="AC167" s="168">
        <f t="shared" si="28"/>
        <v>0</v>
      </c>
      <c r="AD167" s="158">
        <v>0</v>
      </c>
      <c r="AE167" s="159">
        <v>0</v>
      </c>
      <c r="AF167" s="158">
        <f t="shared" si="23"/>
        <v>0</v>
      </c>
      <c r="AG167" s="158">
        <f t="shared" si="32"/>
        <v>0</v>
      </c>
      <c r="AH167" s="175"/>
      <c r="AI167" s="175"/>
      <c r="AJ167" s="156" t="s">
        <v>47</v>
      </c>
      <c r="AK167" s="140" t="s">
        <v>47</v>
      </c>
      <c r="AL167" s="140" t="s">
        <v>269</v>
      </c>
      <c r="AM167" s="152"/>
    </row>
    <row r="168" s="140" customFormat="1" ht="15" hidden="1" customHeight="1" spans="1:39">
      <c r="A168" s="140">
        <v>2017</v>
      </c>
      <c r="B168" s="140" t="s">
        <v>38</v>
      </c>
      <c r="C168" s="140" t="s">
        <v>54</v>
      </c>
      <c r="D168" s="140" t="s">
        <v>102</v>
      </c>
      <c r="E168" s="140" t="s">
        <v>103</v>
      </c>
      <c r="F168" s="140" t="s">
        <v>393</v>
      </c>
      <c r="G168" s="140" t="s">
        <v>393</v>
      </c>
      <c r="H168" s="140" t="s">
        <v>393</v>
      </c>
      <c r="I168" s="152" t="s">
        <v>243</v>
      </c>
      <c r="J168" s="140" t="s">
        <v>244</v>
      </c>
      <c r="K168" s="140" t="s">
        <v>266</v>
      </c>
      <c r="L168" s="140" t="s">
        <v>394</v>
      </c>
      <c r="M168" s="140" t="s">
        <v>46</v>
      </c>
      <c r="N168" s="156">
        <v>0</v>
      </c>
      <c r="O168" s="156" t="s">
        <v>47</v>
      </c>
      <c r="P168" s="156"/>
      <c r="Q168" s="158">
        <v>0</v>
      </c>
      <c r="R168" s="158">
        <v>0</v>
      </c>
      <c r="S168" s="158">
        <v>57990</v>
      </c>
      <c r="T168" s="158">
        <f t="shared" si="25"/>
        <v>0</v>
      </c>
      <c r="U168" s="158">
        <f t="shared" si="29"/>
        <v>57990</v>
      </c>
      <c r="V168" s="158">
        <v>22794</v>
      </c>
      <c r="W168" s="158">
        <f t="shared" si="30"/>
        <v>35196</v>
      </c>
      <c r="X168" s="158">
        <f t="shared" si="26"/>
        <v>35196</v>
      </c>
      <c r="Y168" s="158">
        <f t="shared" si="31"/>
        <v>0</v>
      </c>
      <c r="Z168" s="158">
        <v>37990</v>
      </c>
      <c r="AA168" s="158">
        <f t="shared" si="27"/>
        <v>-15196</v>
      </c>
      <c r="AB168" s="167">
        <f t="shared" si="33"/>
        <v>37990</v>
      </c>
      <c r="AC168" s="168">
        <f t="shared" si="28"/>
        <v>0</v>
      </c>
      <c r="AD168" s="158">
        <v>22794</v>
      </c>
      <c r="AE168" s="159">
        <v>0</v>
      </c>
      <c r="AF168" s="158">
        <f t="shared" si="23"/>
        <v>0</v>
      </c>
      <c r="AG168" s="158">
        <f t="shared" si="32"/>
        <v>0</v>
      </c>
      <c r="AH168" s="175"/>
      <c r="AI168" s="175"/>
      <c r="AJ168" s="156" t="s">
        <v>47</v>
      </c>
      <c r="AK168" s="140" t="s">
        <v>47</v>
      </c>
      <c r="AL168" s="140" t="s">
        <v>269</v>
      </c>
      <c r="AM168" s="152"/>
    </row>
    <row r="169" s="140" customFormat="1" ht="15" hidden="1" customHeight="1" spans="1:39">
      <c r="A169" s="140">
        <v>2017</v>
      </c>
      <c r="B169" s="140" t="s">
        <v>38</v>
      </c>
      <c r="C169" s="140" t="s">
        <v>54</v>
      </c>
      <c r="D169" s="140" t="s">
        <v>102</v>
      </c>
      <c r="E169" s="140" t="s">
        <v>103</v>
      </c>
      <c r="F169" s="140" t="s">
        <v>395</v>
      </c>
      <c r="G169" s="140" t="s">
        <v>395</v>
      </c>
      <c r="H169" s="140" t="s">
        <v>395</v>
      </c>
      <c r="I169" s="152" t="s">
        <v>243</v>
      </c>
      <c r="J169" s="140" t="s">
        <v>244</v>
      </c>
      <c r="K169" s="140" t="s">
        <v>266</v>
      </c>
      <c r="L169" s="140" t="s">
        <v>395</v>
      </c>
      <c r="M169" s="140" t="s">
        <v>46</v>
      </c>
      <c r="N169" s="156">
        <v>0</v>
      </c>
      <c r="O169" s="156" t="s">
        <v>47</v>
      </c>
      <c r="P169" s="156"/>
      <c r="Q169" s="158">
        <v>0</v>
      </c>
      <c r="R169" s="158">
        <v>0</v>
      </c>
      <c r="S169" s="158">
        <v>186705.5</v>
      </c>
      <c r="T169" s="158">
        <f t="shared" si="25"/>
        <v>0</v>
      </c>
      <c r="U169" s="158">
        <f t="shared" si="29"/>
        <v>186705.5</v>
      </c>
      <c r="V169" s="158">
        <v>133090.5</v>
      </c>
      <c r="W169" s="158">
        <f t="shared" si="30"/>
        <v>53615</v>
      </c>
      <c r="X169" s="158">
        <f t="shared" si="26"/>
        <v>53615</v>
      </c>
      <c r="Y169" s="158">
        <f t="shared" si="31"/>
        <v>0</v>
      </c>
      <c r="Z169" s="158">
        <v>186333</v>
      </c>
      <c r="AA169" s="158">
        <f t="shared" si="27"/>
        <v>-53242.5</v>
      </c>
      <c r="AB169" s="167">
        <f t="shared" si="33"/>
        <v>186333</v>
      </c>
      <c r="AC169" s="168">
        <f t="shared" si="28"/>
        <v>0</v>
      </c>
      <c r="AD169" s="158">
        <v>133090.5</v>
      </c>
      <c r="AE169" s="159">
        <v>0</v>
      </c>
      <c r="AF169" s="158">
        <f t="shared" si="23"/>
        <v>0</v>
      </c>
      <c r="AG169" s="158">
        <f t="shared" si="32"/>
        <v>0</v>
      </c>
      <c r="AH169" s="175"/>
      <c r="AI169" s="175"/>
      <c r="AJ169" s="156" t="s">
        <v>47</v>
      </c>
      <c r="AK169" s="140" t="s">
        <v>47</v>
      </c>
      <c r="AL169" s="140" t="s">
        <v>269</v>
      </c>
      <c r="AM169" s="152"/>
    </row>
    <row r="170" s="140" customFormat="1" ht="15" hidden="1" customHeight="1" spans="1:39">
      <c r="A170" s="140">
        <v>2017</v>
      </c>
      <c r="B170" s="140" t="s">
        <v>38</v>
      </c>
      <c r="C170" s="140" t="s">
        <v>54</v>
      </c>
      <c r="D170" s="140" t="s">
        <v>396</v>
      </c>
      <c r="E170" s="140" t="s">
        <v>64</v>
      </c>
      <c r="F170" s="140" t="s">
        <v>397</v>
      </c>
      <c r="G170" s="140" t="s">
        <v>397</v>
      </c>
      <c r="H170" s="140" t="s">
        <v>397</v>
      </c>
      <c r="I170" s="152" t="s">
        <v>243</v>
      </c>
      <c r="J170" s="140" t="s">
        <v>244</v>
      </c>
      <c r="K170" s="140" t="s">
        <v>266</v>
      </c>
      <c r="L170" s="140" t="s">
        <v>398</v>
      </c>
      <c r="M170" s="140" t="s">
        <v>46</v>
      </c>
      <c r="N170" s="156">
        <v>0</v>
      </c>
      <c r="O170" s="156" t="s">
        <v>47</v>
      </c>
      <c r="P170" s="156"/>
      <c r="Q170" s="158">
        <v>0</v>
      </c>
      <c r="R170" s="158">
        <v>0</v>
      </c>
      <c r="S170" s="158">
        <v>43665</v>
      </c>
      <c r="T170" s="158">
        <f t="shared" si="25"/>
        <v>0</v>
      </c>
      <c r="U170" s="158">
        <f t="shared" si="29"/>
        <v>43665</v>
      </c>
      <c r="V170" s="158">
        <v>26199</v>
      </c>
      <c r="W170" s="158">
        <f t="shared" si="30"/>
        <v>17466</v>
      </c>
      <c r="X170" s="158">
        <f t="shared" si="26"/>
        <v>17466</v>
      </c>
      <c r="Y170" s="158">
        <f t="shared" si="31"/>
        <v>0</v>
      </c>
      <c r="Z170" s="158">
        <v>43665</v>
      </c>
      <c r="AA170" s="158">
        <f t="shared" si="27"/>
        <v>-17466</v>
      </c>
      <c r="AB170" s="167">
        <f t="shared" si="33"/>
        <v>43665</v>
      </c>
      <c r="AC170" s="168">
        <f t="shared" si="28"/>
        <v>0</v>
      </c>
      <c r="AD170" s="158">
        <v>26199</v>
      </c>
      <c r="AE170" s="159">
        <v>0</v>
      </c>
      <c r="AF170" s="158">
        <f t="shared" si="23"/>
        <v>0</v>
      </c>
      <c r="AG170" s="158">
        <f t="shared" si="32"/>
        <v>0</v>
      </c>
      <c r="AH170" s="175"/>
      <c r="AI170" s="175"/>
      <c r="AJ170" s="156" t="s">
        <v>47</v>
      </c>
      <c r="AK170" s="140" t="s">
        <v>47</v>
      </c>
      <c r="AL170" s="140" t="s">
        <v>269</v>
      </c>
      <c r="AM170" s="152"/>
    </row>
    <row r="171" s="140" customFormat="1" ht="15" hidden="1" customHeight="1" spans="1:39">
      <c r="A171" s="140">
        <v>2017</v>
      </c>
      <c r="B171" s="140" t="s">
        <v>38</v>
      </c>
      <c r="C171" s="140" t="s">
        <v>200</v>
      </c>
      <c r="D171" s="140" t="s">
        <v>201</v>
      </c>
      <c r="E171" s="140" t="s">
        <v>399</v>
      </c>
      <c r="F171" s="140" t="s">
        <v>400</v>
      </c>
      <c r="G171" s="140" t="s">
        <v>400</v>
      </c>
      <c r="H171" s="140" t="s">
        <v>400</v>
      </c>
      <c r="I171" s="152" t="s">
        <v>243</v>
      </c>
      <c r="J171" s="140" t="s">
        <v>244</v>
      </c>
      <c r="K171" s="140" t="s">
        <v>266</v>
      </c>
      <c r="L171" s="140" t="s">
        <v>400</v>
      </c>
      <c r="M171" s="140" t="s">
        <v>46</v>
      </c>
      <c r="N171" s="156">
        <v>0</v>
      </c>
      <c r="O171" s="156" t="s">
        <v>47</v>
      </c>
      <c r="P171" s="156"/>
      <c r="Q171" s="158">
        <v>0</v>
      </c>
      <c r="R171" s="158">
        <v>0</v>
      </c>
      <c r="S171" s="158">
        <v>60598</v>
      </c>
      <c r="T171" s="158">
        <f t="shared" si="25"/>
        <v>0</v>
      </c>
      <c r="U171" s="158">
        <f t="shared" si="29"/>
        <v>60598</v>
      </c>
      <c r="V171" s="158">
        <v>44082</v>
      </c>
      <c r="W171" s="158">
        <f t="shared" si="30"/>
        <v>16516</v>
      </c>
      <c r="X171" s="158">
        <f t="shared" si="26"/>
        <v>16516</v>
      </c>
      <c r="Y171" s="158">
        <f t="shared" si="31"/>
        <v>0</v>
      </c>
      <c r="Z171" s="158">
        <v>58776</v>
      </c>
      <c r="AA171" s="158">
        <f t="shared" si="27"/>
        <v>-14694</v>
      </c>
      <c r="AB171" s="167">
        <f t="shared" si="33"/>
        <v>58776</v>
      </c>
      <c r="AC171" s="168">
        <f t="shared" si="28"/>
        <v>0</v>
      </c>
      <c r="AD171" s="158">
        <v>44082</v>
      </c>
      <c r="AE171" s="159">
        <v>0</v>
      </c>
      <c r="AF171" s="158">
        <f t="shared" si="23"/>
        <v>0</v>
      </c>
      <c r="AG171" s="158">
        <f t="shared" si="32"/>
        <v>0</v>
      </c>
      <c r="AH171" s="175"/>
      <c r="AI171" s="175"/>
      <c r="AJ171" s="176">
        <v>0</v>
      </c>
      <c r="AK171" s="140">
        <v>0</v>
      </c>
      <c r="AL171" s="140" t="s">
        <v>269</v>
      </c>
      <c r="AM171" s="152"/>
    </row>
    <row r="172" s="140" customFormat="1" ht="15" hidden="1" customHeight="1" spans="1:39">
      <c r="A172" s="140">
        <v>2017</v>
      </c>
      <c r="B172" s="140" t="s">
        <v>38</v>
      </c>
      <c r="C172" s="140" t="s">
        <v>137</v>
      </c>
      <c r="D172" s="140" t="s">
        <v>138</v>
      </c>
      <c r="E172" s="140" t="s">
        <v>139</v>
      </c>
      <c r="F172" s="140" t="s">
        <v>264</v>
      </c>
      <c r="G172" s="140" t="s">
        <v>265</v>
      </c>
      <c r="H172" s="140" t="s">
        <v>265</v>
      </c>
      <c r="I172" s="152" t="s">
        <v>243</v>
      </c>
      <c r="J172" s="140" t="s">
        <v>244</v>
      </c>
      <c r="K172" s="140" t="s">
        <v>245</v>
      </c>
      <c r="L172" s="140" t="s">
        <v>401</v>
      </c>
      <c r="M172" s="140" t="s">
        <v>46</v>
      </c>
      <c r="N172" s="157">
        <v>0.02</v>
      </c>
      <c r="O172" s="156" t="s">
        <v>51</v>
      </c>
      <c r="P172" s="156"/>
      <c r="Q172" s="158">
        <v>0</v>
      </c>
      <c r="R172" s="158">
        <v>0</v>
      </c>
      <c r="S172" s="158">
        <v>520000</v>
      </c>
      <c r="T172" s="158">
        <f t="shared" si="25"/>
        <v>10400</v>
      </c>
      <c r="U172" s="158">
        <f t="shared" si="29"/>
        <v>530400</v>
      </c>
      <c r="V172" s="158">
        <v>40000</v>
      </c>
      <c r="W172" s="158">
        <f t="shared" si="30"/>
        <v>490400</v>
      </c>
      <c r="X172" s="158">
        <f t="shared" si="26"/>
        <v>480784.31372549</v>
      </c>
      <c r="Y172" s="158">
        <f t="shared" si="31"/>
        <v>9615.68627450982</v>
      </c>
      <c r="Z172" s="158">
        <v>30275.01</v>
      </c>
      <c r="AA172" s="158">
        <f t="shared" si="27"/>
        <v>9724.99</v>
      </c>
      <c r="AB172" s="167">
        <f t="shared" si="33"/>
        <v>29681.3823529412</v>
      </c>
      <c r="AC172" s="168">
        <f t="shared" si="28"/>
        <v>593.627647058824</v>
      </c>
      <c r="AD172" s="158">
        <v>25378.5584946543</v>
      </c>
      <c r="AE172" s="159">
        <v>0.176470588235294</v>
      </c>
      <c r="AF172" s="158">
        <f t="shared" si="23"/>
        <v>4478.56914611546</v>
      </c>
      <c r="AG172" s="158">
        <f t="shared" si="32"/>
        <v>3884.94149905664</v>
      </c>
      <c r="AH172" s="175"/>
      <c r="AI172" s="175"/>
      <c r="AJ172" s="156" t="s">
        <v>173</v>
      </c>
      <c r="AK172" s="177">
        <v>0.02</v>
      </c>
      <c r="AM172" s="152"/>
    </row>
    <row r="173" s="140" customFormat="1" ht="15" hidden="1" customHeight="1" spans="1:39">
      <c r="A173" s="140">
        <v>2017</v>
      </c>
      <c r="B173" s="140" t="s">
        <v>252</v>
      </c>
      <c r="C173" s="140" t="s">
        <v>137</v>
      </c>
      <c r="D173" s="140" t="s">
        <v>270</v>
      </c>
      <c r="E173" s="140" t="s">
        <v>270</v>
      </c>
      <c r="F173" s="140" t="s">
        <v>276</v>
      </c>
      <c r="G173" s="140" t="s">
        <v>402</v>
      </c>
      <c r="H173" s="140" t="s">
        <v>402</v>
      </c>
      <c r="I173" s="152" t="s">
        <v>243</v>
      </c>
      <c r="J173" s="140" t="s">
        <v>244</v>
      </c>
      <c r="K173" s="140" t="s">
        <v>245</v>
      </c>
      <c r="L173" s="140" t="s">
        <v>276</v>
      </c>
      <c r="M173" s="140" t="s">
        <v>46</v>
      </c>
      <c r="N173" s="156">
        <v>0</v>
      </c>
      <c r="O173" s="156" t="s">
        <v>47</v>
      </c>
      <c r="P173" s="156"/>
      <c r="Q173" s="158">
        <v>0</v>
      </c>
      <c r="R173" s="158">
        <v>0</v>
      </c>
      <c r="S173" s="158">
        <v>100000</v>
      </c>
      <c r="T173" s="158">
        <f t="shared" si="25"/>
        <v>0</v>
      </c>
      <c r="U173" s="158">
        <f t="shared" si="29"/>
        <v>100000</v>
      </c>
      <c r="V173" s="158">
        <v>60000</v>
      </c>
      <c r="W173" s="158">
        <f t="shared" si="30"/>
        <v>40000</v>
      </c>
      <c r="X173" s="158">
        <f t="shared" si="26"/>
        <v>40000</v>
      </c>
      <c r="Y173" s="158">
        <f t="shared" si="31"/>
        <v>0</v>
      </c>
      <c r="Z173" s="158">
        <v>28587.2</v>
      </c>
      <c r="AA173" s="158">
        <f t="shared" si="27"/>
        <v>31412.8</v>
      </c>
      <c r="AB173" s="167">
        <f t="shared" si="33"/>
        <v>28587.2</v>
      </c>
      <c r="AC173" s="168">
        <f t="shared" si="28"/>
        <v>0</v>
      </c>
      <c r="AD173" s="158">
        <v>23963.722139097</v>
      </c>
      <c r="AE173" s="159">
        <v>0.176470588235294</v>
      </c>
      <c r="AF173" s="158">
        <f t="shared" si="23"/>
        <v>4228.89214219359</v>
      </c>
      <c r="AG173" s="158">
        <f t="shared" si="32"/>
        <v>4228.89214219359</v>
      </c>
      <c r="AH173" s="175"/>
      <c r="AI173" s="175"/>
      <c r="AJ173" s="156" t="s">
        <v>47</v>
      </c>
      <c r="AK173" s="140" t="s">
        <v>47</v>
      </c>
      <c r="AM173" s="152"/>
    </row>
    <row r="174" s="140" customFormat="1" ht="15" hidden="1" customHeight="1" spans="1:39">
      <c r="A174" s="140">
        <v>2017</v>
      </c>
      <c r="B174" s="140" t="s">
        <v>38</v>
      </c>
      <c r="C174" s="140" t="s">
        <v>137</v>
      </c>
      <c r="D174" s="140" t="s">
        <v>270</v>
      </c>
      <c r="E174" s="140" t="s">
        <v>270</v>
      </c>
      <c r="F174" s="140" t="s">
        <v>271</v>
      </c>
      <c r="G174" s="140" t="s">
        <v>403</v>
      </c>
      <c r="H174" s="140" t="s">
        <v>403</v>
      </c>
      <c r="I174" s="152" t="s">
        <v>243</v>
      </c>
      <c r="J174" s="140" t="s">
        <v>244</v>
      </c>
      <c r="K174" s="140" t="s">
        <v>245</v>
      </c>
      <c r="L174" s="140" t="s">
        <v>404</v>
      </c>
      <c r="M174" s="140" t="s">
        <v>46</v>
      </c>
      <c r="N174" s="157">
        <v>0.02</v>
      </c>
      <c r="O174" s="156" t="s">
        <v>51</v>
      </c>
      <c r="P174" s="156"/>
      <c r="Q174" s="158">
        <v>0</v>
      </c>
      <c r="R174" s="158">
        <v>0</v>
      </c>
      <c r="S174" s="158">
        <v>274400</v>
      </c>
      <c r="T174" s="158">
        <f t="shared" si="25"/>
        <v>5488</v>
      </c>
      <c r="U174" s="158">
        <f t="shared" si="29"/>
        <v>279888</v>
      </c>
      <c r="V174" s="158">
        <v>44597</v>
      </c>
      <c r="W174" s="158">
        <f t="shared" si="30"/>
        <v>235291</v>
      </c>
      <c r="X174" s="158">
        <f t="shared" si="26"/>
        <v>230677.450980392</v>
      </c>
      <c r="Y174" s="158">
        <f t="shared" si="31"/>
        <v>4613.54901960786</v>
      </c>
      <c r="Z174" s="158">
        <v>23559</v>
      </c>
      <c r="AA174" s="158">
        <f t="shared" si="27"/>
        <v>21038</v>
      </c>
      <c r="AB174" s="167">
        <f t="shared" si="33"/>
        <v>23097.0588235294</v>
      </c>
      <c r="AC174" s="168">
        <f t="shared" si="28"/>
        <v>461.941176470587</v>
      </c>
      <c r="AD174" s="158">
        <v>19748.745238253</v>
      </c>
      <c r="AE174" s="159">
        <v>0.176470588235294</v>
      </c>
      <c r="AF174" s="158">
        <f t="shared" si="23"/>
        <v>3485.07268910347</v>
      </c>
      <c r="AG174" s="158">
        <f t="shared" si="32"/>
        <v>3023.13151263288</v>
      </c>
      <c r="AH174" s="175"/>
      <c r="AI174" s="175"/>
      <c r="AJ174" s="156" t="s">
        <v>173</v>
      </c>
      <c r="AK174" s="140" t="s">
        <v>173</v>
      </c>
      <c r="AM174" s="152"/>
    </row>
    <row r="175" s="140" customFormat="1" ht="15" hidden="1" customHeight="1" spans="1:39">
      <c r="A175" s="140">
        <v>2017</v>
      </c>
      <c r="B175" s="140" t="s">
        <v>38</v>
      </c>
      <c r="C175" s="140" t="s">
        <v>88</v>
      </c>
      <c r="D175" s="140" t="s">
        <v>128</v>
      </c>
      <c r="E175" s="140" t="s">
        <v>96</v>
      </c>
      <c r="F175" s="140" t="s">
        <v>274</v>
      </c>
      <c r="G175" s="140" t="s">
        <v>275</v>
      </c>
      <c r="H175" s="140" t="s">
        <v>275</v>
      </c>
      <c r="I175" s="152" t="s">
        <v>243</v>
      </c>
      <c r="J175" s="140" t="s">
        <v>244</v>
      </c>
      <c r="K175" s="140" t="s">
        <v>245</v>
      </c>
      <c r="L175" s="140" t="s">
        <v>274</v>
      </c>
      <c r="M175" s="140" t="s">
        <v>46</v>
      </c>
      <c r="N175" s="157">
        <v>0</v>
      </c>
      <c r="O175" s="156" t="s">
        <v>47</v>
      </c>
      <c r="P175" s="156"/>
      <c r="Q175" s="158">
        <v>0</v>
      </c>
      <c r="R175" s="158">
        <v>0</v>
      </c>
      <c r="S175" s="158">
        <v>65332.76</v>
      </c>
      <c r="T175" s="158">
        <f t="shared" si="25"/>
        <v>0</v>
      </c>
      <c r="U175" s="158">
        <f t="shared" si="29"/>
        <v>65332.76</v>
      </c>
      <c r="V175" s="158">
        <v>0</v>
      </c>
      <c r="W175" s="158">
        <f t="shared" si="30"/>
        <v>65332.76</v>
      </c>
      <c r="X175" s="158">
        <f t="shared" si="26"/>
        <v>65332.76</v>
      </c>
      <c r="Y175" s="158">
        <f t="shared" si="31"/>
        <v>0</v>
      </c>
      <c r="Z175" s="158">
        <v>0</v>
      </c>
      <c r="AA175" s="158">
        <f t="shared" si="27"/>
        <v>0</v>
      </c>
      <c r="AB175" s="167">
        <f t="shared" si="33"/>
        <v>0</v>
      </c>
      <c r="AC175" s="168">
        <f t="shared" si="28"/>
        <v>0</v>
      </c>
      <c r="AD175" s="158">
        <v>0</v>
      </c>
      <c r="AE175" s="159">
        <v>0.176470588235294</v>
      </c>
      <c r="AF175" s="158">
        <f t="shared" ref="AF175:AF238" si="34">AD175*AE175</f>
        <v>0</v>
      </c>
      <c r="AG175" s="158">
        <f t="shared" si="32"/>
        <v>0</v>
      </c>
      <c r="AH175" s="175"/>
      <c r="AI175" s="175"/>
      <c r="AJ175" s="176">
        <v>0</v>
      </c>
      <c r="AK175" s="140" t="s">
        <v>120</v>
      </c>
      <c r="AM175" s="152"/>
    </row>
    <row r="176" s="140" customFormat="1" ht="15" hidden="1" customHeight="1" spans="1:39">
      <c r="A176" s="140">
        <v>2017</v>
      </c>
      <c r="B176" s="140" t="s">
        <v>38</v>
      </c>
      <c r="C176" s="140" t="s">
        <v>88</v>
      </c>
      <c r="D176" s="140" t="s">
        <v>128</v>
      </c>
      <c r="E176" s="140" t="s">
        <v>124</v>
      </c>
      <c r="F176" s="140" t="s">
        <v>169</v>
      </c>
      <c r="G176" s="140" t="s">
        <v>169</v>
      </c>
      <c r="H176" s="140" t="s">
        <v>169</v>
      </c>
      <c r="I176" s="152" t="s">
        <v>243</v>
      </c>
      <c r="J176" s="140" t="s">
        <v>244</v>
      </c>
      <c r="K176" s="140" t="s">
        <v>245</v>
      </c>
      <c r="L176" s="140" t="s">
        <v>169</v>
      </c>
      <c r="M176" s="140" t="s">
        <v>46</v>
      </c>
      <c r="N176" s="156">
        <v>0</v>
      </c>
      <c r="O176" s="156" t="s">
        <v>47</v>
      </c>
      <c r="P176" s="156"/>
      <c r="Q176" s="158">
        <v>0</v>
      </c>
      <c r="R176" s="158">
        <v>0</v>
      </c>
      <c r="S176" s="158">
        <v>20000</v>
      </c>
      <c r="T176" s="158">
        <f t="shared" si="25"/>
        <v>0</v>
      </c>
      <c r="U176" s="158">
        <f t="shared" si="29"/>
        <v>20000</v>
      </c>
      <c r="V176" s="158">
        <v>20000</v>
      </c>
      <c r="W176" s="158">
        <f t="shared" si="30"/>
        <v>0</v>
      </c>
      <c r="X176" s="158">
        <f t="shared" si="26"/>
        <v>0</v>
      </c>
      <c r="Y176" s="158">
        <f t="shared" si="31"/>
        <v>0</v>
      </c>
      <c r="Z176" s="158">
        <v>20006</v>
      </c>
      <c r="AA176" s="158">
        <f t="shared" si="27"/>
        <v>-6</v>
      </c>
      <c r="AB176" s="167">
        <f t="shared" si="33"/>
        <v>20006</v>
      </c>
      <c r="AC176" s="168">
        <f t="shared" si="28"/>
        <v>0</v>
      </c>
      <c r="AD176" s="158">
        <v>16770.3806289099</v>
      </c>
      <c r="AE176" s="159">
        <v>0.176470588235294</v>
      </c>
      <c r="AF176" s="158">
        <f t="shared" si="34"/>
        <v>2959.47893451351</v>
      </c>
      <c r="AG176" s="158">
        <f t="shared" si="32"/>
        <v>2959.47893451351</v>
      </c>
      <c r="AH176" s="175"/>
      <c r="AI176" s="175"/>
      <c r="AJ176" s="156" t="s">
        <v>47</v>
      </c>
      <c r="AK176" s="140" t="s">
        <v>47</v>
      </c>
      <c r="AM176" s="152"/>
    </row>
    <row r="177" s="140" customFormat="1" ht="15" hidden="1" customHeight="1" spans="1:39">
      <c r="A177" s="140">
        <v>2017</v>
      </c>
      <c r="B177" s="140" t="s">
        <v>38</v>
      </c>
      <c r="C177" s="140" t="s">
        <v>88</v>
      </c>
      <c r="D177" s="140" t="s">
        <v>128</v>
      </c>
      <c r="E177" s="140" t="s">
        <v>277</v>
      </c>
      <c r="F177" s="140" t="s">
        <v>405</v>
      </c>
      <c r="G177" s="140" t="s">
        <v>405</v>
      </c>
      <c r="H177" s="140" t="s">
        <v>405</v>
      </c>
      <c r="I177" s="152" t="s">
        <v>243</v>
      </c>
      <c r="J177" s="140" t="s">
        <v>244</v>
      </c>
      <c r="K177" s="140" t="s">
        <v>245</v>
      </c>
      <c r="L177" s="140" t="s">
        <v>406</v>
      </c>
      <c r="M177" s="140" t="s">
        <v>46</v>
      </c>
      <c r="N177" s="156">
        <v>0</v>
      </c>
      <c r="O177" s="156" t="s">
        <v>47</v>
      </c>
      <c r="P177" s="156"/>
      <c r="Q177" s="158">
        <v>0</v>
      </c>
      <c r="R177" s="158">
        <v>0</v>
      </c>
      <c r="S177" s="158">
        <v>20000</v>
      </c>
      <c r="T177" s="158">
        <f t="shared" si="25"/>
        <v>0</v>
      </c>
      <c r="U177" s="158">
        <f t="shared" si="29"/>
        <v>20000</v>
      </c>
      <c r="V177" s="158">
        <v>20000</v>
      </c>
      <c r="W177" s="158">
        <f t="shared" si="30"/>
        <v>0</v>
      </c>
      <c r="X177" s="158">
        <f t="shared" si="26"/>
        <v>0</v>
      </c>
      <c r="Y177" s="158">
        <f t="shared" si="31"/>
        <v>0</v>
      </c>
      <c r="Z177" s="158">
        <v>20000</v>
      </c>
      <c r="AA177" s="158">
        <f t="shared" si="27"/>
        <v>0</v>
      </c>
      <c r="AB177" s="167">
        <f t="shared" si="33"/>
        <v>20000</v>
      </c>
      <c r="AC177" s="168">
        <f t="shared" si="28"/>
        <v>0</v>
      </c>
      <c r="AD177" s="158">
        <v>16765.3510236029</v>
      </c>
      <c r="AE177" s="159">
        <v>0.176470588235294</v>
      </c>
      <c r="AF177" s="158">
        <f t="shared" si="34"/>
        <v>2958.59135710639</v>
      </c>
      <c r="AG177" s="158">
        <f t="shared" si="32"/>
        <v>2958.59135710639</v>
      </c>
      <c r="AH177" s="175"/>
      <c r="AI177" s="175"/>
      <c r="AJ177" s="156" t="s">
        <v>47</v>
      </c>
      <c r="AK177" s="140" t="s">
        <v>47</v>
      </c>
      <c r="AM177" s="152"/>
    </row>
    <row r="178" s="140" customFormat="1" ht="15" hidden="1" customHeight="1" spans="1:39">
      <c r="A178" s="140">
        <v>2017</v>
      </c>
      <c r="B178" s="140" t="s">
        <v>38</v>
      </c>
      <c r="C178" s="140" t="s">
        <v>88</v>
      </c>
      <c r="D178" s="140" t="s">
        <v>128</v>
      </c>
      <c r="E178" s="140" t="s">
        <v>277</v>
      </c>
      <c r="F178" s="140" t="s">
        <v>278</v>
      </c>
      <c r="G178" s="140" t="s">
        <v>278</v>
      </c>
      <c r="H178" s="140" t="s">
        <v>278</v>
      </c>
      <c r="I178" s="152" t="s">
        <v>243</v>
      </c>
      <c r="J178" s="140" t="s">
        <v>244</v>
      </c>
      <c r="K178" s="140" t="s">
        <v>245</v>
      </c>
      <c r="L178" s="140" t="s">
        <v>279</v>
      </c>
      <c r="M178" s="140" t="s">
        <v>46</v>
      </c>
      <c r="N178" s="157">
        <v>0.02</v>
      </c>
      <c r="O178" s="156" t="s">
        <v>51</v>
      </c>
      <c r="P178" s="156"/>
      <c r="Q178" s="158">
        <v>0</v>
      </c>
      <c r="R178" s="158">
        <v>0</v>
      </c>
      <c r="S178" s="158">
        <v>20009</v>
      </c>
      <c r="T178" s="158">
        <f t="shared" si="25"/>
        <v>400.18</v>
      </c>
      <c r="U178" s="158">
        <f t="shared" si="29"/>
        <v>20409.18</v>
      </c>
      <c r="V178" s="158">
        <v>25000</v>
      </c>
      <c r="W178" s="158">
        <f t="shared" si="30"/>
        <v>-4590.82</v>
      </c>
      <c r="X178" s="158">
        <f t="shared" si="26"/>
        <v>-4500.80392156863</v>
      </c>
      <c r="Y178" s="158">
        <f t="shared" si="31"/>
        <v>-90.016078431373</v>
      </c>
      <c r="Z178" s="158">
        <v>15580.3</v>
      </c>
      <c r="AA178" s="158">
        <f t="shared" si="27"/>
        <v>9419.7</v>
      </c>
      <c r="AB178" s="167">
        <f t="shared" si="33"/>
        <v>15274.8039215686</v>
      </c>
      <c r="AC178" s="168">
        <f t="shared" si="28"/>
        <v>305.496078431373</v>
      </c>
      <c r="AD178" s="158">
        <v>13060.459927652</v>
      </c>
      <c r="AE178" s="159">
        <v>0.176470588235294</v>
      </c>
      <c r="AF178" s="158">
        <f t="shared" si="34"/>
        <v>2304.78704605623</v>
      </c>
      <c r="AG178" s="158">
        <f t="shared" si="32"/>
        <v>1999.29096762486</v>
      </c>
      <c r="AH178" s="175"/>
      <c r="AI178" s="175"/>
      <c r="AJ178" s="156" t="s">
        <v>173</v>
      </c>
      <c r="AK178" s="140" t="s">
        <v>173</v>
      </c>
      <c r="AM178" s="152"/>
    </row>
    <row r="179" s="140" customFormat="1" ht="15" hidden="1" customHeight="1" spans="1:39">
      <c r="A179" s="140">
        <v>2017</v>
      </c>
      <c r="B179" s="140" t="s">
        <v>199</v>
      </c>
      <c r="C179" s="140" t="s">
        <v>88</v>
      </c>
      <c r="D179" s="140" t="s">
        <v>95</v>
      </c>
      <c r="E179" s="140" t="s">
        <v>98</v>
      </c>
      <c r="F179" s="140" t="s">
        <v>407</v>
      </c>
      <c r="G179" s="140" t="s">
        <v>408</v>
      </c>
      <c r="H179" s="140" t="s">
        <v>408</v>
      </c>
      <c r="I179" s="152" t="s">
        <v>243</v>
      </c>
      <c r="J179" s="140" t="s">
        <v>244</v>
      </c>
      <c r="K179" s="140" t="s">
        <v>245</v>
      </c>
      <c r="L179" s="140" t="s">
        <v>407</v>
      </c>
      <c r="M179" s="140" t="s">
        <v>46</v>
      </c>
      <c r="N179" s="156">
        <v>0</v>
      </c>
      <c r="O179" s="156" t="s">
        <v>47</v>
      </c>
      <c r="P179" s="156"/>
      <c r="Q179" s="158">
        <v>0</v>
      </c>
      <c r="R179" s="158">
        <v>0</v>
      </c>
      <c r="S179" s="158">
        <v>50000</v>
      </c>
      <c r="T179" s="158">
        <f t="shared" si="25"/>
        <v>0</v>
      </c>
      <c r="U179" s="158">
        <f t="shared" si="29"/>
        <v>50000</v>
      </c>
      <c r="V179" s="158">
        <v>50000</v>
      </c>
      <c r="W179" s="158">
        <f t="shared" si="30"/>
        <v>0</v>
      </c>
      <c r="X179" s="158">
        <f t="shared" si="26"/>
        <v>0</v>
      </c>
      <c r="Y179" s="158">
        <f t="shared" si="31"/>
        <v>0</v>
      </c>
      <c r="Z179" s="158">
        <v>36919</v>
      </c>
      <c r="AA179" s="158">
        <f t="shared" si="27"/>
        <v>13081</v>
      </c>
      <c r="AB179" s="167">
        <f t="shared" si="33"/>
        <v>36919</v>
      </c>
      <c r="AC179" s="168">
        <f t="shared" si="28"/>
        <v>0</v>
      </c>
      <c r="AD179" s="158">
        <v>30947.9997220197</v>
      </c>
      <c r="AE179" s="159">
        <v>0.176470588235294</v>
      </c>
      <c r="AF179" s="158">
        <f t="shared" si="34"/>
        <v>5461.41171565053</v>
      </c>
      <c r="AG179" s="158">
        <f t="shared" si="32"/>
        <v>5461.41171565053</v>
      </c>
      <c r="AH179" s="175"/>
      <c r="AI179" s="175"/>
      <c r="AJ179" s="156" t="s">
        <v>47</v>
      </c>
      <c r="AK179" s="140" t="s">
        <v>47</v>
      </c>
      <c r="AM179" s="152"/>
    </row>
    <row r="180" s="140" customFormat="1" ht="15" hidden="1" customHeight="1" spans="1:39">
      <c r="A180" s="140">
        <v>2017</v>
      </c>
      <c r="B180" s="140" t="s">
        <v>38</v>
      </c>
      <c r="C180" s="140" t="s">
        <v>88</v>
      </c>
      <c r="D180" s="140" t="s">
        <v>95</v>
      </c>
      <c r="E180" s="140" t="s">
        <v>98</v>
      </c>
      <c r="F180" s="140" t="s">
        <v>409</v>
      </c>
      <c r="G180" s="140" t="s">
        <v>409</v>
      </c>
      <c r="H180" s="140" t="s">
        <v>409</v>
      </c>
      <c r="I180" s="152" t="s">
        <v>243</v>
      </c>
      <c r="J180" s="140" t="s">
        <v>244</v>
      </c>
      <c r="K180" s="140" t="s">
        <v>245</v>
      </c>
      <c r="L180" s="140" t="s">
        <v>409</v>
      </c>
      <c r="M180" s="140" t="s">
        <v>46</v>
      </c>
      <c r="N180" s="156">
        <v>0</v>
      </c>
      <c r="O180" s="156" t="s">
        <v>47</v>
      </c>
      <c r="P180" s="156"/>
      <c r="Q180" s="158">
        <v>0</v>
      </c>
      <c r="R180" s="158">
        <v>0</v>
      </c>
      <c r="S180" s="158">
        <v>20000</v>
      </c>
      <c r="T180" s="158">
        <f t="shared" si="25"/>
        <v>0</v>
      </c>
      <c r="U180" s="158">
        <f t="shared" si="29"/>
        <v>20000</v>
      </c>
      <c r="V180" s="158">
        <v>20000</v>
      </c>
      <c r="W180" s="158">
        <f t="shared" si="30"/>
        <v>0</v>
      </c>
      <c r="X180" s="158">
        <f t="shared" si="26"/>
        <v>0</v>
      </c>
      <c r="Y180" s="158">
        <f t="shared" si="31"/>
        <v>0</v>
      </c>
      <c r="Z180" s="158">
        <v>1652.4</v>
      </c>
      <c r="AA180" s="158">
        <f t="shared" si="27"/>
        <v>18347.6</v>
      </c>
      <c r="AB180" s="167">
        <f t="shared" si="33"/>
        <v>1652.4</v>
      </c>
      <c r="AC180" s="168">
        <f t="shared" si="28"/>
        <v>0</v>
      </c>
      <c r="AD180" s="158">
        <v>1385.15330157007</v>
      </c>
      <c r="AE180" s="159">
        <v>0.176470588235294</v>
      </c>
      <c r="AF180" s="158">
        <f t="shared" si="34"/>
        <v>244.43881792413</v>
      </c>
      <c r="AG180" s="158">
        <f t="shared" si="32"/>
        <v>244.43881792413</v>
      </c>
      <c r="AH180" s="175"/>
      <c r="AI180" s="175"/>
      <c r="AJ180" s="156" t="s">
        <v>47</v>
      </c>
      <c r="AK180" s="140" t="s">
        <v>47</v>
      </c>
      <c r="AM180" s="152"/>
    </row>
    <row r="181" s="140" customFormat="1" ht="15" hidden="1" customHeight="1" spans="1:39">
      <c r="A181" s="140">
        <v>2017</v>
      </c>
      <c r="B181" s="140" t="s">
        <v>38</v>
      </c>
      <c r="C181" s="140" t="s">
        <v>88</v>
      </c>
      <c r="D181" s="140" t="s">
        <v>95</v>
      </c>
      <c r="E181" s="140" t="s">
        <v>98</v>
      </c>
      <c r="F181" s="140" t="s">
        <v>410</v>
      </c>
      <c r="G181" s="140" t="s">
        <v>410</v>
      </c>
      <c r="H181" s="140" t="s">
        <v>410</v>
      </c>
      <c r="I181" s="152" t="s">
        <v>243</v>
      </c>
      <c r="J181" s="140" t="s">
        <v>244</v>
      </c>
      <c r="K181" s="140" t="s">
        <v>245</v>
      </c>
      <c r="L181" s="140" t="s">
        <v>410</v>
      </c>
      <c r="M181" s="140" t="s">
        <v>46</v>
      </c>
      <c r="N181" s="156">
        <v>0</v>
      </c>
      <c r="O181" s="156" t="s">
        <v>47</v>
      </c>
      <c r="P181" s="156"/>
      <c r="Q181" s="158">
        <v>0</v>
      </c>
      <c r="R181" s="158">
        <v>0</v>
      </c>
      <c r="S181" s="158">
        <v>20000</v>
      </c>
      <c r="T181" s="158">
        <f t="shared" si="25"/>
        <v>0</v>
      </c>
      <c r="U181" s="158">
        <f t="shared" si="29"/>
        <v>20000</v>
      </c>
      <c r="V181" s="158">
        <v>20000</v>
      </c>
      <c r="W181" s="158">
        <f t="shared" si="30"/>
        <v>0</v>
      </c>
      <c r="X181" s="158">
        <f t="shared" si="26"/>
        <v>0</v>
      </c>
      <c r="Y181" s="158">
        <f t="shared" si="31"/>
        <v>0</v>
      </c>
      <c r="Z181" s="158">
        <v>20000</v>
      </c>
      <c r="AA181" s="158">
        <f t="shared" si="27"/>
        <v>0</v>
      </c>
      <c r="AB181" s="167">
        <f t="shared" si="33"/>
        <v>20000</v>
      </c>
      <c r="AC181" s="168">
        <f t="shared" si="28"/>
        <v>0</v>
      </c>
      <c r="AD181" s="158">
        <v>16765.3510236029</v>
      </c>
      <c r="AE181" s="159">
        <v>0.176470588235294</v>
      </c>
      <c r="AF181" s="158">
        <f t="shared" si="34"/>
        <v>2958.59135710639</v>
      </c>
      <c r="AG181" s="158">
        <f t="shared" si="32"/>
        <v>2958.59135710639</v>
      </c>
      <c r="AH181" s="175"/>
      <c r="AI181" s="175"/>
      <c r="AJ181" s="156" t="s">
        <v>47</v>
      </c>
      <c r="AK181" s="140" t="s">
        <v>47</v>
      </c>
      <c r="AM181" s="152"/>
    </row>
    <row r="182" s="140" customFormat="1" ht="15" hidden="1" customHeight="1" spans="1:39">
      <c r="A182" s="140">
        <v>2017</v>
      </c>
      <c r="B182" s="140" t="s">
        <v>38</v>
      </c>
      <c r="C182" s="140" t="s">
        <v>88</v>
      </c>
      <c r="D182" s="140" t="s">
        <v>95</v>
      </c>
      <c r="E182" s="140" t="s">
        <v>98</v>
      </c>
      <c r="F182" s="140" t="s">
        <v>411</v>
      </c>
      <c r="G182" s="140" t="s">
        <v>411</v>
      </c>
      <c r="H182" s="140" t="s">
        <v>411</v>
      </c>
      <c r="I182" s="152" t="s">
        <v>243</v>
      </c>
      <c r="J182" s="140" t="s">
        <v>244</v>
      </c>
      <c r="K182" s="140" t="s">
        <v>245</v>
      </c>
      <c r="L182" s="140" t="s">
        <v>411</v>
      </c>
      <c r="M182" s="140" t="s">
        <v>46</v>
      </c>
      <c r="N182" s="157">
        <v>0</v>
      </c>
      <c r="O182" s="156" t="s">
        <v>47</v>
      </c>
      <c r="P182" s="156"/>
      <c r="Q182" s="158">
        <v>0</v>
      </c>
      <c r="R182" s="158">
        <v>0</v>
      </c>
      <c r="S182" s="158">
        <v>50000</v>
      </c>
      <c r="T182" s="158">
        <f t="shared" si="25"/>
        <v>0</v>
      </c>
      <c r="U182" s="158">
        <f t="shared" si="29"/>
        <v>50000</v>
      </c>
      <c r="V182" s="158">
        <v>50000</v>
      </c>
      <c r="W182" s="158">
        <f t="shared" si="30"/>
        <v>0</v>
      </c>
      <c r="X182" s="158">
        <f t="shared" si="26"/>
        <v>0</v>
      </c>
      <c r="Y182" s="158">
        <f t="shared" si="31"/>
        <v>0</v>
      </c>
      <c r="Z182" s="158">
        <v>18739.93</v>
      </c>
      <c r="AA182" s="158">
        <f t="shared" si="27"/>
        <v>31260.07</v>
      </c>
      <c r="AB182" s="167">
        <f t="shared" si="33"/>
        <v>18739.93</v>
      </c>
      <c r="AC182" s="168">
        <f t="shared" si="28"/>
        <v>0</v>
      </c>
      <c r="AD182" s="158">
        <v>15709.0752303873</v>
      </c>
      <c r="AE182" s="159">
        <v>0.176470588235294</v>
      </c>
      <c r="AF182" s="158">
        <f t="shared" si="34"/>
        <v>2772.18974653893</v>
      </c>
      <c r="AG182" s="158">
        <f t="shared" si="32"/>
        <v>2772.18974653893</v>
      </c>
      <c r="AH182" s="175"/>
      <c r="AI182" s="175"/>
      <c r="AJ182" s="156" t="s">
        <v>47</v>
      </c>
      <c r="AK182" s="140" t="s">
        <v>47</v>
      </c>
      <c r="AM182" s="152"/>
    </row>
    <row r="183" s="140" customFormat="1" ht="15" hidden="1" customHeight="1" spans="1:39">
      <c r="A183" s="140">
        <v>2017</v>
      </c>
      <c r="B183" s="140" t="s">
        <v>38</v>
      </c>
      <c r="C183" s="140" t="s">
        <v>88</v>
      </c>
      <c r="D183" s="140" t="s">
        <v>95</v>
      </c>
      <c r="E183" s="140" t="s">
        <v>98</v>
      </c>
      <c r="F183" s="140" t="s">
        <v>412</v>
      </c>
      <c r="G183" s="140" t="s">
        <v>412</v>
      </c>
      <c r="H183" s="140" t="s">
        <v>412</v>
      </c>
      <c r="I183" s="152" t="s">
        <v>243</v>
      </c>
      <c r="J183" s="140" t="s">
        <v>244</v>
      </c>
      <c r="K183" s="140" t="s">
        <v>245</v>
      </c>
      <c r="L183" s="140" t="s">
        <v>412</v>
      </c>
      <c r="M183" s="140" t="s">
        <v>46</v>
      </c>
      <c r="N183" s="157">
        <v>0</v>
      </c>
      <c r="O183" s="156" t="s">
        <v>47</v>
      </c>
      <c r="P183" s="156"/>
      <c r="Q183" s="158">
        <v>0</v>
      </c>
      <c r="R183" s="158">
        <v>0</v>
      </c>
      <c r="S183" s="158">
        <v>50000</v>
      </c>
      <c r="T183" s="158">
        <f t="shared" si="25"/>
        <v>0</v>
      </c>
      <c r="U183" s="158">
        <f t="shared" si="29"/>
        <v>50000</v>
      </c>
      <c r="V183" s="158">
        <v>50000</v>
      </c>
      <c r="W183" s="158">
        <f t="shared" si="30"/>
        <v>0</v>
      </c>
      <c r="X183" s="158">
        <f t="shared" si="26"/>
        <v>0</v>
      </c>
      <c r="Y183" s="158">
        <f t="shared" si="31"/>
        <v>0</v>
      </c>
      <c r="Z183" s="158">
        <v>16354.94</v>
      </c>
      <c r="AA183" s="158">
        <f t="shared" si="27"/>
        <v>33645.06</v>
      </c>
      <c r="AB183" s="167">
        <f t="shared" si="33"/>
        <v>16354.94</v>
      </c>
      <c r="AC183" s="168">
        <f t="shared" si="28"/>
        <v>0</v>
      </c>
      <c r="AD183" s="158">
        <v>13709.8155034982</v>
      </c>
      <c r="AE183" s="159">
        <v>0.176470588235294</v>
      </c>
      <c r="AF183" s="158">
        <f t="shared" si="34"/>
        <v>2419.37920649968</v>
      </c>
      <c r="AG183" s="158">
        <f t="shared" si="32"/>
        <v>2419.37920649968</v>
      </c>
      <c r="AH183" s="175"/>
      <c r="AI183" s="175"/>
      <c r="AJ183" s="156" t="s">
        <v>47</v>
      </c>
      <c r="AK183" s="140" t="s">
        <v>47</v>
      </c>
      <c r="AM183" s="152"/>
    </row>
    <row r="184" s="140" customFormat="1" ht="15" hidden="1" customHeight="1" spans="1:39">
      <c r="A184" s="140">
        <v>2017</v>
      </c>
      <c r="B184" s="140" t="s">
        <v>38</v>
      </c>
      <c r="C184" s="140" t="s">
        <v>110</v>
      </c>
      <c r="D184" s="140" t="s">
        <v>280</v>
      </c>
      <c r="E184" s="140" t="s">
        <v>281</v>
      </c>
      <c r="F184" s="140" t="s">
        <v>282</v>
      </c>
      <c r="G184" s="140" t="s">
        <v>282</v>
      </c>
      <c r="H184" s="140" t="s">
        <v>282</v>
      </c>
      <c r="I184" s="152" t="s">
        <v>243</v>
      </c>
      <c r="J184" s="140" t="s">
        <v>244</v>
      </c>
      <c r="K184" s="140" t="s">
        <v>245</v>
      </c>
      <c r="L184" s="140" t="s">
        <v>283</v>
      </c>
      <c r="M184" s="140" t="s">
        <v>46</v>
      </c>
      <c r="N184" s="156">
        <v>0</v>
      </c>
      <c r="O184" s="156" t="s">
        <v>47</v>
      </c>
      <c r="P184" s="156"/>
      <c r="Q184" s="158">
        <v>0</v>
      </c>
      <c r="R184" s="158">
        <v>0</v>
      </c>
      <c r="S184" s="158">
        <v>1200000</v>
      </c>
      <c r="T184" s="158">
        <f t="shared" si="25"/>
        <v>0</v>
      </c>
      <c r="U184" s="158">
        <f t="shared" si="29"/>
        <v>1200000</v>
      </c>
      <c r="V184" s="158">
        <v>1082000</v>
      </c>
      <c r="W184" s="158">
        <f t="shared" si="30"/>
        <v>118000</v>
      </c>
      <c r="X184" s="158">
        <f t="shared" si="26"/>
        <v>118000</v>
      </c>
      <c r="Y184" s="158">
        <f t="shared" si="31"/>
        <v>0</v>
      </c>
      <c r="Z184" s="158">
        <v>1023512.2</v>
      </c>
      <c r="AA184" s="158">
        <f t="shared" si="27"/>
        <v>58487.8</v>
      </c>
      <c r="AB184" s="167">
        <f t="shared" si="33"/>
        <v>1023512.2</v>
      </c>
      <c r="AC184" s="168">
        <f t="shared" si="28"/>
        <v>0</v>
      </c>
      <c r="AD184" s="158">
        <v>857977.065497001</v>
      </c>
      <c r="AE184" s="159">
        <v>0.176470588235294</v>
      </c>
      <c r="AF184" s="158">
        <f t="shared" si="34"/>
        <v>151407.717440647</v>
      </c>
      <c r="AG184" s="158">
        <f t="shared" si="32"/>
        <v>151407.717440647</v>
      </c>
      <c r="AH184" s="175"/>
      <c r="AI184" s="175"/>
      <c r="AJ184" s="156" t="s">
        <v>47</v>
      </c>
      <c r="AK184" s="140" t="s">
        <v>120</v>
      </c>
      <c r="AM184" s="152"/>
    </row>
    <row r="185" s="140" customFormat="1" ht="15" hidden="1" customHeight="1" spans="1:39">
      <c r="A185" s="140">
        <v>2017</v>
      </c>
      <c r="B185" s="140" t="s">
        <v>252</v>
      </c>
      <c r="C185" s="140" t="s">
        <v>110</v>
      </c>
      <c r="D185" s="140" t="s">
        <v>111</v>
      </c>
      <c r="E185" s="140" t="s">
        <v>112</v>
      </c>
      <c r="F185" s="140" t="s">
        <v>413</v>
      </c>
      <c r="G185" s="140" t="s">
        <v>414</v>
      </c>
      <c r="H185" s="140" t="s">
        <v>414</v>
      </c>
      <c r="I185" s="152" t="s">
        <v>243</v>
      </c>
      <c r="J185" s="140" t="s">
        <v>244</v>
      </c>
      <c r="K185" s="140" t="s">
        <v>245</v>
      </c>
      <c r="L185" s="140" t="s">
        <v>415</v>
      </c>
      <c r="M185" s="140" t="s">
        <v>46</v>
      </c>
      <c r="N185" s="157">
        <v>0</v>
      </c>
      <c r="O185" s="156" t="s">
        <v>47</v>
      </c>
      <c r="P185" s="156"/>
      <c r="Q185" s="158">
        <v>0</v>
      </c>
      <c r="R185" s="158">
        <v>0</v>
      </c>
      <c r="S185" s="158">
        <v>50000</v>
      </c>
      <c r="T185" s="158">
        <f t="shared" si="25"/>
        <v>0</v>
      </c>
      <c r="U185" s="158">
        <f t="shared" si="29"/>
        <v>50000</v>
      </c>
      <c r="V185" s="158">
        <v>50000</v>
      </c>
      <c r="W185" s="158">
        <f t="shared" si="30"/>
        <v>0</v>
      </c>
      <c r="X185" s="158">
        <f t="shared" si="26"/>
        <v>0</v>
      </c>
      <c r="Y185" s="158">
        <f t="shared" si="31"/>
        <v>0</v>
      </c>
      <c r="Z185" s="158">
        <v>50000</v>
      </c>
      <c r="AA185" s="158">
        <f t="shared" si="27"/>
        <v>0</v>
      </c>
      <c r="AB185" s="167">
        <f t="shared" si="33"/>
        <v>50000</v>
      </c>
      <c r="AC185" s="168">
        <f t="shared" si="28"/>
        <v>0</v>
      </c>
      <c r="AD185" s="158">
        <v>41913.3775590071</v>
      </c>
      <c r="AE185" s="159">
        <v>0.176470588235294</v>
      </c>
      <c r="AF185" s="158">
        <f t="shared" si="34"/>
        <v>7396.47839276595</v>
      </c>
      <c r="AG185" s="158">
        <f t="shared" si="32"/>
        <v>7396.47839276595</v>
      </c>
      <c r="AH185" s="175"/>
      <c r="AI185" s="175"/>
      <c r="AJ185" s="176">
        <v>0</v>
      </c>
      <c r="AK185" s="140">
        <v>0</v>
      </c>
      <c r="AM185" s="152"/>
    </row>
    <row r="186" s="140" customFormat="1" ht="15" hidden="1" customHeight="1" spans="1:39">
      <c r="A186" s="140">
        <v>2017</v>
      </c>
      <c r="B186" s="140" t="s">
        <v>252</v>
      </c>
      <c r="C186" s="140" t="s">
        <v>110</v>
      </c>
      <c r="D186" s="140" t="s">
        <v>111</v>
      </c>
      <c r="E186" s="140" t="s">
        <v>112</v>
      </c>
      <c r="F186" s="140" t="s">
        <v>284</v>
      </c>
      <c r="G186" s="140" t="s">
        <v>285</v>
      </c>
      <c r="H186" s="140" t="s">
        <v>285</v>
      </c>
      <c r="I186" s="152" t="s">
        <v>243</v>
      </c>
      <c r="J186" s="140" t="s">
        <v>244</v>
      </c>
      <c r="K186" s="140" t="s">
        <v>245</v>
      </c>
      <c r="L186" s="140" t="s">
        <v>284</v>
      </c>
      <c r="M186" s="140" t="s">
        <v>46</v>
      </c>
      <c r="N186" s="156">
        <v>0</v>
      </c>
      <c r="O186" s="156" t="s">
        <v>47</v>
      </c>
      <c r="P186" s="156"/>
      <c r="Q186" s="158">
        <v>0</v>
      </c>
      <c r="R186" s="158">
        <v>0</v>
      </c>
      <c r="S186" s="158">
        <v>6494.5</v>
      </c>
      <c r="T186" s="158">
        <f t="shared" si="25"/>
        <v>0</v>
      </c>
      <c r="U186" s="158">
        <f t="shared" si="29"/>
        <v>6494.5</v>
      </c>
      <c r="V186" s="158">
        <v>15000</v>
      </c>
      <c r="W186" s="158">
        <f t="shared" si="30"/>
        <v>-8505.5</v>
      </c>
      <c r="X186" s="158">
        <f t="shared" si="26"/>
        <v>-8505.5</v>
      </c>
      <c r="Y186" s="158">
        <f t="shared" si="31"/>
        <v>0</v>
      </c>
      <c r="Z186" s="158">
        <v>6494.5</v>
      </c>
      <c r="AA186" s="158">
        <f t="shared" si="27"/>
        <v>8505.5</v>
      </c>
      <c r="AB186" s="167">
        <f t="shared" si="33"/>
        <v>6494.5</v>
      </c>
      <c r="AC186" s="168">
        <f t="shared" si="28"/>
        <v>0</v>
      </c>
      <c r="AD186" s="158">
        <v>5444.12861113944</v>
      </c>
      <c r="AE186" s="159">
        <v>0.176470588235294</v>
      </c>
      <c r="AF186" s="158">
        <f t="shared" si="34"/>
        <v>960.728578436371</v>
      </c>
      <c r="AG186" s="158">
        <f t="shared" si="32"/>
        <v>960.728578436371</v>
      </c>
      <c r="AH186" s="175"/>
      <c r="AI186" s="175"/>
      <c r="AJ186" s="156" t="s">
        <v>47</v>
      </c>
      <c r="AK186" s="140" t="s">
        <v>47</v>
      </c>
      <c r="AM186" s="152"/>
    </row>
    <row r="187" s="140" customFormat="1" ht="15" hidden="1" customHeight="1" spans="1:39">
      <c r="A187" s="140">
        <v>2017</v>
      </c>
      <c r="B187" s="140" t="s">
        <v>199</v>
      </c>
      <c r="C187" s="140" t="s">
        <v>110</v>
      </c>
      <c r="D187" s="140" t="s">
        <v>111</v>
      </c>
      <c r="E187" s="140" t="s">
        <v>281</v>
      </c>
      <c r="F187" s="140" t="s">
        <v>416</v>
      </c>
      <c r="G187" s="140" t="s">
        <v>417</v>
      </c>
      <c r="H187" s="140" t="s">
        <v>417</v>
      </c>
      <c r="I187" s="152" t="s">
        <v>243</v>
      </c>
      <c r="J187" s="140" t="s">
        <v>244</v>
      </c>
      <c r="K187" s="140" t="s">
        <v>245</v>
      </c>
      <c r="L187" s="140" t="s">
        <v>416</v>
      </c>
      <c r="M187" s="140" t="s">
        <v>46</v>
      </c>
      <c r="N187" s="156">
        <v>0</v>
      </c>
      <c r="O187" s="156" t="s">
        <v>47</v>
      </c>
      <c r="P187" s="156"/>
      <c r="Q187" s="158">
        <v>0</v>
      </c>
      <c r="R187" s="158">
        <v>0</v>
      </c>
      <c r="S187" s="158">
        <v>10000</v>
      </c>
      <c r="T187" s="158">
        <f t="shared" si="25"/>
        <v>0</v>
      </c>
      <c r="U187" s="158">
        <f t="shared" si="29"/>
        <v>10000</v>
      </c>
      <c r="V187" s="158">
        <v>10000</v>
      </c>
      <c r="W187" s="158">
        <f t="shared" si="30"/>
        <v>0</v>
      </c>
      <c r="X187" s="158">
        <f t="shared" si="26"/>
        <v>0</v>
      </c>
      <c r="Y187" s="158">
        <f t="shared" si="31"/>
        <v>0</v>
      </c>
      <c r="Z187" s="158">
        <v>4052</v>
      </c>
      <c r="AA187" s="158">
        <f t="shared" si="27"/>
        <v>5948</v>
      </c>
      <c r="AB187" s="167">
        <f t="shared" si="33"/>
        <v>4052</v>
      </c>
      <c r="AC187" s="168">
        <f t="shared" si="28"/>
        <v>0</v>
      </c>
      <c r="AD187" s="158">
        <v>3396.66011738194</v>
      </c>
      <c r="AE187" s="159">
        <v>0.176470588235294</v>
      </c>
      <c r="AF187" s="158">
        <f t="shared" si="34"/>
        <v>599.410608949754</v>
      </c>
      <c r="AG187" s="158">
        <f t="shared" si="32"/>
        <v>599.410608949754</v>
      </c>
      <c r="AH187" s="175"/>
      <c r="AI187" s="175"/>
      <c r="AJ187" s="156" t="s">
        <v>47</v>
      </c>
      <c r="AK187" s="140" t="s">
        <v>47</v>
      </c>
      <c r="AM187" s="152"/>
    </row>
    <row r="188" s="140" customFormat="1" ht="15" hidden="1" customHeight="1" spans="1:39">
      <c r="A188" s="140">
        <v>2017</v>
      </c>
      <c r="B188" s="140" t="s">
        <v>252</v>
      </c>
      <c r="C188" s="140" t="s">
        <v>110</v>
      </c>
      <c r="D188" s="140" t="s">
        <v>111</v>
      </c>
      <c r="E188" s="140" t="s">
        <v>281</v>
      </c>
      <c r="F188" s="140" t="s">
        <v>286</v>
      </c>
      <c r="G188" s="140" t="s">
        <v>287</v>
      </c>
      <c r="H188" s="140" t="s">
        <v>287</v>
      </c>
      <c r="I188" s="152" t="s">
        <v>243</v>
      </c>
      <c r="J188" s="140" t="s">
        <v>244</v>
      </c>
      <c r="K188" s="140" t="s">
        <v>245</v>
      </c>
      <c r="L188" s="140" t="s">
        <v>286</v>
      </c>
      <c r="M188" s="140" t="s">
        <v>46</v>
      </c>
      <c r="N188" s="156">
        <v>0</v>
      </c>
      <c r="O188" s="156" t="s">
        <v>47</v>
      </c>
      <c r="P188" s="156"/>
      <c r="Q188" s="158">
        <v>0</v>
      </c>
      <c r="R188" s="158">
        <v>0</v>
      </c>
      <c r="S188" s="158">
        <v>110000</v>
      </c>
      <c r="T188" s="158">
        <f t="shared" si="25"/>
        <v>0</v>
      </c>
      <c r="U188" s="158">
        <f t="shared" si="29"/>
        <v>110000</v>
      </c>
      <c r="V188" s="158">
        <v>125000</v>
      </c>
      <c r="W188" s="158">
        <f t="shared" si="30"/>
        <v>-15000</v>
      </c>
      <c r="X188" s="158">
        <f t="shared" si="26"/>
        <v>-15000</v>
      </c>
      <c r="Y188" s="158">
        <f t="shared" si="31"/>
        <v>0</v>
      </c>
      <c r="Z188" s="158">
        <v>85409.4</v>
      </c>
      <c r="AA188" s="158">
        <f t="shared" si="27"/>
        <v>39590.6</v>
      </c>
      <c r="AB188" s="167">
        <f t="shared" si="33"/>
        <v>85409.4</v>
      </c>
      <c r="AC188" s="168">
        <f t="shared" si="28"/>
        <v>0</v>
      </c>
      <c r="AD188" s="158">
        <v>71595.9285857653</v>
      </c>
      <c r="AE188" s="159">
        <v>0.176470588235294</v>
      </c>
      <c r="AF188" s="158">
        <f t="shared" si="34"/>
        <v>12634.5756327821</v>
      </c>
      <c r="AG188" s="158">
        <f t="shared" ref="AG188:AG201" si="35">AB188-Z188+AF188</f>
        <v>12634.5756327821</v>
      </c>
      <c r="AH188" s="175"/>
      <c r="AI188" s="175"/>
      <c r="AJ188" s="156" t="s">
        <v>47</v>
      </c>
      <c r="AK188" s="140" t="s">
        <v>47</v>
      </c>
      <c r="AM188" s="152"/>
    </row>
    <row r="189" s="140" customFormat="1" ht="15" hidden="1" customHeight="1" spans="1:39">
      <c r="A189" s="140">
        <v>2017</v>
      </c>
      <c r="B189" s="140" t="s">
        <v>252</v>
      </c>
      <c r="C189" s="140" t="s">
        <v>110</v>
      </c>
      <c r="D189" s="140" t="s">
        <v>111</v>
      </c>
      <c r="E189" s="140" t="s">
        <v>281</v>
      </c>
      <c r="F189" s="140" t="s">
        <v>418</v>
      </c>
      <c r="G189" s="140" t="s">
        <v>419</v>
      </c>
      <c r="H189" s="140" t="s">
        <v>420</v>
      </c>
      <c r="I189" s="152" t="s">
        <v>243</v>
      </c>
      <c r="J189" s="140" t="s">
        <v>244</v>
      </c>
      <c r="K189" s="140" t="s">
        <v>245</v>
      </c>
      <c r="L189" s="140" t="s">
        <v>418</v>
      </c>
      <c r="M189" s="140" t="s">
        <v>46</v>
      </c>
      <c r="N189" s="156">
        <v>0</v>
      </c>
      <c r="O189" s="156" t="s">
        <v>47</v>
      </c>
      <c r="P189" s="156"/>
      <c r="Q189" s="158">
        <v>0</v>
      </c>
      <c r="R189" s="158">
        <v>0</v>
      </c>
      <c r="S189" s="158">
        <v>110219</v>
      </c>
      <c r="T189" s="158">
        <f t="shared" si="25"/>
        <v>0</v>
      </c>
      <c r="U189" s="158">
        <f t="shared" si="29"/>
        <v>110219</v>
      </c>
      <c r="V189" s="158">
        <v>10001</v>
      </c>
      <c r="W189" s="158">
        <f t="shared" si="30"/>
        <v>100218</v>
      </c>
      <c r="X189" s="158">
        <f t="shared" si="26"/>
        <v>100218</v>
      </c>
      <c r="Y189" s="158">
        <f t="shared" si="31"/>
        <v>0</v>
      </c>
      <c r="Z189" s="158">
        <v>8622</v>
      </c>
      <c r="AA189" s="158">
        <f t="shared" si="27"/>
        <v>1379</v>
      </c>
      <c r="AB189" s="167">
        <f t="shared" si="33"/>
        <v>8622</v>
      </c>
      <c r="AC189" s="168">
        <f t="shared" si="28"/>
        <v>0</v>
      </c>
      <c r="AD189" s="158">
        <v>7227.54282627519</v>
      </c>
      <c r="AE189" s="159">
        <v>0.176470588235294</v>
      </c>
      <c r="AF189" s="158">
        <f t="shared" si="34"/>
        <v>1275.44873404856</v>
      </c>
      <c r="AG189" s="158">
        <f t="shared" si="35"/>
        <v>1275.44873404856</v>
      </c>
      <c r="AH189" s="175"/>
      <c r="AI189" s="175"/>
      <c r="AJ189" s="176">
        <v>0</v>
      </c>
      <c r="AK189" s="140">
        <v>0</v>
      </c>
      <c r="AM189" s="152"/>
    </row>
    <row r="190" s="140" customFormat="1" ht="15" hidden="1" customHeight="1" spans="1:39">
      <c r="A190" s="140">
        <v>2017</v>
      </c>
      <c r="B190" s="140" t="s">
        <v>38</v>
      </c>
      <c r="C190" s="140" t="s">
        <v>88</v>
      </c>
      <c r="D190" s="140" t="s">
        <v>89</v>
      </c>
      <c r="E190" s="140" t="s">
        <v>124</v>
      </c>
      <c r="F190" s="140" t="s">
        <v>421</v>
      </c>
      <c r="G190" s="140" t="s">
        <v>422</v>
      </c>
      <c r="H190" s="140" t="s">
        <v>422</v>
      </c>
      <c r="I190" s="152" t="s">
        <v>243</v>
      </c>
      <c r="J190" s="140" t="s">
        <v>244</v>
      </c>
      <c r="K190" s="140" t="s">
        <v>245</v>
      </c>
      <c r="L190" s="140" t="s">
        <v>421</v>
      </c>
      <c r="M190" s="140" t="s">
        <v>46</v>
      </c>
      <c r="N190" s="156">
        <v>0</v>
      </c>
      <c r="O190" s="156" t="s">
        <v>47</v>
      </c>
      <c r="P190" s="156"/>
      <c r="Q190" s="158">
        <v>0</v>
      </c>
      <c r="R190" s="158">
        <v>0</v>
      </c>
      <c r="S190" s="158">
        <v>20000</v>
      </c>
      <c r="T190" s="158">
        <f t="shared" si="25"/>
        <v>0</v>
      </c>
      <c r="U190" s="158">
        <f t="shared" si="29"/>
        <v>20000</v>
      </c>
      <c r="V190" s="158">
        <v>10001</v>
      </c>
      <c r="W190" s="158">
        <f t="shared" si="30"/>
        <v>9999</v>
      </c>
      <c r="X190" s="158">
        <f t="shared" si="26"/>
        <v>9999</v>
      </c>
      <c r="Y190" s="158">
        <f t="shared" si="31"/>
        <v>0</v>
      </c>
      <c r="Z190" s="158">
        <v>5932</v>
      </c>
      <c r="AA190" s="158">
        <f t="shared" si="27"/>
        <v>4069</v>
      </c>
      <c r="AB190" s="167">
        <f t="shared" si="33"/>
        <v>5932</v>
      </c>
      <c r="AC190" s="168">
        <f t="shared" si="28"/>
        <v>0</v>
      </c>
      <c r="AD190" s="158">
        <v>4972.60311360061</v>
      </c>
      <c r="AE190" s="159">
        <v>0.176470588235294</v>
      </c>
      <c r="AF190" s="158">
        <f t="shared" si="34"/>
        <v>877.518196517754</v>
      </c>
      <c r="AG190" s="158">
        <f t="shared" si="35"/>
        <v>877.518196517754</v>
      </c>
      <c r="AH190" s="175"/>
      <c r="AI190" s="175"/>
      <c r="AJ190" s="156" t="s">
        <v>47</v>
      </c>
      <c r="AK190" s="140" t="s">
        <v>47</v>
      </c>
      <c r="AM190" s="152"/>
    </row>
    <row r="191" s="140" customFormat="1" ht="15" hidden="1" customHeight="1" spans="1:39">
      <c r="A191" s="140">
        <v>2017</v>
      </c>
      <c r="B191" s="140" t="s">
        <v>38</v>
      </c>
      <c r="C191" s="140" t="s">
        <v>88</v>
      </c>
      <c r="D191" s="140" t="s">
        <v>89</v>
      </c>
      <c r="E191" s="140" t="s">
        <v>124</v>
      </c>
      <c r="F191" s="140" t="s">
        <v>125</v>
      </c>
      <c r="G191" s="140" t="s">
        <v>125</v>
      </c>
      <c r="H191" s="140" t="s">
        <v>125</v>
      </c>
      <c r="I191" s="152" t="s">
        <v>243</v>
      </c>
      <c r="J191" s="140" t="s">
        <v>244</v>
      </c>
      <c r="K191" s="140" t="s">
        <v>245</v>
      </c>
      <c r="L191" s="140" t="s">
        <v>125</v>
      </c>
      <c r="M191" s="140" t="s">
        <v>46</v>
      </c>
      <c r="N191" s="156">
        <v>0</v>
      </c>
      <c r="O191" s="156" t="s">
        <v>47</v>
      </c>
      <c r="P191" s="156"/>
      <c r="Q191" s="158">
        <v>0</v>
      </c>
      <c r="R191" s="158">
        <v>0</v>
      </c>
      <c r="S191" s="158">
        <v>40000</v>
      </c>
      <c r="T191" s="158">
        <f t="shared" si="25"/>
        <v>0</v>
      </c>
      <c r="U191" s="158">
        <f t="shared" si="29"/>
        <v>40000</v>
      </c>
      <c r="V191" s="158">
        <v>20000</v>
      </c>
      <c r="W191" s="158">
        <f t="shared" si="30"/>
        <v>20000</v>
      </c>
      <c r="X191" s="158">
        <f t="shared" si="26"/>
        <v>20000</v>
      </c>
      <c r="Y191" s="158">
        <f t="shared" si="31"/>
        <v>0</v>
      </c>
      <c r="Z191" s="158">
        <v>3309</v>
      </c>
      <c r="AA191" s="158">
        <f t="shared" si="27"/>
        <v>16691</v>
      </c>
      <c r="AB191" s="167">
        <f t="shared" si="33"/>
        <v>3309</v>
      </c>
      <c r="AC191" s="168">
        <f t="shared" si="28"/>
        <v>0</v>
      </c>
      <c r="AD191" s="158">
        <v>2773.82732685509</v>
      </c>
      <c r="AE191" s="159">
        <v>0.176470588235294</v>
      </c>
      <c r="AF191" s="158">
        <f t="shared" si="34"/>
        <v>489.498940033251</v>
      </c>
      <c r="AG191" s="158">
        <f t="shared" si="35"/>
        <v>489.498940033251</v>
      </c>
      <c r="AH191" s="175"/>
      <c r="AI191" s="175"/>
      <c r="AJ191" s="157">
        <v>0</v>
      </c>
      <c r="AK191" s="140" t="s">
        <v>47</v>
      </c>
      <c r="AM191" s="152"/>
    </row>
    <row r="192" s="140" customFormat="1" ht="15" hidden="1" customHeight="1" spans="1:39">
      <c r="A192" s="140">
        <v>2017</v>
      </c>
      <c r="B192" s="140" t="s">
        <v>38</v>
      </c>
      <c r="C192" s="140" t="s">
        <v>88</v>
      </c>
      <c r="D192" s="140" t="s">
        <v>89</v>
      </c>
      <c r="E192" s="140" t="s">
        <v>124</v>
      </c>
      <c r="F192" s="140" t="s">
        <v>423</v>
      </c>
      <c r="G192" s="140" t="s">
        <v>423</v>
      </c>
      <c r="H192" s="140" t="s">
        <v>423</v>
      </c>
      <c r="I192" s="152" t="s">
        <v>243</v>
      </c>
      <c r="J192" s="140" t="s">
        <v>244</v>
      </c>
      <c r="K192" s="140" t="s">
        <v>245</v>
      </c>
      <c r="L192" s="140" t="s">
        <v>424</v>
      </c>
      <c r="M192" s="140" t="s">
        <v>46</v>
      </c>
      <c r="N192" s="156">
        <v>0</v>
      </c>
      <c r="O192" s="156" t="s">
        <v>47</v>
      </c>
      <c r="P192" s="156"/>
      <c r="Q192" s="158">
        <v>0</v>
      </c>
      <c r="R192" s="158">
        <v>0</v>
      </c>
      <c r="S192" s="158">
        <v>20000</v>
      </c>
      <c r="T192" s="158">
        <f t="shared" si="25"/>
        <v>0</v>
      </c>
      <c r="U192" s="158">
        <f t="shared" si="29"/>
        <v>20000</v>
      </c>
      <c r="V192" s="158">
        <v>20000</v>
      </c>
      <c r="W192" s="158">
        <f t="shared" si="30"/>
        <v>0</v>
      </c>
      <c r="X192" s="158">
        <f t="shared" si="26"/>
        <v>0</v>
      </c>
      <c r="Y192" s="158">
        <f t="shared" si="31"/>
        <v>0</v>
      </c>
      <c r="Z192" s="158">
        <v>2722.5</v>
      </c>
      <c r="AA192" s="158">
        <f t="shared" si="27"/>
        <v>17277.5</v>
      </c>
      <c r="AB192" s="167">
        <f t="shared" si="33"/>
        <v>2722.5</v>
      </c>
      <c r="AC192" s="168">
        <f t="shared" si="28"/>
        <v>0</v>
      </c>
      <c r="AD192" s="158">
        <v>2282.18340808794</v>
      </c>
      <c r="AE192" s="159">
        <v>0.176470588235294</v>
      </c>
      <c r="AF192" s="158">
        <f t="shared" si="34"/>
        <v>402.738248486107</v>
      </c>
      <c r="AG192" s="158">
        <f t="shared" si="35"/>
        <v>402.738248486107</v>
      </c>
      <c r="AH192" s="175"/>
      <c r="AI192" s="175"/>
      <c r="AJ192" s="156" t="s">
        <v>47</v>
      </c>
      <c r="AK192" s="140" t="s">
        <v>47</v>
      </c>
      <c r="AM192" s="152"/>
    </row>
    <row r="193" s="140" customFormat="1" ht="15" hidden="1" customHeight="1" spans="1:39">
      <c r="A193" s="140">
        <v>2017</v>
      </c>
      <c r="B193" s="140" t="s">
        <v>38</v>
      </c>
      <c r="C193" s="140" t="s">
        <v>88</v>
      </c>
      <c r="D193" s="140" t="s">
        <v>89</v>
      </c>
      <c r="E193" s="140" t="s">
        <v>124</v>
      </c>
      <c r="F193" s="140" t="s">
        <v>425</v>
      </c>
      <c r="G193" s="140" t="s">
        <v>425</v>
      </c>
      <c r="H193" s="140" t="s">
        <v>425</v>
      </c>
      <c r="I193" s="152" t="s">
        <v>243</v>
      </c>
      <c r="J193" s="140" t="s">
        <v>244</v>
      </c>
      <c r="K193" s="140" t="s">
        <v>245</v>
      </c>
      <c r="L193" s="140" t="s">
        <v>426</v>
      </c>
      <c r="M193" s="140" t="s">
        <v>46</v>
      </c>
      <c r="N193" s="156">
        <v>0</v>
      </c>
      <c r="O193" s="156" t="s">
        <v>47</v>
      </c>
      <c r="P193" s="156"/>
      <c r="Q193" s="158">
        <v>0</v>
      </c>
      <c r="R193" s="158">
        <v>0</v>
      </c>
      <c r="S193" s="158">
        <v>190000</v>
      </c>
      <c r="T193" s="158">
        <f t="shared" si="25"/>
        <v>0</v>
      </c>
      <c r="U193" s="158">
        <f t="shared" si="29"/>
        <v>190000</v>
      </c>
      <c r="V193" s="158">
        <v>190000</v>
      </c>
      <c r="W193" s="158">
        <f t="shared" si="30"/>
        <v>0</v>
      </c>
      <c r="X193" s="158">
        <f t="shared" si="26"/>
        <v>0</v>
      </c>
      <c r="Y193" s="158">
        <f t="shared" si="31"/>
        <v>0</v>
      </c>
      <c r="Z193" s="158">
        <v>100339.32</v>
      </c>
      <c r="AA193" s="158">
        <f t="shared" si="27"/>
        <v>89660.68</v>
      </c>
      <c r="AB193" s="167">
        <f t="shared" si="33"/>
        <v>100339.32</v>
      </c>
      <c r="AC193" s="168">
        <f t="shared" si="28"/>
        <v>0</v>
      </c>
      <c r="AD193" s="158">
        <v>84111.1960634807</v>
      </c>
      <c r="AE193" s="159">
        <v>0.176470588235294</v>
      </c>
      <c r="AF193" s="158">
        <f t="shared" si="34"/>
        <v>14843.1522464966</v>
      </c>
      <c r="AG193" s="158">
        <f t="shared" si="35"/>
        <v>14843.1522464966</v>
      </c>
      <c r="AH193" s="175"/>
      <c r="AI193" s="175"/>
      <c r="AJ193" s="156" t="s">
        <v>47</v>
      </c>
      <c r="AK193" s="140" t="s">
        <v>47</v>
      </c>
      <c r="AM193" s="152"/>
    </row>
    <row r="194" s="140" customFormat="1" ht="15" hidden="1" customHeight="1" spans="1:39">
      <c r="A194" s="140">
        <v>2017</v>
      </c>
      <c r="B194" s="140" t="s">
        <v>38</v>
      </c>
      <c r="C194" s="140" t="s">
        <v>88</v>
      </c>
      <c r="D194" s="140" t="s">
        <v>89</v>
      </c>
      <c r="E194" s="140" t="s">
        <v>124</v>
      </c>
      <c r="F194" s="140" t="s">
        <v>427</v>
      </c>
      <c r="G194" s="140" t="s">
        <v>427</v>
      </c>
      <c r="H194" s="140" t="s">
        <v>427</v>
      </c>
      <c r="I194" s="152" t="s">
        <v>243</v>
      </c>
      <c r="J194" s="140" t="s">
        <v>244</v>
      </c>
      <c r="K194" s="140" t="s">
        <v>245</v>
      </c>
      <c r="L194" s="140" t="s">
        <v>427</v>
      </c>
      <c r="M194" s="140" t="s">
        <v>46</v>
      </c>
      <c r="N194" s="156">
        <v>0</v>
      </c>
      <c r="O194" s="156" t="s">
        <v>47</v>
      </c>
      <c r="P194" s="156"/>
      <c r="Q194" s="158">
        <v>0</v>
      </c>
      <c r="R194" s="158">
        <v>0</v>
      </c>
      <c r="S194" s="158">
        <v>170000</v>
      </c>
      <c r="T194" s="158">
        <f t="shared" ref="T194:T257" si="36">S194*N194</f>
        <v>0</v>
      </c>
      <c r="U194" s="158">
        <f t="shared" si="29"/>
        <v>170000</v>
      </c>
      <c r="V194" s="158">
        <v>70000</v>
      </c>
      <c r="W194" s="158">
        <f t="shared" si="30"/>
        <v>100000</v>
      </c>
      <c r="X194" s="158">
        <f t="shared" ref="X194:X257" si="37">W194/(1+N194)</f>
        <v>100000</v>
      </c>
      <c r="Y194" s="158">
        <f t="shared" si="31"/>
        <v>0</v>
      </c>
      <c r="Z194" s="158">
        <v>61127.2</v>
      </c>
      <c r="AA194" s="158">
        <f t="shared" ref="AA194:AA257" si="38">Q194+V194-Z194</f>
        <v>8872.8</v>
      </c>
      <c r="AB194" s="167">
        <f t="shared" si="33"/>
        <v>61127.2</v>
      </c>
      <c r="AC194" s="168">
        <f t="shared" ref="AC194:AC257" si="39">IF(O194="返现",Z194*N194,Z194-AB194)</f>
        <v>0</v>
      </c>
      <c r="AD194" s="158">
        <v>51240.9482544988</v>
      </c>
      <c r="AE194" s="159">
        <v>0.176470588235294</v>
      </c>
      <c r="AF194" s="158">
        <f t="shared" si="34"/>
        <v>9042.52028020566</v>
      </c>
      <c r="AG194" s="158">
        <f t="shared" si="35"/>
        <v>9042.52028020566</v>
      </c>
      <c r="AH194" s="175"/>
      <c r="AI194" s="175"/>
      <c r="AJ194" s="156" t="s">
        <v>47</v>
      </c>
      <c r="AK194" s="140" t="s">
        <v>47</v>
      </c>
      <c r="AM194" s="152"/>
    </row>
    <row r="195" s="140" customFormat="1" ht="15" hidden="1" customHeight="1" spans="1:39">
      <c r="A195" s="140">
        <v>2017</v>
      </c>
      <c r="B195" s="140" t="s">
        <v>38</v>
      </c>
      <c r="C195" s="140" t="s">
        <v>88</v>
      </c>
      <c r="D195" s="140" t="s">
        <v>89</v>
      </c>
      <c r="E195" s="140" t="s">
        <v>124</v>
      </c>
      <c r="F195" s="140" t="s">
        <v>428</v>
      </c>
      <c r="G195" s="140" t="s">
        <v>428</v>
      </c>
      <c r="H195" s="140" t="s">
        <v>428</v>
      </c>
      <c r="I195" s="152" t="s">
        <v>243</v>
      </c>
      <c r="J195" s="140" t="s">
        <v>244</v>
      </c>
      <c r="K195" s="140" t="s">
        <v>245</v>
      </c>
      <c r="L195" s="140" t="s">
        <v>429</v>
      </c>
      <c r="M195" s="140" t="s">
        <v>46</v>
      </c>
      <c r="N195" s="156">
        <v>0</v>
      </c>
      <c r="O195" s="156" t="s">
        <v>47</v>
      </c>
      <c r="P195" s="156"/>
      <c r="Q195" s="158">
        <v>0</v>
      </c>
      <c r="R195" s="158">
        <v>0</v>
      </c>
      <c r="S195" s="158">
        <v>5000</v>
      </c>
      <c r="T195" s="158">
        <f t="shared" si="36"/>
        <v>0</v>
      </c>
      <c r="U195" s="158">
        <f t="shared" ref="U195:U258" si="40">R195+S195+T195</f>
        <v>5000</v>
      </c>
      <c r="V195" s="158">
        <v>5000</v>
      </c>
      <c r="W195" s="158">
        <f t="shared" ref="W195:W258" si="41">U195-V195</f>
        <v>0</v>
      </c>
      <c r="X195" s="158">
        <f t="shared" si="37"/>
        <v>0</v>
      </c>
      <c r="Y195" s="158">
        <f t="shared" ref="Y195:Y258" si="42">W195-X195</f>
        <v>0</v>
      </c>
      <c r="Z195" s="158">
        <v>3498.5</v>
      </c>
      <c r="AA195" s="158">
        <f t="shared" si="38"/>
        <v>1501.5</v>
      </c>
      <c r="AB195" s="167">
        <f t="shared" si="33"/>
        <v>3498.5</v>
      </c>
      <c r="AC195" s="168">
        <f t="shared" si="39"/>
        <v>0</v>
      </c>
      <c r="AD195" s="158">
        <v>2932.67902780373</v>
      </c>
      <c r="AE195" s="159">
        <v>0.176470588235294</v>
      </c>
      <c r="AF195" s="158">
        <f t="shared" si="34"/>
        <v>517.531593141834</v>
      </c>
      <c r="AG195" s="158">
        <f t="shared" si="35"/>
        <v>517.531593141834</v>
      </c>
      <c r="AH195" s="175"/>
      <c r="AI195" s="175"/>
      <c r="AJ195" s="156" t="s">
        <v>47</v>
      </c>
      <c r="AK195" s="140" t="s">
        <v>47</v>
      </c>
      <c r="AM195" s="152"/>
    </row>
    <row r="196" s="140" customFormat="1" ht="15" hidden="1" customHeight="1" spans="1:39">
      <c r="A196" s="140">
        <v>2017</v>
      </c>
      <c r="B196" s="140" t="s">
        <v>38</v>
      </c>
      <c r="C196" s="140" t="s">
        <v>88</v>
      </c>
      <c r="D196" s="140" t="s">
        <v>89</v>
      </c>
      <c r="E196" s="140" t="s">
        <v>124</v>
      </c>
      <c r="F196" s="140" t="s">
        <v>430</v>
      </c>
      <c r="G196" s="140" t="s">
        <v>431</v>
      </c>
      <c r="H196" s="140" t="s">
        <v>431</v>
      </c>
      <c r="I196" s="152" t="s">
        <v>243</v>
      </c>
      <c r="J196" s="140" t="s">
        <v>244</v>
      </c>
      <c r="K196" s="140" t="s">
        <v>245</v>
      </c>
      <c r="L196" s="140" t="s">
        <v>432</v>
      </c>
      <c r="M196" s="140" t="s">
        <v>46</v>
      </c>
      <c r="N196" s="156">
        <v>0</v>
      </c>
      <c r="O196" s="156" t="s">
        <v>47</v>
      </c>
      <c r="P196" s="156"/>
      <c r="Q196" s="158">
        <v>0</v>
      </c>
      <c r="R196" s="158">
        <v>0</v>
      </c>
      <c r="S196" s="158">
        <v>60000</v>
      </c>
      <c r="T196" s="158">
        <f t="shared" si="36"/>
        <v>0</v>
      </c>
      <c r="U196" s="158">
        <f t="shared" si="40"/>
        <v>60000</v>
      </c>
      <c r="V196" s="158">
        <v>20000</v>
      </c>
      <c r="W196" s="158">
        <f t="shared" si="41"/>
        <v>40000</v>
      </c>
      <c r="X196" s="158">
        <f t="shared" si="37"/>
        <v>40000</v>
      </c>
      <c r="Y196" s="158">
        <f t="shared" si="42"/>
        <v>0</v>
      </c>
      <c r="Z196" s="158">
        <v>10500.3</v>
      </c>
      <c r="AA196" s="158">
        <f t="shared" si="38"/>
        <v>9499.7</v>
      </c>
      <c r="AB196" s="167">
        <f t="shared" si="33"/>
        <v>10500.3</v>
      </c>
      <c r="AC196" s="168">
        <f t="shared" si="39"/>
        <v>0</v>
      </c>
      <c r="AD196" s="158">
        <v>8802.06076765685</v>
      </c>
      <c r="AE196" s="159">
        <v>0.176470588235294</v>
      </c>
      <c r="AF196" s="158">
        <f t="shared" si="34"/>
        <v>1553.30484135121</v>
      </c>
      <c r="AG196" s="158">
        <f t="shared" si="35"/>
        <v>1553.30484135121</v>
      </c>
      <c r="AH196" s="175"/>
      <c r="AI196" s="175"/>
      <c r="AJ196" s="156" t="s">
        <v>47</v>
      </c>
      <c r="AK196" s="140" t="s">
        <v>47</v>
      </c>
      <c r="AM196" s="152"/>
    </row>
    <row r="197" s="140" customFormat="1" ht="15" hidden="1" customHeight="1" spans="1:39">
      <c r="A197" s="140">
        <v>2017</v>
      </c>
      <c r="B197" s="140" t="s">
        <v>199</v>
      </c>
      <c r="C197" s="140" t="s">
        <v>88</v>
      </c>
      <c r="D197" s="140" t="s">
        <v>89</v>
      </c>
      <c r="E197" s="140" t="s">
        <v>277</v>
      </c>
      <c r="F197" s="140" t="s">
        <v>288</v>
      </c>
      <c r="G197" s="140" t="s">
        <v>289</v>
      </c>
      <c r="H197" s="140" t="s">
        <v>289</v>
      </c>
      <c r="I197" s="152" t="s">
        <v>243</v>
      </c>
      <c r="J197" s="140" t="s">
        <v>244</v>
      </c>
      <c r="K197" s="140" t="s">
        <v>245</v>
      </c>
      <c r="L197" s="140" t="s">
        <v>288</v>
      </c>
      <c r="M197" s="140" t="s">
        <v>46</v>
      </c>
      <c r="N197" s="156">
        <v>0</v>
      </c>
      <c r="O197" s="156" t="s">
        <v>47</v>
      </c>
      <c r="P197" s="156"/>
      <c r="Q197" s="158">
        <v>0</v>
      </c>
      <c r="R197" s="158">
        <v>0</v>
      </c>
      <c r="S197" s="158">
        <v>28037</v>
      </c>
      <c r="T197" s="158">
        <f t="shared" si="36"/>
        <v>0</v>
      </c>
      <c r="U197" s="158">
        <f t="shared" si="40"/>
        <v>28037</v>
      </c>
      <c r="V197" s="158">
        <v>35000</v>
      </c>
      <c r="W197" s="158">
        <f t="shared" si="41"/>
        <v>-6963</v>
      </c>
      <c r="X197" s="158">
        <f t="shared" si="37"/>
        <v>-6963</v>
      </c>
      <c r="Y197" s="158">
        <f t="shared" si="42"/>
        <v>0</v>
      </c>
      <c r="Z197" s="158">
        <v>22745.5</v>
      </c>
      <c r="AA197" s="158">
        <f t="shared" si="38"/>
        <v>12254.5</v>
      </c>
      <c r="AB197" s="167">
        <f t="shared" si="33"/>
        <v>22745.5</v>
      </c>
      <c r="AC197" s="168">
        <f t="shared" si="39"/>
        <v>0</v>
      </c>
      <c r="AD197" s="158">
        <v>19066.8145853679</v>
      </c>
      <c r="AE197" s="159">
        <v>0.176470588235294</v>
      </c>
      <c r="AF197" s="158">
        <f t="shared" si="34"/>
        <v>3364.73198565316</v>
      </c>
      <c r="AG197" s="158">
        <f t="shared" si="35"/>
        <v>3364.73198565316</v>
      </c>
      <c r="AH197" s="175"/>
      <c r="AI197" s="175"/>
      <c r="AJ197" s="156" t="s">
        <v>47</v>
      </c>
      <c r="AK197" s="140" t="s">
        <v>47</v>
      </c>
      <c r="AM197" s="152"/>
    </row>
    <row r="198" s="140" customFormat="1" ht="15" hidden="1" customHeight="1" spans="1:39">
      <c r="A198" s="140">
        <v>2017</v>
      </c>
      <c r="B198" s="140" t="s">
        <v>38</v>
      </c>
      <c r="C198" s="140" t="s">
        <v>88</v>
      </c>
      <c r="D198" s="140" t="s">
        <v>293</v>
      </c>
      <c r="E198" s="140" t="s">
        <v>194</v>
      </c>
      <c r="F198" s="140" t="s">
        <v>294</v>
      </c>
      <c r="G198" s="140" t="s">
        <v>294</v>
      </c>
      <c r="H198" s="140" t="s">
        <v>294</v>
      </c>
      <c r="I198" s="152" t="s">
        <v>243</v>
      </c>
      <c r="J198" s="140" t="s">
        <v>244</v>
      </c>
      <c r="K198" s="140" t="s">
        <v>245</v>
      </c>
      <c r="L198" s="140" t="s">
        <v>294</v>
      </c>
      <c r="M198" s="140" t="s">
        <v>46</v>
      </c>
      <c r="N198" s="156">
        <v>0</v>
      </c>
      <c r="O198" s="156" t="s">
        <v>47</v>
      </c>
      <c r="P198" s="156"/>
      <c r="Q198" s="158">
        <v>0</v>
      </c>
      <c r="R198" s="158">
        <v>0</v>
      </c>
      <c r="S198" s="158">
        <v>40000</v>
      </c>
      <c r="T198" s="158">
        <f t="shared" si="36"/>
        <v>0</v>
      </c>
      <c r="U198" s="158">
        <f t="shared" si="40"/>
        <v>40000</v>
      </c>
      <c r="V198" s="158">
        <v>45658</v>
      </c>
      <c r="W198" s="158">
        <f t="shared" si="41"/>
        <v>-5658</v>
      </c>
      <c r="X198" s="158">
        <f t="shared" si="37"/>
        <v>-5658</v>
      </c>
      <c r="Y198" s="158">
        <f t="shared" si="42"/>
        <v>0</v>
      </c>
      <c r="Z198" s="158">
        <v>34270</v>
      </c>
      <c r="AA198" s="158">
        <f t="shared" si="38"/>
        <v>11388</v>
      </c>
      <c r="AB198" s="167">
        <f t="shared" si="33"/>
        <v>34270</v>
      </c>
      <c r="AC198" s="168">
        <f t="shared" si="39"/>
        <v>0</v>
      </c>
      <c r="AD198" s="158">
        <v>28727.4289789435</v>
      </c>
      <c r="AE198" s="159">
        <v>0.176470588235294</v>
      </c>
      <c r="AF198" s="158">
        <f t="shared" si="34"/>
        <v>5069.54629040179</v>
      </c>
      <c r="AG198" s="158">
        <f t="shared" si="35"/>
        <v>5069.54629040179</v>
      </c>
      <c r="AH198" s="175"/>
      <c r="AI198" s="175"/>
      <c r="AJ198" s="157">
        <v>0</v>
      </c>
      <c r="AK198" s="140" t="s">
        <v>120</v>
      </c>
      <c r="AM198" s="152"/>
    </row>
    <row r="199" s="140" customFormat="1" ht="15" hidden="1" customHeight="1" spans="1:39">
      <c r="A199" s="140">
        <v>2017</v>
      </c>
      <c r="B199" s="140" t="s">
        <v>38</v>
      </c>
      <c r="C199" s="140" t="s">
        <v>433</v>
      </c>
      <c r="D199" s="140" t="s">
        <v>434</v>
      </c>
      <c r="E199" s="140" t="s">
        <v>435</v>
      </c>
      <c r="F199" s="140" t="s">
        <v>436</v>
      </c>
      <c r="G199" s="140" t="s">
        <v>436</v>
      </c>
      <c r="H199" s="140" t="s">
        <v>436</v>
      </c>
      <c r="I199" s="152" t="s">
        <v>243</v>
      </c>
      <c r="J199" s="140" t="s">
        <v>244</v>
      </c>
      <c r="K199" s="140" t="s">
        <v>245</v>
      </c>
      <c r="L199" s="140" t="s">
        <v>437</v>
      </c>
      <c r="M199" s="140" t="s">
        <v>46</v>
      </c>
      <c r="N199" s="156">
        <v>0</v>
      </c>
      <c r="O199" s="156" t="s">
        <v>47</v>
      </c>
      <c r="P199" s="156"/>
      <c r="Q199" s="158">
        <v>0</v>
      </c>
      <c r="R199" s="158">
        <v>0</v>
      </c>
      <c r="S199" s="158">
        <v>50000</v>
      </c>
      <c r="T199" s="158">
        <f t="shared" si="36"/>
        <v>0</v>
      </c>
      <c r="U199" s="158">
        <f t="shared" si="40"/>
        <v>50000</v>
      </c>
      <c r="V199" s="158">
        <v>50000</v>
      </c>
      <c r="W199" s="158">
        <f t="shared" si="41"/>
        <v>0</v>
      </c>
      <c r="X199" s="158">
        <f t="shared" si="37"/>
        <v>0</v>
      </c>
      <c r="Y199" s="158">
        <f t="shared" si="42"/>
        <v>0</v>
      </c>
      <c r="Z199" s="158">
        <v>2618.61</v>
      </c>
      <c r="AA199" s="158">
        <f t="shared" si="38"/>
        <v>47381.39</v>
      </c>
      <c r="AB199" s="167">
        <f t="shared" si="33"/>
        <v>2618.61</v>
      </c>
      <c r="AC199" s="168">
        <f t="shared" si="39"/>
        <v>0</v>
      </c>
      <c r="AD199" s="158">
        <v>2195.09579219583</v>
      </c>
      <c r="AE199" s="159">
        <v>0.176470588235294</v>
      </c>
      <c r="AF199" s="158">
        <f t="shared" si="34"/>
        <v>387.369845681617</v>
      </c>
      <c r="AG199" s="158">
        <f t="shared" si="35"/>
        <v>387.369845681617</v>
      </c>
      <c r="AH199" s="175"/>
      <c r="AI199" s="175"/>
      <c r="AJ199" s="156" t="s">
        <v>47</v>
      </c>
      <c r="AK199" s="140" t="s">
        <v>47</v>
      </c>
      <c r="AM199" s="152"/>
    </row>
    <row r="200" s="140" customFormat="1" ht="15" hidden="1" customHeight="1" spans="1:39">
      <c r="A200" s="140">
        <v>2017</v>
      </c>
      <c r="B200" s="140" t="s">
        <v>38</v>
      </c>
      <c r="C200" s="140" t="s">
        <v>75</v>
      </c>
      <c r="D200" s="140" t="s">
        <v>76</v>
      </c>
      <c r="E200" s="140" t="s">
        <v>167</v>
      </c>
      <c r="F200" s="140" t="s">
        <v>295</v>
      </c>
      <c r="G200" s="140" t="s">
        <v>295</v>
      </c>
      <c r="H200" s="140" t="s">
        <v>295</v>
      </c>
      <c r="I200" s="152" t="s">
        <v>243</v>
      </c>
      <c r="J200" s="140" t="s">
        <v>244</v>
      </c>
      <c r="K200" s="140" t="s">
        <v>245</v>
      </c>
      <c r="L200" s="140" t="s">
        <v>295</v>
      </c>
      <c r="M200" s="140" t="s">
        <v>46</v>
      </c>
      <c r="N200" s="156">
        <v>0</v>
      </c>
      <c r="O200" s="156" t="s">
        <v>47</v>
      </c>
      <c r="P200" s="156"/>
      <c r="Q200" s="158">
        <v>0</v>
      </c>
      <c r="R200" s="158">
        <v>0</v>
      </c>
      <c r="S200" s="158">
        <v>136901</v>
      </c>
      <c r="T200" s="158">
        <f t="shared" si="36"/>
        <v>0</v>
      </c>
      <c r="U200" s="158">
        <f t="shared" si="40"/>
        <v>136901</v>
      </c>
      <c r="V200" s="158">
        <v>159987.5</v>
      </c>
      <c r="W200" s="158">
        <f t="shared" si="41"/>
        <v>-23086.5</v>
      </c>
      <c r="X200" s="158">
        <f t="shared" si="37"/>
        <v>-23086.5</v>
      </c>
      <c r="Y200" s="158">
        <f t="shared" si="42"/>
        <v>0</v>
      </c>
      <c r="Z200" s="158">
        <v>105154.12</v>
      </c>
      <c r="AA200" s="158">
        <f t="shared" si="38"/>
        <v>54833.38</v>
      </c>
      <c r="AB200" s="167">
        <f t="shared" si="33"/>
        <v>105154.12</v>
      </c>
      <c r="AC200" s="168">
        <f t="shared" si="39"/>
        <v>0</v>
      </c>
      <c r="AD200" s="158">
        <v>88147.2866689029</v>
      </c>
      <c r="AE200" s="159">
        <v>0.176470588235294</v>
      </c>
      <c r="AF200" s="158">
        <f t="shared" si="34"/>
        <v>15555.4035298064</v>
      </c>
      <c r="AG200" s="158">
        <f t="shared" si="35"/>
        <v>15555.4035298064</v>
      </c>
      <c r="AH200" s="175"/>
      <c r="AI200" s="175"/>
      <c r="AJ200" s="156" t="s">
        <v>47</v>
      </c>
      <c r="AK200" s="140" t="s">
        <v>47</v>
      </c>
      <c r="AM200" s="152"/>
    </row>
    <row r="201" s="140" customFormat="1" ht="15" hidden="1" customHeight="1" spans="1:39">
      <c r="A201" s="140">
        <v>2017</v>
      </c>
      <c r="B201" s="140" t="s">
        <v>38</v>
      </c>
      <c r="C201" s="140" t="s">
        <v>75</v>
      </c>
      <c r="D201" s="140" t="s">
        <v>76</v>
      </c>
      <c r="E201" s="140" t="s">
        <v>296</v>
      </c>
      <c r="F201" s="140" t="s">
        <v>205</v>
      </c>
      <c r="G201" s="140" t="s">
        <v>205</v>
      </c>
      <c r="H201" s="140" t="s">
        <v>205</v>
      </c>
      <c r="I201" s="152" t="s">
        <v>243</v>
      </c>
      <c r="J201" s="140" t="s">
        <v>244</v>
      </c>
      <c r="K201" s="140" t="s">
        <v>245</v>
      </c>
      <c r="L201" s="140" t="s">
        <v>438</v>
      </c>
      <c r="M201" s="140" t="s">
        <v>46</v>
      </c>
      <c r="N201" s="157">
        <v>0.02</v>
      </c>
      <c r="O201" s="156" t="s">
        <v>51</v>
      </c>
      <c r="P201" s="156"/>
      <c r="Q201" s="158">
        <v>0</v>
      </c>
      <c r="R201" s="158">
        <v>0</v>
      </c>
      <c r="S201" s="158">
        <v>19329</v>
      </c>
      <c r="T201" s="158">
        <f t="shared" si="36"/>
        <v>386.58</v>
      </c>
      <c r="U201" s="158">
        <f t="shared" si="40"/>
        <v>19715.58</v>
      </c>
      <c r="V201" s="158">
        <v>22712</v>
      </c>
      <c r="W201" s="158">
        <f t="shared" si="41"/>
        <v>-2996.42</v>
      </c>
      <c r="X201" s="158">
        <f t="shared" si="37"/>
        <v>-2937.66666666666</v>
      </c>
      <c r="Y201" s="158">
        <f t="shared" si="42"/>
        <v>-58.7533333333336</v>
      </c>
      <c r="Z201" s="158">
        <v>12762</v>
      </c>
      <c r="AA201" s="158">
        <f t="shared" si="38"/>
        <v>9950</v>
      </c>
      <c r="AB201" s="167">
        <f t="shared" si="33"/>
        <v>12511.7647058824</v>
      </c>
      <c r="AC201" s="168">
        <f t="shared" si="39"/>
        <v>250.235294117647</v>
      </c>
      <c r="AD201" s="158">
        <v>10697.970488161</v>
      </c>
      <c r="AE201" s="159">
        <v>0.176470588235294</v>
      </c>
      <c r="AF201" s="158">
        <f t="shared" si="34"/>
        <v>1887.87714496959</v>
      </c>
      <c r="AG201" s="158">
        <f t="shared" si="35"/>
        <v>1637.64185085194</v>
      </c>
      <c r="AH201" s="175"/>
      <c r="AI201" s="175"/>
      <c r="AJ201" s="157">
        <v>0.02</v>
      </c>
      <c r="AK201" s="177">
        <v>0.02</v>
      </c>
      <c r="AM201" s="152"/>
    </row>
    <row r="202" s="140" customFormat="1" ht="15" hidden="1" customHeight="1" spans="1:37">
      <c r="A202" s="140">
        <v>2017</v>
      </c>
      <c r="B202" s="140" t="s">
        <v>38</v>
      </c>
      <c r="C202" s="140" t="s">
        <v>59</v>
      </c>
      <c r="D202" s="140" t="s">
        <v>106</v>
      </c>
      <c r="E202" s="140" t="s">
        <v>107</v>
      </c>
      <c r="F202" s="140" t="s">
        <v>439</v>
      </c>
      <c r="G202" s="140" t="s">
        <v>439</v>
      </c>
      <c r="H202" s="140" t="s">
        <v>439</v>
      </c>
      <c r="I202" s="140" t="s">
        <v>170</v>
      </c>
      <c r="J202" s="140" t="s">
        <v>171</v>
      </c>
      <c r="K202" s="140" t="s">
        <v>172</v>
      </c>
      <c r="L202" s="140" t="s">
        <v>439</v>
      </c>
      <c r="M202" s="140" t="s">
        <v>46</v>
      </c>
      <c r="N202" s="157">
        <v>0.04</v>
      </c>
      <c r="O202" s="156" t="s">
        <v>51</v>
      </c>
      <c r="P202" s="156" t="s">
        <v>440</v>
      </c>
      <c r="Q202" s="158">
        <v>0</v>
      </c>
      <c r="R202" s="158">
        <v>0</v>
      </c>
      <c r="S202" s="158">
        <v>3880000</v>
      </c>
      <c r="T202" s="158">
        <f t="shared" si="36"/>
        <v>155200</v>
      </c>
      <c r="U202" s="158">
        <f t="shared" si="40"/>
        <v>4035200</v>
      </c>
      <c r="V202" s="158">
        <v>3875900.8</v>
      </c>
      <c r="W202" s="158">
        <f t="shared" si="41"/>
        <v>159299.2</v>
      </c>
      <c r="X202" s="158">
        <f t="shared" si="37"/>
        <v>153172.307692308</v>
      </c>
      <c r="Y202" s="158">
        <f t="shared" si="42"/>
        <v>6126.89230769232</v>
      </c>
      <c r="Z202" s="158">
        <f>4521795.9-632400</f>
        <v>3889395.9</v>
      </c>
      <c r="AA202" s="158">
        <f t="shared" si="38"/>
        <v>-13495.1000000001</v>
      </c>
      <c r="AB202" s="167">
        <f t="shared" si="33"/>
        <v>3739803.75</v>
      </c>
      <c r="AC202" s="168">
        <f t="shared" si="39"/>
        <v>149592.15</v>
      </c>
      <c r="AD202" s="158">
        <f>(Z202-Q202)*0.89807640489087</f>
        <v>3492974.68706929</v>
      </c>
      <c r="AE202" s="159">
        <v>0.112691732739812</v>
      </c>
      <c r="AF202" s="158">
        <f t="shared" si="34"/>
        <v>393629.369902141</v>
      </c>
      <c r="AG202" s="158">
        <v>230648.556564928</v>
      </c>
      <c r="AH202" s="175"/>
      <c r="AI202" s="175"/>
      <c r="AJ202" s="156" t="s">
        <v>186</v>
      </c>
      <c r="AK202" s="140" t="s">
        <v>186</v>
      </c>
    </row>
    <row r="203" s="140" customFormat="1" ht="15" hidden="1" customHeight="1" spans="1:39">
      <c r="A203" s="140">
        <v>2017</v>
      </c>
      <c r="B203" s="140" t="s">
        <v>38</v>
      </c>
      <c r="C203" s="140" t="s">
        <v>75</v>
      </c>
      <c r="D203" s="140" t="s">
        <v>76</v>
      </c>
      <c r="E203" s="140" t="s">
        <v>150</v>
      </c>
      <c r="F203" s="140" t="s">
        <v>263</v>
      </c>
      <c r="G203" s="140" t="s">
        <v>263</v>
      </c>
      <c r="H203" s="140" t="s">
        <v>263</v>
      </c>
      <c r="I203" s="152" t="s">
        <v>243</v>
      </c>
      <c r="J203" s="140" t="s">
        <v>244</v>
      </c>
      <c r="K203" s="140" t="s">
        <v>245</v>
      </c>
      <c r="L203" s="140" t="s">
        <v>441</v>
      </c>
      <c r="M203" s="140" t="s">
        <v>46</v>
      </c>
      <c r="N203" s="156">
        <v>0</v>
      </c>
      <c r="O203" s="156" t="s">
        <v>47</v>
      </c>
      <c r="P203" s="156"/>
      <c r="Q203" s="158">
        <v>0</v>
      </c>
      <c r="R203" s="158">
        <v>0</v>
      </c>
      <c r="S203" s="158">
        <v>30000</v>
      </c>
      <c r="T203" s="158">
        <f t="shared" si="36"/>
        <v>0</v>
      </c>
      <c r="U203" s="158">
        <f t="shared" si="40"/>
        <v>30000</v>
      </c>
      <c r="V203" s="158">
        <v>30000</v>
      </c>
      <c r="W203" s="158">
        <f t="shared" si="41"/>
        <v>0</v>
      </c>
      <c r="X203" s="158">
        <f t="shared" si="37"/>
        <v>0</v>
      </c>
      <c r="Y203" s="158">
        <f t="shared" si="42"/>
        <v>0</v>
      </c>
      <c r="Z203" s="158">
        <v>22005.6</v>
      </c>
      <c r="AA203" s="158">
        <f t="shared" si="38"/>
        <v>7994.4</v>
      </c>
      <c r="AB203" s="167">
        <f t="shared" si="33"/>
        <v>22005.6</v>
      </c>
      <c r="AC203" s="168">
        <f t="shared" si="39"/>
        <v>0</v>
      </c>
      <c r="AD203" s="158">
        <v>18446.5804242498</v>
      </c>
      <c r="AE203" s="159">
        <v>0.176470588235294</v>
      </c>
      <c r="AF203" s="158">
        <f t="shared" si="34"/>
        <v>3255.27889839702</v>
      </c>
      <c r="AG203" s="158">
        <f t="shared" ref="AG203:AG234" si="43">AB203-Z203+AF203</f>
        <v>3255.27889839702</v>
      </c>
      <c r="AH203" s="175"/>
      <c r="AI203" s="175"/>
      <c r="AJ203" s="156" t="s">
        <v>47</v>
      </c>
      <c r="AK203" s="140" t="s">
        <v>47</v>
      </c>
      <c r="AM203" s="152"/>
    </row>
    <row r="204" s="140" customFormat="1" ht="15" hidden="1" customHeight="1" spans="1:39">
      <c r="A204" s="140">
        <v>2017</v>
      </c>
      <c r="B204" s="140" t="s">
        <v>38</v>
      </c>
      <c r="C204" s="140" t="s">
        <v>75</v>
      </c>
      <c r="D204" s="140" t="s">
        <v>76</v>
      </c>
      <c r="E204" s="140" t="s">
        <v>150</v>
      </c>
      <c r="F204" s="140" t="s">
        <v>300</v>
      </c>
      <c r="G204" s="140" t="s">
        <v>300</v>
      </c>
      <c r="H204" s="140" t="s">
        <v>300</v>
      </c>
      <c r="I204" s="152" t="s">
        <v>243</v>
      </c>
      <c r="J204" s="140" t="s">
        <v>244</v>
      </c>
      <c r="K204" s="140" t="s">
        <v>245</v>
      </c>
      <c r="L204" s="140" t="s">
        <v>300</v>
      </c>
      <c r="M204" s="140" t="s">
        <v>46</v>
      </c>
      <c r="N204" s="156">
        <v>0</v>
      </c>
      <c r="O204" s="156" t="s">
        <v>47</v>
      </c>
      <c r="P204" s="156"/>
      <c r="Q204" s="158">
        <v>0</v>
      </c>
      <c r="R204" s="158">
        <v>0</v>
      </c>
      <c r="S204" s="158">
        <v>289774.5</v>
      </c>
      <c r="T204" s="158">
        <f t="shared" si="36"/>
        <v>0</v>
      </c>
      <c r="U204" s="158">
        <f t="shared" si="40"/>
        <v>289774.5</v>
      </c>
      <c r="V204" s="158">
        <v>0</v>
      </c>
      <c r="W204" s="158">
        <f t="shared" si="41"/>
        <v>289774.5</v>
      </c>
      <c r="X204" s="158">
        <f t="shared" si="37"/>
        <v>289774.5</v>
      </c>
      <c r="Y204" s="158">
        <f t="shared" si="42"/>
        <v>0</v>
      </c>
      <c r="Z204" s="158">
        <v>0</v>
      </c>
      <c r="AA204" s="158">
        <f t="shared" si="38"/>
        <v>0</v>
      </c>
      <c r="AB204" s="167">
        <f t="shared" si="33"/>
        <v>0</v>
      </c>
      <c r="AC204" s="168">
        <f t="shared" si="39"/>
        <v>0</v>
      </c>
      <c r="AD204" s="158">
        <v>0</v>
      </c>
      <c r="AE204" s="159">
        <v>0.176470588235294</v>
      </c>
      <c r="AF204" s="158">
        <f t="shared" si="34"/>
        <v>0</v>
      </c>
      <c r="AG204" s="158">
        <f t="shared" si="43"/>
        <v>0</v>
      </c>
      <c r="AH204" s="175"/>
      <c r="AI204" s="175"/>
      <c r="AJ204" s="156" t="s">
        <v>47</v>
      </c>
      <c r="AK204" s="140" t="s">
        <v>47</v>
      </c>
      <c r="AM204" s="152"/>
    </row>
    <row r="205" s="140" customFormat="1" ht="15" hidden="1" customHeight="1" spans="1:39">
      <c r="A205" s="140">
        <v>2017</v>
      </c>
      <c r="B205" s="140" t="s">
        <v>38</v>
      </c>
      <c r="C205" s="140" t="s">
        <v>75</v>
      </c>
      <c r="D205" s="140" t="s">
        <v>76</v>
      </c>
      <c r="E205" s="140" t="s">
        <v>150</v>
      </c>
      <c r="F205" s="140" t="s">
        <v>300</v>
      </c>
      <c r="G205" s="140" t="s">
        <v>301</v>
      </c>
      <c r="H205" s="140" t="s">
        <v>301</v>
      </c>
      <c r="I205" s="152" t="s">
        <v>243</v>
      </c>
      <c r="J205" s="140" t="s">
        <v>244</v>
      </c>
      <c r="K205" s="140" t="s">
        <v>245</v>
      </c>
      <c r="L205" s="140" t="s">
        <v>331</v>
      </c>
      <c r="M205" s="140" t="s">
        <v>46</v>
      </c>
      <c r="N205" s="156">
        <v>0</v>
      </c>
      <c r="O205" s="156" t="s">
        <v>47</v>
      </c>
      <c r="P205" s="156"/>
      <c r="Q205" s="158">
        <v>0</v>
      </c>
      <c r="R205" s="158">
        <v>0</v>
      </c>
      <c r="S205" s="158">
        <v>995956.5</v>
      </c>
      <c r="T205" s="158">
        <f t="shared" si="36"/>
        <v>0</v>
      </c>
      <c r="U205" s="158">
        <f t="shared" si="40"/>
        <v>995956.5</v>
      </c>
      <c r="V205" s="158">
        <v>986000</v>
      </c>
      <c r="W205" s="158">
        <f t="shared" si="41"/>
        <v>9956.5</v>
      </c>
      <c r="X205" s="158">
        <f t="shared" si="37"/>
        <v>9956.5</v>
      </c>
      <c r="Y205" s="158">
        <f t="shared" si="42"/>
        <v>0</v>
      </c>
      <c r="Z205" s="158">
        <v>849905</v>
      </c>
      <c r="AA205" s="158">
        <f t="shared" si="38"/>
        <v>136095</v>
      </c>
      <c r="AB205" s="167">
        <f t="shared" si="33"/>
        <v>849905</v>
      </c>
      <c r="AC205" s="168">
        <f t="shared" si="39"/>
        <v>0</v>
      </c>
      <c r="AD205" s="158">
        <v>712447.783085759</v>
      </c>
      <c r="AE205" s="159">
        <v>0.176470588235294</v>
      </c>
      <c r="AF205" s="158">
        <f t="shared" si="34"/>
        <v>125726.079368075</v>
      </c>
      <c r="AG205" s="158">
        <f t="shared" si="43"/>
        <v>125726.079368075</v>
      </c>
      <c r="AH205" s="175"/>
      <c r="AI205" s="175"/>
      <c r="AJ205" s="156" t="s">
        <v>47</v>
      </c>
      <c r="AK205" s="140" t="s">
        <v>47</v>
      </c>
      <c r="AM205" s="152"/>
    </row>
    <row r="206" s="140" customFormat="1" ht="15" hidden="1" customHeight="1" spans="1:39">
      <c r="A206" s="140">
        <v>2017</v>
      </c>
      <c r="B206" s="140" t="s">
        <v>38</v>
      </c>
      <c r="C206" s="140" t="s">
        <v>75</v>
      </c>
      <c r="D206" s="140" t="s">
        <v>76</v>
      </c>
      <c r="E206" s="140" t="s">
        <v>77</v>
      </c>
      <c r="F206" s="140" t="s">
        <v>303</v>
      </c>
      <c r="G206" s="140" t="s">
        <v>303</v>
      </c>
      <c r="H206" s="140" t="s">
        <v>303</v>
      </c>
      <c r="I206" s="152" t="s">
        <v>243</v>
      </c>
      <c r="J206" s="140" t="s">
        <v>244</v>
      </c>
      <c r="K206" s="140" t="s">
        <v>245</v>
      </c>
      <c r="L206" s="140" t="s">
        <v>303</v>
      </c>
      <c r="M206" s="140" t="s">
        <v>46</v>
      </c>
      <c r="N206" s="156">
        <v>0</v>
      </c>
      <c r="O206" s="156" t="s">
        <v>47</v>
      </c>
      <c r="P206" s="156"/>
      <c r="Q206" s="158">
        <v>0</v>
      </c>
      <c r="R206" s="158">
        <v>0</v>
      </c>
      <c r="S206" s="158">
        <v>48284.5</v>
      </c>
      <c r="T206" s="158">
        <f t="shared" si="36"/>
        <v>0</v>
      </c>
      <c r="U206" s="158">
        <f t="shared" si="40"/>
        <v>48284.5</v>
      </c>
      <c r="V206" s="158">
        <v>61781.5</v>
      </c>
      <c r="W206" s="158">
        <f t="shared" si="41"/>
        <v>-13497</v>
      </c>
      <c r="X206" s="158">
        <f t="shared" si="37"/>
        <v>-13497</v>
      </c>
      <c r="Y206" s="158">
        <f t="shared" si="42"/>
        <v>0</v>
      </c>
      <c r="Z206" s="158">
        <v>45856.85</v>
      </c>
      <c r="AA206" s="158">
        <f t="shared" si="38"/>
        <v>15924.65</v>
      </c>
      <c r="AB206" s="167">
        <f t="shared" si="33"/>
        <v>45856.85</v>
      </c>
      <c r="AC206" s="168">
        <f t="shared" si="39"/>
        <v>0</v>
      </c>
      <c r="AD206" s="158">
        <v>38440.3093543351</v>
      </c>
      <c r="AE206" s="159">
        <v>0.176470588235294</v>
      </c>
      <c r="AF206" s="158">
        <f t="shared" si="34"/>
        <v>6783.58400370619</v>
      </c>
      <c r="AG206" s="158">
        <f t="shared" si="43"/>
        <v>6783.58400370619</v>
      </c>
      <c r="AH206" s="175"/>
      <c r="AI206" s="175"/>
      <c r="AJ206" s="156" t="s">
        <v>47</v>
      </c>
      <c r="AK206" s="140" t="s">
        <v>47</v>
      </c>
      <c r="AM206" s="152"/>
    </row>
    <row r="207" s="140" customFormat="1" ht="15" hidden="1" customHeight="1" spans="1:39">
      <c r="A207" s="140">
        <v>2017</v>
      </c>
      <c r="B207" s="140" t="s">
        <v>38</v>
      </c>
      <c r="C207" s="140" t="s">
        <v>75</v>
      </c>
      <c r="D207" s="140" t="s">
        <v>76</v>
      </c>
      <c r="E207" s="140" t="s">
        <v>257</v>
      </c>
      <c r="F207" s="140" t="s">
        <v>230</v>
      </c>
      <c r="G207" s="140" t="s">
        <v>230</v>
      </c>
      <c r="H207" s="140" t="s">
        <v>230</v>
      </c>
      <c r="I207" s="152" t="s">
        <v>243</v>
      </c>
      <c r="J207" s="140" t="s">
        <v>244</v>
      </c>
      <c r="K207" s="140" t="s">
        <v>245</v>
      </c>
      <c r="L207" s="140" t="s">
        <v>314</v>
      </c>
      <c r="M207" s="140" t="s">
        <v>46</v>
      </c>
      <c r="N207" s="156">
        <v>0</v>
      </c>
      <c r="O207" s="156" t="s">
        <v>47</v>
      </c>
      <c r="P207" s="156"/>
      <c r="Q207" s="158">
        <v>0</v>
      </c>
      <c r="R207" s="158">
        <v>0</v>
      </c>
      <c r="S207" s="158">
        <v>380000</v>
      </c>
      <c r="T207" s="158">
        <f t="shared" si="36"/>
        <v>0</v>
      </c>
      <c r="U207" s="158">
        <f t="shared" si="40"/>
        <v>380000</v>
      </c>
      <c r="V207" s="158">
        <v>418109</v>
      </c>
      <c r="W207" s="158">
        <f t="shared" si="41"/>
        <v>-38109</v>
      </c>
      <c r="X207" s="158">
        <f t="shared" si="37"/>
        <v>-38109</v>
      </c>
      <c r="Y207" s="158">
        <f t="shared" si="42"/>
        <v>0</v>
      </c>
      <c r="Z207" s="158">
        <v>311628.5</v>
      </c>
      <c r="AA207" s="158">
        <f t="shared" si="38"/>
        <v>106480.5</v>
      </c>
      <c r="AB207" s="167">
        <f t="shared" si="33"/>
        <v>311628.5</v>
      </c>
      <c r="AC207" s="168">
        <f t="shared" si="39"/>
        <v>0</v>
      </c>
      <c r="AD207" s="158">
        <v>261228.059572941</v>
      </c>
      <c r="AE207" s="159">
        <v>0.176470588235294</v>
      </c>
      <c r="AF207" s="158">
        <f t="shared" si="34"/>
        <v>46099.0693364013</v>
      </c>
      <c r="AG207" s="158">
        <f t="shared" si="43"/>
        <v>46099.0693364013</v>
      </c>
      <c r="AH207" s="175"/>
      <c r="AI207" s="175"/>
      <c r="AJ207" s="156" t="s">
        <v>47</v>
      </c>
      <c r="AK207" s="140" t="s">
        <v>47</v>
      </c>
      <c r="AM207" s="152"/>
    </row>
    <row r="208" s="140" customFormat="1" ht="15" hidden="1" customHeight="1" spans="1:39">
      <c r="A208" s="140">
        <v>2017</v>
      </c>
      <c r="B208" s="140" t="s">
        <v>38</v>
      </c>
      <c r="C208" s="140" t="s">
        <v>75</v>
      </c>
      <c r="D208" s="140" t="s">
        <v>76</v>
      </c>
      <c r="E208" s="140" t="s">
        <v>257</v>
      </c>
      <c r="F208" s="140" t="s">
        <v>251</v>
      </c>
      <c r="G208" s="140" t="s">
        <v>251</v>
      </c>
      <c r="H208" s="140" t="s">
        <v>251</v>
      </c>
      <c r="I208" s="152" t="s">
        <v>243</v>
      </c>
      <c r="J208" s="140" t="s">
        <v>244</v>
      </c>
      <c r="K208" s="140" t="s">
        <v>245</v>
      </c>
      <c r="L208" s="140" t="s">
        <v>251</v>
      </c>
      <c r="M208" s="140" t="s">
        <v>46</v>
      </c>
      <c r="N208" s="156">
        <v>0</v>
      </c>
      <c r="O208" s="156" t="s">
        <v>47</v>
      </c>
      <c r="P208" s="156"/>
      <c r="Q208" s="158">
        <v>0</v>
      </c>
      <c r="R208" s="158">
        <v>0</v>
      </c>
      <c r="S208" s="158">
        <v>20000</v>
      </c>
      <c r="T208" s="158">
        <f t="shared" si="36"/>
        <v>0</v>
      </c>
      <c r="U208" s="158">
        <f t="shared" si="40"/>
        <v>20000</v>
      </c>
      <c r="V208" s="158">
        <v>20000</v>
      </c>
      <c r="W208" s="158">
        <f t="shared" si="41"/>
        <v>0</v>
      </c>
      <c r="X208" s="158">
        <f t="shared" si="37"/>
        <v>0</v>
      </c>
      <c r="Y208" s="158">
        <f t="shared" si="42"/>
        <v>0</v>
      </c>
      <c r="Z208" s="158">
        <v>0</v>
      </c>
      <c r="AA208" s="158">
        <f t="shared" si="38"/>
        <v>20000</v>
      </c>
      <c r="AB208" s="167">
        <f t="shared" si="33"/>
        <v>0</v>
      </c>
      <c r="AC208" s="168">
        <f t="shared" si="39"/>
        <v>0</v>
      </c>
      <c r="AD208" s="158">
        <v>0</v>
      </c>
      <c r="AE208" s="159">
        <v>0.176470588235294</v>
      </c>
      <c r="AF208" s="158">
        <f t="shared" si="34"/>
        <v>0</v>
      </c>
      <c r="AG208" s="158">
        <f t="shared" si="43"/>
        <v>0</v>
      </c>
      <c r="AH208" s="175"/>
      <c r="AI208" s="175"/>
      <c r="AJ208" s="157">
        <v>1</v>
      </c>
      <c r="AK208" s="177">
        <v>1</v>
      </c>
      <c r="AM208" s="152"/>
    </row>
    <row r="209" s="140" customFormat="1" ht="15" hidden="1" customHeight="1" spans="1:39">
      <c r="A209" s="140">
        <v>2017</v>
      </c>
      <c r="B209" s="140" t="s">
        <v>38</v>
      </c>
      <c r="C209" s="140" t="s">
        <v>75</v>
      </c>
      <c r="D209" s="140" t="s">
        <v>76</v>
      </c>
      <c r="E209" s="140" t="s">
        <v>304</v>
      </c>
      <c r="F209" s="140" t="s">
        <v>305</v>
      </c>
      <c r="G209" s="140" t="s">
        <v>305</v>
      </c>
      <c r="H209" s="140" t="s">
        <v>305</v>
      </c>
      <c r="I209" s="152" t="s">
        <v>243</v>
      </c>
      <c r="J209" s="140" t="s">
        <v>244</v>
      </c>
      <c r="K209" s="140" t="s">
        <v>245</v>
      </c>
      <c r="L209" s="140" t="s">
        <v>305</v>
      </c>
      <c r="M209" s="140" t="s">
        <v>46</v>
      </c>
      <c r="N209" s="156">
        <v>0</v>
      </c>
      <c r="O209" s="156" t="s">
        <v>47</v>
      </c>
      <c r="P209" s="156"/>
      <c r="Q209" s="158">
        <v>0</v>
      </c>
      <c r="R209" s="158">
        <v>0</v>
      </c>
      <c r="S209" s="158">
        <v>616858</v>
      </c>
      <c r="T209" s="158">
        <f t="shared" si="36"/>
        <v>0</v>
      </c>
      <c r="U209" s="158">
        <f t="shared" si="40"/>
        <v>616858</v>
      </c>
      <c r="V209" s="158">
        <v>663605.5</v>
      </c>
      <c r="W209" s="158">
        <f t="shared" si="41"/>
        <v>-46747.5</v>
      </c>
      <c r="X209" s="158">
        <f t="shared" si="37"/>
        <v>-46747.5</v>
      </c>
      <c r="Y209" s="158">
        <f t="shared" si="42"/>
        <v>0</v>
      </c>
      <c r="Z209" s="158">
        <v>560545.22</v>
      </c>
      <c r="AA209" s="158">
        <f t="shared" si="38"/>
        <v>103060.28</v>
      </c>
      <c r="AB209" s="167">
        <f t="shared" si="33"/>
        <v>560545.22</v>
      </c>
      <c r="AC209" s="168">
        <f t="shared" si="39"/>
        <v>0</v>
      </c>
      <c r="AD209" s="158">
        <v>469886.868895134</v>
      </c>
      <c r="AE209" s="159">
        <v>0.176470588235294</v>
      </c>
      <c r="AF209" s="158">
        <f t="shared" si="34"/>
        <v>82921.2121579648</v>
      </c>
      <c r="AG209" s="158">
        <f t="shared" si="43"/>
        <v>82921.2121579648</v>
      </c>
      <c r="AH209" s="175"/>
      <c r="AI209" s="175"/>
      <c r="AJ209" s="157">
        <v>1</v>
      </c>
      <c r="AK209" s="177">
        <v>1</v>
      </c>
      <c r="AM209" s="152"/>
    </row>
    <row r="210" s="140" customFormat="1" ht="15" hidden="1" customHeight="1" spans="1:39">
      <c r="A210" s="140">
        <v>2017</v>
      </c>
      <c r="B210" s="140" t="s">
        <v>38</v>
      </c>
      <c r="C210" s="140" t="s">
        <v>75</v>
      </c>
      <c r="D210" s="140" t="s">
        <v>76</v>
      </c>
      <c r="E210" s="140" t="s">
        <v>304</v>
      </c>
      <c r="F210" s="140" t="s">
        <v>306</v>
      </c>
      <c r="G210" s="140" t="s">
        <v>306</v>
      </c>
      <c r="H210" s="140" t="s">
        <v>306</v>
      </c>
      <c r="I210" s="152" t="s">
        <v>243</v>
      </c>
      <c r="J210" s="140" t="s">
        <v>244</v>
      </c>
      <c r="K210" s="140" t="s">
        <v>245</v>
      </c>
      <c r="L210" s="140" t="s">
        <v>306</v>
      </c>
      <c r="M210" s="140" t="s">
        <v>46</v>
      </c>
      <c r="N210" s="156">
        <v>0</v>
      </c>
      <c r="O210" s="156" t="s">
        <v>47</v>
      </c>
      <c r="P210" s="156"/>
      <c r="Q210" s="158">
        <v>0</v>
      </c>
      <c r="R210" s="158">
        <v>0</v>
      </c>
      <c r="S210" s="158">
        <v>296864</v>
      </c>
      <c r="T210" s="158">
        <f t="shared" si="36"/>
        <v>0</v>
      </c>
      <c r="U210" s="158">
        <f t="shared" si="40"/>
        <v>296864</v>
      </c>
      <c r="V210" s="158">
        <v>310832.5</v>
      </c>
      <c r="W210" s="158">
        <f t="shared" si="41"/>
        <v>-13968.5</v>
      </c>
      <c r="X210" s="158">
        <f t="shared" si="37"/>
        <v>-13968.5</v>
      </c>
      <c r="Y210" s="158">
        <f t="shared" si="42"/>
        <v>0</v>
      </c>
      <c r="Z210" s="158">
        <v>11601</v>
      </c>
      <c r="AA210" s="158">
        <f t="shared" si="38"/>
        <v>299231.5</v>
      </c>
      <c r="AB210" s="167">
        <f t="shared" si="33"/>
        <v>11601</v>
      </c>
      <c r="AC210" s="168">
        <f t="shared" si="39"/>
        <v>0</v>
      </c>
      <c r="AD210" s="158">
        <v>9724.74186124084</v>
      </c>
      <c r="AE210" s="159">
        <v>0.176470588235294</v>
      </c>
      <c r="AF210" s="158">
        <f t="shared" si="34"/>
        <v>1716.13091668956</v>
      </c>
      <c r="AG210" s="158">
        <f t="shared" si="43"/>
        <v>1716.13091668956</v>
      </c>
      <c r="AH210" s="175"/>
      <c r="AI210" s="175"/>
      <c r="AJ210" s="156" t="s">
        <v>47</v>
      </c>
      <c r="AK210" s="140" t="s">
        <v>47</v>
      </c>
      <c r="AM210" s="152"/>
    </row>
    <row r="211" s="140" customFormat="1" ht="15" hidden="1" customHeight="1" spans="1:39">
      <c r="A211" s="140">
        <v>2017</v>
      </c>
      <c r="B211" s="140" t="s">
        <v>38</v>
      </c>
      <c r="C211" s="140" t="s">
        <v>75</v>
      </c>
      <c r="D211" s="140" t="s">
        <v>76</v>
      </c>
      <c r="E211" s="140" t="s">
        <v>304</v>
      </c>
      <c r="F211" s="140" t="s">
        <v>237</v>
      </c>
      <c r="G211" s="140" t="s">
        <v>237</v>
      </c>
      <c r="H211" s="140" t="s">
        <v>237</v>
      </c>
      <c r="I211" s="152" t="s">
        <v>243</v>
      </c>
      <c r="J211" s="140" t="s">
        <v>244</v>
      </c>
      <c r="K211" s="140" t="s">
        <v>245</v>
      </c>
      <c r="L211" s="140" t="s">
        <v>442</v>
      </c>
      <c r="M211" s="140" t="s">
        <v>46</v>
      </c>
      <c r="N211" s="156">
        <v>0</v>
      </c>
      <c r="O211" s="156" t="s">
        <v>47</v>
      </c>
      <c r="P211" s="156"/>
      <c r="Q211" s="158">
        <v>0</v>
      </c>
      <c r="R211" s="158">
        <v>0</v>
      </c>
      <c r="S211" s="158">
        <v>926006</v>
      </c>
      <c r="T211" s="158">
        <f t="shared" si="36"/>
        <v>0</v>
      </c>
      <c r="U211" s="158">
        <f t="shared" si="40"/>
        <v>926006</v>
      </c>
      <c r="V211" s="158">
        <v>1017927</v>
      </c>
      <c r="W211" s="158">
        <f t="shared" si="41"/>
        <v>-91921</v>
      </c>
      <c r="X211" s="158">
        <f t="shared" si="37"/>
        <v>-91921</v>
      </c>
      <c r="Y211" s="158">
        <f t="shared" si="42"/>
        <v>0</v>
      </c>
      <c r="Z211" s="158">
        <v>623138</v>
      </c>
      <c r="AA211" s="158">
        <f t="shared" si="38"/>
        <v>394789</v>
      </c>
      <c r="AB211" s="167">
        <f t="shared" si="33"/>
        <v>623138</v>
      </c>
      <c r="AC211" s="168">
        <f t="shared" si="39"/>
        <v>0</v>
      </c>
      <c r="AD211" s="158">
        <v>522356.365307292</v>
      </c>
      <c r="AE211" s="159">
        <v>0.176470588235294</v>
      </c>
      <c r="AF211" s="158">
        <f t="shared" si="34"/>
        <v>92180.5350542279</v>
      </c>
      <c r="AG211" s="158">
        <f t="shared" si="43"/>
        <v>92180.5350542279</v>
      </c>
      <c r="AH211" s="175"/>
      <c r="AI211" s="175"/>
      <c r="AJ211" s="176">
        <v>0</v>
      </c>
      <c r="AK211" s="140">
        <v>0</v>
      </c>
      <c r="AM211" s="152"/>
    </row>
    <row r="212" s="140" customFormat="1" ht="15" hidden="1" customHeight="1" spans="1:39">
      <c r="A212" s="140">
        <v>2017</v>
      </c>
      <c r="B212" s="140" t="s">
        <v>38</v>
      </c>
      <c r="C212" s="140" t="s">
        <v>75</v>
      </c>
      <c r="D212" s="140" t="s">
        <v>76</v>
      </c>
      <c r="E212" s="140" t="s">
        <v>304</v>
      </c>
      <c r="F212" s="140" t="s">
        <v>159</v>
      </c>
      <c r="G212" s="140" t="s">
        <v>159</v>
      </c>
      <c r="H212" s="140" t="s">
        <v>159</v>
      </c>
      <c r="I212" s="152" t="s">
        <v>243</v>
      </c>
      <c r="J212" s="140" t="s">
        <v>244</v>
      </c>
      <c r="K212" s="140" t="s">
        <v>245</v>
      </c>
      <c r="L212" s="140" t="s">
        <v>159</v>
      </c>
      <c r="M212" s="140" t="s">
        <v>46</v>
      </c>
      <c r="N212" s="156">
        <v>0</v>
      </c>
      <c r="O212" s="156" t="s">
        <v>47</v>
      </c>
      <c r="P212" s="156"/>
      <c r="Q212" s="158">
        <v>0</v>
      </c>
      <c r="R212" s="158">
        <v>0</v>
      </c>
      <c r="S212" s="158">
        <v>704396</v>
      </c>
      <c r="T212" s="158">
        <f t="shared" si="36"/>
        <v>0</v>
      </c>
      <c r="U212" s="158">
        <f t="shared" si="40"/>
        <v>704396</v>
      </c>
      <c r="V212" s="158">
        <v>748371</v>
      </c>
      <c r="W212" s="158">
        <f t="shared" si="41"/>
        <v>-43975</v>
      </c>
      <c r="X212" s="158">
        <f t="shared" si="37"/>
        <v>-43975</v>
      </c>
      <c r="Y212" s="158">
        <f t="shared" si="42"/>
        <v>0</v>
      </c>
      <c r="Z212" s="158">
        <v>633004.69</v>
      </c>
      <c r="AA212" s="158">
        <f t="shared" si="38"/>
        <v>115366.31</v>
      </c>
      <c r="AB212" s="167">
        <f t="shared" si="33"/>
        <v>633004.69</v>
      </c>
      <c r="AC212" s="168">
        <f t="shared" si="39"/>
        <v>0</v>
      </c>
      <c r="AD212" s="158">
        <v>530627.291371846</v>
      </c>
      <c r="AE212" s="159">
        <v>0.176470588235294</v>
      </c>
      <c r="AF212" s="158">
        <f t="shared" si="34"/>
        <v>93640.1102420904</v>
      </c>
      <c r="AG212" s="158">
        <f t="shared" si="43"/>
        <v>93640.1102420904</v>
      </c>
      <c r="AH212" s="175"/>
      <c r="AI212" s="175"/>
      <c r="AJ212" s="157">
        <v>1</v>
      </c>
      <c r="AK212" s="177">
        <v>1</v>
      </c>
      <c r="AM212" s="152"/>
    </row>
    <row r="213" s="140" customFormat="1" ht="15" hidden="1" customHeight="1" spans="1:39">
      <c r="A213" s="140">
        <v>2017</v>
      </c>
      <c r="B213" s="140" t="s">
        <v>38</v>
      </c>
      <c r="C213" s="140" t="s">
        <v>75</v>
      </c>
      <c r="D213" s="140" t="s">
        <v>76</v>
      </c>
      <c r="E213" s="140" t="s">
        <v>304</v>
      </c>
      <c r="F213" s="140" t="s">
        <v>443</v>
      </c>
      <c r="G213" s="140" t="s">
        <v>443</v>
      </c>
      <c r="H213" s="140" t="s">
        <v>443</v>
      </c>
      <c r="I213" s="152" t="s">
        <v>243</v>
      </c>
      <c r="J213" s="140" t="s">
        <v>244</v>
      </c>
      <c r="K213" s="140" t="s">
        <v>245</v>
      </c>
      <c r="L213" s="140" t="s">
        <v>444</v>
      </c>
      <c r="M213" s="140" t="s">
        <v>46</v>
      </c>
      <c r="N213" s="156">
        <v>0</v>
      </c>
      <c r="O213" s="156" t="s">
        <v>47</v>
      </c>
      <c r="P213" s="156"/>
      <c r="Q213" s="158">
        <v>0</v>
      </c>
      <c r="R213" s="158">
        <v>0</v>
      </c>
      <c r="S213" s="158">
        <v>150000</v>
      </c>
      <c r="T213" s="158">
        <f t="shared" si="36"/>
        <v>0</v>
      </c>
      <c r="U213" s="158">
        <f t="shared" si="40"/>
        <v>150000</v>
      </c>
      <c r="V213" s="158">
        <v>144000</v>
      </c>
      <c r="W213" s="158">
        <f t="shared" si="41"/>
        <v>6000</v>
      </c>
      <c r="X213" s="158">
        <f t="shared" si="37"/>
        <v>6000</v>
      </c>
      <c r="Y213" s="158">
        <f t="shared" si="42"/>
        <v>0</v>
      </c>
      <c r="Z213" s="158">
        <v>114737.06</v>
      </c>
      <c r="AA213" s="158">
        <f t="shared" si="38"/>
        <v>29262.94</v>
      </c>
      <c r="AB213" s="167">
        <f t="shared" si="33"/>
        <v>114737.06</v>
      </c>
      <c r="AC213" s="168">
        <f t="shared" si="39"/>
        <v>0</v>
      </c>
      <c r="AD213" s="158">
        <v>96180.3543158091</v>
      </c>
      <c r="AE213" s="159">
        <v>0.176470588235294</v>
      </c>
      <c r="AF213" s="158">
        <f t="shared" si="34"/>
        <v>16973.0037027898</v>
      </c>
      <c r="AG213" s="158">
        <f t="shared" si="43"/>
        <v>16973.0037027898</v>
      </c>
      <c r="AH213" s="175"/>
      <c r="AI213" s="175"/>
      <c r="AJ213" s="176">
        <v>0</v>
      </c>
      <c r="AK213" s="140">
        <v>0</v>
      </c>
      <c r="AM213" s="152"/>
    </row>
    <row r="214" s="140" customFormat="1" ht="15" hidden="1" customHeight="1" spans="1:39">
      <c r="A214" s="140">
        <v>2017</v>
      </c>
      <c r="B214" s="140" t="s">
        <v>38</v>
      </c>
      <c r="C214" s="140" t="s">
        <v>75</v>
      </c>
      <c r="D214" s="140" t="s">
        <v>76</v>
      </c>
      <c r="E214" s="140" t="s">
        <v>118</v>
      </c>
      <c r="F214" s="140" t="s">
        <v>445</v>
      </c>
      <c r="G214" s="140" t="s">
        <v>445</v>
      </c>
      <c r="H214" s="140" t="s">
        <v>445</v>
      </c>
      <c r="I214" s="152" t="s">
        <v>243</v>
      </c>
      <c r="J214" s="140" t="s">
        <v>244</v>
      </c>
      <c r="K214" s="140" t="s">
        <v>245</v>
      </c>
      <c r="L214" s="140" t="s">
        <v>445</v>
      </c>
      <c r="M214" s="140" t="s">
        <v>46</v>
      </c>
      <c r="N214" s="157">
        <v>0.02</v>
      </c>
      <c r="O214" s="156" t="s">
        <v>51</v>
      </c>
      <c r="P214" s="156"/>
      <c r="Q214" s="158">
        <v>0</v>
      </c>
      <c r="R214" s="158">
        <v>0</v>
      </c>
      <c r="S214" s="158">
        <v>94000</v>
      </c>
      <c r="T214" s="158">
        <f t="shared" si="36"/>
        <v>1880</v>
      </c>
      <c r="U214" s="158">
        <f t="shared" si="40"/>
        <v>95880</v>
      </c>
      <c r="V214" s="158">
        <v>94000</v>
      </c>
      <c r="W214" s="158">
        <f t="shared" si="41"/>
        <v>1880</v>
      </c>
      <c r="X214" s="158">
        <f t="shared" si="37"/>
        <v>1843.13725490196</v>
      </c>
      <c r="Y214" s="158">
        <f t="shared" si="42"/>
        <v>36.8627450980393</v>
      </c>
      <c r="Z214" s="158">
        <v>59005</v>
      </c>
      <c r="AA214" s="158">
        <f t="shared" si="38"/>
        <v>34995</v>
      </c>
      <c r="AB214" s="167">
        <f t="shared" si="33"/>
        <v>57848.0392156863</v>
      </c>
      <c r="AC214" s="168">
        <f t="shared" si="39"/>
        <v>1156.96078431373</v>
      </c>
      <c r="AD214" s="158">
        <v>49461.9768573843</v>
      </c>
      <c r="AE214" s="159">
        <v>0.176470588235294</v>
      </c>
      <c r="AF214" s="158">
        <f t="shared" si="34"/>
        <v>8728.58415130311</v>
      </c>
      <c r="AG214" s="158">
        <f t="shared" si="43"/>
        <v>7571.62336698938</v>
      </c>
      <c r="AH214" s="175"/>
      <c r="AI214" s="175"/>
      <c r="AJ214" s="157">
        <v>0.02</v>
      </c>
      <c r="AK214" s="177">
        <v>0.02</v>
      </c>
      <c r="AM214" s="152"/>
    </row>
    <row r="215" s="140" customFormat="1" ht="15" hidden="1" customHeight="1" spans="1:39">
      <c r="A215" s="140">
        <v>2017</v>
      </c>
      <c r="B215" s="140" t="s">
        <v>38</v>
      </c>
      <c r="C215" s="140" t="s">
        <v>75</v>
      </c>
      <c r="D215" s="140" t="s">
        <v>76</v>
      </c>
      <c r="E215" s="140" t="s">
        <v>321</v>
      </c>
      <c r="F215" s="140" t="s">
        <v>446</v>
      </c>
      <c r="G215" s="140" t="s">
        <v>446</v>
      </c>
      <c r="H215" s="140" t="s">
        <v>446</v>
      </c>
      <c r="I215" s="152" t="s">
        <v>243</v>
      </c>
      <c r="J215" s="140" t="s">
        <v>244</v>
      </c>
      <c r="K215" s="140" t="s">
        <v>245</v>
      </c>
      <c r="L215" s="140" t="s">
        <v>447</v>
      </c>
      <c r="M215" s="140" t="s">
        <v>46</v>
      </c>
      <c r="N215" s="156">
        <v>0</v>
      </c>
      <c r="O215" s="156" t="s">
        <v>47</v>
      </c>
      <c r="P215" s="156"/>
      <c r="Q215" s="158">
        <v>0</v>
      </c>
      <c r="R215" s="158">
        <v>0</v>
      </c>
      <c r="S215" s="158">
        <v>20000</v>
      </c>
      <c r="T215" s="158">
        <f t="shared" si="36"/>
        <v>0</v>
      </c>
      <c r="U215" s="158">
        <f t="shared" si="40"/>
        <v>20000</v>
      </c>
      <c r="V215" s="158">
        <v>20000</v>
      </c>
      <c r="W215" s="158">
        <f t="shared" si="41"/>
        <v>0</v>
      </c>
      <c r="X215" s="158">
        <f t="shared" si="37"/>
        <v>0</v>
      </c>
      <c r="Y215" s="158">
        <f t="shared" si="42"/>
        <v>0</v>
      </c>
      <c r="Z215" s="158">
        <v>9562.8</v>
      </c>
      <c r="AA215" s="158">
        <f t="shared" si="38"/>
        <v>10437.2</v>
      </c>
      <c r="AB215" s="167">
        <f t="shared" si="33"/>
        <v>9562.8</v>
      </c>
      <c r="AC215" s="168">
        <f t="shared" si="39"/>
        <v>0</v>
      </c>
      <c r="AD215" s="158">
        <v>8016.18493842547</v>
      </c>
      <c r="AE215" s="159">
        <v>0.176470588235294</v>
      </c>
      <c r="AF215" s="158">
        <f t="shared" si="34"/>
        <v>1414.62087148685</v>
      </c>
      <c r="AG215" s="158">
        <f t="shared" si="43"/>
        <v>1414.62087148685</v>
      </c>
      <c r="AH215" s="175"/>
      <c r="AI215" s="175"/>
      <c r="AJ215" s="156" t="s">
        <v>47</v>
      </c>
      <c r="AK215" s="140" t="s">
        <v>47</v>
      </c>
      <c r="AM215" s="152"/>
    </row>
    <row r="216" s="140" customFormat="1" ht="15" hidden="1" customHeight="1" spans="1:39">
      <c r="A216" s="140">
        <v>2017</v>
      </c>
      <c r="B216" s="140" t="s">
        <v>38</v>
      </c>
      <c r="C216" s="140" t="s">
        <v>75</v>
      </c>
      <c r="D216" s="140" t="s">
        <v>256</v>
      </c>
      <c r="E216" s="140" t="s">
        <v>315</v>
      </c>
      <c r="F216" s="140" t="s">
        <v>316</v>
      </c>
      <c r="G216" s="140" t="s">
        <v>316</v>
      </c>
      <c r="H216" s="140" t="s">
        <v>316</v>
      </c>
      <c r="I216" s="152" t="s">
        <v>243</v>
      </c>
      <c r="J216" s="140" t="s">
        <v>244</v>
      </c>
      <c r="K216" s="140" t="s">
        <v>245</v>
      </c>
      <c r="L216" s="140" t="s">
        <v>316</v>
      </c>
      <c r="M216" s="140" t="s">
        <v>46</v>
      </c>
      <c r="N216" s="156">
        <v>0</v>
      </c>
      <c r="O216" s="156" t="s">
        <v>47</v>
      </c>
      <c r="P216" s="156"/>
      <c r="Q216" s="158">
        <v>0</v>
      </c>
      <c r="R216" s="158">
        <v>0</v>
      </c>
      <c r="S216" s="158">
        <v>80041</v>
      </c>
      <c r="T216" s="158">
        <f t="shared" si="36"/>
        <v>0</v>
      </c>
      <c r="U216" s="158">
        <f t="shared" si="40"/>
        <v>80041</v>
      </c>
      <c r="V216" s="158">
        <v>95198</v>
      </c>
      <c r="W216" s="158">
        <f t="shared" si="41"/>
        <v>-15157</v>
      </c>
      <c r="X216" s="158">
        <f t="shared" si="37"/>
        <v>-15157</v>
      </c>
      <c r="Y216" s="158">
        <f t="shared" si="42"/>
        <v>0</v>
      </c>
      <c r="Z216" s="158">
        <v>74344.7</v>
      </c>
      <c r="AA216" s="158">
        <f t="shared" si="38"/>
        <v>20853.3</v>
      </c>
      <c r="AB216" s="167">
        <f t="shared" si="33"/>
        <v>74344.7</v>
      </c>
      <c r="AC216" s="168">
        <f t="shared" si="39"/>
        <v>0</v>
      </c>
      <c r="AD216" s="158">
        <v>62320.7496122224</v>
      </c>
      <c r="AE216" s="159">
        <v>0.176470588235294</v>
      </c>
      <c r="AF216" s="158">
        <f t="shared" si="34"/>
        <v>10997.7793433334</v>
      </c>
      <c r="AG216" s="158">
        <f t="shared" si="43"/>
        <v>10997.7793433334</v>
      </c>
      <c r="AH216" s="175"/>
      <c r="AI216" s="175"/>
      <c r="AJ216" s="156" t="s">
        <v>47</v>
      </c>
      <c r="AK216" s="140" t="s">
        <v>47</v>
      </c>
      <c r="AM216" s="152"/>
    </row>
    <row r="217" s="140" customFormat="1" ht="15" hidden="1" customHeight="1" spans="1:39">
      <c r="A217" s="140">
        <v>2017</v>
      </c>
      <c r="B217" s="140" t="s">
        <v>38</v>
      </c>
      <c r="C217" s="140" t="s">
        <v>75</v>
      </c>
      <c r="D217" s="140" t="s">
        <v>256</v>
      </c>
      <c r="E217" s="140" t="s">
        <v>175</v>
      </c>
      <c r="F217" s="140" t="s">
        <v>319</v>
      </c>
      <c r="G217" s="140" t="s">
        <v>319</v>
      </c>
      <c r="H217" s="140" t="s">
        <v>319</v>
      </c>
      <c r="I217" s="152" t="s">
        <v>243</v>
      </c>
      <c r="J217" s="140" t="s">
        <v>244</v>
      </c>
      <c r="K217" s="140" t="s">
        <v>245</v>
      </c>
      <c r="L217" s="140" t="s">
        <v>319</v>
      </c>
      <c r="M217" s="140" t="s">
        <v>46</v>
      </c>
      <c r="N217" s="156">
        <v>0</v>
      </c>
      <c r="O217" s="156" t="s">
        <v>47</v>
      </c>
      <c r="P217" s="156"/>
      <c r="Q217" s="158">
        <v>0</v>
      </c>
      <c r="R217" s="158">
        <v>0</v>
      </c>
      <c r="S217" s="158">
        <v>36538.29</v>
      </c>
      <c r="T217" s="158">
        <f t="shared" si="36"/>
        <v>0</v>
      </c>
      <c r="U217" s="158">
        <f t="shared" si="40"/>
        <v>36538.29</v>
      </c>
      <c r="V217" s="158">
        <v>60925.5</v>
      </c>
      <c r="W217" s="158">
        <f t="shared" si="41"/>
        <v>-24387.21</v>
      </c>
      <c r="X217" s="158">
        <f t="shared" si="37"/>
        <v>-24387.21</v>
      </c>
      <c r="Y217" s="158">
        <f t="shared" si="42"/>
        <v>0</v>
      </c>
      <c r="Z217" s="158">
        <v>36538.29</v>
      </c>
      <c r="AA217" s="158">
        <f t="shared" si="38"/>
        <v>24387.21</v>
      </c>
      <c r="AB217" s="167">
        <f t="shared" si="33"/>
        <v>36538.29</v>
      </c>
      <c r="AC217" s="168">
        <f t="shared" si="39"/>
        <v>0</v>
      </c>
      <c r="AD217" s="158">
        <v>30628.8628826099</v>
      </c>
      <c r="AE217" s="159">
        <v>0.176470588235294</v>
      </c>
      <c r="AF217" s="158">
        <f t="shared" si="34"/>
        <v>5405.09344987233</v>
      </c>
      <c r="AG217" s="158">
        <f t="shared" si="43"/>
        <v>5405.09344987233</v>
      </c>
      <c r="AH217" s="175"/>
      <c r="AI217" s="175"/>
      <c r="AJ217" s="156" t="s">
        <v>47</v>
      </c>
      <c r="AK217" s="140" t="s">
        <v>120</v>
      </c>
      <c r="AM217" s="152"/>
    </row>
    <row r="218" s="140" customFormat="1" ht="15" hidden="1" customHeight="1" spans="1:39">
      <c r="A218" s="140">
        <v>2017</v>
      </c>
      <c r="B218" s="140" t="s">
        <v>38</v>
      </c>
      <c r="C218" s="140" t="s">
        <v>75</v>
      </c>
      <c r="D218" s="140" t="s">
        <v>256</v>
      </c>
      <c r="E218" s="140" t="s">
        <v>175</v>
      </c>
      <c r="F218" s="140" t="s">
        <v>320</v>
      </c>
      <c r="G218" s="140" t="s">
        <v>320</v>
      </c>
      <c r="H218" s="140" t="s">
        <v>320</v>
      </c>
      <c r="I218" s="152" t="s">
        <v>243</v>
      </c>
      <c r="J218" s="140" t="s">
        <v>244</v>
      </c>
      <c r="K218" s="140" t="s">
        <v>245</v>
      </c>
      <c r="L218" s="140" t="s">
        <v>320</v>
      </c>
      <c r="M218" s="140" t="s">
        <v>46</v>
      </c>
      <c r="N218" s="156">
        <v>0</v>
      </c>
      <c r="O218" s="156" t="s">
        <v>47</v>
      </c>
      <c r="P218" s="156"/>
      <c r="Q218" s="158">
        <v>0</v>
      </c>
      <c r="R218" s="158">
        <v>0</v>
      </c>
      <c r="S218" s="158">
        <v>14221.9</v>
      </c>
      <c r="T218" s="158">
        <f t="shared" si="36"/>
        <v>0</v>
      </c>
      <c r="U218" s="158">
        <f t="shared" si="40"/>
        <v>14221.9</v>
      </c>
      <c r="V218" s="158">
        <v>24909</v>
      </c>
      <c r="W218" s="158">
        <f t="shared" si="41"/>
        <v>-10687.1</v>
      </c>
      <c r="X218" s="158">
        <f t="shared" si="37"/>
        <v>-10687.1</v>
      </c>
      <c r="Y218" s="158">
        <f t="shared" si="42"/>
        <v>0</v>
      </c>
      <c r="Z218" s="158">
        <v>14221.9</v>
      </c>
      <c r="AA218" s="158">
        <f t="shared" si="38"/>
        <v>10687.1</v>
      </c>
      <c r="AB218" s="167">
        <f t="shared" si="33"/>
        <v>14221.9</v>
      </c>
      <c r="AC218" s="168">
        <f t="shared" si="39"/>
        <v>0</v>
      </c>
      <c r="AD218" s="158">
        <v>11921.7572861289</v>
      </c>
      <c r="AE218" s="159">
        <v>0.176470588235294</v>
      </c>
      <c r="AF218" s="158">
        <f t="shared" si="34"/>
        <v>2103.83952108157</v>
      </c>
      <c r="AG218" s="158">
        <f t="shared" si="43"/>
        <v>2103.83952108157</v>
      </c>
      <c r="AH218" s="175"/>
      <c r="AI218" s="175"/>
      <c r="AJ218" s="157">
        <v>0</v>
      </c>
      <c r="AK218" s="140" t="s">
        <v>120</v>
      </c>
      <c r="AM218" s="152"/>
    </row>
    <row r="219" s="140" customFormat="1" ht="15" hidden="1" customHeight="1" spans="1:39">
      <c r="A219" s="140">
        <v>2017</v>
      </c>
      <c r="B219" s="140" t="s">
        <v>38</v>
      </c>
      <c r="C219" s="140" t="s">
        <v>75</v>
      </c>
      <c r="D219" s="140" t="s">
        <v>256</v>
      </c>
      <c r="E219" s="140" t="s">
        <v>175</v>
      </c>
      <c r="F219" s="140" t="s">
        <v>383</v>
      </c>
      <c r="G219" s="140" t="s">
        <v>448</v>
      </c>
      <c r="H219" s="140" t="s">
        <v>448</v>
      </c>
      <c r="I219" s="152" t="s">
        <v>243</v>
      </c>
      <c r="J219" s="140" t="s">
        <v>244</v>
      </c>
      <c r="K219" s="140" t="s">
        <v>245</v>
      </c>
      <c r="L219" s="140" t="s">
        <v>383</v>
      </c>
      <c r="M219" s="140" t="s">
        <v>46</v>
      </c>
      <c r="N219" s="156">
        <v>0</v>
      </c>
      <c r="O219" s="156" t="s">
        <v>47</v>
      </c>
      <c r="P219" s="156"/>
      <c r="Q219" s="158">
        <v>0</v>
      </c>
      <c r="R219" s="158">
        <v>0</v>
      </c>
      <c r="S219" s="158">
        <v>20000</v>
      </c>
      <c r="T219" s="158">
        <f t="shared" si="36"/>
        <v>0</v>
      </c>
      <c r="U219" s="158">
        <f t="shared" si="40"/>
        <v>20000</v>
      </c>
      <c r="V219" s="158">
        <v>20000</v>
      </c>
      <c r="W219" s="158">
        <f t="shared" si="41"/>
        <v>0</v>
      </c>
      <c r="X219" s="158">
        <f t="shared" si="37"/>
        <v>0</v>
      </c>
      <c r="Y219" s="158">
        <f t="shared" si="42"/>
        <v>0</v>
      </c>
      <c r="Z219" s="158">
        <v>20011.8</v>
      </c>
      <c r="AA219" s="158">
        <f t="shared" si="38"/>
        <v>-11.7999999999993</v>
      </c>
      <c r="AB219" s="167">
        <f t="shared" si="33"/>
        <v>20011.8</v>
      </c>
      <c r="AC219" s="168">
        <f t="shared" si="39"/>
        <v>0</v>
      </c>
      <c r="AD219" s="158">
        <v>0</v>
      </c>
      <c r="AE219" s="159">
        <v>0.176470588235294</v>
      </c>
      <c r="AF219" s="158">
        <f t="shared" si="34"/>
        <v>0</v>
      </c>
      <c r="AG219" s="158">
        <f t="shared" si="43"/>
        <v>0</v>
      </c>
      <c r="AH219" s="175"/>
      <c r="AI219" s="175"/>
      <c r="AJ219" s="156" t="s">
        <v>47</v>
      </c>
      <c r="AK219" s="140" t="s">
        <v>47</v>
      </c>
      <c r="AM219" s="152" t="s">
        <v>449</v>
      </c>
    </row>
    <row r="220" s="140" customFormat="1" ht="15" customHeight="1" spans="1:39">
      <c r="A220" s="140">
        <v>2017</v>
      </c>
      <c r="B220" s="140" t="s">
        <v>38</v>
      </c>
      <c r="C220" s="140" t="s">
        <v>75</v>
      </c>
      <c r="D220" s="140" t="s">
        <v>256</v>
      </c>
      <c r="E220" s="140" t="s">
        <v>450</v>
      </c>
      <c r="F220" s="140" t="s">
        <v>323</v>
      </c>
      <c r="G220" s="140" t="s">
        <v>323</v>
      </c>
      <c r="H220" s="140" t="s">
        <v>323</v>
      </c>
      <c r="I220" s="152" t="s">
        <v>243</v>
      </c>
      <c r="J220" s="140" t="s">
        <v>244</v>
      </c>
      <c r="K220" s="140" t="s">
        <v>245</v>
      </c>
      <c r="L220" s="140" t="s">
        <v>324</v>
      </c>
      <c r="M220" s="140" t="s">
        <v>46</v>
      </c>
      <c r="N220" s="156">
        <v>0</v>
      </c>
      <c r="O220" s="156" t="s">
        <v>47</v>
      </c>
      <c r="P220" s="156"/>
      <c r="Q220" s="158">
        <v>0</v>
      </c>
      <c r="R220" s="158">
        <v>0</v>
      </c>
      <c r="S220" s="158">
        <v>36658</v>
      </c>
      <c r="T220" s="158">
        <f t="shared" si="36"/>
        <v>0</v>
      </c>
      <c r="U220" s="158">
        <f t="shared" si="40"/>
        <v>36658</v>
      </c>
      <c r="V220" s="158">
        <v>0</v>
      </c>
      <c r="W220" s="158">
        <f t="shared" si="41"/>
        <v>36658</v>
      </c>
      <c r="X220" s="158">
        <f t="shared" si="37"/>
        <v>36658</v>
      </c>
      <c r="Y220" s="158">
        <f t="shared" si="42"/>
        <v>0</v>
      </c>
      <c r="Z220" s="158">
        <v>0</v>
      </c>
      <c r="AA220" s="158">
        <f t="shared" si="38"/>
        <v>0</v>
      </c>
      <c r="AB220" s="167">
        <f t="shared" si="33"/>
        <v>0</v>
      </c>
      <c r="AC220" s="168">
        <f t="shared" si="39"/>
        <v>0</v>
      </c>
      <c r="AD220" s="158">
        <v>0</v>
      </c>
      <c r="AE220" s="159">
        <v>0.176470588235294</v>
      </c>
      <c r="AF220" s="158">
        <f t="shared" si="34"/>
        <v>0</v>
      </c>
      <c r="AG220" s="158">
        <f t="shared" si="43"/>
        <v>0</v>
      </c>
      <c r="AH220" s="175"/>
      <c r="AI220" s="175"/>
      <c r="AJ220" s="156" t="s">
        <v>47</v>
      </c>
      <c r="AK220" s="140" t="s">
        <v>47</v>
      </c>
      <c r="AM220" s="152"/>
    </row>
    <row r="221" s="140" customFormat="1" ht="15" hidden="1" customHeight="1" spans="1:39">
      <c r="A221" s="140">
        <v>2017</v>
      </c>
      <c r="B221" s="140" t="s">
        <v>38</v>
      </c>
      <c r="C221" s="140" t="s">
        <v>75</v>
      </c>
      <c r="D221" s="140" t="s">
        <v>256</v>
      </c>
      <c r="E221" s="140" t="s">
        <v>321</v>
      </c>
      <c r="F221" s="140" t="s">
        <v>322</v>
      </c>
      <c r="G221" s="140" t="s">
        <v>322</v>
      </c>
      <c r="H221" s="140" t="s">
        <v>322</v>
      </c>
      <c r="I221" s="152" t="s">
        <v>243</v>
      </c>
      <c r="J221" s="140" t="s">
        <v>244</v>
      </c>
      <c r="K221" s="140" t="s">
        <v>245</v>
      </c>
      <c r="L221" s="140" t="s">
        <v>322</v>
      </c>
      <c r="M221" s="140" t="s">
        <v>46</v>
      </c>
      <c r="N221" s="156">
        <v>0</v>
      </c>
      <c r="O221" s="156" t="s">
        <v>47</v>
      </c>
      <c r="P221" s="156"/>
      <c r="Q221" s="158">
        <v>0</v>
      </c>
      <c r="R221" s="158">
        <v>0</v>
      </c>
      <c r="S221" s="158">
        <v>48634.5</v>
      </c>
      <c r="T221" s="158">
        <f t="shared" si="36"/>
        <v>0</v>
      </c>
      <c r="U221" s="158">
        <f t="shared" si="40"/>
        <v>48634.5</v>
      </c>
      <c r="V221" s="158">
        <v>61213.5</v>
      </c>
      <c r="W221" s="158">
        <f t="shared" si="41"/>
        <v>-12579</v>
      </c>
      <c r="X221" s="158">
        <f t="shared" si="37"/>
        <v>-12579</v>
      </c>
      <c r="Y221" s="158">
        <f t="shared" si="42"/>
        <v>0</v>
      </c>
      <c r="Z221" s="158">
        <v>36551.9</v>
      </c>
      <c r="AA221" s="158">
        <f t="shared" si="38"/>
        <v>24661.6</v>
      </c>
      <c r="AB221" s="167">
        <f t="shared" si="33"/>
        <v>36551.9</v>
      </c>
      <c r="AC221" s="168">
        <f t="shared" si="39"/>
        <v>0</v>
      </c>
      <c r="AD221" s="158">
        <v>30640.2717039815</v>
      </c>
      <c r="AE221" s="159">
        <v>0.176470588235294</v>
      </c>
      <c r="AF221" s="158">
        <f t="shared" si="34"/>
        <v>5407.10677129085</v>
      </c>
      <c r="AG221" s="158">
        <f t="shared" si="43"/>
        <v>5407.10677129085</v>
      </c>
      <c r="AH221" s="175"/>
      <c r="AI221" s="175"/>
      <c r="AJ221" s="157">
        <v>0</v>
      </c>
      <c r="AK221" s="140" t="s">
        <v>120</v>
      </c>
      <c r="AM221" s="152"/>
    </row>
    <row r="222" s="140" customFormat="1" ht="15" hidden="1" customHeight="1" spans="1:39">
      <c r="A222" s="140">
        <v>2017</v>
      </c>
      <c r="B222" s="140" t="s">
        <v>38</v>
      </c>
      <c r="C222" s="140" t="s">
        <v>75</v>
      </c>
      <c r="D222" s="140" t="s">
        <v>256</v>
      </c>
      <c r="E222" s="140" t="s">
        <v>321</v>
      </c>
      <c r="F222" s="140" t="s">
        <v>451</v>
      </c>
      <c r="G222" s="140" t="s">
        <v>451</v>
      </c>
      <c r="H222" s="140" t="s">
        <v>451</v>
      </c>
      <c r="I222" s="152" t="s">
        <v>243</v>
      </c>
      <c r="J222" s="140" t="s">
        <v>244</v>
      </c>
      <c r="K222" s="140" t="s">
        <v>245</v>
      </c>
      <c r="L222" s="140" t="s">
        <v>451</v>
      </c>
      <c r="M222" s="140" t="s">
        <v>46</v>
      </c>
      <c r="N222" s="157">
        <v>0</v>
      </c>
      <c r="O222" s="156" t="s">
        <v>47</v>
      </c>
      <c r="P222" s="156"/>
      <c r="Q222" s="158">
        <v>0</v>
      </c>
      <c r="R222" s="158">
        <v>0</v>
      </c>
      <c r="S222" s="158">
        <v>60000</v>
      </c>
      <c r="T222" s="158">
        <f t="shared" si="36"/>
        <v>0</v>
      </c>
      <c r="U222" s="158">
        <f t="shared" si="40"/>
        <v>60000</v>
      </c>
      <c r="V222" s="158">
        <v>60000</v>
      </c>
      <c r="W222" s="158">
        <f t="shared" si="41"/>
        <v>0</v>
      </c>
      <c r="X222" s="158">
        <f t="shared" si="37"/>
        <v>0</v>
      </c>
      <c r="Y222" s="158">
        <f t="shared" si="42"/>
        <v>0</v>
      </c>
      <c r="Z222" s="158">
        <v>38635.85</v>
      </c>
      <c r="AA222" s="158">
        <f t="shared" si="38"/>
        <v>21364.15</v>
      </c>
      <c r="AB222" s="167">
        <f t="shared" si="33"/>
        <v>38635.85</v>
      </c>
      <c r="AC222" s="168">
        <f t="shared" si="39"/>
        <v>0</v>
      </c>
      <c r="AD222" s="158">
        <v>32387.1793672633</v>
      </c>
      <c r="AE222" s="159">
        <v>0.176470588235294</v>
      </c>
      <c r="AF222" s="158">
        <f t="shared" si="34"/>
        <v>5715.38459422293</v>
      </c>
      <c r="AG222" s="158">
        <f t="shared" si="43"/>
        <v>5715.38459422293</v>
      </c>
      <c r="AH222" s="175"/>
      <c r="AI222" s="175"/>
      <c r="AJ222" s="156" t="s">
        <v>47</v>
      </c>
      <c r="AK222" s="140" t="s">
        <v>47</v>
      </c>
      <c r="AM222" s="152"/>
    </row>
    <row r="223" s="140" customFormat="1" ht="15" hidden="1" customHeight="1" spans="1:39">
      <c r="A223" s="140">
        <v>2017</v>
      </c>
      <c r="B223" s="140" t="s">
        <v>38</v>
      </c>
      <c r="C223" s="140" t="s">
        <v>75</v>
      </c>
      <c r="D223" s="140" t="s">
        <v>256</v>
      </c>
      <c r="E223" s="140" t="s">
        <v>321</v>
      </c>
      <c r="F223" s="140" t="s">
        <v>452</v>
      </c>
      <c r="G223" s="140" t="s">
        <v>452</v>
      </c>
      <c r="H223" s="140" t="s">
        <v>452</v>
      </c>
      <c r="I223" s="152" t="s">
        <v>243</v>
      </c>
      <c r="J223" s="140" t="s">
        <v>244</v>
      </c>
      <c r="K223" s="140" t="s">
        <v>245</v>
      </c>
      <c r="L223" s="140" t="s">
        <v>452</v>
      </c>
      <c r="M223" s="140" t="s">
        <v>46</v>
      </c>
      <c r="N223" s="156">
        <v>0</v>
      </c>
      <c r="O223" s="156" t="s">
        <v>47</v>
      </c>
      <c r="P223" s="156"/>
      <c r="Q223" s="158">
        <v>0</v>
      </c>
      <c r="R223" s="158">
        <v>0</v>
      </c>
      <c r="S223" s="158">
        <v>20000</v>
      </c>
      <c r="T223" s="158">
        <f t="shared" si="36"/>
        <v>0</v>
      </c>
      <c r="U223" s="158">
        <f t="shared" si="40"/>
        <v>20000</v>
      </c>
      <c r="V223" s="158">
        <v>20000</v>
      </c>
      <c r="W223" s="158">
        <f t="shared" si="41"/>
        <v>0</v>
      </c>
      <c r="X223" s="158">
        <f t="shared" si="37"/>
        <v>0</v>
      </c>
      <c r="Y223" s="158">
        <f t="shared" si="42"/>
        <v>0</v>
      </c>
      <c r="Z223" s="158">
        <v>8373.2</v>
      </c>
      <c r="AA223" s="158">
        <f t="shared" si="38"/>
        <v>11626.8</v>
      </c>
      <c r="AB223" s="167">
        <f t="shared" si="33"/>
        <v>8373.2</v>
      </c>
      <c r="AC223" s="168">
        <f t="shared" si="39"/>
        <v>0</v>
      </c>
      <c r="AD223" s="158">
        <v>7018.98185954157</v>
      </c>
      <c r="AE223" s="159">
        <v>0.176470588235294</v>
      </c>
      <c r="AF223" s="158">
        <f t="shared" si="34"/>
        <v>1238.64385756616</v>
      </c>
      <c r="AG223" s="158">
        <f t="shared" si="43"/>
        <v>1238.64385756616</v>
      </c>
      <c r="AH223" s="175"/>
      <c r="AI223" s="175"/>
      <c r="AJ223" s="176">
        <v>0</v>
      </c>
      <c r="AK223" s="140">
        <v>0</v>
      </c>
      <c r="AM223" s="152"/>
    </row>
    <row r="224" s="140" customFormat="1" ht="15" customHeight="1" spans="1:39">
      <c r="A224" s="140">
        <v>2017</v>
      </c>
      <c r="B224" s="140" t="s">
        <v>38</v>
      </c>
      <c r="C224" s="140" t="s">
        <v>75</v>
      </c>
      <c r="D224" s="140" t="s">
        <v>256</v>
      </c>
      <c r="E224" s="140" t="s">
        <v>321</v>
      </c>
      <c r="F224" s="140" t="s">
        <v>323</v>
      </c>
      <c r="G224" s="140" t="s">
        <v>453</v>
      </c>
      <c r="H224" s="140" t="s">
        <v>453</v>
      </c>
      <c r="I224" s="152" t="s">
        <v>243</v>
      </c>
      <c r="J224" s="140" t="s">
        <v>244</v>
      </c>
      <c r="K224" s="140" t="s">
        <v>245</v>
      </c>
      <c r="L224" s="140" t="s">
        <v>454</v>
      </c>
      <c r="M224" s="140" t="s">
        <v>46</v>
      </c>
      <c r="N224" s="156">
        <v>0</v>
      </c>
      <c r="O224" s="156" t="s">
        <v>47</v>
      </c>
      <c r="P224" s="156"/>
      <c r="Q224" s="158">
        <v>0</v>
      </c>
      <c r="R224" s="158">
        <v>0</v>
      </c>
      <c r="S224" s="158">
        <v>270000</v>
      </c>
      <c r="T224" s="158">
        <f t="shared" si="36"/>
        <v>0</v>
      </c>
      <c r="U224" s="158">
        <f t="shared" si="40"/>
        <v>270000</v>
      </c>
      <c r="V224" s="158">
        <v>270000</v>
      </c>
      <c r="W224" s="158">
        <f t="shared" si="41"/>
        <v>0</v>
      </c>
      <c r="X224" s="158">
        <f t="shared" si="37"/>
        <v>0</v>
      </c>
      <c r="Y224" s="158">
        <f t="shared" si="42"/>
        <v>0</v>
      </c>
      <c r="Z224" s="158">
        <v>181967.39</v>
      </c>
      <c r="AA224" s="158">
        <f t="shared" si="38"/>
        <v>88032.61</v>
      </c>
      <c r="AB224" s="167">
        <f t="shared" si="33"/>
        <v>181967.39</v>
      </c>
      <c r="AC224" s="168">
        <f t="shared" si="39"/>
        <v>0</v>
      </c>
      <c r="AD224" s="158">
        <v>152537.358409942</v>
      </c>
      <c r="AE224" s="159">
        <v>0.176470588235294</v>
      </c>
      <c r="AF224" s="158">
        <f t="shared" si="34"/>
        <v>26918.3573664603</v>
      </c>
      <c r="AG224" s="158">
        <f t="shared" si="43"/>
        <v>26918.3573664603</v>
      </c>
      <c r="AH224" s="175"/>
      <c r="AI224" s="175"/>
      <c r="AJ224" s="157">
        <v>0</v>
      </c>
      <c r="AK224" s="140" t="s">
        <v>47</v>
      </c>
      <c r="AM224" s="152"/>
    </row>
    <row r="225" s="140" customFormat="1" ht="15" hidden="1" customHeight="1" spans="1:39">
      <c r="A225" s="140">
        <v>2017</v>
      </c>
      <c r="B225" s="140" t="s">
        <v>38</v>
      </c>
      <c r="C225" s="140" t="s">
        <v>39</v>
      </c>
      <c r="D225" s="140" t="s">
        <v>81</v>
      </c>
      <c r="E225" s="140" t="s">
        <v>48</v>
      </c>
      <c r="F225" s="140" t="s">
        <v>455</v>
      </c>
      <c r="G225" s="140" t="s">
        <v>455</v>
      </c>
      <c r="H225" s="140" t="s">
        <v>455</v>
      </c>
      <c r="I225" s="152" t="s">
        <v>243</v>
      </c>
      <c r="J225" s="140" t="s">
        <v>244</v>
      </c>
      <c r="K225" s="140" t="s">
        <v>245</v>
      </c>
      <c r="L225" s="140" t="s">
        <v>455</v>
      </c>
      <c r="M225" s="140" t="s">
        <v>46</v>
      </c>
      <c r="N225" s="156">
        <v>0</v>
      </c>
      <c r="O225" s="156" t="s">
        <v>47</v>
      </c>
      <c r="P225" s="156"/>
      <c r="Q225" s="158">
        <v>0</v>
      </c>
      <c r="R225" s="158">
        <v>0</v>
      </c>
      <c r="S225" s="158">
        <v>200000</v>
      </c>
      <c r="T225" s="158">
        <f t="shared" si="36"/>
        <v>0</v>
      </c>
      <c r="U225" s="158">
        <f t="shared" si="40"/>
        <v>200000</v>
      </c>
      <c r="V225" s="158">
        <v>140000</v>
      </c>
      <c r="W225" s="158">
        <f t="shared" si="41"/>
        <v>60000</v>
      </c>
      <c r="X225" s="158">
        <f t="shared" si="37"/>
        <v>60000</v>
      </c>
      <c r="Y225" s="158">
        <f t="shared" si="42"/>
        <v>0</v>
      </c>
      <c r="Z225" s="158">
        <v>134711.4</v>
      </c>
      <c r="AA225" s="158">
        <f t="shared" si="38"/>
        <v>5288.60000000001</v>
      </c>
      <c r="AB225" s="167">
        <f t="shared" si="33"/>
        <v>134711.4</v>
      </c>
      <c r="AC225" s="168">
        <f t="shared" si="39"/>
        <v>0</v>
      </c>
      <c r="AD225" s="158">
        <v>112924.195394049</v>
      </c>
      <c r="AE225" s="159">
        <v>0.176470588235294</v>
      </c>
      <c r="AF225" s="158">
        <f t="shared" si="34"/>
        <v>19927.7991871851</v>
      </c>
      <c r="AG225" s="158">
        <f t="shared" si="43"/>
        <v>19927.7991871851</v>
      </c>
      <c r="AH225" s="175"/>
      <c r="AI225" s="175"/>
      <c r="AJ225" s="156" t="s">
        <v>47</v>
      </c>
      <c r="AK225" s="140" t="s">
        <v>47</v>
      </c>
      <c r="AM225" s="152"/>
    </row>
    <row r="226" s="140" customFormat="1" ht="15" hidden="1" customHeight="1" spans="1:39">
      <c r="A226" s="140">
        <v>2017</v>
      </c>
      <c r="B226" s="140" t="s">
        <v>38</v>
      </c>
      <c r="C226" s="140" t="s">
        <v>39</v>
      </c>
      <c r="D226" s="140" t="s">
        <v>81</v>
      </c>
      <c r="E226" s="140" t="s">
        <v>82</v>
      </c>
      <c r="F226" s="140" t="s">
        <v>326</v>
      </c>
      <c r="G226" s="140" t="s">
        <v>326</v>
      </c>
      <c r="H226" s="140" t="s">
        <v>326</v>
      </c>
      <c r="I226" s="152" t="s">
        <v>243</v>
      </c>
      <c r="J226" s="140" t="s">
        <v>244</v>
      </c>
      <c r="K226" s="140" t="s">
        <v>245</v>
      </c>
      <c r="L226" s="140" t="s">
        <v>326</v>
      </c>
      <c r="M226" s="140" t="s">
        <v>46</v>
      </c>
      <c r="N226" s="156">
        <v>0</v>
      </c>
      <c r="O226" s="156" t="s">
        <v>47</v>
      </c>
      <c r="P226" s="156"/>
      <c r="Q226" s="158">
        <v>0</v>
      </c>
      <c r="R226" s="158">
        <v>0</v>
      </c>
      <c r="S226" s="158">
        <v>50000</v>
      </c>
      <c r="T226" s="158">
        <f t="shared" si="36"/>
        <v>0</v>
      </c>
      <c r="U226" s="158">
        <f t="shared" si="40"/>
        <v>50000</v>
      </c>
      <c r="V226" s="158">
        <v>15000</v>
      </c>
      <c r="W226" s="158">
        <f t="shared" si="41"/>
        <v>35000</v>
      </c>
      <c r="X226" s="158">
        <f t="shared" si="37"/>
        <v>35000</v>
      </c>
      <c r="Y226" s="158">
        <f t="shared" si="42"/>
        <v>0</v>
      </c>
      <c r="Z226" s="158">
        <v>10050.7</v>
      </c>
      <c r="AA226" s="158">
        <f t="shared" si="38"/>
        <v>4949.3</v>
      </c>
      <c r="AB226" s="167">
        <f t="shared" si="33"/>
        <v>10050.7</v>
      </c>
      <c r="AC226" s="168">
        <f t="shared" si="39"/>
        <v>0</v>
      </c>
      <c r="AD226" s="158">
        <v>8425.17567664626</v>
      </c>
      <c r="AE226" s="159">
        <v>0.176470588235294</v>
      </c>
      <c r="AF226" s="158">
        <f t="shared" si="34"/>
        <v>1486.79570764346</v>
      </c>
      <c r="AG226" s="158">
        <f t="shared" si="43"/>
        <v>1486.79570764346</v>
      </c>
      <c r="AH226" s="175"/>
      <c r="AI226" s="175"/>
      <c r="AJ226" s="157">
        <v>0</v>
      </c>
      <c r="AK226" s="140" t="s">
        <v>120</v>
      </c>
      <c r="AM226" s="152"/>
    </row>
    <row r="227" s="140" customFormat="1" ht="15" hidden="1" customHeight="1" spans="1:39">
      <c r="A227" s="140">
        <v>2017</v>
      </c>
      <c r="B227" s="140" t="s">
        <v>38</v>
      </c>
      <c r="C227" s="140" t="s">
        <v>39</v>
      </c>
      <c r="D227" s="140" t="s">
        <v>81</v>
      </c>
      <c r="E227" s="140" t="s">
        <v>82</v>
      </c>
      <c r="F227" s="140" t="s">
        <v>83</v>
      </c>
      <c r="G227" s="140" t="s">
        <v>83</v>
      </c>
      <c r="H227" s="140" t="s">
        <v>83</v>
      </c>
      <c r="I227" s="152" t="s">
        <v>243</v>
      </c>
      <c r="J227" s="140" t="s">
        <v>244</v>
      </c>
      <c r="K227" s="140" t="s">
        <v>245</v>
      </c>
      <c r="L227" s="140" t="s">
        <v>83</v>
      </c>
      <c r="M227" s="140" t="s">
        <v>46</v>
      </c>
      <c r="N227" s="156">
        <v>0</v>
      </c>
      <c r="O227" s="156" t="s">
        <v>47</v>
      </c>
      <c r="P227" s="156"/>
      <c r="Q227" s="158">
        <v>0</v>
      </c>
      <c r="R227" s="158">
        <v>0</v>
      </c>
      <c r="S227" s="158">
        <v>211175</v>
      </c>
      <c r="T227" s="158">
        <f t="shared" si="36"/>
        <v>0</v>
      </c>
      <c r="U227" s="158">
        <f t="shared" si="40"/>
        <v>211175</v>
      </c>
      <c r="V227" s="158">
        <v>288000</v>
      </c>
      <c r="W227" s="158">
        <f t="shared" si="41"/>
        <v>-76825</v>
      </c>
      <c r="X227" s="158">
        <f t="shared" si="37"/>
        <v>-76825</v>
      </c>
      <c r="Y227" s="158">
        <f t="shared" si="42"/>
        <v>0</v>
      </c>
      <c r="Z227" s="158">
        <v>232214.2</v>
      </c>
      <c r="AA227" s="158">
        <f t="shared" si="38"/>
        <v>55785.8</v>
      </c>
      <c r="AB227" s="167">
        <f t="shared" si="33"/>
        <v>232214.2</v>
      </c>
      <c r="AC227" s="168">
        <f t="shared" si="39"/>
        <v>0</v>
      </c>
      <c r="AD227" s="158">
        <v>194657.628783256</v>
      </c>
      <c r="AE227" s="159">
        <v>0.176470588235294</v>
      </c>
      <c r="AF227" s="158">
        <f t="shared" si="34"/>
        <v>34351.3462558687</v>
      </c>
      <c r="AG227" s="158">
        <f t="shared" si="43"/>
        <v>34351.3462558687</v>
      </c>
      <c r="AH227" s="175"/>
      <c r="AI227" s="175"/>
      <c r="AJ227" s="157">
        <v>0</v>
      </c>
      <c r="AK227" s="140" t="s">
        <v>120</v>
      </c>
      <c r="AM227" s="152"/>
    </row>
    <row r="228" s="140" customFormat="1" ht="15" hidden="1" customHeight="1" spans="1:39">
      <c r="A228" s="140">
        <v>2017</v>
      </c>
      <c r="B228" s="140" t="s">
        <v>38</v>
      </c>
      <c r="C228" s="140" t="s">
        <v>39</v>
      </c>
      <c r="D228" s="140" t="s">
        <v>81</v>
      </c>
      <c r="E228" s="140" t="s">
        <v>82</v>
      </c>
      <c r="F228" s="140" t="s">
        <v>456</v>
      </c>
      <c r="G228" s="140" t="s">
        <v>456</v>
      </c>
      <c r="H228" s="140" t="s">
        <v>456</v>
      </c>
      <c r="I228" s="152" t="s">
        <v>243</v>
      </c>
      <c r="J228" s="140" t="s">
        <v>244</v>
      </c>
      <c r="K228" s="140" t="s">
        <v>245</v>
      </c>
      <c r="L228" s="140" t="s">
        <v>456</v>
      </c>
      <c r="M228" s="140" t="s">
        <v>46</v>
      </c>
      <c r="N228" s="156">
        <v>0</v>
      </c>
      <c r="O228" s="156" t="s">
        <v>47</v>
      </c>
      <c r="P228" s="156"/>
      <c r="Q228" s="158">
        <v>0</v>
      </c>
      <c r="R228" s="158">
        <v>0</v>
      </c>
      <c r="S228" s="158">
        <v>20000</v>
      </c>
      <c r="T228" s="158">
        <f t="shared" si="36"/>
        <v>0</v>
      </c>
      <c r="U228" s="158">
        <f t="shared" si="40"/>
        <v>20000</v>
      </c>
      <c r="V228" s="158">
        <v>20000</v>
      </c>
      <c r="W228" s="158">
        <f t="shared" si="41"/>
        <v>0</v>
      </c>
      <c r="X228" s="158">
        <f t="shared" si="37"/>
        <v>0</v>
      </c>
      <c r="Y228" s="158">
        <f t="shared" si="42"/>
        <v>0</v>
      </c>
      <c r="Z228" s="158">
        <v>14852.9</v>
      </c>
      <c r="AA228" s="158">
        <f t="shared" si="38"/>
        <v>5147.1</v>
      </c>
      <c r="AB228" s="167">
        <f t="shared" si="33"/>
        <v>14852.9</v>
      </c>
      <c r="AC228" s="168">
        <f t="shared" si="39"/>
        <v>0</v>
      </c>
      <c r="AD228" s="158">
        <v>12450.7041109235</v>
      </c>
      <c r="AE228" s="159">
        <v>0.176470588235294</v>
      </c>
      <c r="AF228" s="158">
        <f t="shared" si="34"/>
        <v>2197.18307839826</v>
      </c>
      <c r="AG228" s="158">
        <f t="shared" si="43"/>
        <v>2197.18307839826</v>
      </c>
      <c r="AH228" s="175"/>
      <c r="AI228" s="175"/>
      <c r="AJ228" s="176">
        <v>0</v>
      </c>
      <c r="AK228" s="140">
        <v>0</v>
      </c>
      <c r="AM228" s="152"/>
    </row>
    <row r="229" s="140" customFormat="1" ht="15" hidden="1" customHeight="1" spans="1:39">
      <c r="A229" s="140">
        <v>2017</v>
      </c>
      <c r="B229" s="140" t="s">
        <v>38</v>
      </c>
      <c r="C229" s="140" t="s">
        <v>39</v>
      </c>
      <c r="D229" s="140" t="s">
        <v>40</v>
      </c>
      <c r="E229" s="140" t="s">
        <v>48</v>
      </c>
      <c r="F229" s="140" t="s">
        <v>329</v>
      </c>
      <c r="G229" s="140" t="s">
        <v>329</v>
      </c>
      <c r="H229" s="140" t="s">
        <v>329</v>
      </c>
      <c r="I229" s="152" t="s">
        <v>243</v>
      </c>
      <c r="J229" s="140" t="s">
        <v>244</v>
      </c>
      <c r="K229" s="140" t="s">
        <v>245</v>
      </c>
      <c r="L229" s="140" t="s">
        <v>330</v>
      </c>
      <c r="M229" s="140" t="s">
        <v>46</v>
      </c>
      <c r="N229" s="156">
        <v>0</v>
      </c>
      <c r="O229" s="156" t="s">
        <v>47</v>
      </c>
      <c r="P229" s="156"/>
      <c r="Q229" s="158">
        <v>0</v>
      </c>
      <c r="R229" s="158">
        <v>0</v>
      </c>
      <c r="S229" s="158">
        <v>113297</v>
      </c>
      <c r="T229" s="158">
        <f t="shared" si="36"/>
        <v>0</v>
      </c>
      <c r="U229" s="158">
        <f t="shared" si="40"/>
        <v>113297</v>
      </c>
      <c r="V229" s="158">
        <v>65000</v>
      </c>
      <c r="W229" s="158">
        <f t="shared" si="41"/>
        <v>48297</v>
      </c>
      <c r="X229" s="158">
        <f t="shared" si="37"/>
        <v>48297</v>
      </c>
      <c r="Y229" s="158">
        <f t="shared" si="42"/>
        <v>0</v>
      </c>
      <c r="Z229" s="158">
        <v>24865.5</v>
      </c>
      <c r="AA229" s="158">
        <f t="shared" si="38"/>
        <v>40134.5</v>
      </c>
      <c r="AB229" s="167">
        <f t="shared" ref="AB229:AB292" si="44">IF(O229="返货",Z229/(1+N229),IF(O229="返现",Z229,IF(O229="折扣",Z229*N229,IF(O229="无",Z229))))</f>
        <v>24865.5</v>
      </c>
      <c r="AC229" s="168">
        <f t="shared" si="39"/>
        <v>0</v>
      </c>
      <c r="AD229" s="158">
        <v>20843.9417938698</v>
      </c>
      <c r="AE229" s="159">
        <v>0.176470588235294</v>
      </c>
      <c r="AF229" s="158">
        <f t="shared" si="34"/>
        <v>3678.34266950643</v>
      </c>
      <c r="AG229" s="158">
        <f t="shared" si="43"/>
        <v>3678.34266950643</v>
      </c>
      <c r="AH229" s="175"/>
      <c r="AI229" s="175"/>
      <c r="AJ229" s="157">
        <v>0</v>
      </c>
      <c r="AK229" s="140" t="s">
        <v>120</v>
      </c>
      <c r="AM229" s="152"/>
    </row>
    <row r="230" s="140" customFormat="1" ht="15" hidden="1" customHeight="1" spans="1:39">
      <c r="A230" s="140">
        <v>2017</v>
      </c>
      <c r="B230" s="140" t="s">
        <v>38</v>
      </c>
      <c r="C230" s="140" t="s">
        <v>39</v>
      </c>
      <c r="D230" s="140" t="s">
        <v>40</v>
      </c>
      <c r="E230" s="140" t="s">
        <v>48</v>
      </c>
      <c r="F230" s="140" t="s">
        <v>331</v>
      </c>
      <c r="G230" s="140" t="s">
        <v>331</v>
      </c>
      <c r="H230" s="140" t="s">
        <v>331</v>
      </c>
      <c r="I230" s="152" t="s">
        <v>243</v>
      </c>
      <c r="J230" s="140" t="s">
        <v>244</v>
      </c>
      <c r="K230" s="140" t="s">
        <v>245</v>
      </c>
      <c r="L230" s="140" t="s">
        <v>332</v>
      </c>
      <c r="M230" s="140" t="s">
        <v>46</v>
      </c>
      <c r="N230" s="156">
        <v>0</v>
      </c>
      <c r="O230" s="156" t="s">
        <v>47</v>
      </c>
      <c r="P230" s="156"/>
      <c r="Q230" s="158">
        <v>0</v>
      </c>
      <c r="R230" s="158">
        <v>0</v>
      </c>
      <c r="S230" s="158">
        <v>60000</v>
      </c>
      <c r="T230" s="158">
        <f t="shared" si="36"/>
        <v>0</v>
      </c>
      <c r="U230" s="158">
        <f t="shared" si="40"/>
        <v>60000</v>
      </c>
      <c r="V230" s="158">
        <v>90000</v>
      </c>
      <c r="W230" s="158">
        <f t="shared" si="41"/>
        <v>-30000</v>
      </c>
      <c r="X230" s="158">
        <f t="shared" si="37"/>
        <v>-30000</v>
      </c>
      <c r="Y230" s="158">
        <f t="shared" si="42"/>
        <v>0</v>
      </c>
      <c r="Z230" s="158">
        <v>63238.5</v>
      </c>
      <c r="AA230" s="158">
        <f t="shared" si="38"/>
        <v>26761.5</v>
      </c>
      <c r="AB230" s="167">
        <f t="shared" si="44"/>
        <v>63238.5</v>
      </c>
      <c r="AC230" s="168">
        <f t="shared" si="39"/>
        <v>0</v>
      </c>
      <c r="AD230" s="158">
        <v>53010.7825353055</v>
      </c>
      <c r="AE230" s="159">
        <v>0.176470588235294</v>
      </c>
      <c r="AF230" s="158">
        <f t="shared" si="34"/>
        <v>9354.84397681861</v>
      </c>
      <c r="AG230" s="158">
        <f t="shared" si="43"/>
        <v>9354.84397681861</v>
      </c>
      <c r="AH230" s="175"/>
      <c r="AI230" s="175"/>
      <c r="AJ230" s="157">
        <v>0</v>
      </c>
      <c r="AK230" s="140" t="s">
        <v>120</v>
      </c>
      <c r="AM230" s="152"/>
    </row>
    <row r="231" s="140" customFormat="1" ht="15" hidden="1" customHeight="1" spans="1:39">
      <c r="A231" s="140">
        <v>2017</v>
      </c>
      <c r="B231" s="140" t="s">
        <v>38</v>
      </c>
      <c r="C231" s="140" t="s">
        <v>39</v>
      </c>
      <c r="D231" s="140" t="s">
        <v>40</v>
      </c>
      <c r="E231" s="140" t="s">
        <v>41</v>
      </c>
      <c r="F231" s="140" t="s">
        <v>457</v>
      </c>
      <c r="G231" s="140" t="s">
        <v>457</v>
      </c>
      <c r="H231" s="140" t="s">
        <v>457</v>
      </c>
      <c r="I231" s="152" t="s">
        <v>243</v>
      </c>
      <c r="J231" s="140" t="s">
        <v>244</v>
      </c>
      <c r="K231" s="140" t="s">
        <v>245</v>
      </c>
      <c r="L231" s="140" t="s">
        <v>458</v>
      </c>
      <c r="M231" s="140" t="s">
        <v>46</v>
      </c>
      <c r="N231" s="156">
        <v>0</v>
      </c>
      <c r="O231" s="156" t="s">
        <v>47</v>
      </c>
      <c r="P231" s="156"/>
      <c r="Q231" s="158">
        <v>0</v>
      </c>
      <c r="R231" s="158">
        <v>0</v>
      </c>
      <c r="S231" s="158">
        <v>80000</v>
      </c>
      <c r="T231" s="158">
        <f t="shared" si="36"/>
        <v>0</v>
      </c>
      <c r="U231" s="158">
        <f t="shared" si="40"/>
        <v>80000</v>
      </c>
      <c r="V231" s="158">
        <v>80000</v>
      </c>
      <c r="W231" s="158">
        <f t="shared" si="41"/>
        <v>0</v>
      </c>
      <c r="X231" s="158">
        <f t="shared" si="37"/>
        <v>0</v>
      </c>
      <c r="Y231" s="158">
        <f t="shared" si="42"/>
        <v>0</v>
      </c>
      <c r="Z231" s="158">
        <v>79999.1</v>
      </c>
      <c r="AA231" s="158">
        <f t="shared" si="38"/>
        <v>0.899999999994179</v>
      </c>
      <c r="AB231" s="167">
        <f t="shared" si="44"/>
        <v>79999.1</v>
      </c>
      <c r="AC231" s="168">
        <f t="shared" si="39"/>
        <v>0</v>
      </c>
      <c r="AD231" s="158">
        <v>67060.6496536154</v>
      </c>
      <c r="AE231" s="159">
        <v>0.176470588235294</v>
      </c>
      <c r="AF231" s="158">
        <f t="shared" si="34"/>
        <v>11834.2322918145</v>
      </c>
      <c r="AG231" s="158">
        <f t="shared" si="43"/>
        <v>11834.2322918145</v>
      </c>
      <c r="AH231" s="175"/>
      <c r="AI231" s="175"/>
      <c r="AJ231" s="156" t="s">
        <v>47</v>
      </c>
      <c r="AK231" s="140" t="s">
        <v>47</v>
      </c>
      <c r="AM231" s="152"/>
    </row>
    <row r="232" s="140" customFormat="1" ht="15" hidden="1" customHeight="1" spans="1:39">
      <c r="A232" s="140">
        <v>2017</v>
      </c>
      <c r="B232" s="140" t="s">
        <v>333</v>
      </c>
      <c r="C232" s="140" t="s">
        <v>39</v>
      </c>
      <c r="D232" s="140" t="s">
        <v>40</v>
      </c>
      <c r="E232" s="140" t="s">
        <v>41</v>
      </c>
      <c r="F232" s="140" t="s">
        <v>334</v>
      </c>
      <c r="G232" s="140" t="s">
        <v>335</v>
      </c>
      <c r="H232" s="140" t="s">
        <v>335</v>
      </c>
      <c r="I232" s="152" t="s">
        <v>243</v>
      </c>
      <c r="J232" s="140" t="s">
        <v>244</v>
      </c>
      <c r="K232" s="140" t="s">
        <v>245</v>
      </c>
      <c r="L232" s="140" t="s">
        <v>336</v>
      </c>
      <c r="M232" s="140" t="s">
        <v>46</v>
      </c>
      <c r="N232" s="157">
        <v>0.02</v>
      </c>
      <c r="O232" s="156" t="s">
        <v>51</v>
      </c>
      <c r="P232" s="156"/>
      <c r="Q232" s="158">
        <v>0</v>
      </c>
      <c r="R232" s="158">
        <v>0</v>
      </c>
      <c r="S232" s="158">
        <v>88572.44</v>
      </c>
      <c r="T232" s="158">
        <f t="shared" si="36"/>
        <v>1771.4488</v>
      </c>
      <c r="U232" s="158">
        <f t="shared" si="40"/>
        <v>90343.8888</v>
      </c>
      <c r="V232" s="158">
        <v>1</v>
      </c>
      <c r="W232" s="158">
        <f t="shared" si="41"/>
        <v>90342.8888</v>
      </c>
      <c r="X232" s="158">
        <f t="shared" si="37"/>
        <v>88571.4596078431</v>
      </c>
      <c r="Y232" s="158">
        <f t="shared" si="42"/>
        <v>1771.42919215687</v>
      </c>
      <c r="Z232" s="158">
        <v>0</v>
      </c>
      <c r="AA232" s="158">
        <f t="shared" si="38"/>
        <v>1</v>
      </c>
      <c r="AB232" s="167">
        <f t="shared" si="44"/>
        <v>0</v>
      </c>
      <c r="AC232" s="168">
        <f t="shared" si="39"/>
        <v>0</v>
      </c>
      <c r="AD232" s="158">
        <v>0</v>
      </c>
      <c r="AE232" s="159">
        <v>0.176470588235294</v>
      </c>
      <c r="AF232" s="158">
        <f t="shared" si="34"/>
        <v>0</v>
      </c>
      <c r="AG232" s="158">
        <f t="shared" si="43"/>
        <v>0</v>
      </c>
      <c r="AH232" s="175"/>
      <c r="AI232" s="175"/>
      <c r="AJ232" s="156" t="s">
        <v>173</v>
      </c>
      <c r="AK232" s="140" t="s">
        <v>173</v>
      </c>
      <c r="AM232" s="152"/>
    </row>
    <row r="233" s="140" customFormat="1" ht="15" hidden="1" customHeight="1" spans="1:39">
      <c r="A233" s="140">
        <v>2017</v>
      </c>
      <c r="B233" s="140" t="s">
        <v>38</v>
      </c>
      <c r="C233" s="140" t="s">
        <v>39</v>
      </c>
      <c r="D233" s="140" t="s">
        <v>40</v>
      </c>
      <c r="E233" s="140" t="s">
        <v>41</v>
      </c>
      <c r="F233" s="140" t="s">
        <v>459</v>
      </c>
      <c r="G233" s="140" t="s">
        <v>459</v>
      </c>
      <c r="H233" s="140" t="s">
        <v>459</v>
      </c>
      <c r="I233" s="152" t="s">
        <v>243</v>
      </c>
      <c r="J233" s="140" t="s">
        <v>244</v>
      </c>
      <c r="K233" s="140" t="s">
        <v>245</v>
      </c>
      <c r="L233" s="140" t="s">
        <v>459</v>
      </c>
      <c r="M233" s="140" t="s">
        <v>46</v>
      </c>
      <c r="N233" s="156">
        <v>0</v>
      </c>
      <c r="O233" s="156" t="s">
        <v>47</v>
      </c>
      <c r="P233" s="156"/>
      <c r="Q233" s="158">
        <v>0</v>
      </c>
      <c r="R233" s="158">
        <v>0</v>
      </c>
      <c r="S233" s="158">
        <v>650000</v>
      </c>
      <c r="T233" s="158">
        <f t="shared" si="36"/>
        <v>0</v>
      </c>
      <c r="U233" s="158">
        <f t="shared" si="40"/>
        <v>650000</v>
      </c>
      <c r="V233" s="158">
        <v>600000</v>
      </c>
      <c r="W233" s="158">
        <f t="shared" si="41"/>
        <v>50000</v>
      </c>
      <c r="X233" s="158">
        <f t="shared" si="37"/>
        <v>50000</v>
      </c>
      <c r="Y233" s="158">
        <f t="shared" si="42"/>
        <v>0</v>
      </c>
      <c r="Z233" s="158">
        <v>555154.75</v>
      </c>
      <c r="AA233" s="158">
        <f t="shared" si="38"/>
        <v>44845.25</v>
      </c>
      <c r="AB233" s="167">
        <f t="shared" si="44"/>
        <v>555154.75</v>
      </c>
      <c r="AC233" s="168">
        <f t="shared" si="39"/>
        <v>0</v>
      </c>
      <c r="AD233" s="158">
        <v>465368.212808524</v>
      </c>
      <c r="AE233" s="159">
        <v>0.176470588235294</v>
      </c>
      <c r="AF233" s="158">
        <f t="shared" si="34"/>
        <v>82123.8022603277</v>
      </c>
      <c r="AG233" s="158">
        <f t="shared" si="43"/>
        <v>82123.8022603277</v>
      </c>
      <c r="AH233" s="175"/>
      <c r="AI233" s="175"/>
      <c r="AJ233" s="176">
        <v>0</v>
      </c>
      <c r="AK233" s="140">
        <v>0</v>
      </c>
      <c r="AM233" s="152"/>
    </row>
    <row r="234" s="140" customFormat="1" ht="15" hidden="1" customHeight="1" spans="1:39">
      <c r="A234" s="140">
        <v>2017</v>
      </c>
      <c r="B234" s="140" t="s">
        <v>38</v>
      </c>
      <c r="C234" s="140" t="s">
        <v>39</v>
      </c>
      <c r="D234" s="140" t="s">
        <v>40</v>
      </c>
      <c r="E234" s="140" t="s">
        <v>41</v>
      </c>
      <c r="F234" s="140" t="s">
        <v>460</v>
      </c>
      <c r="G234" s="140" t="s">
        <v>460</v>
      </c>
      <c r="H234" s="140" t="s">
        <v>460</v>
      </c>
      <c r="I234" s="152" t="s">
        <v>243</v>
      </c>
      <c r="J234" s="140" t="s">
        <v>244</v>
      </c>
      <c r="K234" s="140" t="s">
        <v>245</v>
      </c>
      <c r="L234" s="140" t="s">
        <v>461</v>
      </c>
      <c r="M234" s="140" t="s">
        <v>46</v>
      </c>
      <c r="N234" s="157">
        <v>0.02</v>
      </c>
      <c r="O234" s="156" t="s">
        <v>51</v>
      </c>
      <c r="P234" s="156"/>
      <c r="Q234" s="158">
        <v>0</v>
      </c>
      <c r="R234" s="158">
        <v>0</v>
      </c>
      <c r="S234" s="158">
        <v>89759.26</v>
      </c>
      <c r="T234" s="158">
        <f t="shared" si="36"/>
        <v>1795.1852</v>
      </c>
      <c r="U234" s="158">
        <f t="shared" si="40"/>
        <v>91554.4452</v>
      </c>
      <c r="V234" s="158">
        <v>70000</v>
      </c>
      <c r="W234" s="158">
        <f t="shared" si="41"/>
        <v>21554.4452</v>
      </c>
      <c r="X234" s="158">
        <f t="shared" si="37"/>
        <v>21131.8090196078</v>
      </c>
      <c r="Y234" s="158">
        <f t="shared" si="42"/>
        <v>422.636180392157</v>
      </c>
      <c r="Z234" s="158">
        <v>14635.4</v>
      </c>
      <c r="AA234" s="158">
        <f t="shared" si="38"/>
        <v>55364.6</v>
      </c>
      <c r="AB234" s="167">
        <f t="shared" si="44"/>
        <v>14348.431372549</v>
      </c>
      <c r="AC234" s="168">
        <f t="shared" si="39"/>
        <v>286.96862745098</v>
      </c>
      <c r="AD234" s="158">
        <v>12268.3809185419</v>
      </c>
      <c r="AE234" s="159">
        <v>0.176470588235294</v>
      </c>
      <c r="AF234" s="158">
        <f t="shared" si="34"/>
        <v>2165.00839738975</v>
      </c>
      <c r="AG234" s="158">
        <f t="shared" si="43"/>
        <v>1878.03976993876</v>
      </c>
      <c r="AH234" s="175"/>
      <c r="AI234" s="175"/>
      <c r="AJ234" s="156" t="s">
        <v>173</v>
      </c>
      <c r="AK234" s="140" t="s">
        <v>173</v>
      </c>
      <c r="AM234" s="152"/>
    </row>
    <row r="235" s="140" customFormat="1" ht="15" hidden="1" customHeight="1" spans="1:39">
      <c r="A235" s="140">
        <v>2017</v>
      </c>
      <c r="B235" s="140" t="s">
        <v>38</v>
      </c>
      <c r="C235" s="140" t="s">
        <v>59</v>
      </c>
      <c r="D235" s="140" t="s">
        <v>154</v>
      </c>
      <c r="E235" s="140" t="s">
        <v>107</v>
      </c>
      <c r="F235" s="140" t="s">
        <v>337</v>
      </c>
      <c r="G235" s="140" t="s">
        <v>337</v>
      </c>
      <c r="H235" s="140" t="s">
        <v>337</v>
      </c>
      <c r="I235" s="152" t="s">
        <v>243</v>
      </c>
      <c r="J235" s="140" t="s">
        <v>244</v>
      </c>
      <c r="K235" s="140" t="s">
        <v>245</v>
      </c>
      <c r="L235" s="140" t="s">
        <v>337</v>
      </c>
      <c r="M235" s="140" t="s">
        <v>46</v>
      </c>
      <c r="N235" s="156">
        <v>0</v>
      </c>
      <c r="O235" s="156" t="s">
        <v>47</v>
      </c>
      <c r="P235" s="156"/>
      <c r="Q235" s="158">
        <v>0</v>
      </c>
      <c r="R235" s="158">
        <v>0</v>
      </c>
      <c r="S235" s="158">
        <v>30654</v>
      </c>
      <c r="T235" s="158">
        <f t="shared" si="36"/>
        <v>0</v>
      </c>
      <c r="U235" s="158">
        <f t="shared" si="40"/>
        <v>30654</v>
      </c>
      <c r="V235" s="158">
        <v>35000</v>
      </c>
      <c r="W235" s="158">
        <f t="shared" si="41"/>
        <v>-4346</v>
      </c>
      <c r="X235" s="158">
        <f t="shared" si="37"/>
        <v>-4346</v>
      </c>
      <c r="Y235" s="158">
        <f t="shared" si="42"/>
        <v>0</v>
      </c>
      <c r="Z235" s="158">
        <v>20195.6</v>
      </c>
      <c r="AA235" s="158">
        <f t="shared" si="38"/>
        <v>14804.4</v>
      </c>
      <c r="AB235" s="167">
        <f t="shared" si="44"/>
        <v>20195.6</v>
      </c>
      <c r="AC235" s="168">
        <f t="shared" si="39"/>
        <v>0</v>
      </c>
      <c r="AD235" s="158">
        <v>16929.3161566137</v>
      </c>
      <c r="AE235" s="159">
        <v>0.176470588235294</v>
      </c>
      <c r="AF235" s="158">
        <f t="shared" si="34"/>
        <v>2987.52638057889</v>
      </c>
      <c r="AG235" s="158">
        <f t="shared" ref="AG235:AG251" si="45">AB235-Z235+AF235</f>
        <v>2987.52638057889</v>
      </c>
      <c r="AH235" s="175"/>
      <c r="AI235" s="175"/>
      <c r="AJ235" s="157">
        <v>0</v>
      </c>
      <c r="AK235" s="140" t="s">
        <v>120</v>
      </c>
      <c r="AM235" s="152"/>
    </row>
    <row r="236" s="140" customFormat="1" ht="15" hidden="1" customHeight="1" spans="1:39">
      <c r="A236" s="140">
        <v>2017</v>
      </c>
      <c r="B236" s="140" t="s">
        <v>38</v>
      </c>
      <c r="C236" s="140" t="s">
        <v>59</v>
      </c>
      <c r="D236" s="140" t="s">
        <v>154</v>
      </c>
      <c r="E236" s="140" t="s">
        <v>107</v>
      </c>
      <c r="F236" s="140" t="s">
        <v>462</v>
      </c>
      <c r="G236" s="140" t="s">
        <v>462</v>
      </c>
      <c r="H236" s="140" t="s">
        <v>462</v>
      </c>
      <c r="I236" s="152" t="s">
        <v>243</v>
      </c>
      <c r="J236" s="140" t="s">
        <v>244</v>
      </c>
      <c r="K236" s="140" t="s">
        <v>245</v>
      </c>
      <c r="L236" s="140" t="s">
        <v>462</v>
      </c>
      <c r="M236" s="140" t="s">
        <v>46</v>
      </c>
      <c r="N236" s="156">
        <v>0</v>
      </c>
      <c r="O236" s="156" t="s">
        <v>47</v>
      </c>
      <c r="P236" s="156"/>
      <c r="Q236" s="158">
        <v>0</v>
      </c>
      <c r="R236" s="158">
        <v>0</v>
      </c>
      <c r="S236" s="158">
        <v>50000</v>
      </c>
      <c r="T236" s="158">
        <f t="shared" si="36"/>
        <v>0</v>
      </c>
      <c r="U236" s="158">
        <f t="shared" si="40"/>
        <v>50000</v>
      </c>
      <c r="V236" s="158">
        <v>50000</v>
      </c>
      <c r="W236" s="158">
        <f t="shared" si="41"/>
        <v>0</v>
      </c>
      <c r="X236" s="158">
        <f t="shared" si="37"/>
        <v>0</v>
      </c>
      <c r="Y236" s="158">
        <f t="shared" si="42"/>
        <v>0</v>
      </c>
      <c r="Z236" s="158">
        <v>50000</v>
      </c>
      <c r="AA236" s="158">
        <f t="shared" si="38"/>
        <v>0</v>
      </c>
      <c r="AB236" s="167">
        <f t="shared" si="44"/>
        <v>50000</v>
      </c>
      <c r="AC236" s="168">
        <f t="shared" si="39"/>
        <v>0</v>
      </c>
      <c r="AD236" s="158">
        <v>41913.3775590071</v>
      </c>
      <c r="AE236" s="159">
        <v>0.176470588235294</v>
      </c>
      <c r="AF236" s="158">
        <f t="shared" si="34"/>
        <v>7396.47839276595</v>
      </c>
      <c r="AG236" s="158">
        <f t="shared" si="45"/>
        <v>7396.47839276595</v>
      </c>
      <c r="AH236" s="175"/>
      <c r="AI236" s="175"/>
      <c r="AJ236" s="156" t="s">
        <v>47</v>
      </c>
      <c r="AK236" s="140" t="s">
        <v>47</v>
      </c>
      <c r="AM236" s="152"/>
    </row>
    <row r="237" s="140" customFormat="1" ht="15" hidden="1" customHeight="1" spans="1:39">
      <c r="A237" s="140">
        <v>2017</v>
      </c>
      <c r="B237" s="140" t="s">
        <v>38</v>
      </c>
      <c r="C237" s="140" t="s">
        <v>59</v>
      </c>
      <c r="D237" s="140" t="s">
        <v>154</v>
      </c>
      <c r="E237" s="140" t="s">
        <v>107</v>
      </c>
      <c r="F237" s="140" t="s">
        <v>463</v>
      </c>
      <c r="G237" s="140" t="s">
        <v>463</v>
      </c>
      <c r="H237" s="140" t="s">
        <v>463</v>
      </c>
      <c r="I237" s="152" t="s">
        <v>243</v>
      </c>
      <c r="J237" s="140" t="s">
        <v>244</v>
      </c>
      <c r="K237" s="140" t="s">
        <v>245</v>
      </c>
      <c r="L237" s="140" t="s">
        <v>463</v>
      </c>
      <c r="M237" s="140" t="s">
        <v>46</v>
      </c>
      <c r="N237" s="156">
        <v>0</v>
      </c>
      <c r="O237" s="156" t="s">
        <v>47</v>
      </c>
      <c r="P237" s="156"/>
      <c r="Q237" s="158">
        <v>0</v>
      </c>
      <c r="R237" s="158">
        <v>0</v>
      </c>
      <c r="S237" s="158">
        <v>36000</v>
      </c>
      <c r="T237" s="158">
        <f t="shared" si="36"/>
        <v>0</v>
      </c>
      <c r="U237" s="158">
        <f t="shared" si="40"/>
        <v>36000</v>
      </c>
      <c r="V237" s="158">
        <v>36000</v>
      </c>
      <c r="W237" s="158">
        <f t="shared" si="41"/>
        <v>0</v>
      </c>
      <c r="X237" s="158">
        <f t="shared" si="37"/>
        <v>0</v>
      </c>
      <c r="Y237" s="158">
        <f t="shared" si="42"/>
        <v>0</v>
      </c>
      <c r="Z237" s="158">
        <v>4403.97</v>
      </c>
      <c r="AA237" s="158">
        <f t="shared" si="38"/>
        <v>31596.03</v>
      </c>
      <c r="AB237" s="167">
        <f t="shared" si="44"/>
        <v>4403.97</v>
      </c>
      <c r="AC237" s="168">
        <f t="shared" si="39"/>
        <v>0</v>
      </c>
      <c r="AD237" s="158">
        <v>3691.70514737081</v>
      </c>
      <c r="AE237" s="159">
        <v>0.176470588235294</v>
      </c>
      <c r="AF237" s="158">
        <f t="shared" si="34"/>
        <v>651.47737894779</v>
      </c>
      <c r="AG237" s="158">
        <f t="shared" si="45"/>
        <v>651.47737894779</v>
      </c>
      <c r="AH237" s="175"/>
      <c r="AI237" s="175"/>
      <c r="AJ237" s="156" t="s">
        <v>47</v>
      </c>
      <c r="AK237" s="140" t="s">
        <v>47</v>
      </c>
      <c r="AM237" s="152"/>
    </row>
    <row r="238" s="140" customFormat="1" ht="15" hidden="1" customHeight="1" spans="1:39">
      <c r="A238" s="140">
        <v>2017</v>
      </c>
      <c r="B238" s="140" t="s">
        <v>38</v>
      </c>
      <c r="C238" s="140" t="s">
        <v>59</v>
      </c>
      <c r="D238" s="140" t="s">
        <v>154</v>
      </c>
      <c r="E238" s="140" t="s">
        <v>107</v>
      </c>
      <c r="F238" s="140" t="s">
        <v>464</v>
      </c>
      <c r="G238" s="140" t="s">
        <v>464</v>
      </c>
      <c r="H238" s="140" t="s">
        <v>464</v>
      </c>
      <c r="I238" s="152" t="s">
        <v>243</v>
      </c>
      <c r="J238" s="140" t="s">
        <v>244</v>
      </c>
      <c r="K238" s="140" t="s">
        <v>245</v>
      </c>
      <c r="L238" s="140" t="s">
        <v>464</v>
      </c>
      <c r="M238" s="140" t="s">
        <v>46</v>
      </c>
      <c r="N238" s="156">
        <v>0</v>
      </c>
      <c r="O238" s="156" t="s">
        <v>47</v>
      </c>
      <c r="P238" s="156"/>
      <c r="Q238" s="158">
        <v>0</v>
      </c>
      <c r="R238" s="158">
        <v>0</v>
      </c>
      <c r="S238" s="158">
        <v>130000</v>
      </c>
      <c r="T238" s="158">
        <f t="shared" si="36"/>
        <v>0</v>
      </c>
      <c r="U238" s="158">
        <f t="shared" si="40"/>
        <v>130000</v>
      </c>
      <c r="V238" s="158">
        <v>100000</v>
      </c>
      <c r="W238" s="158">
        <f t="shared" si="41"/>
        <v>30000</v>
      </c>
      <c r="X238" s="158">
        <f t="shared" si="37"/>
        <v>30000</v>
      </c>
      <c r="Y238" s="158">
        <f t="shared" si="42"/>
        <v>0</v>
      </c>
      <c r="Z238" s="158">
        <v>83696.87</v>
      </c>
      <c r="AA238" s="158">
        <f t="shared" si="38"/>
        <v>16303.13</v>
      </c>
      <c r="AB238" s="167">
        <f t="shared" si="44"/>
        <v>83696.87</v>
      </c>
      <c r="AC238" s="168">
        <f t="shared" si="39"/>
        <v>0</v>
      </c>
      <c r="AD238" s="158">
        <v>70160.3702563428</v>
      </c>
      <c r="AE238" s="159">
        <v>0.176470588235294</v>
      </c>
      <c r="AF238" s="158">
        <f t="shared" si="34"/>
        <v>12381.2418099428</v>
      </c>
      <c r="AG238" s="158">
        <f t="shared" si="45"/>
        <v>12381.2418099428</v>
      </c>
      <c r="AH238" s="175"/>
      <c r="AI238" s="175"/>
      <c r="AJ238" s="156" t="s">
        <v>47</v>
      </c>
      <c r="AK238" s="140" t="s">
        <v>47</v>
      </c>
      <c r="AM238" s="152"/>
    </row>
    <row r="239" s="140" customFormat="1" ht="15" hidden="1" customHeight="1" spans="1:39">
      <c r="A239" s="140">
        <v>2017</v>
      </c>
      <c r="B239" s="140" t="s">
        <v>38</v>
      </c>
      <c r="C239" s="140" t="s">
        <v>59</v>
      </c>
      <c r="D239" s="140" t="s">
        <v>154</v>
      </c>
      <c r="E239" s="140" t="s">
        <v>107</v>
      </c>
      <c r="F239" s="140" t="s">
        <v>465</v>
      </c>
      <c r="G239" s="140" t="s">
        <v>465</v>
      </c>
      <c r="H239" s="140" t="s">
        <v>465</v>
      </c>
      <c r="I239" s="152" t="s">
        <v>243</v>
      </c>
      <c r="J239" s="140" t="s">
        <v>244</v>
      </c>
      <c r="K239" s="140" t="s">
        <v>245</v>
      </c>
      <c r="L239" s="140" t="s">
        <v>465</v>
      </c>
      <c r="M239" s="140" t="s">
        <v>46</v>
      </c>
      <c r="N239" s="156">
        <v>0</v>
      </c>
      <c r="O239" s="156" t="s">
        <v>47</v>
      </c>
      <c r="P239" s="156"/>
      <c r="Q239" s="158">
        <v>0</v>
      </c>
      <c r="R239" s="158">
        <v>0</v>
      </c>
      <c r="S239" s="158">
        <v>70000</v>
      </c>
      <c r="T239" s="158">
        <f t="shared" si="36"/>
        <v>0</v>
      </c>
      <c r="U239" s="158">
        <f t="shared" si="40"/>
        <v>70000</v>
      </c>
      <c r="V239" s="158">
        <v>70000</v>
      </c>
      <c r="W239" s="158">
        <f t="shared" si="41"/>
        <v>0</v>
      </c>
      <c r="X239" s="158">
        <f t="shared" si="37"/>
        <v>0</v>
      </c>
      <c r="Y239" s="158">
        <f t="shared" si="42"/>
        <v>0</v>
      </c>
      <c r="Z239" s="158">
        <v>49323.8</v>
      </c>
      <c r="AA239" s="158">
        <f t="shared" si="38"/>
        <v>20676.2</v>
      </c>
      <c r="AB239" s="167">
        <f t="shared" si="44"/>
        <v>49323.8</v>
      </c>
      <c r="AC239" s="168">
        <f t="shared" si="39"/>
        <v>0</v>
      </c>
      <c r="AD239" s="158">
        <v>41346.5410408991</v>
      </c>
      <c r="AE239" s="159">
        <v>0.176470588235294</v>
      </c>
      <c r="AF239" s="158">
        <f t="shared" ref="AF239:AF302" si="46">AD239*AE239</f>
        <v>7296.44841898219</v>
      </c>
      <c r="AG239" s="158">
        <f t="shared" si="45"/>
        <v>7296.44841898219</v>
      </c>
      <c r="AH239" s="175"/>
      <c r="AI239" s="175"/>
      <c r="AJ239" s="156" t="s">
        <v>47</v>
      </c>
      <c r="AK239" s="140" t="s">
        <v>47</v>
      </c>
      <c r="AM239" s="152"/>
    </row>
    <row r="240" s="140" customFormat="1" ht="15" hidden="1" customHeight="1" spans="1:39">
      <c r="A240" s="140">
        <v>2017</v>
      </c>
      <c r="B240" s="140" t="s">
        <v>38</v>
      </c>
      <c r="C240" s="140" t="s">
        <v>59</v>
      </c>
      <c r="D240" s="140" t="s">
        <v>154</v>
      </c>
      <c r="E240" s="140" t="s">
        <v>107</v>
      </c>
      <c r="F240" s="140" t="s">
        <v>338</v>
      </c>
      <c r="G240" s="140" t="s">
        <v>339</v>
      </c>
      <c r="H240" s="140" t="s">
        <v>339</v>
      </c>
      <c r="I240" s="152" t="s">
        <v>243</v>
      </c>
      <c r="J240" s="140" t="s">
        <v>244</v>
      </c>
      <c r="K240" s="140" t="s">
        <v>245</v>
      </c>
      <c r="L240" s="140" t="s">
        <v>338</v>
      </c>
      <c r="M240" s="140" t="s">
        <v>46</v>
      </c>
      <c r="N240" s="156">
        <v>0</v>
      </c>
      <c r="O240" s="156" t="s">
        <v>47</v>
      </c>
      <c r="P240" s="156"/>
      <c r="Q240" s="158">
        <v>0</v>
      </c>
      <c r="R240" s="158">
        <v>0</v>
      </c>
      <c r="S240" s="158">
        <v>9152</v>
      </c>
      <c r="T240" s="158">
        <f t="shared" si="36"/>
        <v>0</v>
      </c>
      <c r="U240" s="158">
        <f t="shared" si="40"/>
        <v>9152</v>
      </c>
      <c r="V240" s="158">
        <v>15000</v>
      </c>
      <c r="W240" s="158">
        <f t="shared" si="41"/>
        <v>-5848</v>
      </c>
      <c r="X240" s="158">
        <f t="shared" si="37"/>
        <v>-5848</v>
      </c>
      <c r="Y240" s="158">
        <f t="shared" si="42"/>
        <v>0</v>
      </c>
      <c r="Z240" s="158">
        <v>7596</v>
      </c>
      <c r="AA240" s="158">
        <f t="shared" si="38"/>
        <v>7404</v>
      </c>
      <c r="AB240" s="167">
        <f t="shared" si="44"/>
        <v>7596</v>
      </c>
      <c r="AC240" s="168">
        <f t="shared" si="39"/>
        <v>0</v>
      </c>
      <c r="AD240" s="158">
        <v>6367.48031876437</v>
      </c>
      <c r="AE240" s="159">
        <v>0.176470588235294</v>
      </c>
      <c r="AF240" s="158">
        <f t="shared" si="46"/>
        <v>1123.67299742901</v>
      </c>
      <c r="AG240" s="158">
        <f t="shared" si="45"/>
        <v>1123.67299742901</v>
      </c>
      <c r="AH240" s="175"/>
      <c r="AI240" s="175"/>
      <c r="AJ240" s="157">
        <v>0</v>
      </c>
      <c r="AK240" s="140" t="s">
        <v>120</v>
      </c>
      <c r="AM240" s="152"/>
    </row>
    <row r="241" s="140" customFormat="1" ht="15" hidden="1" customHeight="1" spans="1:39">
      <c r="A241" s="140">
        <v>2017</v>
      </c>
      <c r="B241" s="140" t="s">
        <v>38</v>
      </c>
      <c r="C241" s="140" t="s">
        <v>59</v>
      </c>
      <c r="D241" s="140" t="s">
        <v>154</v>
      </c>
      <c r="E241" s="140" t="s">
        <v>107</v>
      </c>
      <c r="F241" s="140" t="s">
        <v>155</v>
      </c>
      <c r="G241" s="140" t="s">
        <v>155</v>
      </c>
      <c r="H241" s="140" t="s">
        <v>155</v>
      </c>
      <c r="I241" s="152" t="s">
        <v>243</v>
      </c>
      <c r="J241" s="140" t="s">
        <v>244</v>
      </c>
      <c r="K241" s="140" t="s">
        <v>245</v>
      </c>
      <c r="L241" s="140" t="s">
        <v>466</v>
      </c>
      <c r="M241" s="140" t="s">
        <v>46</v>
      </c>
      <c r="N241" s="156">
        <v>0</v>
      </c>
      <c r="O241" s="156" t="s">
        <v>47</v>
      </c>
      <c r="P241" s="156"/>
      <c r="Q241" s="158">
        <v>0</v>
      </c>
      <c r="R241" s="158">
        <v>0</v>
      </c>
      <c r="S241" s="158">
        <v>20000</v>
      </c>
      <c r="T241" s="158">
        <f t="shared" si="36"/>
        <v>0</v>
      </c>
      <c r="U241" s="158">
        <f t="shared" si="40"/>
        <v>20000</v>
      </c>
      <c r="V241" s="158">
        <v>20000</v>
      </c>
      <c r="W241" s="158">
        <f t="shared" si="41"/>
        <v>0</v>
      </c>
      <c r="X241" s="158">
        <f t="shared" si="37"/>
        <v>0</v>
      </c>
      <c r="Y241" s="158">
        <f t="shared" si="42"/>
        <v>0</v>
      </c>
      <c r="Z241" s="158">
        <v>7837.26</v>
      </c>
      <c r="AA241" s="158">
        <f t="shared" si="38"/>
        <v>12162.74</v>
      </c>
      <c r="AB241" s="167">
        <f t="shared" si="44"/>
        <v>7837.26</v>
      </c>
      <c r="AC241" s="168">
        <f t="shared" si="39"/>
        <v>0</v>
      </c>
      <c r="AD241" s="158">
        <v>6569.72074816209</v>
      </c>
      <c r="AE241" s="159">
        <v>0.176470588235294</v>
      </c>
      <c r="AF241" s="158">
        <f t="shared" si="46"/>
        <v>1159.36248496978</v>
      </c>
      <c r="AG241" s="158">
        <f t="shared" si="45"/>
        <v>1159.36248496978</v>
      </c>
      <c r="AH241" s="175"/>
      <c r="AI241" s="175"/>
      <c r="AJ241" s="156" t="s">
        <v>47</v>
      </c>
      <c r="AK241" s="140" t="s">
        <v>47</v>
      </c>
      <c r="AM241" s="152"/>
    </row>
    <row r="242" s="140" customFormat="1" ht="15" hidden="1" customHeight="1" spans="1:39">
      <c r="A242" s="140">
        <v>2017</v>
      </c>
      <c r="B242" s="140" t="s">
        <v>199</v>
      </c>
      <c r="C242" s="140" t="s">
        <v>59</v>
      </c>
      <c r="D242" s="140" t="s">
        <v>154</v>
      </c>
      <c r="E242" s="140" t="s">
        <v>61</v>
      </c>
      <c r="F242" s="140" t="s">
        <v>340</v>
      </c>
      <c r="G242" s="140" t="s">
        <v>341</v>
      </c>
      <c r="H242" s="140" t="s">
        <v>341</v>
      </c>
      <c r="I242" s="152" t="s">
        <v>243</v>
      </c>
      <c r="J242" s="140" t="s">
        <v>244</v>
      </c>
      <c r="K242" s="140" t="s">
        <v>245</v>
      </c>
      <c r="L242" s="140" t="s">
        <v>342</v>
      </c>
      <c r="M242" s="140" t="s">
        <v>46</v>
      </c>
      <c r="N242" s="156">
        <v>0</v>
      </c>
      <c r="O242" s="156" t="s">
        <v>47</v>
      </c>
      <c r="P242" s="156"/>
      <c r="Q242" s="158">
        <v>0</v>
      </c>
      <c r="R242" s="158">
        <v>0</v>
      </c>
      <c r="S242" s="158">
        <v>30000</v>
      </c>
      <c r="T242" s="158">
        <f t="shared" si="36"/>
        <v>0</v>
      </c>
      <c r="U242" s="158">
        <f t="shared" si="40"/>
        <v>30000</v>
      </c>
      <c r="V242" s="158">
        <v>39530</v>
      </c>
      <c r="W242" s="158">
        <f t="shared" si="41"/>
        <v>-9530</v>
      </c>
      <c r="X242" s="158">
        <f t="shared" si="37"/>
        <v>-9530</v>
      </c>
      <c r="Y242" s="158">
        <f t="shared" si="42"/>
        <v>0</v>
      </c>
      <c r="Z242" s="158">
        <v>35437.66</v>
      </c>
      <c r="AA242" s="158">
        <f t="shared" si="38"/>
        <v>4092.34</v>
      </c>
      <c r="AB242" s="167">
        <f t="shared" si="44"/>
        <v>35437.66</v>
      </c>
      <c r="AC242" s="168">
        <f t="shared" si="39"/>
        <v>0</v>
      </c>
      <c r="AD242" s="158">
        <v>29706.2404677545</v>
      </c>
      <c r="AE242" s="159">
        <v>0.176470588235294</v>
      </c>
      <c r="AF242" s="158">
        <f t="shared" si="46"/>
        <v>5242.27772960373</v>
      </c>
      <c r="AG242" s="158">
        <f t="shared" si="45"/>
        <v>5242.27772960373</v>
      </c>
      <c r="AH242" s="175"/>
      <c r="AI242" s="175"/>
      <c r="AJ242" s="156" t="s">
        <v>47</v>
      </c>
      <c r="AK242" s="140" t="s">
        <v>47</v>
      </c>
      <c r="AM242" s="152"/>
    </row>
    <row r="243" s="140" customFormat="1" ht="15" hidden="1" customHeight="1" spans="1:39">
      <c r="A243" s="140">
        <v>2017</v>
      </c>
      <c r="B243" s="140" t="s">
        <v>38</v>
      </c>
      <c r="C243" s="140" t="s">
        <v>59</v>
      </c>
      <c r="D243" s="140" t="s">
        <v>154</v>
      </c>
      <c r="E243" s="140" t="s">
        <v>61</v>
      </c>
      <c r="F243" s="140" t="s">
        <v>467</v>
      </c>
      <c r="G243" s="140" t="s">
        <v>467</v>
      </c>
      <c r="H243" s="140" t="s">
        <v>467</v>
      </c>
      <c r="I243" s="152" t="s">
        <v>243</v>
      </c>
      <c r="J243" s="140" t="s">
        <v>244</v>
      </c>
      <c r="K243" s="140" t="s">
        <v>245</v>
      </c>
      <c r="L243" s="140" t="s">
        <v>467</v>
      </c>
      <c r="M243" s="140" t="s">
        <v>46</v>
      </c>
      <c r="N243" s="156">
        <v>0</v>
      </c>
      <c r="O243" s="156" t="s">
        <v>47</v>
      </c>
      <c r="P243" s="156"/>
      <c r="Q243" s="158">
        <v>0</v>
      </c>
      <c r="R243" s="158">
        <v>0</v>
      </c>
      <c r="S243" s="158">
        <v>20000</v>
      </c>
      <c r="T243" s="158">
        <f t="shared" si="36"/>
        <v>0</v>
      </c>
      <c r="U243" s="158">
        <f t="shared" si="40"/>
        <v>20000</v>
      </c>
      <c r="V243" s="158">
        <v>20000</v>
      </c>
      <c r="W243" s="158">
        <f t="shared" si="41"/>
        <v>0</v>
      </c>
      <c r="X243" s="158">
        <f t="shared" si="37"/>
        <v>0</v>
      </c>
      <c r="Y243" s="158">
        <f t="shared" si="42"/>
        <v>0</v>
      </c>
      <c r="Z243" s="158">
        <v>10206.98</v>
      </c>
      <c r="AA243" s="158">
        <f t="shared" si="38"/>
        <v>9793.02</v>
      </c>
      <c r="AB243" s="167">
        <f t="shared" si="44"/>
        <v>10206.98</v>
      </c>
      <c r="AC243" s="168">
        <f t="shared" si="39"/>
        <v>0</v>
      </c>
      <c r="AD243" s="158">
        <v>8556.18012954469</v>
      </c>
      <c r="AE243" s="159">
        <v>0.176470588235294</v>
      </c>
      <c r="AF243" s="158">
        <f t="shared" si="46"/>
        <v>1509.91414050789</v>
      </c>
      <c r="AG243" s="158">
        <f t="shared" si="45"/>
        <v>1509.91414050789</v>
      </c>
      <c r="AH243" s="175"/>
      <c r="AI243" s="175"/>
      <c r="AJ243" s="156" t="s">
        <v>47</v>
      </c>
      <c r="AK243" s="140" t="s">
        <v>47</v>
      </c>
      <c r="AM243" s="152"/>
    </row>
    <row r="244" s="140" customFormat="1" ht="15" hidden="1" customHeight="1" spans="1:39">
      <c r="A244" s="140">
        <v>2017</v>
      </c>
      <c r="B244" s="140" t="s">
        <v>38</v>
      </c>
      <c r="C244" s="140" t="s">
        <v>59</v>
      </c>
      <c r="D244" s="140" t="s">
        <v>154</v>
      </c>
      <c r="E244" s="140" t="s">
        <v>61</v>
      </c>
      <c r="F244" s="140" t="s">
        <v>343</v>
      </c>
      <c r="G244" s="140" t="s">
        <v>343</v>
      </c>
      <c r="H244" s="140" t="s">
        <v>343</v>
      </c>
      <c r="I244" s="152" t="s">
        <v>243</v>
      </c>
      <c r="J244" s="140" t="s">
        <v>244</v>
      </c>
      <c r="K244" s="140" t="s">
        <v>245</v>
      </c>
      <c r="L244" s="140" t="s">
        <v>343</v>
      </c>
      <c r="M244" s="140" t="s">
        <v>46</v>
      </c>
      <c r="N244" s="156">
        <v>0</v>
      </c>
      <c r="O244" s="156" t="s">
        <v>47</v>
      </c>
      <c r="P244" s="156"/>
      <c r="Q244" s="158">
        <v>0</v>
      </c>
      <c r="R244" s="158">
        <v>0</v>
      </c>
      <c r="S244" s="158">
        <v>97162</v>
      </c>
      <c r="T244" s="158">
        <f t="shared" si="36"/>
        <v>0</v>
      </c>
      <c r="U244" s="158">
        <f t="shared" si="40"/>
        <v>97162</v>
      </c>
      <c r="V244" s="158">
        <v>120000</v>
      </c>
      <c r="W244" s="158">
        <f t="shared" si="41"/>
        <v>-22838</v>
      </c>
      <c r="X244" s="158">
        <f t="shared" si="37"/>
        <v>-22838</v>
      </c>
      <c r="Y244" s="158">
        <f t="shared" si="42"/>
        <v>0</v>
      </c>
      <c r="Z244" s="158">
        <v>81511.99</v>
      </c>
      <c r="AA244" s="158">
        <f t="shared" si="38"/>
        <v>38488.01</v>
      </c>
      <c r="AB244" s="167">
        <f t="shared" si="44"/>
        <v>81511.99</v>
      </c>
      <c r="AC244" s="168">
        <f t="shared" si="39"/>
        <v>0</v>
      </c>
      <c r="AD244" s="158">
        <v>68328.8562491203</v>
      </c>
      <c r="AE244" s="159">
        <v>0.176470588235294</v>
      </c>
      <c r="AF244" s="158">
        <f t="shared" si="46"/>
        <v>12058.0334557271</v>
      </c>
      <c r="AG244" s="158">
        <f t="shared" si="45"/>
        <v>12058.0334557271</v>
      </c>
      <c r="AH244" s="175"/>
      <c r="AI244" s="175"/>
      <c r="AJ244" s="156" t="s">
        <v>47</v>
      </c>
      <c r="AK244" s="140" t="s">
        <v>120</v>
      </c>
      <c r="AM244" s="152"/>
    </row>
    <row r="245" s="140" customFormat="1" ht="15" hidden="1" customHeight="1" spans="1:39">
      <c r="A245" s="140">
        <v>2017</v>
      </c>
      <c r="B245" s="140" t="s">
        <v>38</v>
      </c>
      <c r="C245" s="140" t="s">
        <v>59</v>
      </c>
      <c r="D245" s="140" t="s">
        <v>154</v>
      </c>
      <c r="E245" s="140" t="s">
        <v>61</v>
      </c>
      <c r="F245" s="140" t="s">
        <v>344</v>
      </c>
      <c r="G245" s="140" t="s">
        <v>344</v>
      </c>
      <c r="H245" s="140" t="s">
        <v>344</v>
      </c>
      <c r="I245" s="152" t="s">
        <v>243</v>
      </c>
      <c r="J245" s="140" t="s">
        <v>244</v>
      </c>
      <c r="K245" s="140" t="s">
        <v>245</v>
      </c>
      <c r="L245" s="140" t="s">
        <v>344</v>
      </c>
      <c r="M245" s="140" t="s">
        <v>46</v>
      </c>
      <c r="N245" s="156">
        <v>0</v>
      </c>
      <c r="O245" s="156" t="s">
        <v>47</v>
      </c>
      <c r="P245" s="156"/>
      <c r="Q245" s="158">
        <v>0</v>
      </c>
      <c r="R245" s="158">
        <v>0</v>
      </c>
      <c r="S245" s="158">
        <v>61145</v>
      </c>
      <c r="T245" s="158">
        <f t="shared" si="36"/>
        <v>0</v>
      </c>
      <c r="U245" s="158">
        <f t="shared" si="40"/>
        <v>61145</v>
      </c>
      <c r="V245" s="158">
        <v>79541</v>
      </c>
      <c r="W245" s="158">
        <f t="shared" si="41"/>
        <v>-18396</v>
      </c>
      <c r="X245" s="158">
        <f t="shared" si="37"/>
        <v>-18396</v>
      </c>
      <c r="Y245" s="158">
        <f t="shared" si="42"/>
        <v>0</v>
      </c>
      <c r="Z245" s="158">
        <v>61888.11</v>
      </c>
      <c r="AA245" s="158">
        <f t="shared" si="38"/>
        <v>17652.89</v>
      </c>
      <c r="AB245" s="167">
        <f t="shared" si="44"/>
        <v>61888.11</v>
      </c>
      <c r="AC245" s="168">
        <f t="shared" si="39"/>
        <v>0</v>
      </c>
      <c r="AD245" s="158">
        <v>51878.7944168673</v>
      </c>
      <c r="AE245" s="159">
        <v>0.176470588235294</v>
      </c>
      <c r="AF245" s="158">
        <f t="shared" si="46"/>
        <v>9155.08136768246</v>
      </c>
      <c r="AG245" s="158">
        <f t="shared" si="45"/>
        <v>9155.08136768246</v>
      </c>
      <c r="AH245" s="175"/>
      <c r="AI245" s="175"/>
      <c r="AJ245" s="156" t="s">
        <v>47</v>
      </c>
      <c r="AK245" s="140" t="s">
        <v>120</v>
      </c>
      <c r="AM245" s="152"/>
    </row>
    <row r="246" s="140" customFormat="1" ht="15" hidden="1" customHeight="1" spans="1:39">
      <c r="A246" s="140">
        <v>2017</v>
      </c>
      <c r="B246" s="140" t="s">
        <v>38</v>
      </c>
      <c r="C246" s="140" t="s">
        <v>59</v>
      </c>
      <c r="D246" s="140" t="s">
        <v>154</v>
      </c>
      <c r="E246" s="140" t="s">
        <v>468</v>
      </c>
      <c r="F246" s="140" t="s">
        <v>469</v>
      </c>
      <c r="G246" s="140" t="s">
        <v>469</v>
      </c>
      <c r="H246" s="140" t="s">
        <v>469</v>
      </c>
      <c r="I246" s="152" t="s">
        <v>243</v>
      </c>
      <c r="J246" s="140" t="s">
        <v>244</v>
      </c>
      <c r="K246" s="140" t="s">
        <v>245</v>
      </c>
      <c r="L246" s="140" t="s">
        <v>469</v>
      </c>
      <c r="M246" s="140" t="s">
        <v>46</v>
      </c>
      <c r="N246" s="156">
        <v>0</v>
      </c>
      <c r="O246" s="156" t="s">
        <v>47</v>
      </c>
      <c r="P246" s="156"/>
      <c r="Q246" s="158">
        <v>0</v>
      </c>
      <c r="R246" s="158">
        <v>0</v>
      </c>
      <c r="S246" s="158">
        <v>20000</v>
      </c>
      <c r="T246" s="158">
        <f t="shared" si="36"/>
        <v>0</v>
      </c>
      <c r="U246" s="158">
        <f t="shared" si="40"/>
        <v>20000</v>
      </c>
      <c r="V246" s="158">
        <v>20000</v>
      </c>
      <c r="W246" s="158">
        <f t="shared" si="41"/>
        <v>0</v>
      </c>
      <c r="X246" s="158">
        <f t="shared" si="37"/>
        <v>0</v>
      </c>
      <c r="Y246" s="158">
        <f t="shared" si="42"/>
        <v>0</v>
      </c>
      <c r="Z246" s="158">
        <v>1596.67</v>
      </c>
      <c r="AA246" s="158">
        <f t="shared" si="38"/>
        <v>18403.33</v>
      </c>
      <c r="AB246" s="167">
        <f t="shared" si="44"/>
        <v>1596.67</v>
      </c>
      <c r="AC246" s="168">
        <f t="shared" si="39"/>
        <v>0</v>
      </c>
      <c r="AD246" s="158">
        <v>1338.4366509428</v>
      </c>
      <c r="AE246" s="159">
        <v>0.176470588235294</v>
      </c>
      <c r="AF246" s="158">
        <f t="shared" si="46"/>
        <v>236.194703107553</v>
      </c>
      <c r="AG246" s="158">
        <f t="shared" si="45"/>
        <v>236.194703107553</v>
      </c>
      <c r="AH246" s="175"/>
      <c r="AI246" s="175"/>
      <c r="AJ246" s="156" t="s">
        <v>47</v>
      </c>
      <c r="AK246" s="140" t="s">
        <v>47</v>
      </c>
      <c r="AM246" s="152"/>
    </row>
    <row r="247" s="140" customFormat="1" ht="15" hidden="1" customHeight="1" spans="1:39">
      <c r="A247" s="140">
        <v>2017</v>
      </c>
      <c r="B247" s="140" t="s">
        <v>38</v>
      </c>
      <c r="C247" s="140" t="s">
        <v>59</v>
      </c>
      <c r="D247" s="140" t="s">
        <v>154</v>
      </c>
      <c r="E247" s="140" t="s">
        <v>468</v>
      </c>
      <c r="F247" s="140" t="s">
        <v>470</v>
      </c>
      <c r="G247" s="140" t="s">
        <v>470</v>
      </c>
      <c r="H247" s="140" t="s">
        <v>470</v>
      </c>
      <c r="I247" s="152" t="s">
        <v>243</v>
      </c>
      <c r="J247" s="140" t="s">
        <v>244</v>
      </c>
      <c r="K247" s="140" t="s">
        <v>245</v>
      </c>
      <c r="L247" s="140" t="s">
        <v>470</v>
      </c>
      <c r="M247" s="140" t="s">
        <v>46</v>
      </c>
      <c r="N247" s="156">
        <v>0</v>
      </c>
      <c r="O247" s="156" t="s">
        <v>47</v>
      </c>
      <c r="P247" s="156"/>
      <c r="Q247" s="158">
        <v>0</v>
      </c>
      <c r="R247" s="158">
        <v>0</v>
      </c>
      <c r="S247" s="158">
        <v>20000</v>
      </c>
      <c r="T247" s="158">
        <f t="shared" si="36"/>
        <v>0</v>
      </c>
      <c r="U247" s="158">
        <f t="shared" si="40"/>
        <v>20000</v>
      </c>
      <c r="V247" s="158">
        <v>20000</v>
      </c>
      <c r="W247" s="158">
        <f t="shared" si="41"/>
        <v>0</v>
      </c>
      <c r="X247" s="158">
        <f t="shared" si="37"/>
        <v>0</v>
      </c>
      <c r="Y247" s="158">
        <f t="shared" si="42"/>
        <v>0</v>
      </c>
      <c r="Z247" s="158">
        <v>3082.59</v>
      </c>
      <c r="AA247" s="158">
        <f t="shared" si="38"/>
        <v>16917.41</v>
      </c>
      <c r="AB247" s="167">
        <f t="shared" si="44"/>
        <v>3082.59</v>
      </c>
      <c r="AC247" s="168">
        <f t="shared" si="39"/>
        <v>0</v>
      </c>
      <c r="AD247" s="158">
        <v>2584.0351705924</v>
      </c>
      <c r="AE247" s="159">
        <v>0.176470588235294</v>
      </c>
      <c r="AF247" s="158">
        <f t="shared" si="46"/>
        <v>456.006206575129</v>
      </c>
      <c r="AG247" s="158">
        <f t="shared" si="45"/>
        <v>456.006206575129</v>
      </c>
      <c r="AH247" s="175"/>
      <c r="AI247" s="175"/>
      <c r="AJ247" s="156" t="s">
        <v>47</v>
      </c>
      <c r="AK247" s="140" t="s">
        <v>47</v>
      </c>
      <c r="AM247" s="152"/>
    </row>
    <row r="248" s="140" customFormat="1" ht="15" hidden="1" customHeight="1" spans="1:39">
      <c r="A248" s="140">
        <v>2017</v>
      </c>
      <c r="B248" s="140" t="s">
        <v>38</v>
      </c>
      <c r="C248" s="140" t="s">
        <v>59</v>
      </c>
      <c r="D248" s="140" t="s">
        <v>154</v>
      </c>
      <c r="E248" s="140" t="s">
        <v>67</v>
      </c>
      <c r="F248" s="140" t="s">
        <v>345</v>
      </c>
      <c r="G248" s="140" t="s">
        <v>345</v>
      </c>
      <c r="H248" s="140" t="s">
        <v>345</v>
      </c>
      <c r="I248" s="152" t="s">
        <v>243</v>
      </c>
      <c r="J248" s="140" t="s">
        <v>244</v>
      </c>
      <c r="K248" s="140" t="s">
        <v>245</v>
      </c>
      <c r="L248" s="140" t="s">
        <v>345</v>
      </c>
      <c r="M248" s="140" t="s">
        <v>46</v>
      </c>
      <c r="N248" s="156">
        <v>0</v>
      </c>
      <c r="O248" s="156" t="s">
        <v>47</v>
      </c>
      <c r="P248" s="156"/>
      <c r="Q248" s="158">
        <v>0</v>
      </c>
      <c r="R248" s="158">
        <v>0</v>
      </c>
      <c r="S248" s="158">
        <v>1461899</v>
      </c>
      <c r="T248" s="158">
        <f t="shared" si="36"/>
        <v>0</v>
      </c>
      <c r="U248" s="158">
        <f t="shared" si="40"/>
        <v>1461899</v>
      </c>
      <c r="V248" s="158">
        <v>1394500</v>
      </c>
      <c r="W248" s="158">
        <f t="shared" si="41"/>
        <v>67399</v>
      </c>
      <c r="X248" s="158">
        <f t="shared" si="37"/>
        <v>67399</v>
      </c>
      <c r="Y248" s="158">
        <f t="shared" si="42"/>
        <v>0</v>
      </c>
      <c r="Z248" s="158">
        <v>1279170.28</v>
      </c>
      <c r="AA248" s="158">
        <f t="shared" si="38"/>
        <v>115329.72</v>
      </c>
      <c r="AB248" s="167">
        <f t="shared" si="44"/>
        <v>1279170.28</v>
      </c>
      <c r="AC248" s="168">
        <f t="shared" si="39"/>
        <v>0</v>
      </c>
      <c r="AD248" s="158">
        <v>1072286.93815802</v>
      </c>
      <c r="AE248" s="159">
        <v>0.176470588235294</v>
      </c>
      <c r="AF248" s="158">
        <f t="shared" si="46"/>
        <v>189227.106733768</v>
      </c>
      <c r="AG248" s="158">
        <f t="shared" si="45"/>
        <v>189227.106733768</v>
      </c>
      <c r="AH248" s="175"/>
      <c r="AI248" s="175"/>
      <c r="AJ248" s="156" t="s">
        <v>47</v>
      </c>
      <c r="AK248" s="140" t="s">
        <v>120</v>
      </c>
      <c r="AM248" s="152"/>
    </row>
    <row r="249" s="140" customFormat="1" ht="15" hidden="1" customHeight="1" spans="1:39">
      <c r="A249" s="140">
        <v>2017</v>
      </c>
      <c r="B249" s="140" t="s">
        <v>38</v>
      </c>
      <c r="C249" s="140" t="s">
        <v>59</v>
      </c>
      <c r="D249" s="140" t="s">
        <v>181</v>
      </c>
      <c r="E249" s="140" t="s">
        <v>61</v>
      </c>
      <c r="F249" s="140" t="s">
        <v>471</v>
      </c>
      <c r="G249" s="140" t="s">
        <v>471</v>
      </c>
      <c r="H249" s="140" t="s">
        <v>471</v>
      </c>
      <c r="I249" s="152" t="s">
        <v>243</v>
      </c>
      <c r="J249" s="140" t="s">
        <v>244</v>
      </c>
      <c r="K249" s="140" t="s">
        <v>245</v>
      </c>
      <c r="L249" s="140" t="s">
        <v>472</v>
      </c>
      <c r="M249" s="140" t="s">
        <v>46</v>
      </c>
      <c r="N249" s="156">
        <v>0</v>
      </c>
      <c r="O249" s="156" t="s">
        <v>47</v>
      </c>
      <c r="P249" s="156"/>
      <c r="Q249" s="158">
        <v>0</v>
      </c>
      <c r="R249" s="158">
        <v>0</v>
      </c>
      <c r="S249" s="158">
        <v>20000</v>
      </c>
      <c r="T249" s="158">
        <f t="shared" si="36"/>
        <v>0</v>
      </c>
      <c r="U249" s="158">
        <f t="shared" si="40"/>
        <v>20000</v>
      </c>
      <c r="V249" s="158">
        <v>20000</v>
      </c>
      <c r="W249" s="158">
        <f t="shared" si="41"/>
        <v>0</v>
      </c>
      <c r="X249" s="158">
        <f t="shared" si="37"/>
        <v>0</v>
      </c>
      <c r="Y249" s="158">
        <f t="shared" si="42"/>
        <v>0</v>
      </c>
      <c r="Z249" s="158">
        <v>12055.44</v>
      </c>
      <c r="AA249" s="158">
        <f t="shared" si="38"/>
        <v>7944.56</v>
      </c>
      <c r="AB249" s="167">
        <f t="shared" si="44"/>
        <v>12055.44</v>
      </c>
      <c r="AC249" s="168">
        <f t="shared" si="39"/>
        <v>0</v>
      </c>
      <c r="AD249" s="158">
        <v>10105.6841671991</v>
      </c>
      <c r="AE249" s="159">
        <v>0.176470588235294</v>
      </c>
      <c r="AF249" s="158">
        <f t="shared" si="46"/>
        <v>1783.35602950572</v>
      </c>
      <c r="AG249" s="158">
        <f t="shared" si="45"/>
        <v>1783.35602950572</v>
      </c>
      <c r="AH249" s="175"/>
      <c r="AI249" s="175"/>
      <c r="AJ249" s="176">
        <v>0</v>
      </c>
      <c r="AK249" s="140">
        <v>0</v>
      </c>
      <c r="AM249" s="152"/>
    </row>
    <row r="250" s="140" customFormat="1" ht="15" hidden="1" customHeight="1" spans="1:39">
      <c r="A250" s="140">
        <v>2017</v>
      </c>
      <c r="B250" s="140" t="s">
        <v>38</v>
      </c>
      <c r="C250" s="140" t="s">
        <v>59</v>
      </c>
      <c r="D250" s="140" t="s">
        <v>106</v>
      </c>
      <c r="E250" s="140" t="s">
        <v>107</v>
      </c>
      <c r="F250" s="140" t="s">
        <v>473</v>
      </c>
      <c r="G250" s="140" t="s">
        <v>473</v>
      </c>
      <c r="H250" s="140" t="s">
        <v>473</v>
      </c>
      <c r="I250" s="152" t="s">
        <v>243</v>
      </c>
      <c r="J250" s="140" t="s">
        <v>244</v>
      </c>
      <c r="K250" s="140" t="s">
        <v>245</v>
      </c>
      <c r="L250" s="140" t="s">
        <v>473</v>
      </c>
      <c r="M250" s="140" t="s">
        <v>46</v>
      </c>
      <c r="N250" s="156">
        <v>0</v>
      </c>
      <c r="O250" s="156" t="s">
        <v>47</v>
      </c>
      <c r="P250" s="156"/>
      <c r="Q250" s="158">
        <v>0</v>
      </c>
      <c r="R250" s="158">
        <v>0</v>
      </c>
      <c r="S250" s="158">
        <v>60000</v>
      </c>
      <c r="T250" s="158">
        <f t="shared" si="36"/>
        <v>0</v>
      </c>
      <c r="U250" s="158">
        <f t="shared" si="40"/>
        <v>60000</v>
      </c>
      <c r="V250" s="158">
        <v>60000</v>
      </c>
      <c r="W250" s="158">
        <f t="shared" si="41"/>
        <v>0</v>
      </c>
      <c r="X250" s="158">
        <f t="shared" si="37"/>
        <v>0</v>
      </c>
      <c r="Y250" s="158">
        <f t="shared" si="42"/>
        <v>0</v>
      </c>
      <c r="Z250" s="158">
        <v>54423.72</v>
      </c>
      <c r="AA250" s="158">
        <f t="shared" si="38"/>
        <v>5576.28</v>
      </c>
      <c r="AB250" s="167">
        <f t="shared" si="44"/>
        <v>54423.72</v>
      </c>
      <c r="AC250" s="168">
        <f t="shared" si="39"/>
        <v>0</v>
      </c>
      <c r="AD250" s="158">
        <v>45621.6384905138</v>
      </c>
      <c r="AE250" s="159">
        <v>0.176470588235294</v>
      </c>
      <c r="AF250" s="158">
        <f t="shared" si="46"/>
        <v>8050.8773806789</v>
      </c>
      <c r="AG250" s="158">
        <f t="shared" si="45"/>
        <v>8050.8773806789</v>
      </c>
      <c r="AH250" s="175"/>
      <c r="AI250" s="175"/>
      <c r="AJ250" s="156" t="s">
        <v>47</v>
      </c>
      <c r="AK250" s="140" t="s">
        <v>47</v>
      </c>
      <c r="AM250" s="152"/>
    </row>
    <row r="251" s="140" customFormat="1" ht="15" hidden="1" customHeight="1" spans="1:39">
      <c r="A251" s="140">
        <v>2017</v>
      </c>
      <c r="B251" s="140" t="s">
        <v>38</v>
      </c>
      <c r="C251" s="140" t="s">
        <v>59</v>
      </c>
      <c r="D251" s="140" t="s">
        <v>106</v>
      </c>
      <c r="E251" s="140" t="s">
        <v>239</v>
      </c>
      <c r="F251" s="140" t="s">
        <v>240</v>
      </c>
      <c r="G251" s="140" t="s">
        <v>240</v>
      </c>
      <c r="H251" s="140" t="s">
        <v>240</v>
      </c>
      <c r="I251" s="152" t="s">
        <v>243</v>
      </c>
      <c r="J251" s="140" t="s">
        <v>244</v>
      </c>
      <c r="K251" s="140" t="s">
        <v>245</v>
      </c>
      <c r="L251" s="140" t="s">
        <v>240</v>
      </c>
      <c r="M251" s="140" t="s">
        <v>46</v>
      </c>
      <c r="N251" s="156">
        <v>0</v>
      </c>
      <c r="O251" s="156" t="s">
        <v>47</v>
      </c>
      <c r="P251" s="156"/>
      <c r="Q251" s="158">
        <v>0</v>
      </c>
      <c r="R251" s="158">
        <v>0</v>
      </c>
      <c r="S251" s="158">
        <v>66360.48</v>
      </c>
      <c r="T251" s="158">
        <f t="shared" si="36"/>
        <v>0</v>
      </c>
      <c r="U251" s="158">
        <f t="shared" si="40"/>
        <v>66360.48</v>
      </c>
      <c r="V251" s="158">
        <v>75000</v>
      </c>
      <c r="W251" s="158">
        <f t="shared" si="41"/>
        <v>-8639.52</v>
      </c>
      <c r="X251" s="158">
        <f t="shared" si="37"/>
        <v>-8639.52</v>
      </c>
      <c r="Y251" s="158">
        <f t="shared" si="42"/>
        <v>0</v>
      </c>
      <c r="Z251" s="158">
        <v>50647.16</v>
      </c>
      <c r="AA251" s="158">
        <f t="shared" si="38"/>
        <v>24352.84</v>
      </c>
      <c r="AB251" s="167">
        <f t="shared" si="44"/>
        <v>50647.16</v>
      </c>
      <c r="AC251" s="168">
        <f t="shared" si="39"/>
        <v>0</v>
      </c>
      <c r="AD251" s="158">
        <v>42455.8707874289</v>
      </c>
      <c r="AE251" s="159">
        <v>0.176470588235294</v>
      </c>
      <c r="AF251" s="158">
        <f t="shared" si="46"/>
        <v>7492.21249189921</v>
      </c>
      <c r="AG251" s="158">
        <f t="shared" si="45"/>
        <v>7492.21249189921</v>
      </c>
      <c r="AH251" s="175"/>
      <c r="AI251" s="175"/>
      <c r="AJ251" s="156" t="s">
        <v>47</v>
      </c>
      <c r="AK251" s="140" t="s">
        <v>47</v>
      </c>
      <c r="AM251" s="152"/>
    </row>
    <row r="252" s="140" customFormat="1" ht="15" hidden="1" customHeight="1" spans="1:39">
      <c r="A252" s="140">
        <v>2017</v>
      </c>
      <c r="B252" s="152" t="s">
        <v>38</v>
      </c>
      <c r="C252" s="140" t="s">
        <v>75</v>
      </c>
      <c r="D252" s="152"/>
      <c r="E252" s="152"/>
      <c r="F252" s="152" t="s">
        <v>237</v>
      </c>
      <c r="G252" s="152" t="s">
        <v>237</v>
      </c>
      <c r="H252" s="152" t="s">
        <v>237</v>
      </c>
      <c r="I252" s="152" t="s">
        <v>243</v>
      </c>
      <c r="J252" s="140" t="s">
        <v>244</v>
      </c>
      <c r="K252" s="140" t="s">
        <v>245</v>
      </c>
      <c r="L252" s="140" t="s">
        <v>237</v>
      </c>
      <c r="M252" s="140" t="s">
        <v>46</v>
      </c>
      <c r="N252" s="156">
        <v>0</v>
      </c>
      <c r="O252" s="156" t="s">
        <v>47</v>
      </c>
      <c r="P252" s="156"/>
      <c r="Q252" s="158">
        <v>0</v>
      </c>
      <c r="T252" s="158">
        <f t="shared" si="36"/>
        <v>0</v>
      </c>
      <c r="U252" s="158">
        <f t="shared" si="40"/>
        <v>0</v>
      </c>
      <c r="V252" s="158">
        <v>0</v>
      </c>
      <c r="W252" s="158">
        <f t="shared" si="41"/>
        <v>0</v>
      </c>
      <c r="X252" s="158">
        <f t="shared" si="37"/>
        <v>0</v>
      </c>
      <c r="Y252" s="158">
        <f t="shared" si="42"/>
        <v>0</v>
      </c>
      <c r="Z252" s="158">
        <v>276615</v>
      </c>
      <c r="AA252" s="158">
        <f t="shared" si="38"/>
        <v>-276615</v>
      </c>
      <c r="AB252" s="167">
        <f t="shared" si="44"/>
        <v>276615</v>
      </c>
      <c r="AC252" s="168">
        <f t="shared" si="39"/>
        <v>0</v>
      </c>
      <c r="AD252" s="158">
        <v>231877.378669695</v>
      </c>
      <c r="AE252" s="159">
        <v>0.176470588235294</v>
      </c>
      <c r="AF252" s="158">
        <f t="shared" si="46"/>
        <v>40919.5374122991</v>
      </c>
      <c r="AG252" s="152"/>
      <c r="AH252" s="152"/>
      <c r="AI252" s="152"/>
      <c r="AJ252" s="176">
        <v>0</v>
      </c>
      <c r="AK252" s="152"/>
      <c r="AL252" s="152"/>
      <c r="AM252" s="152" t="s">
        <v>208</v>
      </c>
    </row>
    <row r="253" s="140" customFormat="1" ht="15" hidden="1" customHeight="1" spans="1:39">
      <c r="A253" s="140">
        <v>2017</v>
      </c>
      <c r="B253" s="140" t="s">
        <v>38</v>
      </c>
      <c r="C253" s="140" t="s">
        <v>59</v>
      </c>
      <c r="D253" s="140" t="s">
        <v>106</v>
      </c>
      <c r="E253" s="140" t="s">
        <v>190</v>
      </c>
      <c r="F253" s="140" t="s">
        <v>353</v>
      </c>
      <c r="G253" s="140" t="s">
        <v>353</v>
      </c>
      <c r="H253" s="140" t="s">
        <v>353</v>
      </c>
      <c r="I253" s="152" t="s">
        <v>243</v>
      </c>
      <c r="J253" s="140" t="s">
        <v>244</v>
      </c>
      <c r="K253" s="140" t="s">
        <v>245</v>
      </c>
      <c r="L253" s="140" t="s">
        <v>354</v>
      </c>
      <c r="M253" s="140" t="s">
        <v>46</v>
      </c>
      <c r="N253" s="156">
        <v>0</v>
      </c>
      <c r="O253" s="156" t="s">
        <v>47</v>
      </c>
      <c r="P253" s="156"/>
      <c r="Q253" s="158">
        <v>0</v>
      </c>
      <c r="R253" s="158">
        <v>0</v>
      </c>
      <c r="S253" s="158">
        <v>180000</v>
      </c>
      <c r="T253" s="158">
        <f t="shared" si="36"/>
        <v>0</v>
      </c>
      <c r="U253" s="158">
        <f t="shared" si="40"/>
        <v>180000</v>
      </c>
      <c r="V253" s="158">
        <v>195000</v>
      </c>
      <c r="W253" s="158">
        <f t="shared" si="41"/>
        <v>-15000</v>
      </c>
      <c r="X253" s="158">
        <f t="shared" si="37"/>
        <v>-15000</v>
      </c>
      <c r="Y253" s="158">
        <f t="shared" si="42"/>
        <v>0</v>
      </c>
      <c r="Z253" s="158">
        <v>156422.37</v>
      </c>
      <c r="AA253" s="158">
        <f t="shared" si="38"/>
        <v>38577.63</v>
      </c>
      <c r="AB253" s="167">
        <f t="shared" si="44"/>
        <v>156422.37</v>
      </c>
      <c r="AC253" s="168">
        <f t="shared" si="39"/>
        <v>0</v>
      </c>
      <c r="AD253" s="158">
        <v>131123.797049694</v>
      </c>
      <c r="AE253" s="159">
        <v>0.176470588235294</v>
      </c>
      <c r="AF253" s="158">
        <f t="shared" si="46"/>
        <v>23139.4935970048</v>
      </c>
      <c r="AG253" s="158">
        <f t="shared" ref="AG253:AG278" si="47">AB253-Z253+AF253</f>
        <v>23139.4935970048</v>
      </c>
      <c r="AH253" s="175"/>
      <c r="AI253" s="175"/>
      <c r="AJ253" s="157">
        <v>0</v>
      </c>
      <c r="AK253" s="140">
        <v>0</v>
      </c>
      <c r="AM253" s="152"/>
    </row>
    <row r="254" s="140" customFormat="1" ht="15" hidden="1" customHeight="1" spans="1:39">
      <c r="A254" s="140">
        <v>2017</v>
      </c>
      <c r="B254" s="140" t="s">
        <v>38</v>
      </c>
      <c r="C254" s="140" t="s">
        <v>59</v>
      </c>
      <c r="D254" s="140" t="s">
        <v>106</v>
      </c>
      <c r="E254" s="140" t="s">
        <v>190</v>
      </c>
      <c r="F254" s="140" t="s">
        <v>355</v>
      </c>
      <c r="G254" s="140" t="s">
        <v>356</v>
      </c>
      <c r="H254" s="140" t="s">
        <v>356</v>
      </c>
      <c r="I254" s="152" t="s">
        <v>243</v>
      </c>
      <c r="J254" s="140" t="s">
        <v>244</v>
      </c>
      <c r="K254" s="140" t="s">
        <v>245</v>
      </c>
      <c r="L254" s="140" t="s">
        <v>357</v>
      </c>
      <c r="M254" s="140" t="s">
        <v>46</v>
      </c>
      <c r="N254" s="156">
        <v>0</v>
      </c>
      <c r="O254" s="156" t="s">
        <v>47</v>
      </c>
      <c r="P254" s="156"/>
      <c r="Q254" s="158">
        <v>0</v>
      </c>
      <c r="R254" s="158">
        <v>0</v>
      </c>
      <c r="S254" s="158">
        <v>6610.5</v>
      </c>
      <c r="T254" s="158">
        <f t="shared" si="36"/>
        <v>0</v>
      </c>
      <c r="U254" s="158">
        <f t="shared" si="40"/>
        <v>6610.5</v>
      </c>
      <c r="V254" s="158">
        <v>27000</v>
      </c>
      <c r="W254" s="158">
        <f t="shared" si="41"/>
        <v>-20389.5</v>
      </c>
      <c r="X254" s="158">
        <f t="shared" si="37"/>
        <v>-20389.5</v>
      </c>
      <c r="Y254" s="158">
        <f t="shared" si="42"/>
        <v>0</v>
      </c>
      <c r="Z254" s="158">
        <v>6610.5</v>
      </c>
      <c r="AA254" s="158">
        <f t="shared" si="38"/>
        <v>20389.5</v>
      </c>
      <c r="AB254" s="167">
        <f t="shared" si="44"/>
        <v>6610.5</v>
      </c>
      <c r="AC254" s="168">
        <f t="shared" si="39"/>
        <v>0</v>
      </c>
      <c r="AD254" s="158">
        <v>5541.36764707633</v>
      </c>
      <c r="AE254" s="159">
        <v>0.176470588235294</v>
      </c>
      <c r="AF254" s="158">
        <f t="shared" si="46"/>
        <v>977.888408307587</v>
      </c>
      <c r="AG254" s="158">
        <f t="shared" si="47"/>
        <v>977.888408307587</v>
      </c>
      <c r="AH254" s="175"/>
      <c r="AI254" s="175"/>
      <c r="AJ254" s="156" t="s">
        <v>47</v>
      </c>
      <c r="AK254" s="140" t="s">
        <v>47</v>
      </c>
      <c r="AM254" s="152"/>
    </row>
    <row r="255" s="140" customFormat="1" ht="15" hidden="1" customHeight="1" spans="1:39">
      <c r="A255" s="140">
        <v>2017</v>
      </c>
      <c r="B255" s="140" t="s">
        <v>252</v>
      </c>
      <c r="C255" s="140" t="s">
        <v>59</v>
      </c>
      <c r="D255" s="140" t="s">
        <v>106</v>
      </c>
      <c r="E255" s="140" t="s">
        <v>61</v>
      </c>
      <c r="F255" s="140" t="s">
        <v>297</v>
      </c>
      <c r="G255" s="140" t="s">
        <v>474</v>
      </c>
      <c r="H255" s="140" t="s">
        <v>299</v>
      </c>
      <c r="I255" s="152" t="s">
        <v>243</v>
      </c>
      <c r="J255" s="140" t="s">
        <v>244</v>
      </c>
      <c r="K255" s="140" t="s">
        <v>245</v>
      </c>
      <c r="L255" s="140" t="s">
        <v>300</v>
      </c>
      <c r="M255" s="140" t="s">
        <v>46</v>
      </c>
      <c r="N255" s="156">
        <v>0</v>
      </c>
      <c r="O255" s="156" t="s">
        <v>47</v>
      </c>
      <c r="P255" s="156"/>
      <c r="Q255" s="158">
        <v>0</v>
      </c>
      <c r="R255" s="158">
        <v>0</v>
      </c>
      <c r="S255" s="158">
        <v>1096000</v>
      </c>
      <c r="T255" s="158">
        <f t="shared" si="36"/>
        <v>0</v>
      </c>
      <c r="U255" s="158">
        <f t="shared" si="40"/>
        <v>1096000</v>
      </c>
      <c r="V255" s="158">
        <v>1675765.5</v>
      </c>
      <c r="W255" s="158">
        <f t="shared" si="41"/>
        <v>-579765.5</v>
      </c>
      <c r="X255" s="158">
        <f t="shared" si="37"/>
        <v>-579765.5</v>
      </c>
      <c r="Y255" s="158">
        <f t="shared" si="42"/>
        <v>0</v>
      </c>
      <c r="Z255" s="158">
        <v>1532696.5</v>
      </c>
      <c r="AA255" s="158">
        <f t="shared" si="38"/>
        <v>143069</v>
      </c>
      <c r="AB255" s="167">
        <f t="shared" si="44"/>
        <v>1532696.5</v>
      </c>
      <c r="AC255" s="168">
        <f t="shared" si="39"/>
        <v>0</v>
      </c>
      <c r="AD255" s="158">
        <v>1284809.74175738</v>
      </c>
      <c r="AE255" s="159">
        <v>0.176470588235294</v>
      </c>
      <c r="AF255" s="158">
        <f t="shared" si="46"/>
        <v>226731.130898361</v>
      </c>
      <c r="AG255" s="158">
        <f t="shared" si="47"/>
        <v>226731.130898361</v>
      </c>
      <c r="AH255" s="175"/>
      <c r="AI255" s="175"/>
      <c r="AJ255" s="156" t="s">
        <v>47</v>
      </c>
      <c r="AK255" s="140" t="s">
        <v>47</v>
      </c>
      <c r="AM255" s="152"/>
    </row>
    <row r="256" s="140" customFormat="1" ht="15" hidden="1" customHeight="1" spans="1:39">
      <c r="A256" s="140">
        <v>2017</v>
      </c>
      <c r="B256" s="140" t="s">
        <v>38</v>
      </c>
      <c r="C256" s="140" t="s">
        <v>59</v>
      </c>
      <c r="D256" s="140" t="s">
        <v>106</v>
      </c>
      <c r="E256" s="140" t="s">
        <v>67</v>
      </c>
      <c r="F256" s="140" t="s">
        <v>475</v>
      </c>
      <c r="G256" s="140" t="s">
        <v>475</v>
      </c>
      <c r="H256" s="140" t="s">
        <v>475</v>
      </c>
      <c r="I256" s="152" t="s">
        <v>243</v>
      </c>
      <c r="J256" s="140" t="s">
        <v>244</v>
      </c>
      <c r="K256" s="140" t="s">
        <v>245</v>
      </c>
      <c r="L256" s="140" t="s">
        <v>475</v>
      </c>
      <c r="M256" s="140" t="s">
        <v>46</v>
      </c>
      <c r="N256" s="156">
        <v>0</v>
      </c>
      <c r="O256" s="156" t="s">
        <v>47</v>
      </c>
      <c r="P256" s="156"/>
      <c r="Q256" s="158">
        <v>0</v>
      </c>
      <c r="R256" s="158">
        <v>0</v>
      </c>
      <c r="S256" s="158">
        <v>50000</v>
      </c>
      <c r="T256" s="158">
        <f t="shared" si="36"/>
        <v>0</v>
      </c>
      <c r="U256" s="158">
        <f t="shared" si="40"/>
        <v>50000</v>
      </c>
      <c r="V256" s="158">
        <v>101737.1</v>
      </c>
      <c r="W256" s="158">
        <f t="shared" si="41"/>
        <v>-51737.1</v>
      </c>
      <c r="X256" s="158">
        <f t="shared" si="37"/>
        <v>-51737.1</v>
      </c>
      <c r="Y256" s="158">
        <f t="shared" si="42"/>
        <v>0</v>
      </c>
      <c r="Z256" s="158">
        <v>75683.63</v>
      </c>
      <c r="AA256" s="158">
        <f t="shared" si="38"/>
        <v>26053.47</v>
      </c>
      <c r="AB256" s="167">
        <f t="shared" si="44"/>
        <v>75683.63</v>
      </c>
      <c r="AC256" s="168">
        <f t="shared" si="39"/>
        <v>0</v>
      </c>
      <c r="AD256" s="158">
        <v>63443.131184524</v>
      </c>
      <c r="AE256" s="159">
        <v>0.176470588235294</v>
      </c>
      <c r="AF256" s="158">
        <f t="shared" si="46"/>
        <v>11195.8466796219</v>
      </c>
      <c r="AG256" s="158">
        <f t="shared" si="47"/>
        <v>11195.8466796219</v>
      </c>
      <c r="AH256" s="175"/>
      <c r="AI256" s="175"/>
      <c r="AJ256" s="156" t="s">
        <v>47</v>
      </c>
      <c r="AK256" s="140" t="s">
        <v>47</v>
      </c>
      <c r="AM256" s="152"/>
    </row>
    <row r="257" s="140" customFormat="1" ht="15" hidden="1" customHeight="1" spans="1:39">
      <c r="A257" s="140">
        <v>2017</v>
      </c>
      <c r="B257" s="140" t="s">
        <v>38</v>
      </c>
      <c r="C257" s="140" t="s">
        <v>59</v>
      </c>
      <c r="D257" s="140" t="s">
        <v>106</v>
      </c>
      <c r="E257" s="140" t="s">
        <v>131</v>
      </c>
      <c r="F257" s="140" t="s">
        <v>476</v>
      </c>
      <c r="G257" s="140" t="s">
        <v>477</v>
      </c>
      <c r="H257" s="140" t="s">
        <v>477</v>
      </c>
      <c r="I257" s="152" t="s">
        <v>243</v>
      </c>
      <c r="J257" s="140" t="s">
        <v>244</v>
      </c>
      <c r="K257" s="140" t="s">
        <v>245</v>
      </c>
      <c r="L257" s="140" t="s">
        <v>476</v>
      </c>
      <c r="M257" s="140" t="s">
        <v>46</v>
      </c>
      <c r="N257" s="156">
        <v>0</v>
      </c>
      <c r="O257" s="156" t="s">
        <v>47</v>
      </c>
      <c r="P257" s="156"/>
      <c r="Q257" s="158">
        <v>0</v>
      </c>
      <c r="R257" s="158">
        <v>0</v>
      </c>
      <c r="S257" s="158">
        <v>50000</v>
      </c>
      <c r="T257" s="158">
        <f t="shared" si="36"/>
        <v>0</v>
      </c>
      <c r="U257" s="158">
        <f t="shared" si="40"/>
        <v>50000</v>
      </c>
      <c r="V257" s="158">
        <v>50000</v>
      </c>
      <c r="W257" s="158">
        <f t="shared" si="41"/>
        <v>0</v>
      </c>
      <c r="X257" s="158">
        <f t="shared" si="37"/>
        <v>0</v>
      </c>
      <c r="Y257" s="158">
        <f t="shared" si="42"/>
        <v>0</v>
      </c>
      <c r="Z257" s="158">
        <v>49998.85</v>
      </c>
      <c r="AA257" s="158">
        <f t="shared" si="38"/>
        <v>1.15000000000146</v>
      </c>
      <c r="AB257" s="167">
        <f t="shared" si="44"/>
        <v>49998.85</v>
      </c>
      <c r="AC257" s="168">
        <f t="shared" si="39"/>
        <v>0</v>
      </c>
      <c r="AD257" s="158">
        <v>41912.4135513233</v>
      </c>
      <c r="AE257" s="159">
        <v>0.176470588235294</v>
      </c>
      <c r="AF257" s="158">
        <f t="shared" si="46"/>
        <v>7396.30827376293</v>
      </c>
      <c r="AG257" s="158">
        <f t="shared" si="47"/>
        <v>7396.30827376293</v>
      </c>
      <c r="AH257" s="175"/>
      <c r="AI257" s="175"/>
      <c r="AJ257" s="156" t="s">
        <v>47</v>
      </c>
      <c r="AK257" s="140" t="s">
        <v>47</v>
      </c>
      <c r="AM257" s="152"/>
    </row>
    <row r="258" s="140" customFormat="1" ht="15" hidden="1" customHeight="1" spans="1:39">
      <c r="A258" s="140">
        <v>2017</v>
      </c>
      <c r="B258" s="140" t="s">
        <v>38</v>
      </c>
      <c r="C258" s="140" t="s">
        <v>59</v>
      </c>
      <c r="D258" s="140" t="s">
        <v>106</v>
      </c>
      <c r="E258" s="140" t="s">
        <v>131</v>
      </c>
      <c r="F258" s="140" t="s">
        <v>358</v>
      </c>
      <c r="G258" s="140" t="s">
        <v>358</v>
      </c>
      <c r="H258" s="140" t="s">
        <v>358</v>
      </c>
      <c r="I258" s="152" t="s">
        <v>243</v>
      </c>
      <c r="J258" s="140" t="s">
        <v>244</v>
      </c>
      <c r="K258" s="140" t="s">
        <v>245</v>
      </c>
      <c r="L258" s="140" t="s">
        <v>359</v>
      </c>
      <c r="M258" s="140" t="s">
        <v>46</v>
      </c>
      <c r="N258" s="156">
        <v>0</v>
      </c>
      <c r="O258" s="156" t="s">
        <v>47</v>
      </c>
      <c r="P258" s="156"/>
      <c r="Q258" s="158">
        <v>0</v>
      </c>
      <c r="R258" s="158">
        <v>0</v>
      </c>
      <c r="S258" s="158">
        <v>26319.5</v>
      </c>
      <c r="T258" s="158">
        <f t="shared" ref="T258:T321" si="48">S258*N258</f>
        <v>0</v>
      </c>
      <c r="U258" s="158">
        <f t="shared" si="40"/>
        <v>26319.5</v>
      </c>
      <c r="V258" s="158">
        <v>35000</v>
      </c>
      <c r="W258" s="158">
        <f t="shared" si="41"/>
        <v>-8680.5</v>
      </c>
      <c r="X258" s="158">
        <f t="shared" ref="X258:X321" si="49">W258/(1+N258)</f>
        <v>-8680.5</v>
      </c>
      <c r="Y258" s="158">
        <f t="shared" si="42"/>
        <v>0</v>
      </c>
      <c r="Z258" s="158">
        <v>20470.5</v>
      </c>
      <c r="AA258" s="158">
        <f t="shared" ref="AA258:AA321" si="50">Q258+V258-Z258</f>
        <v>14529.5</v>
      </c>
      <c r="AB258" s="167">
        <f t="shared" si="44"/>
        <v>20470.5</v>
      </c>
      <c r="AC258" s="168">
        <f t="shared" ref="AC258:AC321" si="51">IF(O258="返现",Z258*N258,Z258-AB258)</f>
        <v>0</v>
      </c>
      <c r="AD258" s="158">
        <v>17159.7559064331</v>
      </c>
      <c r="AE258" s="159">
        <v>0.176470588235294</v>
      </c>
      <c r="AF258" s="158">
        <f t="shared" si="46"/>
        <v>3028.19221878231</v>
      </c>
      <c r="AG258" s="158">
        <f t="shared" si="47"/>
        <v>3028.19221878231</v>
      </c>
      <c r="AH258" s="175"/>
      <c r="AI258" s="175"/>
      <c r="AJ258" s="157">
        <v>0</v>
      </c>
      <c r="AK258" s="140" t="s">
        <v>120</v>
      </c>
      <c r="AM258" s="152"/>
    </row>
    <row r="259" s="140" customFormat="1" ht="15" hidden="1" customHeight="1" spans="1:39">
      <c r="A259" s="140">
        <v>2017</v>
      </c>
      <c r="B259" s="140" t="s">
        <v>38</v>
      </c>
      <c r="C259" s="140" t="s">
        <v>59</v>
      </c>
      <c r="D259" s="140" t="s">
        <v>106</v>
      </c>
      <c r="E259" s="140" t="s">
        <v>131</v>
      </c>
      <c r="F259" s="140" t="s">
        <v>132</v>
      </c>
      <c r="G259" s="140" t="s">
        <v>132</v>
      </c>
      <c r="H259" s="140" t="s">
        <v>132</v>
      </c>
      <c r="I259" s="152" t="s">
        <v>243</v>
      </c>
      <c r="J259" s="140" t="s">
        <v>244</v>
      </c>
      <c r="K259" s="140" t="s">
        <v>245</v>
      </c>
      <c r="L259" s="140" t="s">
        <v>132</v>
      </c>
      <c r="M259" s="140" t="s">
        <v>46</v>
      </c>
      <c r="N259" s="156">
        <v>0</v>
      </c>
      <c r="O259" s="156" t="s">
        <v>47</v>
      </c>
      <c r="P259" s="156"/>
      <c r="Q259" s="158">
        <v>0</v>
      </c>
      <c r="R259" s="158">
        <v>0</v>
      </c>
      <c r="S259" s="158">
        <v>1200000</v>
      </c>
      <c r="T259" s="158">
        <f t="shared" si="48"/>
        <v>0</v>
      </c>
      <c r="U259" s="158">
        <f t="shared" ref="U259:U322" si="52">R259+S259+T259</f>
        <v>1200000</v>
      </c>
      <c r="V259" s="158">
        <v>0</v>
      </c>
      <c r="W259" s="158">
        <f t="shared" ref="W259:W322" si="53">U259-V259</f>
        <v>1200000</v>
      </c>
      <c r="X259" s="158">
        <f t="shared" si="49"/>
        <v>1200000</v>
      </c>
      <c r="Y259" s="158">
        <f t="shared" ref="Y259:Y322" si="54">W259-X259</f>
        <v>0</v>
      </c>
      <c r="Z259" s="158"/>
      <c r="AA259" s="158">
        <f t="shared" si="50"/>
        <v>0</v>
      </c>
      <c r="AB259" s="167">
        <f t="shared" si="44"/>
        <v>0</v>
      </c>
      <c r="AC259" s="168">
        <f t="shared" si="51"/>
        <v>0</v>
      </c>
      <c r="AD259" s="158">
        <v>0</v>
      </c>
      <c r="AE259" s="159">
        <v>0.176470588235294</v>
      </c>
      <c r="AF259" s="158">
        <f t="shared" si="46"/>
        <v>0</v>
      </c>
      <c r="AG259" s="158">
        <f t="shared" si="47"/>
        <v>0</v>
      </c>
      <c r="AH259" s="175"/>
      <c r="AI259" s="175"/>
      <c r="AJ259" s="156" t="s">
        <v>47</v>
      </c>
      <c r="AK259" s="140" t="s">
        <v>47</v>
      </c>
      <c r="AM259" s="152"/>
    </row>
    <row r="260" s="140" customFormat="1" ht="15" hidden="1" customHeight="1" spans="1:39">
      <c r="A260" s="140">
        <v>2017</v>
      </c>
      <c r="B260" s="140" t="s">
        <v>38</v>
      </c>
      <c r="C260" s="140" t="s">
        <v>59</v>
      </c>
      <c r="D260" s="140" t="s">
        <v>60</v>
      </c>
      <c r="E260" s="140" t="s">
        <v>190</v>
      </c>
      <c r="F260" s="140" t="s">
        <v>478</v>
      </c>
      <c r="G260" s="140" t="s">
        <v>478</v>
      </c>
      <c r="H260" s="140" t="s">
        <v>478</v>
      </c>
      <c r="I260" s="152" t="s">
        <v>243</v>
      </c>
      <c r="J260" s="140" t="s">
        <v>244</v>
      </c>
      <c r="K260" s="140" t="s">
        <v>245</v>
      </c>
      <c r="L260" s="140" t="s">
        <v>478</v>
      </c>
      <c r="M260" s="140" t="s">
        <v>46</v>
      </c>
      <c r="N260" s="156">
        <v>0</v>
      </c>
      <c r="O260" s="156" t="s">
        <v>47</v>
      </c>
      <c r="P260" s="156"/>
      <c r="Q260" s="158">
        <v>0</v>
      </c>
      <c r="R260" s="158">
        <v>0</v>
      </c>
      <c r="S260" s="158">
        <v>30000</v>
      </c>
      <c r="T260" s="158">
        <f t="shared" si="48"/>
        <v>0</v>
      </c>
      <c r="U260" s="158">
        <f t="shared" si="52"/>
        <v>30000</v>
      </c>
      <c r="V260" s="158">
        <v>30000</v>
      </c>
      <c r="W260" s="158">
        <f t="shared" si="53"/>
        <v>0</v>
      </c>
      <c r="X260" s="158">
        <f t="shared" si="49"/>
        <v>0</v>
      </c>
      <c r="Y260" s="158">
        <f t="shared" si="54"/>
        <v>0</v>
      </c>
      <c r="Z260" s="158">
        <v>19793</v>
      </c>
      <c r="AA260" s="158">
        <f t="shared" si="50"/>
        <v>10207</v>
      </c>
      <c r="AB260" s="167">
        <f t="shared" si="44"/>
        <v>19793</v>
      </c>
      <c r="AC260" s="168">
        <f t="shared" si="51"/>
        <v>0</v>
      </c>
      <c r="AD260" s="158">
        <v>16591.8296405086</v>
      </c>
      <c r="AE260" s="159">
        <v>0.176470588235294</v>
      </c>
      <c r="AF260" s="158">
        <f t="shared" si="46"/>
        <v>2927.96993656034</v>
      </c>
      <c r="AG260" s="158">
        <f t="shared" si="47"/>
        <v>2927.96993656034</v>
      </c>
      <c r="AH260" s="175"/>
      <c r="AI260" s="175"/>
      <c r="AJ260" s="156" t="s">
        <v>47</v>
      </c>
      <c r="AK260" s="140" t="s">
        <v>47</v>
      </c>
      <c r="AM260" s="152"/>
    </row>
    <row r="261" s="140" customFormat="1" ht="15" hidden="1" customHeight="1" spans="1:39">
      <c r="A261" s="140">
        <v>2017</v>
      </c>
      <c r="B261" s="140" t="s">
        <v>38</v>
      </c>
      <c r="C261" s="140" t="s">
        <v>59</v>
      </c>
      <c r="D261" s="140" t="s">
        <v>60</v>
      </c>
      <c r="E261" s="140" t="s">
        <v>61</v>
      </c>
      <c r="F261" s="140" t="s">
        <v>360</v>
      </c>
      <c r="G261" s="140" t="s">
        <v>360</v>
      </c>
      <c r="H261" s="140" t="s">
        <v>360</v>
      </c>
      <c r="I261" s="152" t="s">
        <v>243</v>
      </c>
      <c r="J261" s="140" t="s">
        <v>244</v>
      </c>
      <c r="K261" s="140" t="s">
        <v>245</v>
      </c>
      <c r="L261" s="140" t="s">
        <v>361</v>
      </c>
      <c r="M261" s="140" t="s">
        <v>46</v>
      </c>
      <c r="N261" s="156">
        <v>0</v>
      </c>
      <c r="O261" s="156" t="s">
        <v>47</v>
      </c>
      <c r="P261" s="156"/>
      <c r="Q261" s="158">
        <v>0</v>
      </c>
      <c r="R261" s="158">
        <v>0</v>
      </c>
      <c r="S261" s="158">
        <v>23426.5</v>
      </c>
      <c r="T261" s="158">
        <f t="shared" si="48"/>
        <v>0</v>
      </c>
      <c r="U261" s="158">
        <f t="shared" si="52"/>
        <v>23426.5</v>
      </c>
      <c r="V261" s="158">
        <v>25000</v>
      </c>
      <c r="W261" s="158">
        <f t="shared" si="53"/>
        <v>-1573.5</v>
      </c>
      <c r="X261" s="158">
        <f t="shared" si="49"/>
        <v>-1573.5</v>
      </c>
      <c r="Y261" s="158">
        <f t="shared" si="54"/>
        <v>0</v>
      </c>
      <c r="Z261" s="158">
        <v>14699.66</v>
      </c>
      <c r="AA261" s="158">
        <f t="shared" si="50"/>
        <v>10300.34</v>
      </c>
      <c r="AB261" s="167">
        <f t="shared" si="44"/>
        <v>14699.66</v>
      </c>
      <c r="AC261" s="168">
        <f t="shared" si="51"/>
        <v>0</v>
      </c>
      <c r="AD261" s="158">
        <v>12322.2479913807</v>
      </c>
      <c r="AE261" s="159">
        <v>0.176470588235294</v>
      </c>
      <c r="AF261" s="158">
        <f t="shared" si="46"/>
        <v>2174.51435142012</v>
      </c>
      <c r="AG261" s="158">
        <f t="shared" si="47"/>
        <v>2174.51435142012</v>
      </c>
      <c r="AH261" s="175"/>
      <c r="AI261" s="175"/>
      <c r="AJ261" s="156" t="s">
        <v>47</v>
      </c>
      <c r="AK261" s="140" t="s">
        <v>47</v>
      </c>
      <c r="AM261" s="152"/>
    </row>
    <row r="262" s="140" customFormat="1" ht="15" hidden="1" customHeight="1" spans="1:39">
      <c r="A262" s="140">
        <v>2017</v>
      </c>
      <c r="B262" s="140" t="s">
        <v>38</v>
      </c>
      <c r="C262" s="140" t="s">
        <v>59</v>
      </c>
      <c r="D262" s="140" t="s">
        <v>60</v>
      </c>
      <c r="E262" s="140" t="s">
        <v>61</v>
      </c>
      <c r="F262" s="140" t="s">
        <v>479</v>
      </c>
      <c r="G262" s="140" t="s">
        <v>479</v>
      </c>
      <c r="H262" s="140" t="s">
        <v>479</v>
      </c>
      <c r="I262" s="152" t="s">
        <v>243</v>
      </c>
      <c r="J262" s="140" t="s">
        <v>244</v>
      </c>
      <c r="K262" s="140" t="s">
        <v>245</v>
      </c>
      <c r="L262" s="140" t="s">
        <v>480</v>
      </c>
      <c r="M262" s="140" t="s">
        <v>46</v>
      </c>
      <c r="N262" s="156">
        <v>0</v>
      </c>
      <c r="O262" s="156" t="s">
        <v>47</v>
      </c>
      <c r="P262" s="156"/>
      <c r="Q262" s="158">
        <v>0</v>
      </c>
      <c r="R262" s="158">
        <v>0</v>
      </c>
      <c r="S262" s="158">
        <v>40000</v>
      </c>
      <c r="T262" s="158">
        <f t="shared" si="48"/>
        <v>0</v>
      </c>
      <c r="U262" s="158">
        <f t="shared" si="52"/>
        <v>40000</v>
      </c>
      <c r="V262" s="158">
        <v>40000</v>
      </c>
      <c r="W262" s="158">
        <f t="shared" si="53"/>
        <v>0</v>
      </c>
      <c r="X262" s="158">
        <f t="shared" si="49"/>
        <v>0</v>
      </c>
      <c r="Y262" s="158">
        <f t="shared" si="54"/>
        <v>0</v>
      </c>
      <c r="Z262" s="158">
        <v>33498.51</v>
      </c>
      <c r="AA262" s="158">
        <f t="shared" si="50"/>
        <v>6501.49</v>
      </c>
      <c r="AB262" s="167">
        <f t="shared" si="44"/>
        <v>33498.51</v>
      </c>
      <c r="AC262" s="168">
        <f t="shared" si="51"/>
        <v>0</v>
      </c>
      <c r="AD262" s="158">
        <v>28080.7139458835</v>
      </c>
      <c r="AE262" s="159">
        <v>0.176470588235294</v>
      </c>
      <c r="AF262" s="158">
        <f t="shared" si="46"/>
        <v>4955.42010809709</v>
      </c>
      <c r="AG262" s="158">
        <f t="shared" si="47"/>
        <v>4955.42010809709</v>
      </c>
      <c r="AH262" s="175"/>
      <c r="AI262" s="175"/>
      <c r="AJ262" s="156" t="s">
        <v>47</v>
      </c>
      <c r="AK262" s="140" t="s">
        <v>47</v>
      </c>
      <c r="AM262" s="152"/>
    </row>
    <row r="263" s="140" customFormat="1" ht="15" hidden="1" customHeight="1" spans="1:39">
      <c r="A263" s="140">
        <v>2017</v>
      </c>
      <c r="B263" s="140" t="s">
        <v>38</v>
      </c>
      <c r="C263" s="140" t="s">
        <v>59</v>
      </c>
      <c r="D263" s="140" t="s">
        <v>60</v>
      </c>
      <c r="E263" s="140" t="s">
        <v>61</v>
      </c>
      <c r="F263" s="140" t="s">
        <v>481</v>
      </c>
      <c r="G263" s="140" t="s">
        <v>481</v>
      </c>
      <c r="H263" s="140" t="s">
        <v>481</v>
      </c>
      <c r="I263" s="152" t="s">
        <v>243</v>
      </c>
      <c r="J263" s="140" t="s">
        <v>244</v>
      </c>
      <c r="K263" s="140" t="s">
        <v>245</v>
      </c>
      <c r="L263" s="140" t="s">
        <v>481</v>
      </c>
      <c r="M263" s="140" t="s">
        <v>46</v>
      </c>
      <c r="N263" s="156">
        <v>0</v>
      </c>
      <c r="O263" s="156" t="s">
        <v>47</v>
      </c>
      <c r="P263" s="156"/>
      <c r="Q263" s="158">
        <v>0</v>
      </c>
      <c r="R263" s="158">
        <v>0</v>
      </c>
      <c r="S263" s="158">
        <v>20000</v>
      </c>
      <c r="T263" s="158">
        <f t="shared" si="48"/>
        <v>0</v>
      </c>
      <c r="U263" s="158">
        <f t="shared" si="52"/>
        <v>20000</v>
      </c>
      <c r="V263" s="158">
        <v>20000</v>
      </c>
      <c r="W263" s="158">
        <f t="shared" si="53"/>
        <v>0</v>
      </c>
      <c r="X263" s="158">
        <f t="shared" si="49"/>
        <v>0</v>
      </c>
      <c r="Y263" s="158">
        <f t="shared" si="54"/>
        <v>0</v>
      </c>
      <c r="Z263" s="158">
        <v>10000</v>
      </c>
      <c r="AA263" s="158">
        <f t="shared" si="50"/>
        <v>10000</v>
      </c>
      <c r="AB263" s="167">
        <f t="shared" si="44"/>
        <v>10000</v>
      </c>
      <c r="AC263" s="168">
        <f t="shared" si="51"/>
        <v>0</v>
      </c>
      <c r="AD263" s="158">
        <v>8382.67551180143</v>
      </c>
      <c r="AE263" s="159">
        <v>0.176470588235294</v>
      </c>
      <c r="AF263" s="158">
        <f t="shared" si="46"/>
        <v>1479.29567855319</v>
      </c>
      <c r="AG263" s="158">
        <f t="shared" si="47"/>
        <v>1479.29567855319</v>
      </c>
      <c r="AH263" s="175"/>
      <c r="AI263" s="175"/>
      <c r="AJ263" s="156" t="s">
        <v>47</v>
      </c>
      <c r="AK263" s="140" t="s">
        <v>47</v>
      </c>
      <c r="AM263" s="152"/>
    </row>
    <row r="264" s="140" customFormat="1" ht="15" hidden="1" customHeight="1" spans="1:39">
      <c r="A264" s="140">
        <v>2017</v>
      </c>
      <c r="B264" s="140" t="s">
        <v>38</v>
      </c>
      <c r="C264" s="140" t="s">
        <v>59</v>
      </c>
      <c r="D264" s="140" t="s">
        <v>60</v>
      </c>
      <c r="E264" s="140" t="s">
        <v>61</v>
      </c>
      <c r="F264" s="140" t="s">
        <v>274</v>
      </c>
      <c r="G264" s="140" t="s">
        <v>274</v>
      </c>
      <c r="H264" s="140" t="s">
        <v>274</v>
      </c>
      <c r="I264" s="152" t="s">
        <v>243</v>
      </c>
      <c r="J264" s="140" t="s">
        <v>244</v>
      </c>
      <c r="K264" s="140" t="s">
        <v>245</v>
      </c>
      <c r="L264" s="140" t="s">
        <v>274</v>
      </c>
      <c r="M264" s="140" t="s">
        <v>46</v>
      </c>
      <c r="N264" s="156">
        <v>0</v>
      </c>
      <c r="O264" s="156" t="s">
        <v>47</v>
      </c>
      <c r="P264" s="156"/>
      <c r="Q264" s="158">
        <v>0</v>
      </c>
      <c r="R264" s="158">
        <v>0</v>
      </c>
      <c r="S264" s="158">
        <v>17502.5</v>
      </c>
      <c r="T264" s="158">
        <f t="shared" si="48"/>
        <v>0</v>
      </c>
      <c r="U264" s="158">
        <f t="shared" si="52"/>
        <v>17502.5</v>
      </c>
      <c r="V264" s="158">
        <v>104404.93</v>
      </c>
      <c r="W264" s="158">
        <f t="shared" si="53"/>
        <v>-86902.43</v>
      </c>
      <c r="X264" s="158">
        <f t="shared" si="49"/>
        <v>-86902.43</v>
      </c>
      <c r="Y264" s="158">
        <f t="shared" si="54"/>
        <v>0</v>
      </c>
      <c r="Z264" s="158">
        <v>55140.96</v>
      </c>
      <c r="AA264" s="158">
        <f t="shared" si="50"/>
        <v>49263.97</v>
      </c>
      <c r="AB264" s="167">
        <f t="shared" si="44"/>
        <v>55140.96</v>
      </c>
      <c r="AC264" s="168">
        <f t="shared" si="51"/>
        <v>0</v>
      </c>
      <c r="AD264" s="158">
        <v>46222.8775089222</v>
      </c>
      <c r="AE264" s="159">
        <v>0.176470588235294</v>
      </c>
      <c r="AF264" s="158">
        <f t="shared" si="46"/>
        <v>8156.97838392744</v>
      </c>
      <c r="AG264" s="158">
        <f t="shared" si="47"/>
        <v>8156.97838392744</v>
      </c>
      <c r="AH264" s="175"/>
      <c r="AI264" s="175"/>
      <c r="AJ264" s="157">
        <v>0</v>
      </c>
      <c r="AK264" s="140" t="s">
        <v>120</v>
      </c>
      <c r="AM264" s="152"/>
    </row>
    <row r="265" s="140" customFormat="1" ht="15" hidden="1" customHeight="1" spans="1:39">
      <c r="A265" s="140">
        <v>2017</v>
      </c>
      <c r="B265" s="140" t="s">
        <v>38</v>
      </c>
      <c r="C265" s="140" t="s">
        <v>59</v>
      </c>
      <c r="D265" s="140" t="s">
        <v>60</v>
      </c>
      <c r="E265" s="140" t="s">
        <v>61</v>
      </c>
      <c r="F265" s="140" t="s">
        <v>482</v>
      </c>
      <c r="G265" s="140" t="s">
        <v>482</v>
      </c>
      <c r="H265" s="140" t="s">
        <v>482</v>
      </c>
      <c r="I265" s="152" t="s">
        <v>243</v>
      </c>
      <c r="J265" s="140" t="s">
        <v>244</v>
      </c>
      <c r="K265" s="140" t="s">
        <v>245</v>
      </c>
      <c r="L265" s="140" t="s">
        <v>482</v>
      </c>
      <c r="M265" s="140" t="s">
        <v>46</v>
      </c>
      <c r="N265" s="156">
        <v>0</v>
      </c>
      <c r="O265" s="156" t="s">
        <v>47</v>
      </c>
      <c r="P265" s="156"/>
      <c r="Q265" s="158">
        <v>0</v>
      </c>
      <c r="R265" s="158">
        <v>0</v>
      </c>
      <c r="S265" s="158">
        <v>30000</v>
      </c>
      <c r="T265" s="158">
        <f t="shared" si="48"/>
        <v>0</v>
      </c>
      <c r="U265" s="158">
        <f t="shared" si="52"/>
        <v>30000</v>
      </c>
      <c r="V265" s="158">
        <v>30000</v>
      </c>
      <c r="W265" s="158">
        <f t="shared" si="53"/>
        <v>0</v>
      </c>
      <c r="X265" s="158">
        <f t="shared" si="49"/>
        <v>0</v>
      </c>
      <c r="Y265" s="158">
        <f t="shared" si="54"/>
        <v>0</v>
      </c>
      <c r="Z265" s="158">
        <v>28391.92</v>
      </c>
      <c r="AA265" s="158">
        <f t="shared" si="50"/>
        <v>1608.08</v>
      </c>
      <c r="AB265" s="167">
        <f t="shared" si="44"/>
        <v>28391.92</v>
      </c>
      <c r="AC265" s="168">
        <f t="shared" si="51"/>
        <v>0</v>
      </c>
      <c r="AD265" s="158">
        <v>23800.0252517025</v>
      </c>
      <c r="AE265" s="159">
        <v>0.176470588235294</v>
      </c>
      <c r="AF265" s="158">
        <f t="shared" si="46"/>
        <v>4200.00445618279</v>
      </c>
      <c r="AG265" s="158">
        <f t="shared" si="47"/>
        <v>4200.00445618279</v>
      </c>
      <c r="AH265" s="175"/>
      <c r="AI265" s="175"/>
      <c r="AJ265" s="156" t="s">
        <v>47</v>
      </c>
      <c r="AK265" s="140" t="s">
        <v>47</v>
      </c>
      <c r="AM265" s="152"/>
    </row>
    <row r="266" s="140" customFormat="1" ht="15" hidden="1" customHeight="1" spans="1:39">
      <c r="A266" s="140">
        <v>2017</v>
      </c>
      <c r="B266" s="140" t="s">
        <v>38</v>
      </c>
      <c r="C266" s="140" t="s">
        <v>59</v>
      </c>
      <c r="D266" s="140" t="s">
        <v>60</v>
      </c>
      <c r="E266" s="140" t="s">
        <v>192</v>
      </c>
      <c r="F266" s="140" t="s">
        <v>483</v>
      </c>
      <c r="G266" s="140" t="s">
        <v>483</v>
      </c>
      <c r="H266" s="140" t="s">
        <v>483</v>
      </c>
      <c r="I266" s="152" t="s">
        <v>243</v>
      </c>
      <c r="J266" s="140" t="s">
        <v>244</v>
      </c>
      <c r="K266" s="140" t="s">
        <v>245</v>
      </c>
      <c r="L266" s="140" t="s">
        <v>483</v>
      </c>
      <c r="M266" s="140" t="s">
        <v>46</v>
      </c>
      <c r="N266" s="157">
        <v>0</v>
      </c>
      <c r="O266" s="156" t="s">
        <v>47</v>
      </c>
      <c r="P266" s="156"/>
      <c r="Q266" s="158">
        <v>0</v>
      </c>
      <c r="R266" s="158">
        <v>0</v>
      </c>
      <c r="S266" s="158">
        <v>20000</v>
      </c>
      <c r="T266" s="158">
        <f t="shared" si="48"/>
        <v>0</v>
      </c>
      <c r="U266" s="158">
        <f t="shared" si="52"/>
        <v>20000</v>
      </c>
      <c r="V266" s="158">
        <v>20000</v>
      </c>
      <c r="W266" s="158">
        <f t="shared" si="53"/>
        <v>0</v>
      </c>
      <c r="X266" s="158">
        <f t="shared" si="49"/>
        <v>0</v>
      </c>
      <c r="Y266" s="158">
        <f t="shared" si="54"/>
        <v>0</v>
      </c>
      <c r="Z266" s="158">
        <v>17389.1</v>
      </c>
      <c r="AA266" s="158">
        <f t="shared" si="50"/>
        <v>2610.9</v>
      </c>
      <c r="AB266" s="167">
        <f t="shared" si="44"/>
        <v>17389.1</v>
      </c>
      <c r="AC266" s="168">
        <f t="shared" si="51"/>
        <v>0</v>
      </c>
      <c r="AD266" s="158">
        <v>14576.7182742266</v>
      </c>
      <c r="AE266" s="159">
        <v>0.176470588235294</v>
      </c>
      <c r="AF266" s="158">
        <f t="shared" si="46"/>
        <v>2572.36204839293</v>
      </c>
      <c r="AG266" s="158">
        <f t="shared" si="47"/>
        <v>2572.36204839293</v>
      </c>
      <c r="AH266" s="175"/>
      <c r="AI266" s="175"/>
      <c r="AJ266" s="156" t="s">
        <v>47</v>
      </c>
      <c r="AK266" s="140" t="s">
        <v>47</v>
      </c>
      <c r="AM266" s="152"/>
    </row>
    <row r="267" s="140" customFormat="1" ht="15" hidden="1" customHeight="1" spans="1:39">
      <c r="A267" s="140">
        <v>2017</v>
      </c>
      <c r="B267" s="140" t="s">
        <v>38</v>
      </c>
      <c r="C267" s="140" t="s">
        <v>59</v>
      </c>
      <c r="D267" s="140" t="s">
        <v>60</v>
      </c>
      <c r="E267" s="140" t="s">
        <v>192</v>
      </c>
      <c r="F267" s="140" t="s">
        <v>484</v>
      </c>
      <c r="G267" s="140" t="s">
        <v>484</v>
      </c>
      <c r="H267" s="140" t="s">
        <v>484</v>
      </c>
      <c r="I267" s="152" t="s">
        <v>243</v>
      </c>
      <c r="J267" s="140" t="s">
        <v>244</v>
      </c>
      <c r="K267" s="140" t="s">
        <v>245</v>
      </c>
      <c r="L267" s="140" t="s">
        <v>484</v>
      </c>
      <c r="M267" s="140" t="s">
        <v>46</v>
      </c>
      <c r="N267" s="156">
        <v>0</v>
      </c>
      <c r="O267" s="156" t="s">
        <v>47</v>
      </c>
      <c r="P267" s="156"/>
      <c r="Q267" s="158">
        <v>0</v>
      </c>
      <c r="R267" s="158">
        <v>0</v>
      </c>
      <c r="S267" s="158">
        <v>20000</v>
      </c>
      <c r="T267" s="158">
        <f t="shared" si="48"/>
        <v>0</v>
      </c>
      <c r="U267" s="158">
        <f t="shared" si="52"/>
        <v>20000</v>
      </c>
      <c r="V267" s="158">
        <v>20000</v>
      </c>
      <c r="W267" s="158">
        <f t="shared" si="53"/>
        <v>0</v>
      </c>
      <c r="X267" s="158">
        <f t="shared" si="49"/>
        <v>0</v>
      </c>
      <c r="Y267" s="158">
        <f t="shared" si="54"/>
        <v>0</v>
      </c>
      <c r="Z267" s="158">
        <v>19996.73</v>
      </c>
      <c r="AA267" s="158">
        <f t="shared" si="50"/>
        <v>3.27000000000044</v>
      </c>
      <c r="AB267" s="167">
        <f t="shared" si="44"/>
        <v>19996.73</v>
      </c>
      <c r="AC267" s="168">
        <f t="shared" si="51"/>
        <v>0</v>
      </c>
      <c r="AD267" s="158">
        <v>16762.6098887105</v>
      </c>
      <c r="AE267" s="159">
        <v>0.176470588235294</v>
      </c>
      <c r="AF267" s="158">
        <f t="shared" si="46"/>
        <v>2958.1076274195</v>
      </c>
      <c r="AG267" s="158">
        <f t="shared" si="47"/>
        <v>2958.1076274195</v>
      </c>
      <c r="AH267" s="175"/>
      <c r="AI267" s="175"/>
      <c r="AJ267" s="156" t="s">
        <v>47</v>
      </c>
      <c r="AK267" s="140" t="s">
        <v>47</v>
      </c>
      <c r="AM267" s="152"/>
    </row>
    <row r="268" s="140" customFormat="1" ht="15" hidden="1" customHeight="1" spans="1:39">
      <c r="A268" s="140">
        <v>2017</v>
      </c>
      <c r="B268" s="140" t="s">
        <v>38</v>
      </c>
      <c r="C268" s="140" t="s">
        <v>59</v>
      </c>
      <c r="D268" s="140" t="s">
        <v>210</v>
      </c>
      <c r="E268" s="140" t="s">
        <v>190</v>
      </c>
      <c r="F268" s="140" t="s">
        <v>363</v>
      </c>
      <c r="G268" s="140" t="s">
        <v>363</v>
      </c>
      <c r="H268" s="140" t="s">
        <v>363</v>
      </c>
      <c r="I268" s="152" t="s">
        <v>243</v>
      </c>
      <c r="J268" s="140" t="s">
        <v>244</v>
      </c>
      <c r="K268" s="140" t="s">
        <v>245</v>
      </c>
      <c r="L268" s="140" t="s">
        <v>363</v>
      </c>
      <c r="M268" s="140" t="s">
        <v>46</v>
      </c>
      <c r="N268" s="156">
        <v>0</v>
      </c>
      <c r="O268" s="156" t="s">
        <v>47</v>
      </c>
      <c r="P268" s="156"/>
      <c r="Q268" s="158">
        <v>0</v>
      </c>
      <c r="R268" s="158">
        <v>0</v>
      </c>
      <c r="S268" s="158">
        <v>650000</v>
      </c>
      <c r="T268" s="158">
        <f t="shared" si="48"/>
        <v>0</v>
      </c>
      <c r="U268" s="158">
        <f t="shared" si="52"/>
        <v>650000</v>
      </c>
      <c r="V268" s="158">
        <v>641000</v>
      </c>
      <c r="W268" s="158">
        <f t="shared" si="53"/>
        <v>9000</v>
      </c>
      <c r="X268" s="158">
        <f t="shared" si="49"/>
        <v>9000</v>
      </c>
      <c r="Y268" s="158">
        <f t="shared" si="54"/>
        <v>0</v>
      </c>
      <c r="Z268" s="158">
        <v>567585.56</v>
      </c>
      <c r="AA268" s="158">
        <f t="shared" si="50"/>
        <v>73414.4399999999</v>
      </c>
      <c r="AB268" s="167">
        <f t="shared" si="44"/>
        <v>567585.56</v>
      </c>
      <c r="AC268" s="168">
        <f t="shared" si="51"/>
        <v>0</v>
      </c>
      <c r="AD268" s="158">
        <v>475788.55746641</v>
      </c>
      <c r="AE268" s="159">
        <v>0.176470588235294</v>
      </c>
      <c r="AF268" s="158">
        <f t="shared" si="46"/>
        <v>83962.6866117193</v>
      </c>
      <c r="AG268" s="158">
        <f t="shared" si="47"/>
        <v>83962.6866117193</v>
      </c>
      <c r="AH268" s="175"/>
      <c r="AI268" s="175"/>
      <c r="AJ268" s="156" t="s">
        <v>47</v>
      </c>
      <c r="AK268" s="140" t="s">
        <v>47</v>
      </c>
      <c r="AM268" s="152"/>
    </row>
    <row r="269" s="140" customFormat="1" ht="15" hidden="1" customHeight="1" spans="1:39">
      <c r="A269" s="140">
        <v>2017</v>
      </c>
      <c r="B269" s="140" t="s">
        <v>38</v>
      </c>
      <c r="C269" s="140" t="s">
        <v>59</v>
      </c>
      <c r="D269" s="140" t="s">
        <v>210</v>
      </c>
      <c r="E269" s="140" t="s">
        <v>131</v>
      </c>
      <c r="F269" s="140" t="s">
        <v>364</v>
      </c>
      <c r="G269" s="140" t="s">
        <v>364</v>
      </c>
      <c r="H269" s="140" t="s">
        <v>364</v>
      </c>
      <c r="I269" s="152" t="s">
        <v>243</v>
      </c>
      <c r="J269" s="140" t="s">
        <v>244</v>
      </c>
      <c r="K269" s="140" t="s">
        <v>245</v>
      </c>
      <c r="L269" s="140" t="s">
        <v>365</v>
      </c>
      <c r="M269" s="140" t="s">
        <v>46</v>
      </c>
      <c r="N269" s="156">
        <v>0</v>
      </c>
      <c r="O269" s="156" t="s">
        <v>47</v>
      </c>
      <c r="P269" s="156"/>
      <c r="Q269" s="158">
        <v>0</v>
      </c>
      <c r="R269" s="158">
        <v>0</v>
      </c>
      <c r="S269" s="158">
        <v>116858.5</v>
      </c>
      <c r="T269" s="158">
        <f t="shared" si="48"/>
        <v>0</v>
      </c>
      <c r="U269" s="158">
        <f t="shared" si="52"/>
        <v>116858.5</v>
      </c>
      <c r="V269" s="158">
        <v>65000</v>
      </c>
      <c r="W269" s="158">
        <f t="shared" si="53"/>
        <v>51858.5</v>
      </c>
      <c r="X269" s="158">
        <f t="shared" si="49"/>
        <v>51858.5</v>
      </c>
      <c r="Y269" s="158">
        <f t="shared" si="54"/>
        <v>0</v>
      </c>
      <c r="Z269" s="158">
        <v>58184.44</v>
      </c>
      <c r="AA269" s="158">
        <f t="shared" si="50"/>
        <v>6815.56</v>
      </c>
      <c r="AB269" s="167">
        <f t="shared" si="44"/>
        <v>58184.44</v>
      </c>
      <c r="AC269" s="168">
        <f t="shared" si="51"/>
        <v>0</v>
      </c>
      <c r="AD269" s="158">
        <v>48774.128035588</v>
      </c>
      <c r="AE269" s="159">
        <v>0.176470588235294</v>
      </c>
      <c r="AF269" s="158">
        <f t="shared" si="46"/>
        <v>8607.19906510376</v>
      </c>
      <c r="AG269" s="158">
        <f t="shared" si="47"/>
        <v>8607.19906510376</v>
      </c>
      <c r="AH269" s="175"/>
      <c r="AI269" s="175"/>
      <c r="AJ269" s="156" t="s">
        <v>47</v>
      </c>
      <c r="AK269" s="140" t="s">
        <v>47</v>
      </c>
      <c r="AM269" s="152"/>
    </row>
    <row r="270" s="140" customFormat="1" ht="15" hidden="1" customHeight="1" spans="1:39">
      <c r="A270" s="140">
        <v>2017</v>
      </c>
      <c r="B270" s="140" t="s">
        <v>38</v>
      </c>
      <c r="C270" s="140" t="s">
        <v>59</v>
      </c>
      <c r="D270" s="140" t="s">
        <v>210</v>
      </c>
      <c r="E270" s="140" t="s">
        <v>131</v>
      </c>
      <c r="F270" s="140" t="s">
        <v>485</v>
      </c>
      <c r="G270" s="140" t="s">
        <v>485</v>
      </c>
      <c r="H270" s="140" t="s">
        <v>485</v>
      </c>
      <c r="I270" s="152" t="s">
        <v>243</v>
      </c>
      <c r="J270" s="140" t="s">
        <v>244</v>
      </c>
      <c r="K270" s="140" t="s">
        <v>245</v>
      </c>
      <c r="L270" s="140" t="s">
        <v>486</v>
      </c>
      <c r="M270" s="140" t="s">
        <v>46</v>
      </c>
      <c r="N270" s="157">
        <v>0.02</v>
      </c>
      <c r="O270" s="156" t="s">
        <v>51</v>
      </c>
      <c r="P270" s="156"/>
      <c r="Q270" s="158">
        <v>0</v>
      </c>
      <c r="R270" s="158">
        <v>0</v>
      </c>
      <c r="S270" s="158">
        <v>60000</v>
      </c>
      <c r="T270" s="158">
        <f t="shared" si="48"/>
        <v>1200</v>
      </c>
      <c r="U270" s="158">
        <f t="shared" si="52"/>
        <v>61200</v>
      </c>
      <c r="V270" s="158">
        <v>72000</v>
      </c>
      <c r="W270" s="158">
        <f t="shared" si="53"/>
        <v>-10800</v>
      </c>
      <c r="X270" s="158">
        <f t="shared" si="49"/>
        <v>-10588.2352941176</v>
      </c>
      <c r="Y270" s="158">
        <f t="shared" si="54"/>
        <v>-211.764705882353</v>
      </c>
      <c r="Z270" s="158">
        <v>62596.91</v>
      </c>
      <c r="AA270" s="158">
        <f t="shared" si="50"/>
        <v>9403.09</v>
      </c>
      <c r="AB270" s="167">
        <f t="shared" si="44"/>
        <v>61369.5196078431</v>
      </c>
      <c r="AC270" s="168">
        <f t="shared" si="51"/>
        <v>1227.39039215686</v>
      </c>
      <c r="AD270" s="158">
        <v>52472.9584571438</v>
      </c>
      <c r="AE270" s="159">
        <v>0.176470588235294</v>
      </c>
      <c r="AF270" s="158">
        <f t="shared" si="46"/>
        <v>9259.93384537831</v>
      </c>
      <c r="AG270" s="158">
        <f t="shared" si="47"/>
        <v>8032.54345322145</v>
      </c>
      <c r="AH270" s="175"/>
      <c r="AI270" s="175"/>
      <c r="AJ270" s="156" t="s">
        <v>173</v>
      </c>
      <c r="AK270" s="140" t="s">
        <v>173</v>
      </c>
      <c r="AM270" s="152"/>
    </row>
    <row r="271" s="140" customFormat="1" ht="15" hidden="1" customHeight="1" spans="1:39">
      <c r="A271" s="140">
        <v>2017</v>
      </c>
      <c r="B271" s="140" t="s">
        <v>38</v>
      </c>
      <c r="C271" s="140" t="s">
        <v>54</v>
      </c>
      <c r="D271" s="140" t="s">
        <v>55</v>
      </c>
      <c r="E271" s="140" t="s">
        <v>56</v>
      </c>
      <c r="F271" s="140" t="s">
        <v>366</v>
      </c>
      <c r="G271" s="140" t="s">
        <v>366</v>
      </c>
      <c r="H271" s="140" t="s">
        <v>366</v>
      </c>
      <c r="I271" s="152" t="s">
        <v>243</v>
      </c>
      <c r="J271" s="140" t="s">
        <v>244</v>
      </c>
      <c r="K271" s="140" t="s">
        <v>245</v>
      </c>
      <c r="L271" s="140" t="s">
        <v>366</v>
      </c>
      <c r="M271" s="140" t="s">
        <v>46</v>
      </c>
      <c r="N271" s="156">
        <v>0</v>
      </c>
      <c r="O271" s="156" t="s">
        <v>47</v>
      </c>
      <c r="P271" s="156"/>
      <c r="Q271" s="158">
        <v>0</v>
      </c>
      <c r="R271" s="158">
        <v>0</v>
      </c>
      <c r="S271" s="158">
        <v>17886</v>
      </c>
      <c r="T271" s="158">
        <f t="shared" si="48"/>
        <v>0</v>
      </c>
      <c r="U271" s="158">
        <f t="shared" si="52"/>
        <v>17886</v>
      </c>
      <c r="V271" s="158">
        <v>25000</v>
      </c>
      <c r="W271" s="158">
        <f t="shared" si="53"/>
        <v>-7114</v>
      </c>
      <c r="X271" s="158">
        <f t="shared" si="49"/>
        <v>-7114</v>
      </c>
      <c r="Y271" s="158">
        <f t="shared" si="54"/>
        <v>0</v>
      </c>
      <c r="Z271" s="158">
        <v>24601.3</v>
      </c>
      <c r="AA271" s="158">
        <f t="shared" si="50"/>
        <v>398.700000000001</v>
      </c>
      <c r="AB271" s="167">
        <f t="shared" si="44"/>
        <v>24601.3</v>
      </c>
      <c r="AC271" s="168">
        <f t="shared" si="51"/>
        <v>0</v>
      </c>
      <c r="AD271" s="158">
        <v>20622.4715068481</v>
      </c>
      <c r="AE271" s="159">
        <v>0.176470588235294</v>
      </c>
      <c r="AF271" s="158">
        <f t="shared" si="46"/>
        <v>3639.25967767907</v>
      </c>
      <c r="AG271" s="158">
        <f t="shared" si="47"/>
        <v>3639.25967767907</v>
      </c>
      <c r="AH271" s="175"/>
      <c r="AI271" s="175"/>
      <c r="AJ271" s="156" t="s">
        <v>47</v>
      </c>
      <c r="AK271" s="140" t="s">
        <v>47</v>
      </c>
      <c r="AM271" s="152"/>
    </row>
    <row r="272" s="140" customFormat="1" ht="15" hidden="1" customHeight="1" spans="1:39">
      <c r="A272" s="140">
        <v>2017</v>
      </c>
      <c r="B272" s="140" t="s">
        <v>38</v>
      </c>
      <c r="C272" s="140" t="s">
        <v>54</v>
      </c>
      <c r="D272" s="140" t="s">
        <v>55</v>
      </c>
      <c r="E272" s="140" t="s">
        <v>368</v>
      </c>
      <c r="F272" s="140" t="s">
        <v>487</v>
      </c>
      <c r="G272" s="140" t="s">
        <v>487</v>
      </c>
      <c r="H272" s="140" t="s">
        <v>487</v>
      </c>
      <c r="I272" s="152" t="s">
        <v>243</v>
      </c>
      <c r="J272" s="140" t="s">
        <v>244</v>
      </c>
      <c r="K272" s="140" t="s">
        <v>245</v>
      </c>
      <c r="L272" s="140" t="s">
        <v>487</v>
      </c>
      <c r="M272" s="140" t="s">
        <v>46</v>
      </c>
      <c r="N272" s="156">
        <v>0</v>
      </c>
      <c r="O272" s="156" t="s">
        <v>47</v>
      </c>
      <c r="P272" s="156"/>
      <c r="Q272" s="158">
        <v>0</v>
      </c>
      <c r="R272" s="158">
        <v>0</v>
      </c>
      <c r="S272" s="158">
        <v>10000</v>
      </c>
      <c r="T272" s="158">
        <f t="shared" si="48"/>
        <v>0</v>
      </c>
      <c r="U272" s="158">
        <f t="shared" si="52"/>
        <v>10000</v>
      </c>
      <c r="V272" s="158">
        <v>10000</v>
      </c>
      <c r="W272" s="158">
        <f t="shared" si="53"/>
        <v>0</v>
      </c>
      <c r="X272" s="158">
        <f t="shared" si="49"/>
        <v>0</v>
      </c>
      <c r="Y272" s="158">
        <f t="shared" si="54"/>
        <v>0</v>
      </c>
      <c r="Z272" s="158">
        <v>2156.5</v>
      </c>
      <c r="AA272" s="158">
        <f t="shared" si="50"/>
        <v>7843.5</v>
      </c>
      <c r="AB272" s="167">
        <f t="shared" si="44"/>
        <v>2156.5</v>
      </c>
      <c r="AC272" s="168">
        <f t="shared" si="51"/>
        <v>0</v>
      </c>
      <c r="AD272" s="158">
        <v>1807.72397411998</v>
      </c>
      <c r="AE272" s="159">
        <v>0.176470588235294</v>
      </c>
      <c r="AF272" s="158">
        <f t="shared" si="46"/>
        <v>319.010113079996</v>
      </c>
      <c r="AG272" s="158">
        <f t="shared" si="47"/>
        <v>319.010113079996</v>
      </c>
      <c r="AH272" s="175"/>
      <c r="AI272" s="175"/>
      <c r="AJ272" s="156" t="s">
        <v>47</v>
      </c>
      <c r="AK272" s="140" t="s">
        <v>47</v>
      </c>
      <c r="AM272" s="152"/>
    </row>
    <row r="273" s="140" customFormat="1" ht="15" hidden="1" customHeight="1" spans="1:39">
      <c r="A273" s="140">
        <v>2017</v>
      </c>
      <c r="B273" s="140" t="s">
        <v>38</v>
      </c>
      <c r="C273" s="140" t="s">
        <v>54</v>
      </c>
      <c r="D273" s="140" t="s">
        <v>55</v>
      </c>
      <c r="E273" s="140" t="s">
        <v>368</v>
      </c>
      <c r="F273" s="140" t="s">
        <v>369</v>
      </c>
      <c r="G273" s="140" t="s">
        <v>369</v>
      </c>
      <c r="H273" s="140" t="s">
        <v>369</v>
      </c>
      <c r="I273" s="152" t="s">
        <v>243</v>
      </c>
      <c r="J273" s="140" t="s">
        <v>244</v>
      </c>
      <c r="K273" s="140" t="s">
        <v>245</v>
      </c>
      <c r="L273" s="140" t="s">
        <v>369</v>
      </c>
      <c r="M273" s="140" t="s">
        <v>46</v>
      </c>
      <c r="N273" s="156">
        <v>0</v>
      </c>
      <c r="O273" s="156" t="s">
        <v>47</v>
      </c>
      <c r="P273" s="156"/>
      <c r="Q273" s="158">
        <v>0</v>
      </c>
      <c r="R273" s="158">
        <v>0</v>
      </c>
      <c r="S273" s="158">
        <v>6175.5</v>
      </c>
      <c r="T273" s="158">
        <f t="shared" si="48"/>
        <v>0</v>
      </c>
      <c r="U273" s="158">
        <f t="shared" si="52"/>
        <v>6175.5</v>
      </c>
      <c r="V273" s="158">
        <v>15000</v>
      </c>
      <c r="W273" s="158">
        <f t="shared" si="53"/>
        <v>-8824.5</v>
      </c>
      <c r="X273" s="158">
        <f t="shared" si="49"/>
        <v>-8824.5</v>
      </c>
      <c r="Y273" s="158">
        <f t="shared" si="54"/>
        <v>0</v>
      </c>
      <c r="Z273" s="158">
        <v>156</v>
      </c>
      <c r="AA273" s="158">
        <f t="shared" si="50"/>
        <v>14844</v>
      </c>
      <c r="AB273" s="167">
        <f t="shared" si="44"/>
        <v>156</v>
      </c>
      <c r="AC273" s="168">
        <f t="shared" si="51"/>
        <v>0</v>
      </c>
      <c r="AD273" s="158">
        <v>130.769737984102</v>
      </c>
      <c r="AE273" s="159">
        <v>0.176470588235294</v>
      </c>
      <c r="AF273" s="158">
        <f t="shared" si="46"/>
        <v>23.0770125854297</v>
      </c>
      <c r="AG273" s="158">
        <f t="shared" si="47"/>
        <v>23.0770125854297</v>
      </c>
      <c r="AH273" s="175"/>
      <c r="AI273" s="175"/>
      <c r="AJ273" s="157">
        <v>0</v>
      </c>
      <c r="AK273" s="140" t="s">
        <v>120</v>
      </c>
      <c r="AM273" s="152"/>
    </row>
    <row r="274" s="140" customFormat="1" ht="15" hidden="1" customHeight="1" spans="1:39">
      <c r="A274" s="140">
        <v>2017</v>
      </c>
      <c r="B274" s="140" t="s">
        <v>38</v>
      </c>
      <c r="C274" s="140" t="s">
        <v>54</v>
      </c>
      <c r="D274" s="140" t="s">
        <v>55</v>
      </c>
      <c r="E274" s="140" t="s">
        <v>368</v>
      </c>
      <c r="F274" s="140" t="s">
        <v>488</v>
      </c>
      <c r="G274" s="140" t="s">
        <v>488</v>
      </c>
      <c r="H274" s="140" t="s">
        <v>488</v>
      </c>
      <c r="I274" s="152" t="s">
        <v>243</v>
      </c>
      <c r="J274" s="140" t="s">
        <v>244</v>
      </c>
      <c r="K274" s="140" t="s">
        <v>245</v>
      </c>
      <c r="L274" s="140" t="s">
        <v>488</v>
      </c>
      <c r="M274" s="140" t="s">
        <v>46</v>
      </c>
      <c r="N274" s="156">
        <v>0</v>
      </c>
      <c r="O274" s="156" t="s">
        <v>47</v>
      </c>
      <c r="P274" s="156"/>
      <c r="Q274" s="158">
        <v>0</v>
      </c>
      <c r="R274" s="158">
        <v>0</v>
      </c>
      <c r="S274" s="158">
        <v>20000</v>
      </c>
      <c r="T274" s="158">
        <f t="shared" si="48"/>
        <v>0</v>
      </c>
      <c r="U274" s="158">
        <f t="shared" si="52"/>
        <v>20000</v>
      </c>
      <c r="V274" s="158">
        <v>20000</v>
      </c>
      <c r="W274" s="158">
        <f t="shared" si="53"/>
        <v>0</v>
      </c>
      <c r="X274" s="158">
        <f t="shared" si="49"/>
        <v>0</v>
      </c>
      <c r="Y274" s="158">
        <f t="shared" si="54"/>
        <v>0</v>
      </c>
      <c r="Z274" s="158">
        <v>2837.4</v>
      </c>
      <c r="AA274" s="158">
        <f t="shared" si="50"/>
        <v>17162.6</v>
      </c>
      <c r="AB274" s="167">
        <f t="shared" si="44"/>
        <v>2837.4</v>
      </c>
      <c r="AC274" s="168">
        <f t="shared" si="51"/>
        <v>0</v>
      </c>
      <c r="AD274" s="158">
        <v>2378.50034971854</v>
      </c>
      <c r="AE274" s="159">
        <v>0.176470588235294</v>
      </c>
      <c r="AF274" s="158">
        <f t="shared" si="46"/>
        <v>419.735355832683</v>
      </c>
      <c r="AG274" s="158">
        <f t="shared" si="47"/>
        <v>419.735355832683</v>
      </c>
      <c r="AH274" s="175"/>
      <c r="AI274" s="175"/>
      <c r="AJ274" s="156" t="s">
        <v>47</v>
      </c>
      <c r="AK274" s="140" t="s">
        <v>47</v>
      </c>
      <c r="AM274" s="152"/>
    </row>
    <row r="275" s="140" customFormat="1" ht="15" hidden="1" customHeight="1" spans="1:39">
      <c r="A275" s="140">
        <v>2017</v>
      </c>
      <c r="B275" s="140" t="s">
        <v>38</v>
      </c>
      <c r="C275" s="140" t="s">
        <v>54</v>
      </c>
      <c r="D275" s="140" t="s">
        <v>55</v>
      </c>
      <c r="E275" s="140" t="s">
        <v>368</v>
      </c>
      <c r="F275" s="140" t="s">
        <v>65</v>
      </c>
      <c r="G275" s="140" t="s">
        <v>65</v>
      </c>
      <c r="H275" s="140" t="s">
        <v>65</v>
      </c>
      <c r="I275" s="152" t="s">
        <v>243</v>
      </c>
      <c r="J275" s="140" t="s">
        <v>244</v>
      </c>
      <c r="K275" s="140" t="s">
        <v>245</v>
      </c>
      <c r="L275" s="140" t="s">
        <v>65</v>
      </c>
      <c r="M275" s="140" t="s">
        <v>46</v>
      </c>
      <c r="N275" s="156">
        <v>0</v>
      </c>
      <c r="O275" s="156" t="s">
        <v>47</v>
      </c>
      <c r="P275" s="156"/>
      <c r="Q275" s="158">
        <v>0</v>
      </c>
      <c r="R275" s="158">
        <v>0</v>
      </c>
      <c r="S275" s="158">
        <v>639736</v>
      </c>
      <c r="T275" s="158">
        <f t="shared" si="48"/>
        <v>0</v>
      </c>
      <c r="U275" s="158">
        <f t="shared" si="52"/>
        <v>639736</v>
      </c>
      <c r="V275" s="158">
        <v>35001</v>
      </c>
      <c r="W275" s="158">
        <f t="shared" si="53"/>
        <v>604735</v>
      </c>
      <c r="X275" s="158">
        <f t="shared" si="49"/>
        <v>604735</v>
      </c>
      <c r="Y275" s="158">
        <f t="shared" si="54"/>
        <v>0</v>
      </c>
      <c r="Z275" s="158">
        <v>35002</v>
      </c>
      <c r="AA275" s="158">
        <f t="shared" si="50"/>
        <v>-1</v>
      </c>
      <c r="AB275" s="167">
        <f t="shared" si="44"/>
        <v>35002</v>
      </c>
      <c r="AC275" s="168">
        <f t="shared" si="51"/>
        <v>0</v>
      </c>
      <c r="AD275" s="158">
        <v>29341.0408264074</v>
      </c>
      <c r="AE275" s="159">
        <v>0.176470588235294</v>
      </c>
      <c r="AF275" s="158">
        <f t="shared" si="46"/>
        <v>5177.83073407189</v>
      </c>
      <c r="AG275" s="158">
        <f t="shared" si="47"/>
        <v>5177.83073407189</v>
      </c>
      <c r="AH275" s="175"/>
      <c r="AI275" s="175"/>
      <c r="AJ275" s="156" t="s">
        <v>47</v>
      </c>
      <c r="AK275" s="140" t="s">
        <v>47</v>
      </c>
      <c r="AM275" s="152"/>
    </row>
    <row r="276" s="140" customFormat="1" ht="15" hidden="1" customHeight="1" spans="1:39">
      <c r="A276" s="140">
        <v>2017</v>
      </c>
      <c r="B276" s="140" t="s">
        <v>38</v>
      </c>
      <c r="C276" s="140" t="s">
        <v>54</v>
      </c>
      <c r="D276" s="140" t="s">
        <v>55</v>
      </c>
      <c r="E276" s="140" t="s">
        <v>368</v>
      </c>
      <c r="F276" s="140" t="s">
        <v>489</v>
      </c>
      <c r="G276" s="140" t="s">
        <v>489</v>
      </c>
      <c r="H276" s="140" t="s">
        <v>489</v>
      </c>
      <c r="I276" s="152" t="s">
        <v>243</v>
      </c>
      <c r="J276" s="140" t="s">
        <v>244</v>
      </c>
      <c r="K276" s="140" t="s">
        <v>245</v>
      </c>
      <c r="L276" s="140" t="s">
        <v>490</v>
      </c>
      <c r="M276" s="140" t="s">
        <v>46</v>
      </c>
      <c r="N276" s="157">
        <v>0.02</v>
      </c>
      <c r="O276" s="156" t="s">
        <v>51</v>
      </c>
      <c r="P276" s="156"/>
      <c r="Q276" s="158">
        <v>0</v>
      </c>
      <c r="R276" s="158">
        <v>0</v>
      </c>
      <c r="S276" s="158">
        <v>34699.8</v>
      </c>
      <c r="T276" s="158">
        <f t="shared" si="48"/>
        <v>693.996</v>
      </c>
      <c r="U276" s="158">
        <f t="shared" si="52"/>
        <v>35393.796</v>
      </c>
      <c r="V276" s="158">
        <v>70000</v>
      </c>
      <c r="W276" s="158">
        <f t="shared" si="53"/>
        <v>-34606.204</v>
      </c>
      <c r="X276" s="158">
        <f t="shared" si="49"/>
        <v>-33927.6509803922</v>
      </c>
      <c r="Y276" s="158">
        <f t="shared" si="54"/>
        <v>-678.553019607847</v>
      </c>
      <c r="Z276" s="158">
        <v>34699.8</v>
      </c>
      <c r="AA276" s="158">
        <f t="shared" si="50"/>
        <v>35300.2</v>
      </c>
      <c r="AB276" s="167">
        <f t="shared" si="44"/>
        <v>34019.4117647059</v>
      </c>
      <c r="AC276" s="168">
        <f t="shared" si="51"/>
        <v>680.388235294122</v>
      </c>
      <c r="AD276" s="158">
        <v>29087.7163724407</v>
      </c>
      <c r="AE276" s="159">
        <v>0.176470588235294</v>
      </c>
      <c r="AF276" s="158">
        <f t="shared" si="46"/>
        <v>5133.126418666</v>
      </c>
      <c r="AG276" s="158">
        <f t="shared" si="47"/>
        <v>4452.73818337188</v>
      </c>
      <c r="AH276" s="175"/>
      <c r="AI276" s="175"/>
      <c r="AJ276" s="157">
        <v>0.02</v>
      </c>
      <c r="AK276" s="177">
        <v>0.02</v>
      </c>
      <c r="AM276" s="152"/>
    </row>
    <row r="277" s="140" customFormat="1" ht="15" hidden="1" customHeight="1" spans="1:39">
      <c r="A277" s="140">
        <v>2017</v>
      </c>
      <c r="B277" s="140" t="s">
        <v>333</v>
      </c>
      <c r="C277" s="140" t="s">
        <v>54</v>
      </c>
      <c r="D277" s="140" t="s">
        <v>55</v>
      </c>
      <c r="E277" s="140" t="s">
        <v>368</v>
      </c>
      <c r="F277" s="140" t="s">
        <v>491</v>
      </c>
      <c r="G277" s="140" t="s">
        <v>492</v>
      </c>
      <c r="H277" s="140" t="s">
        <v>492</v>
      </c>
      <c r="I277" s="152" t="s">
        <v>243</v>
      </c>
      <c r="J277" s="140" t="s">
        <v>244</v>
      </c>
      <c r="K277" s="140" t="s">
        <v>245</v>
      </c>
      <c r="L277" s="140" t="s">
        <v>491</v>
      </c>
      <c r="M277" s="140" t="s">
        <v>46</v>
      </c>
      <c r="N277" s="156">
        <v>0</v>
      </c>
      <c r="O277" s="156" t="s">
        <v>47</v>
      </c>
      <c r="P277" s="156"/>
      <c r="Q277" s="158">
        <v>0</v>
      </c>
      <c r="R277" s="158">
        <v>0</v>
      </c>
      <c r="S277" s="158">
        <v>10000</v>
      </c>
      <c r="T277" s="158">
        <f t="shared" si="48"/>
        <v>0</v>
      </c>
      <c r="U277" s="158">
        <f t="shared" si="52"/>
        <v>10000</v>
      </c>
      <c r="V277" s="158">
        <v>0</v>
      </c>
      <c r="W277" s="158">
        <f t="shared" si="53"/>
        <v>10000</v>
      </c>
      <c r="X277" s="158">
        <f t="shared" si="49"/>
        <v>10000</v>
      </c>
      <c r="Y277" s="158">
        <f t="shared" si="54"/>
        <v>0</v>
      </c>
      <c r="Z277" s="158"/>
      <c r="AA277" s="158">
        <f t="shared" si="50"/>
        <v>0</v>
      </c>
      <c r="AB277" s="167">
        <f t="shared" si="44"/>
        <v>0</v>
      </c>
      <c r="AC277" s="168">
        <f t="shared" si="51"/>
        <v>0</v>
      </c>
      <c r="AD277" s="158">
        <v>0</v>
      </c>
      <c r="AE277" s="159">
        <v>0.176470588235294</v>
      </c>
      <c r="AF277" s="158">
        <f t="shared" si="46"/>
        <v>0</v>
      </c>
      <c r="AG277" s="158">
        <f t="shared" si="47"/>
        <v>0</v>
      </c>
      <c r="AH277" s="175"/>
      <c r="AI277" s="175"/>
      <c r="AJ277" s="156" t="s">
        <v>47</v>
      </c>
      <c r="AK277" s="140" t="s">
        <v>47</v>
      </c>
      <c r="AM277" s="152"/>
    </row>
    <row r="278" s="140" customFormat="1" ht="15" hidden="1" customHeight="1" spans="1:39">
      <c r="A278" s="140">
        <v>2017</v>
      </c>
      <c r="B278" s="140" t="s">
        <v>38</v>
      </c>
      <c r="C278" s="140" t="s">
        <v>54</v>
      </c>
      <c r="D278" s="140" t="s">
        <v>55</v>
      </c>
      <c r="E278" s="140" t="s">
        <v>368</v>
      </c>
      <c r="F278" s="140" t="s">
        <v>493</v>
      </c>
      <c r="G278" s="140" t="s">
        <v>493</v>
      </c>
      <c r="H278" s="140" t="s">
        <v>493</v>
      </c>
      <c r="I278" s="152" t="s">
        <v>243</v>
      </c>
      <c r="J278" s="140" t="s">
        <v>244</v>
      </c>
      <c r="K278" s="140" t="s">
        <v>245</v>
      </c>
      <c r="L278" s="140" t="s">
        <v>494</v>
      </c>
      <c r="M278" s="140" t="s">
        <v>46</v>
      </c>
      <c r="N278" s="157">
        <v>0.02</v>
      </c>
      <c r="O278" s="156" t="s">
        <v>495</v>
      </c>
      <c r="P278" s="156"/>
      <c r="Q278" s="158">
        <v>0</v>
      </c>
      <c r="R278" s="158">
        <v>0</v>
      </c>
      <c r="S278" s="158">
        <v>160000</v>
      </c>
      <c r="T278" s="158">
        <f t="shared" si="48"/>
        <v>3200</v>
      </c>
      <c r="U278" s="158">
        <f t="shared" si="52"/>
        <v>163200</v>
      </c>
      <c r="V278" s="158">
        <v>160000</v>
      </c>
      <c r="W278" s="158">
        <f t="shared" si="53"/>
        <v>3200</v>
      </c>
      <c r="X278" s="158">
        <f t="shared" si="49"/>
        <v>3137.25490196078</v>
      </c>
      <c r="Y278" s="158">
        <f t="shared" si="54"/>
        <v>62.7450980392159</v>
      </c>
      <c r="Z278" s="158">
        <v>129985.2</v>
      </c>
      <c r="AA278" s="158">
        <f t="shared" si="50"/>
        <v>30014.8</v>
      </c>
      <c r="AB278" s="167">
        <f t="shared" si="44"/>
        <v>129985.2</v>
      </c>
      <c r="AC278" s="168">
        <f t="shared" si="51"/>
        <v>2599.704</v>
      </c>
      <c r="AD278" s="158">
        <v>108962.375293661</v>
      </c>
      <c r="AE278" s="159">
        <v>0.176470588235294</v>
      </c>
      <c r="AF278" s="158">
        <f t="shared" si="46"/>
        <v>19228.6544635872</v>
      </c>
      <c r="AG278" s="158">
        <f t="shared" si="47"/>
        <v>19228.6544635872</v>
      </c>
      <c r="AH278" s="175"/>
      <c r="AI278" s="175"/>
      <c r="AJ278" s="157">
        <v>0.02</v>
      </c>
      <c r="AK278" s="140" t="s">
        <v>173</v>
      </c>
      <c r="AM278" s="152"/>
    </row>
    <row r="279" s="140" customFormat="1" ht="15" hidden="1" customHeight="1" spans="1:37">
      <c r="A279" s="140">
        <v>2017</v>
      </c>
      <c r="B279" s="140" t="s">
        <v>38</v>
      </c>
      <c r="C279" s="140" t="s">
        <v>59</v>
      </c>
      <c r="D279" s="140" t="s">
        <v>106</v>
      </c>
      <c r="E279" s="140" t="s">
        <v>190</v>
      </c>
      <c r="F279" s="140" t="s">
        <v>191</v>
      </c>
      <c r="G279" s="140" t="s">
        <v>191</v>
      </c>
      <c r="H279" s="140" t="s">
        <v>191</v>
      </c>
      <c r="I279" s="140" t="s">
        <v>170</v>
      </c>
      <c r="J279" s="140" t="s">
        <v>171</v>
      </c>
      <c r="K279" s="140" t="s">
        <v>172</v>
      </c>
      <c r="L279" s="140" t="s">
        <v>191</v>
      </c>
      <c r="M279" s="140" t="s">
        <v>46</v>
      </c>
      <c r="N279" s="157">
        <v>0.02</v>
      </c>
      <c r="O279" s="156" t="s">
        <v>51</v>
      </c>
      <c r="P279" s="156"/>
      <c r="Q279" s="163">
        <v>486308.5</v>
      </c>
      <c r="R279" s="158">
        <v>0</v>
      </c>
      <c r="S279" s="158">
        <v>6100000</v>
      </c>
      <c r="T279" s="158">
        <f t="shared" si="48"/>
        <v>122000</v>
      </c>
      <c r="U279" s="158">
        <f t="shared" si="52"/>
        <v>6222000</v>
      </c>
      <c r="V279" s="158">
        <v>6338000</v>
      </c>
      <c r="W279" s="158">
        <f t="shared" si="53"/>
        <v>-116000</v>
      </c>
      <c r="X279" s="158">
        <f t="shared" si="49"/>
        <v>-113725.490196078</v>
      </c>
      <c r="Y279" s="158">
        <f t="shared" si="54"/>
        <v>-2274.50980392157</v>
      </c>
      <c r="Z279" s="158">
        <v>6557885</v>
      </c>
      <c r="AA279" s="158">
        <f t="shared" si="50"/>
        <v>266423.5</v>
      </c>
      <c r="AB279" s="167">
        <f>IF(O279="返货",(Z279-Q279)/(1+N279),IF(O279="返现",(Z279-Q279),IF(O279="折扣",(Z279-Q279)*N279,IF(O279="无",(Z279-Q279)))))</f>
        <v>5952525.98039216</v>
      </c>
      <c r="AC279" s="168">
        <f t="shared" si="51"/>
        <v>605359.019607843</v>
      </c>
      <c r="AD279" s="158">
        <f>(Z279-Q279)*0.89807640489087</f>
        <v>5452739.59513989</v>
      </c>
      <c r="AE279" s="159">
        <v>0.112691732739812</v>
      </c>
      <c r="AF279" s="158">
        <f t="shared" si="46"/>
        <v>614478.673155295</v>
      </c>
      <c r="AG279" s="158">
        <v>458146.111447556</v>
      </c>
      <c r="AH279" s="175"/>
      <c r="AI279" s="175"/>
      <c r="AJ279" s="156" t="s">
        <v>173</v>
      </c>
      <c r="AK279" s="140" t="s">
        <v>173</v>
      </c>
    </row>
    <row r="280" s="140" customFormat="1" ht="15" hidden="1" customHeight="1" spans="1:39">
      <c r="A280" s="140">
        <v>2017</v>
      </c>
      <c r="B280" s="140" t="s">
        <v>38</v>
      </c>
      <c r="C280" s="140" t="s">
        <v>54</v>
      </c>
      <c r="D280" s="140" t="s">
        <v>55</v>
      </c>
      <c r="E280" s="140" t="s">
        <v>64</v>
      </c>
      <c r="F280" s="140" t="s">
        <v>374</v>
      </c>
      <c r="G280" s="140" t="s">
        <v>374</v>
      </c>
      <c r="H280" s="140" t="s">
        <v>374</v>
      </c>
      <c r="I280" s="152" t="s">
        <v>243</v>
      </c>
      <c r="J280" s="140" t="s">
        <v>244</v>
      </c>
      <c r="K280" s="140" t="s">
        <v>245</v>
      </c>
      <c r="L280" s="140" t="s">
        <v>375</v>
      </c>
      <c r="M280" s="140" t="s">
        <v>46</v>
      </c>
      <c r="N280" s="156">
        <v>0</v>
      </c>
      <c r="O280" s="156" t="s">
        <v>47</v>
      </c>
      <c r="P280" s="156"/>
      <c r="Q280" s="158">
        <v>0</v>
      </c>
      <c r="R280" s="158">
        <v>0</v>
      </c>
      <c r="S280" s="158">
        <v>120000</v>
      </c>
      <c r="T280" s="158">
        <f t="shared" si="48"/>
        <v>0</v>
      </c>
      <c r="U280" s="158">
        <f t="shared" si="52"/>
        <v>120000</v>
      </c>
      <c r="V280" s="158">
        <v>130024</v>
      </c>
      <c r="W280" s="158">
        <f t="shared" si="53"/>
        <v>-10024</v>
      </c>
      <c r="X280" s="158">
        <f t="shared" si="49"/>
        <v>-10024</v>
      </c>
      <c r="Y280" s="158">
        <f t="shared" si="54"/>
        <v>0</v>
      </c>
      <c r="Z280" s="158">
        <v>68900.9</v>
      </c>
      <c r="AA280" s="158">
        <f t="shared" si="50"/>
        <v>61123.1</v>
      </c>
      <c r="AB280" s="167">
        <f t="shared" si="44"/>
        <v>68900.9</v>
      </c>
      <c r="AC280" s="168">
        <f t="shared" si="51"/>
        <v>0</v>
      </c>
      <c r="AD280" s="158">
        <v>57757.3887171079</v>
      </c>
      <c r="AE280" s="159">
        <v>0.176470588235294</v>
      </c>
      <c r="AF280" s="158">
        <f t="shared" si="46"/>
        <v>10192.4803618426</v>
      </c>
      <c r="AG280" s="158">
        <f t="shared" ref="AG280:AG292" si="55">AB280-Z280+AF280</f>
        <v>10192.4803618426</v>
      </c>
      <c r="AH280" s="175"/>
      <c r="AI280" s="175"/>
      <c r="AJ280" s="156" t="s">
        <v>47</v>
      </c>
      <c r="AK280" s="140" t="s">
        <v>47</v>
      </c>
      <c r="AM280" s="152"/>
    </row>
    <row r="281" s="140" customFormat="1" ht="15" hidden="1" customHeight="1" spans="1:39">
      <c r="A281" s="140">
        <v>2017</v>
      </c>
      <c r="B281" s="140" t="s">
        <v>199</v>
      </c>
      <c r="C281" s="140" t="s">
        <v>54</v>
      </c>
      <c r="D281" s="140" t="s">
        <v>55</v>
      </c>
      <c r="E281" s="140" t="s">
        <v>64</v>
      </c>
      <c r="F281" s="140" t="s">
        <v>496</v>
      </c>
      <c r="G281" s="140" t="s">
        <v>497</v>
      </c>
      <c r="H281" s="178" t="s">
        <v>498</v>
      </c>
      <c r="I281" s="152" t="s">
        <v>243</v>
      </c>
      <c r="J281" s="140" t="s">
        <v>244</v>
      </c>
      <c r="K281" s="140" t="s">
        <v>245</v>
      </c>
      <c r="L281" s="140" t="s">
        <v>499</v>
      </c>
      <c r="M281" s="140" t="s">
        <v>46</v>
      </c>
      <c r="N281" s="156">
        <v>0</v>
      </c>
      <c r="O281" s="156" t="s">
        <v>47</v>
      </c>
      <c r="P281" s="156"/>
      <c r="Q281" s="158">
        <v>0</v>
      </c>
      <c r="R281" s="158">
        <v>0</v>
      </c>
      <c r="S281" s="158">
        <v>20000</v>
      </c>
      <c r="T281" s="158">
        <f t="shared" si="48"/>
        <v>0</v>
      </c>
      <c r="U281" s="158">
        <f t="shared" si="52"/>
        <v>20000</v>
      </c>
      <c r="V281" s="158">
        <v>20000</v>
      </c>
      <c r="W281" s="158">
        <f t="shared" si="53"/>
        <v>0</v>
      </c>
      <c r="X281" s="158">
        <f t="shared" si="49"/>
        <v>0</v>
      </c>
      <c r="Y281" s="158">
        <f t="shared" si="54"/>
        <v>0</v>
      </c>
      <c r="Z281" s="158">
        <v>4161</v>
      </c>
      <c r="AA281" s="158">
        <f t="shared" si="50"/>
        <v>15839</v>
      </c>
      <c r="AB281" s="167">
        <f t="shared" si="44"/>
        <v>4161</v>
      </c>
      <c r="AC281" s="168">
        <f t="shared" si="51"/>
        <v>0</v>
      </c>
      <c r="AD281" s="158">
        <v>3488.03128046057</v>
      </c>
      <c r="AE281" s="159">
        <v>0.176470588235294</v>
      </c>
      <c r="AF281" s="158">
        <f t="shared" si="46"/>
        <v>615.534931845983</v>
      </c>
      <c r="AG281" s="158">
        <f t="shared" si="55"/>
        <v>615.534931845983</v>
      </c>
      <c r="AH281" s="175"/>
      <c r="AI281" s="175"/>
      <c r="AJ281" s="156" t="s">
        <v>47</v>
      </c>
      <c r="AK281" s="140" t="s">
        <v>47</v>
      </c>
      <c r="AM281" s="152"/>
    </row>
    <row r="282" s="140" customFormat="1" ht="15" hidden="1" customHeight="1" spans="1:39">
      <c r="A282" s="140">
        <v>2017</v>
      </c>
      <c r="B282" s="140" t="s">
        <v>38</v>
      </c>
      <c r="C282" s="140" t="s">
        <v>54</v>
      </c>
      <c r="D282" s="140" t="s">
        <v>55</v>
      </c>
      <c r="E282" s="140" t="s">
        <v>64</v>
      </c>
      <c r="F282" s="140" t="s">
        <v>65</v>
      </c>
      <c r="G282" s="140" t="s">
        <v>66</v>
      </c>
      <c r="H282" s="140" t="s">
        <v>66</v>
      </c>
      <c r="I282" s="152" t="s">
        <v>243</v>
      </c>
      <c r="J282" s="140" t="s">
        <v>244</v>
      </c>
      <c r="K282" s="140" t="s">
        <v>245</v>
      </c>
      <c r="L282" s="140" t="s">
        <v>65</v>
      </c>
      <c r="M282" s="140" t="s">
        <v>46</v>
      </c>
      <c r="N282" s="156">
        <v>0</v>
      </c>
      <c r="O282" s="156" t="s">
        <v>47</v>
      </c>
      <c r="P282" s="156"/>
      <c r="Q282" s="158">
        <v>0</v>
      </c>
      <c r="R282" s="158">
        <v>0</v>
      </c>
      <c r="S282" s="158">
        <v>35000</v>
      </c>
      <c r="T282" s="158">
        <f t="shared" si="48"/>
        <v>0</v>
      </c>
      <c r="U282" s="158">
        <f t="shared" si="52"/>
        <v>35000</v>
      </c>
      <c r="V282" s="158">
        <v>0</v>
      </c>
      <c r="W282" s="158">
        <f t="shared" si="53"/>
        <v>35000</v>
      </c>
      <c r="X282" s="158">
        <f t="shared" si="49"/>
        <v>35000</v>
      </c>
      <c r="Y282" s="158">
        <f t="shared" si="54"/>
        <v>0</v>
      </c>
      <c r="Z282" s="158">
        <v>0</v>
      </c>
      <c r="AA282" s="158">
        <f t="shared" si="50"/>
        <v>0</v>
      </c>
      <c r="AB282" s="167">
        <f t="shared" si="44"/>
        <v>0</v>
      </c>
      <c r="AC282" s="168">
        <f t="shared" si="51"/>
        <v>0</v>
      </c>
      <c r="AD282" s="158">
        <v>0</v>
      </c>
      <c r="AE282" s="159">
        <v>0.176470588235294</v>
      </c>
      <c r="AF282" s="158">
        <f t="shared" si="46"/>
        <v>0</v>
      </c>
      <c r="AG282" s="158">
        <f t="shared" si="55"/>
        <v>0</v>
      </c>
      <c r="AH282" s="175"/>
      <c r="AI282" s="175"/>
      <c r="AJ282" s="156" t="s">
        <v>47</v>
      </c>
      <c r="AK282" s="140" t="s">
        <v>47</v>
      </c>
      <c r="AM282" s="152" t="s">
        <v>449</v>
      </c>
    </row>
    <row r="283" s="140" customFormat="1" ht="15" hidden="1" customHeight="1" spans="1:39">
      <c r="A283" s="140">
        <v>2017</v>
      </c>
      <c r="B283" s="140" t="s">
        <v>38</v>
      </c>
      <c r="C283" s="140" t="s">
        <v>54</v>
      </c>
      <c r="D283" s="140" t="s">
        <v>55</v>
      </c>
      <c r="E283" s="140" t="s">
        <v>64</v>
      </c>
      <c r="F283" s="140" t="s">
        <v>500</v>
      </c>
      <c r="G283" s="140" t="s">
        <v>500</v>
      </c>
      <c r="H283" s="140" t="s">
        <v>500</v>
      </c>
      <c r="I283" s="152" t="s">
        <v>243</v>
      </c>
      <c r="J283" s="140" t="s">
        <v>244</v>
      </c>
      <c r="K283" s="140" t="s">
        <v>245</v>
      </c>
      <c r="L283" s="140" t="s">
        <v>500</v>
      </c>
      <c r="M283" s="140" t="s">
        <v>46</v>
      </c>
      <c r="N283" s="156">
        <v>0</v>
      </c>
      <c r="O283" s="156" t="s">
        <v>47</v>
      </c>
      <c r="P283" s="156"/>
      <c r="Q283" s="158">
        <v>0</v>
      </c>
      <c r="R283" s="158">
        <v>0</v>
      </c>
      <c r="S283" s="158">
        <v>20000</v>
      </c>
      <c r="T283" s="158">
        <f t="shared" si="48"/>
        <v>0</v>
      </c>
      <c r="U283" s="158">
        <f t="shared" si="52"/>
        <v>20000</v>
      </c>
      <c r="V283" s="158">
        <v>20000</v>
      </c>
      <c r="W283" s="158">
        <f t="shared" si="53"/>
        <v>0</v>
      </c>
      <c r="X283" s="158">
        <f t="shared" si="49"/>
        <v>0</v>
      </c>
      <c r="Y283" s="158">
        <f t="shared" si="54"/>
        <v>0</v>
      </c>
      <c r="Z283" s="158">
        <v>4640.5</v>
      </c>
      <c r="AA283" s="158">
        <f t="shared" si="50"/>
        <v>15359.5</v>
      </c>
      <c r="AB283" s="167">
        <f t="shared" si="44"/>
        <v>4640.5</v>
      </c>
      <c r="AC283" s="168">
        <f t="shared" si="51"/>
        <v>0</v>
      </c>
      <c r="AD283" s="158">
        <v>3889.98057125145</v>
      </c>
      <c r="AE283" s="159">
        <v>0.176470588235294</v>
      </c>
      <c r="AF283" s="158">
        <f t="shared" si="46"/>
        <v>686.467159632608</v>
      </c>
      <c r="AG283" s="158">
        <f t="shared" si="55"/>
        <v>686.467159632608</v>
      </c>
      <c r="AH283" s="175"/>
      <c r="AI283" s="175"/>
      <c r="AJ283" s="156" t="s">
        <v>47</v>
      </c>
      <c r="AK283" s="140" t="s">
        <v>47</v>
      </c>
      <c r="AM283" s="152"/>
    </row>
    <row r="284" s="140" customFormat="1" ht="15" hidden="1" customHeight="1" spans="1:39">
      <c r="A284" s="140">
        <v>2017</v>
      </c>
      <c r="B284" s="140" t="s">
        <v>38</v>
      </c>
      <c r="C284" s="140" t="s">
        <v>54</v>
      </c>
      <c r="D284" s="140" t="s">
        <v>55</v>
      </c>
      <c r="E284" s="140" t="s">
        <v>64</v>
      </c>
      <c r="F284" s="140" t="s">
        <v>224</v>
      </c>
      <c r="G284" s="140" t="s">
        <v>224</v>
      </c>
      <c r="H284" s="140" t="s">
        <v>224</v>
      </c>
      <c r="I284" s="152" t="s">
        <v>243</v>
      </c>
      <c r="J284" s="140" t="s">
        <v>244</v>
      </c>
      <c r="K284" s="140" t="s">
        <v>245</v>
      </c>
      <c r="L284" s="140" t="s">
        <v>224</v>
      </c>
      <c r="M284" s="140" t="s">
        <v>46</v>
      </c>
      <c r="N284" s="156">
        <v>0</v>
      </c>
      <c r="O284" s="156" t="s">
        <v>47</v>
      </c>
      <c r="P284" s="156"/>
      <c r="Q284" s="158">
        <v>0</v>
      </c>
      <c r="R284" s="158">
        <v>0</v>
      </c>
      <c r="S284" s="158">
        <v>60000</v>
      </c>
      <c r="T284" s="158">
        <f t="shared" si="48"/>
        <v>0</v>
      </c>
      <c r="U284" s="158">
        <f t="shared" si="52"/>
        <v>60000</v>
      </c>
      <c r="V284" s="158">
        <v>60000</v>
      </c>
      <c r="W284" s="158">
        <f t="shared" si="53"/>
        <v>0</v>
      </c>
      <c r="X284" s="158">
        <f t="shared" si="49"/>
        <v>0</v>
      </c>
      <c r="Y284" s="158">
        <f t="shared" si="54"/>
        <v>0</v>
      </c>
      <c r="Z284" s="158">
        <v>29887.5</v>
      </c>
      <c r="AA284" s="158">
        <f t="shared" si="50"/>
        <v>30112.5</v>
      </c>
      <c r="AB284" s="167">
        <f t="shared" si="44"/>
        <v>29887.5</v>
      </c>
      <c r="AC284" s="168">
        <f t="shared" si="51"/>
        <v>0</v>
      </c>
      <c r="AD284" s="158">
        <v>25053.7214358965</v>
      </c>
      <c r="AE284" s="159">
        <v>0.176470588235294</v>
      </c>
      <c r="AF284" s="158">
        <f t="shared" si="46"/>
        <v>4421.24495927585</v>
      </c>
      <c r="AG284" s="158">
        <f t="shared" si="55"/>
        <v>4421.24495927585</v>
      </c>
      <c r="AH284" s="175"/>
      <c r="AI284" s="175"/>
      <c r="AJ284" s="156" t="s">
        <v>47</v>
      </c>
      <c r="AK284" s="140" t="s">
        <v>47</v>
      </c>
      <c r="AM284" s="152"/>
    </row>
    <row r="285" s="140" customFormat="1" ht="15" hidden="1" customHeight="1" spans="1:39">
      <c r="A285" s="140">
        <v>2017</v>
      </c>
      <c r="B285" s="140" t="s">
        <v>38</v>
      </c>
      <c r="C285" s="140" t="s">
        <v>54</v>
      </c>
      <c r="D285" s="140" t="s">
        <v>102</v>
      </c>
      <c r="E285" s="140" t="s">
        <v>115</v>
      </c>
      <c r="F285" s="140" t="s">
        <v>379</v>
      </c>
      <c r="G285" s="140" t="s">
        <v>379</v>
      </c>
      <c r="H285" s="140" t="s">
        <v>379</v>
      </c>
      <c r="I285" s="152" t="s">
        <v>243</v>
      </c>
      <c r="J285" s="140" t="s">
        <v>244</v>
      </c>
      <c r="K285" s="140" t="s">
        <v>245</v>
      </c>
      <c r="L285" s="140" t="s">
        <v>379</v>
      </c>
      <c r="M285" s="140" t="s">
        <v>46</v>
      </c>
      <c r="N285" s="156">
        <v>0</v>
      </c>
      <c r="O285" s="156" t="s">
        <v>47</v>
      </c>
      <c r="P285" s="156"/>
      <c r="Q285" s="158">
        <v>0</v>
      </c>
      <c r="R285" s="158">
        <v>0</v>
      </c>
      <c r="S285" s="158">
        <v>83398.5</v>
      </c>
      <c r="T285" s="158">
        <f t="shared" si="48"/>
        <v>0</v>
      </c>
      <c r="U285" s="158">
        <f t="shared" si="52"/>
        <v>83398.5</v>
      </c>
      <c r="V285" s="158">
        <v>0</v>
      </c>
      <c r="W285" s="158">
        <f t="shared" si="53"/>
        <v>83398.5</v>
      </c>
      <c r="X285" s="158">
        <f t="shared" si="49"/>
        <v>83398.5</v>
      </c>
      <c r="Y285" s="158">
        <f t="shared" si="54"/>
        <v>0</v>
      </c>
      <c r="Z285" s="158"/>
      <c r="AA285" s="158">
        <f t="shared" si="50"/>
        <v>0</v>
      </c>
      <c r="AB285" s="167">
        <f t="shared" si="44"/>
        <v>0</v>
      </c>
      <c r="AC285" s="168">
        <f t="shared" si="51"/>
        <v>0</v>
      </c>
      <c r="AD285" s="158">
        <v>0</v>
      </c>
      <c r="AE285" s="159">
        <v>0.176470588235294</v>
      </c>
      <c r="AF285" s="158">
        <f t="shared" si="46"/>
        <v>0</v>
      </c>
      <c r="AG285" s="158">
        <f t="shared" si="55"/>
        <v>0</v>
      </c>
      <c r="AH285" s="175"/>
      <c r="AI285" s="175"/>
      <c r="AJ285" s="156" t="s">
        <v>47</v>
      </c>
      <c r="AK285" s="140" t="s">
        <v>47</v>
      </c>
      <c r="AM285" s="152"/>
    </row>
    <row r="286" s="140" customFormat="1" ht="15" hidden="1" customHeight="1" spans="1:39">
      <c r="A286" s="140">
        <v>2017</v>
      </c>
      <c r="B286" s="140" t="s">
        <v>38</v>
      </c>
      <c r="C286" s="140" t="s">
        <v>54</v>
      </c>
      <c r="D286" s="140" t="s">
        <v>102</v>
      </c>
      <c r="E286" s="140" t="s">
        <v>115</v>
      </c>
      <c r="F286" s="140" t="s">
        <v>380</v>
      </c>
      <c r="G286" s="140" t="s">
        <v>380</v>
      </c>
      <c r="H286" s="140" t="s">
        <v>380</v>
      </c>
      <c r="I286" s="152" t="s">
        <v>243</v>
      </c>
      <c r="J286" s="140" t="s">
        <v>244</v>
      </c>
      <c r="K286" s="140" t="s">
        <v>245</v>
      </c>
      <c r="L286" s="140" t="s">
        <v>380</v>
      </c>
      <c r="M286" s="140" t="s">
        <v>46</v>
      </c>
      <c r="N286" s="156">
        <v>0</v>
      </c>
      <c r="O286" s="156" t="s">
        <v>47</v>
      </c>
      <c r="P286" s="156"/>
      <c r="Q286" s="158">
        <v>0</v>
      </c>
      <c r="R286" s="158">
        <v>0</v>
      </c>
      <c r="S286" s="158">
        <v>57303</v>
      </c>
      <c r="T286" s="158">
        <f t="shared" si="48"/>
        <v>0</v>
      </c>
      <c r="U286" s="158">
        <f t="shared" si="52"/>
        <v>57303</v>
      </c>
      <c r="V286" s="158">
        <v>75000</v>
      </c>
      <c r="W286" s="158">
        <f t="shared" si="53"/>
        <v>-17697</v>
      </c>
      <c r="X286" s="158">
        <f t="shared" si="49"/>
        <v>-17697</v>
      </c>
      <c r="Y286" s="158">
        <f t="shared" si="54"/>
        <v>0</v>
      </c>
      <c r="Z286" s="158">
        <v>26284.59</v>
      </c>
      <c r="AA286" s="158">
        <f t="shared" si="50"/>
        <v>48715.41</v>
      </c>
      <c r="AB286" s="167">
        <f t="shared" si="44"/>
        <v>26284.59</v>
      </c>
      <c r="AC286" s="168">
        <f t="shared" si="51"/>
        <v>0</v>
      </c>
      <c r="AD286" s="158">
        <v>22033.5188930741</v>
      </c>
      <c r="AE286" s="159">
        <v>0.176470588235294</v>
      </c>
      <c r="AF286" s="158">
        <f t="shared" si="46"/>
        <v>3888.26803995425</v>
      </c>
      <c r="AG286" s="158">
        <f t="shared" si="55"/>
        <v>3888.26803995425</v>
      </c>
      <c r="AH286" s="175"/>
      <c r="AI286" s="175"/>
      <c r="AJ286" s="156" t="s">
        <v>47</v>
      </c>
      <c r="AK286" s="140" t="s">
        <v>47</v>
      </c>
      <c r="AM286" s="152"/>
    </row>
    <row r="287" s="140" customFormat="1" ht="15" hidden="1" customHeight="1" spans="1:39">
      <c r="A287" s="140">
        <v>2017</v>
      </c>
      <c r="B287" s="140" t="s">
        <v>38</v>
      </c>
      <c r="C287" s="140" t="s">
        <v>54</v>
      </c>
      <c r="D287" s="140" t="s">
        <v>102</v>
      </c>
      <c r="E287" s="140" t="s">
        <v>115</v>
      </c>
      <c r="F287" s="140" t="s">
        <v>501</v>
      </c>
      <c r="G287" s="140" t="s">
        <v>501</v>
      </c>
      <c r="H287" s="140" t="s">
        <v>501</v>
      </c>
      <c r="I287" s="152" t="s">
        <v>243</v>
      </c>
      <c r="J287" s="140" t="s">
        <v>244</v>
      </c>
      <c r="K287" s="140" t="s">
        <v>245</v>
      </c>
      <c r="L287" s="140" t="s">
        <v>501</v>
      </c>
      <c r="M287" s="140" t="s">
        <v>46</v>
      </c>
      <c r="N287" s="156">
        <v>0</v>
      </c>
      <c r="O287" s="156" t="s">
        <v>47</v>
      </c>
      <c r="P287" s="156"/>
      <c r="Q287" s="158">
        <v>0</v>
      </c>
      <c r="R287" s="158">
        <v>0</v>
      </c>
      <c r="S287" s="158">
        <v>10000</v>
      </c>
      <c r="T287" s="158">
        <f t="shared" si="48"/>
        <v>0</v>
      </c>
      <c r="U287" s="158">
        <f t="shared" si="52"/>
        <v>10000</v>
      </c>
      <c r="V287" s="158">
        <v>10000</v>
      </c>
      <c r="W287" s="158">
        <f t="shared" si="53"/>
        <v>0</v>
      </c>
      <c r="X287" s="158">
        <f t="shared" si="49"/>
        <v>0</v>
      </c>
      <c r="Y287" s="158">
        <f t="shared" si="54"/>
        <v>0</v>
      </c>
      <c r="Z287" s="158"/>
      <c r="AA287" s="158">
        <f t="shared" si="50"/>
        <v>10000</v>
      </c>
      <c r="AB287" s="167">
        <f t="shared" si="44"/>
        <v>0</v>
      </c>
      <c r="AC287" s="168">
        <f t="shared" si="51"/>
        <v>0</v>
      </c>
      <c r="AD287" s="158">
        <v>0</v>
      </c>
      <c r="AE287" s="159">
        <v>0.176470588235294</v>
      </c>
      <c r="AF287" s="158">
        <f t="shared" si="46"/>
        <v>0</v>
      </c>
      <c r="AG287" s="158">
        <f t="shared" si="55"/>
        <v>0</v>
      </c>
      <c r="AH287" s="175"/>
      <c r="AI287" s="175"/>
      <c r="AJ287" s="156" t="s">
        <v>47</v>
      </c>
      <c r="AK287" s="140" t="s">
        <v>47</v>
      </c>
      <c r="AM287" s="152"/>
    </row>
    <row r="288" s="140" customFormat="1" ht="15" hidden="1" customHeight="1" spans="1:39">
      <c r="A288" s="140">
        <v>2017</v>
      </c>
      <c r="B288" s="140" t="s">
        <v>38</v>
      </c>
      <c r="C288" s="140" t="s">
        <v>54</v>
      </c>
      <c r="D288" s="140" t="s">
        <v>102</v>
      </c>
      <c r="E288" s="140" t="s">
        <v>115</v>
      </c>
      <c r="F288" s="140" t="s">
        <v>502</v>
      </c>
      <c r="G288" s="140" t="s">
        <v>502</v>
      </c>
      <c r="H288" s="140" t="s">
        <v>502</v>
      </c>
      <c r="I288" s="152" t="s">
        <v>243</v>
      </c>
      <c r="J288" s="140" t="s">
        <v>244</v>
      </c>
      <c r="K288" s="140" t="s">
        <v>245</v>
      </c>
      <c r="L288" s="140" t="s">
        <v>503</v>
      </c>
      <c r="M288" s="140" t="s">
        <v>46</v>
      </c>
      <c r="N288" s="157">
        <v>0.02</v>
      </c>
      <c r="O288" s="156" t="s">
        <v>495</v>
      </c>
      <c r="P288" s="156" t="s">
        <v>440</v>
      </c>
      <c r="Q288" s="158">
        <v>0</v>
      </c>
      <c r="R288" s="158">
        <v>0</v>
      </c>
      <c r="S288" s="158">
        <v>223018</v>
      </c>
      <c r="T288" s="158">
        <f t="shared" si="48"/>
        <v>4460.36</v>
      </c>
      <c r="U288" s="158">
        <f t="shared" si="52"/>
        <v>227478.36</v>
      </c>
      <c r="V288" s="158">
        <v>225000</v>
      </c>
      <c r="W288" s="158">
        <f t="shared" si="53"/>
        <v>2478.35999999999</v>
      </c>
      <c r="X288" s="158">
        <f t="shared" si="49"/>
        <v>2429.76470588234</v>
      </c>
      <c r="Y288" s="158">
        <f t="shared" si="54"/>
        <v>48.595294117647</v>
      </c>
      <c r="Z288" s="158">
        <f>191385.9-Z1167</f>
        <v>170385.9</v>
      </c>
      <c r="AA288" s="158">
        <f t="shared" si="50"/>
        <v>54614.1</v>
      </c>
      <c r="AB288" s="167">
        <f t="shared" si="44"/>
        <v>170385.9</v>
      </c>
      <c r="AC288" s="168">
        <f t="shared" si="51"/>
        <v>3407.718</v>
      </c>
      <c r="AD288" s="158">
        <v>160432.589723408</v>
      </c>
      <c r="AE288" s="159">
        <v>0.176470588235294</v>
      </c>
      <c r="AF288" s="158">
        <f t="shared" si="46"/>
        <v>28311.6334806014</v>
      </c>
      <c r="AG288" s="158">
        <f t="shared" si="55"/>
        <v>28311.6334806014</v>
      </c>
      <c r="AH288" s="175"/>
      <c r="AI288" s="175"/>
      <c r="AJ288" s="157">
        <v>0.02</v>
      </c>
      <c r="AK288" s="177">
        <v>0.02</v>
      </c>
      <c r="AM288" s="152"/>
    </row>
    <row r="289" s="140" customFormat="1" ht="15" hidden="1" customHeight="1" spans="1:39">
      <c r="A289" s="140">
        <v>2017</v>
      </c>
      <c r="B289" s="140" t="s">
        <v>38</v>
      </c>
      <c r="C289" s="140" t="s">
        <v>54</v>
      </c>
      <c r="D289" s="140" t="s">
        <v>102</v>
      </c>
      <c r="E289" s="140" t="s">
        <v>115</v>
      </c>
      <c r="F289" s="140" t="s">
        <v>116</v>
      </c>
      <c r="G289" s="140" t="s">
        <v>116</v>
      </c>
      <c r="H289" s="140" t="s">
        <v>116</v>
      </c>
      <c r="I289" s="152" t="s">
        <v>243</v>
      </c>
      <c r="J289" s="140" t="s">
        <v>244</v>
      </c>
      <c r="K289" s="140" t="s">
        <v>245</v>
      </c>
      <c r="L289" s="140" t="s">
        <v>504</v>
      </c>
      <c r="M289" s="140" t="s">
        <v>46</v>
      </c>
      <c r="N289" s="157">
        <v>0.02</v>
      </c>
      <c r="O289" s="156" t="s">
        <v>495</v>
      </c>
      <c r="P289" s="156"/>
      <c r="Q289" s="158">
        <v>0</v>
      </c>
      <c r="R289" s="158">
        <v>0</v>
      </c>
      <c r="S289" s="158">
        <v>600000</v>
      </c>
      <c r="T289" s="158">
        <f t="shared" si="48"/>
        <v>12000</v>
      </c>
      <c r="U289" s="158">
        <f t="shared" si="52"/>
        <v>612000</v>
      </c>
      <c r="V289" s="158">
        <v>600000</v>
      </c>
      <c r="W289" s="158">
        <f t="shared" si="53"/>
        <v>12000</v>
      </c>
      <c r="X289" s="158">
        <f t="shared" si="49"/>
        <v>11764.7058823529</v>
      </c>
      <c r="Y289" s="158">
        <f t="shared" si="54"/>
        <v>235.294117647059</v>
      </c>
      <c r="Z289" s="158">
        <v>562926.96</v>
      </c>
      <c r="AA289" s="158">
        <f t="shared" si="50"/>
        <v>37073.04</v>
      </c>
      <c r="AB289" s="167">
        <f t="shared" si="44"/>
        <v>562926.96</v>
      </c>
      <c r="AC289" s="168">
        <f t="shared" si="51"/>
        <v>11258.5392</v>
      </c>
      <c r="AD289" s="158">
        <v>471883.404252482</v>
      </c>
      <c r="AE289" s="159">
        <v>0.176470588235294</v>
      </c>
      <c r="AF289" s="158">
        <f t="shared" si="46"/>
        <v>83273.5419269085</v>
      </c>
      <c r="AG289" s="158">
        <f t="shared" si="55"/>
        <v>83273.5419269085</v>
      </c>
      <c r="AH289" s="175"/>
      <c r="AI289" s="175"/>
      <c r="AJ289" s="156" t="s">
        <v>173</v>
      </c>
      <c r="AK289" s="140" t="s">
        <v>173</v>
      </c>
      <c r="AM289" s="152"/>
    </row>
    <row r="290" s="140" customFormat="1" ht="15" hidden="1" customHeight="1" spans="1:39">
      <c r="A290" s="140">
        <v>2017</v>
      </c>
      <c r="B290" s="140" t="s">
        <v>38</v>
      </c>
      <c r="C290" s="140" t="s">
        <v>54</v>
      </c>
      <c r="D290" s="140" t="s">
        <v>102</v>
      </c>
      <c r="E290" s="140" t="s">
        <v>115</v>
      </c>
      <c r="F290" s="140" t="s">
        <v>382</v>
      </c>
      <c r="G290" s="140" t="s">
        <v>382</v>
      </c>
      <c r="H290" s="140" t="s">
        <v>382</v>
      </c>
      <c r="I290" s="152" t="s">
        <v>243</v>
      </c>
      <c r="J290" s="140" t="s">
        <v>244</v>
      </c>
      <c r="K290" s="140" t="s">
        <v>245</v>
      </c>
      <c r="L290" s="140" t="s">
        <v>382</v>
      </c>
      <c r="M290" s="140" t="s">
        <v>46</v>
      </c>
      <c r="N290" s="156">
        <v>0</v>
      </c>
      <c r="O290" s="156" t="s">
        <v>47</v>
      </c>
      <c r="P290" s="156"/>
      <c r="Q290" s="158">
        <v>0</v>
      </c>
      <c r="R290" s="158">
        <v>0</v>
      </c>
      <c r="S290" s="158">
        <v>7896.1</v>
      </c>
      <c r="T290" s="158">
        <f t="shared" si="48"/>
        <v>0</v>
      </c>
      <c r="U290" s="158">
        <f t="shared" si="52"/>
        <v>7896.1</v>
      </c>
      <c r="V290" s="158">
        <v>15000</v>
      </c>
      <c r="W290" s="158">
        <f t="shared" si="53"/>
        <v>-7103.9</v>
      </c>
      <c r="X290" s="158">
        <f t="shared" si="49"/>
        <v>-7103.9</v>
      </c>
      <c r="Y290" s="158">
        <f t="shared" si="54"/>
        <v>0</v>
      </c>
      <c r="Z290" s="158">
        <v>7896.1</v>
      </c>
      <c r="AA290" s="158">
        <f t="shared" si="50"/>
        <v>7103.9</v>
      </c>
      <c r="AB290" s="167">
        <f t="shared" si="44"/>
        <v>7896.1</v>
      </c>
      <c r="AC290" s="168">
        <f t="shared" si="51"/>
        <v>0</v>
      </c>
      <c r="AD290" s="158">
        <v>6619.04441087353</v>
      </c>
      <c r="AE290" s="159">
        <v>0.176470588235294</v>
      </c>
      <c r="AF290" s="158">
        <f t="shared" si="46"/>
        <v>1168.06666074239</v>
      </c>
      <c r="AG290" s="158">
        <f t="shared" si="55"/>
        <v>1168.06666074239</v>
      </c>
      <c r="AH290" s="175"/>
      <c r="AI290" s="175"/>
      <c r="AJ290" s="156" t="s">
        <v>47</v>
      </c>
      <c r="AK290" s="140" t="s">
        <v>47</v>
      </c>
      <c r="AM290" s="152"/>
    </row>
    <row r="291" s="140" customFormat="1" ht="15" hidden="1" customHeight="1" spans="1:39">
      <c r="A291" s="140">
        <v>2017</v>
      </c>
      <c r="B291" s="140" t="s">
        <v>38</v>
      </c>
      <c r="C291" s="140" t="s">
        <v>54</v>
      </c>
      <c r="D291" s="140" t="s">
        <v>102</v>
      </c>
      <c r="E291" s="140" t="s">
        <v>115</v>
      </c>
      <c r="F291" s="140" t="s">
        <v>383</v>
      </c>
      <c r="G291" s="140" t="s">
        <v>383</v>
      </c>
      <c r="H291" s="140" t="s">
        <v>383</v>
      </c>
      <c r="I291" s="152" t="s">
        <v>243</v>
      </c>
      <c r="J291" s="140" t="s">
        <v>244</v>
      </c>
      <c r="K291" s="140" t="s">
        <v>245</v>
      </c>
      <c r="L291" s="140" t="s">
        <v>383</v>
      </c>
      <c r="M291" s="140" t="s">
        <v>46</v>
      </c>
      <c r="N291" s="156">
        <v>0</v>
      </c>
      <c r="O291" s="156" t="s">
        <v>47</v>
      </c>
      <c r="P291" s="156"/>
      <c r="Q291" s="158">
        <v>0</v>
      </c>
      <c r="R291" s="158">
        <v>0</v>
      </c>
      <c r="S291" s="158">
        <v>2920</v>
      </c>
      <c r="T291" s="158">
        <f t="shared" si="48"/>
        <v>0</v>
      </c>
      <c r="U291" s="158">
        <f t="shared" si="52"/>
        <v>2920</v>
      </c>
      <c r="V291" s="158">
        <v>69171.2</v>
      </c>
      <c r="W291" s="158">
        <f t="shared" si="53"/>
        <v>-66251.2</v>
      </c>
      <c r="X291" s="158">
        <f t="shared" si="49"/>
        <v>-66251.2</v>
      </c>
      <c r="Y291" s="158">
        <f t="shared" si="54"/>
        <v>0</v>
      </c>
      <c r="Z291" s="158">
        <v>57190.3</v>
      </c>
      <c r="AA291" s="158">
        <f t="shared" si="50"/>
        <v>11980.9</v>
      </c>
      <c r="AB291" s="167">
        <f t="shared" si="44"/>
        <v>57190.3</v>
      </c>
      <c r="AC291" s="168">
        <f t="shared" si="51"/>
        <v>0</v>
      </c>
      <c r="AD291" s="158">
        <v>47940.7727322577</v>
      </c>
      <c r="AE291" s="159">
        <v>0.176470588235294</v>
      </c>
      <c r="AF291" s="158">
        <f t="shared" si="46"/>
        <v>8460.13636451606</v>
      </c>
      <c r="AG291" s="158">
        <f t="shared" si="55"/>
        <v>8460.13636451606</v>
      </c>
      <c r="AH291" s="175"/>
      <c r="AI291" s="175"/>
      <c r="AJ291" s="156" t="s">
        <v>47</v>
      </c>
      <c r="AK291" s="140" t="s">
        <v>47</v>
      </c>
      <c r="AM291" s="152"/>
    </row>
    <row r="292" s="140" customFormat="1" ht="15" hidden="1" customHeight="1" spans="1:39">
      <c r="A292" s="140">
        <v>2017</v>
      </c>
      <c r="B292" s="140" t="s">
        <v>38</v>
      </c>
      <c r="C292" s="140" t="s">
        <v>54</v>
      </c>
      <c r="D292" s="140" t="s">
        <v>102</v>
      </c>
      <c r="E292" s="140" t="s">
        <v>505</v>
      </c>
      <c r="F292" s="140" t="s">
        <v>506</v>
      </c>
      <c r="G292" s="140" t="s">
        <v>506</v>
      </c>
      <c r="H292" s="140" t="s">
        <v>506</v>
      </c>
      <c r="I292" s="152" t="s">
        <v>243</v>
      </c>
      <c r="J292" s="140" t="s">
        <v>244</v>
      </c>
      <c r="K292" s="140" t="s">
        <v>245</v>
      </c>
      <c r="L292" s="140" t="s">
        <v>506</v>
      </c>
      <c r="M292" s="140" t="s">
        <v>46</v>
      </c>
      <c r="N292" s="156">
        <v>0</v>
      </c>
      <c r="O292" s="156" t="s">
        <v>47</v>
      </c>
      <c r="P292" s="156"/>
      <c r="Q292" s="158">
        <v>0</v>
      </c>
      <c r="R292" s="158">
        <v>0</v>
      </c>
      <c r="S292" s="158">
        <v>60000</v>
      </c>
      <c r="T292" s="158">
        <f t="shared" si="48"/>
        <v>0</v>
      </c>
      <c r="U292" s="158">
        <f t="shared" si="52"/>
        <v>60000</v>
      </c>
      <c r="V292" s="158">
        <v>60001</v>
      </c>
      <c r="W292" s="158">
        <f t="shared" si="53"/>
        <v>-1</v>
      </c>
      <c r="X292" s="158">
        <f t="shared" si="49"/>
        <v>-1</v>
      </c>
      <c r="Y292" s="158">
        <f t="shared" si="54"/>
        <v>0</v>
      </c>
      <c r="Z292" s="158">
        <v>36010.4</v>
      </c>
      <c r="AA292" s="158">
        <f t="shared" si="50"/>
        <v>23990.6</v>
      </c>
      <c r="AB292" s="167">
        <f t="shared" si="44"/>
        <v>36010.4</v>
      </c>
      <c r="AC292" s="168">
        <f t="shared" si="51"/>
        <v>0</v>
      </c>
      <c r="AD292" s="158">
        <v>30186.3498250174</v>
      </c>
      <c r="AE292" s="159">
        <v>0.176470588235294</v>
      </c>
      <c r="AF292" s="158">
        <f t="shared" si="46"/>
        <v>5327.00291029718</v>
      </c>
      <c r="AG292" s="158">
        <f t="shared" si="55"/>
        <v>5327.00291029718</v>
      </c>
      <c r="AH292" s="175"/>
      <c r="AI292" s="175"/>
      <c r="AJ292" s="156" t="s">
        <v>47</v>
      </c>
      <c r="AK292" s="140" t="s">
        <v>47</v>
      </c>
      <c r="AM292" s="152"/>
    </row>
    <row r="293" s="140" customFormat="1" ht="15" hidden="1" customHeight="1" spans="1:37">
      <c r="A293" s="140">
        <v>2017</v>
      </c>
      <c r="B293" s="140" t="s">
        <v>38</v>
      </c>
      <c r="C293" s="140" t="s">
        <v>59</v>
      </c>
      <c r="D293" s="140" t="s">
        <v>210</v>
      </c>
      <c r="E293" s="140" t="s">
        <v>190</v>
      </c>
      <c r="F293" s="140" t="s">
        <v>507</v>
      </c>
      <c r="G293" s="140" t="s">
        <v>507</v>
      </c>
      <c r="H293" s="140" t="s">
        <v>507</v>
      </c>
      <c r="I293" s="140" t="s">
        <v>170</v>
      </c>
      <c r="J293" s="140" t="s">
        <v>171</v>
      </c>
      <c r="K293" s="140" t="s">
        <v>172</v>
      </c>
      <c r="L293" s="140" t="s">
        <v>507</v>
      </c>
      <c r="M293" s="140" t="s">
        <v>46</v>
      </c>
      <c r="N293" s="157">
        <v>0.04</v>
      </c>
      <c r="O293" s="156" t="s">
        <v>51</v>
      </c>
      <c r="P293" s="156"/>
      <c r="Q293" s="158">
        <v>0</v>
      </c>
      <c r="R293" s="158">
        <v>0</v>
      </c>
      <c r="S293" s="158">
        <v>6230000</v>
      </c>
      <c r="T293" s="158">
        <f t="shared" si="48"/>
        <v>249200</v>
      </c>
      <c r="U293" s="158">
        <f t="shared" si="52"/>
        <v>6479200</v>
      </c>
      <c r="V293" s="158">
        <v>6217703.1</v>
      </c>
      <c r="W293" s="158">
        <f t="shared" si="53"/>
        <v>261496.9</v>
      </c>
      <c r="X293" s="158">
        <f t="shared" si="49"/>
        <v>251439.326923077</v>
      </c>
      <c r="Y293" s="158">
        <f t="shared" si="54"/>
        <v>10057.5730769231</v>
      </c>
      <c r="Z293" s="158">
        <v>6435600.9</v>
      </c>
      <c r="AA293" s="158">
        <f t="shared" si="50"/>
        <v>-217897.800000001</v>
      </c>
      <c r="AB293" s="167">
        <f t="shared" ref="AB293:AB331" si="56">IF(O293="返货",Z293/(1+N293),IF(O293="返现",Z293,IF(O293="折扣",Z293*N293,IF(O293="无",Z293))))</f>
        <v>6188077.78846154</v>
      </c>
      <c r="AC293" s="168">
        <f t="shared" si="51"/>
        <v>247523.111538461</v>
      </c>
      <c r="AD293" s="158">
        <f>(Z293-Q293)*0.89807640489087</f>
        <v>5779661.31958445</v>
      </c>
      <c r="AE293" s="159">
        <v>0.112691732739812</v>
      </c>
      <c r="AF293" s="158">
        <f t="shared" si="46"/>
        <v>651320.04875324</v>
      </c>
      <c r="AG293" s="158">
        <v>328268.256913797</v>
      </c>
      <c r="AH293" s="175"/>
      <c r="AI293" s="175"/>
      <c r="AJ293" s="156" t="s">
        <v>186</v>
      </c>
      <c r="AK293" s="140" t="s">
        <v>186</v>
      </c>
    </row>
    <row r="294" s="140" customFormat="1" ht="15" hidden="1" customHeight="1" spans="1:39">
      <c r="A294" s="140">
        <v>2017</v>
      </c>
      <c r="B294" s="140" t="s">
        <v>38</v>
      </c>
      <c r="C294" s="140" t="s">
        <v>54</v>
      </c>
      <c r="D294" s="140" t="s">
        <v>102</v>
      </c>
      <c r="E294" s="140" t="s">
        <v>187</v>
      </c>
      <c r="F294" s="140" t="s">
        <v>392</v>
      </c>
      <c r="G294" s="140" t="s">
        <v>508</v>
      </c>
      <c r="H294" s="140" t="s">
        <v>508</v>
      </c>
      <c r="I294" s="152" t="s">
        <v>243</v>
      </c>
      <c r="J294" s="140" t="s">
        <v>244</v>
      </c>
      <c r="K294" s="140" t="s">
        <v>245</v>
      </c>
      <c r="L294" s="140" t="s">
        <v>392</v>
      </c>
      <c r="M294" s="140" t="s">
        <v>46</v>
      </c>
      <c r="N294" s="156">
        <v>0</v>
      </c>
      <c r="O294" s="156" t="s">
        <v>47</v>
      </c>
      <c r="P294" s="156"/>
      <c r="Q294" s="158">
        <v>0</v>
      </c>
      <c r="R294" s="158">
        <v>0</v>
      </c>
      <c r="S294" s="158">
        <v>520000</v>
      </c>
      <c r="T294" s="158">
        <f t="shared" si="48"/>
        <v>0</v>
      </c>
      <c r="U294" s="158">
        <f t="shared" si="52"/>
        <v>520000</v>
      </c>
      <c r="V294" s="158">
        <v>0</v>
      </c>
      <c r="W294" s="158">
        <f t="shared" si="53"/>
        <v>520000</v>
      </c>
      <c r="X294" s="158">
        <f t="shared" si="49"/>
        <v>520000</v>
      </c>
      <c r="Y294" s="158">
        <f t="shared" si="54"/>
        <v>0</v>
      </c>
      <c r="Z294" s="158">
        <v>0</v>
      </c>
      <c r="AA294" s="158">
        <f t="shared" si="50"/>
        <v>0</v>
      </c>
      <c r="AB294" s="167">
        <f t="shared" si="56"/>
        <v>0</v>
      </c>
      <c r="AC294" s="168">
        <f t="shared" si="51"/>
        <v>0</v>
      </c>
      <c r="AD294" s="158">
        <v>0</v>
      </c>
      <c r="AE294" s="159">
        <v>0.176470588235294</v>
      </c>
      <c r="AF294" s="158">
        <f t="shared" si="46"/>
        <v>0</v>
      </c>
      <c r="AG294" s="158">
        <f>AB294-Z294+AF294</f>
        <v>0</v>
      </c>
      <c r="AH294" s="175"/>
      <c r="AI294" s="175"/>
      <c r="AJ294" s="156" t="s">
        <v>47</v>
      </c>
      <c r="AK294" s="140" t="s">
        <v>47</v>
      </c>
      <c r="AM294" s="152"/>
    </row>
    <row r="295" s="140" customFormat="1" ht="15" hidden="1" customHeight="1" spans="1:37">
      <c r="A295" s="140">
        <v>2017</v>
      </c>
      <c r="B295" s="140" t="s">
        <v>38</v>
      </c>
      <c r="C295" s="140" t="s">
        <v>59</v>
      </c>
      <c r="D295" s="140" t="s">
        <v>106</v>
      </c>
      <c r="E295" s="140" t="s">
        <v>107</v>
      </c>
      <c r="F295" s="140" t="s">
        <v>108</v>
      </c>
      <c r="G295" s="140" t="s">
        <v>108</v>
      </c>
      <c r="H295" s="140" t="s">
        <v>108</v>
      </c>
      <c r="I295" s="140" t="s">
        <v>227</v>
      </c>
      <c r="J295" s="140" t="s">
        <v>228</v>
      </c>
      <c r="K295" s="140" t="s">
        <v>229</v>
      </c>
      <c r="L295" s="140" t="s">
        <v>109</v>
      </c>
      <c r="M295" s="158" t="s">
        <v>185</v>
      </c>
      <c r="N295" s="156">
        <v>0.0666668965517241</v>
      </c>
      <c r="O295" s="156" t="s">
        <v>51</v>
      </c>
      <c r="P295" s="156"/>
      <c r="Q295" s="158">
        <v>193632.38</v>
      </c>
      <c r="R295" s="158">
        <v>0</v>
      </c>
      <c r="S295" s="158">
        <v>1450000</v>
      </c>
      <c r="T295" s="158">
        <f t="shared" si="48"/>
        <v>96666.9999999999</v>
      </c>
      <c r="U295" s="158">
        <f t="shared" si="52"/>
        <v>1546667</v>
      </c>
      <c r="V295" s="158">
        <v>1546667</v>
      </c>
      <c r="W295" s="158">
        <f t="shared" si="53"/>
        <v>0</v>
      </c>
      <c r="X295" s="158">
        <f t="shared" si="49"/>
        <v>0</v>
      </c>
      <c r="Y295" s="158">
        <f t="shared" si="54"/>
        <v>0</v>
      </c>
      <c r="Z295" s="158">
        <v>1740299.38</v>
      </c>
      <c r="AA295" s="158">
        <f t="shared" si="50"/>
        <v>0</v>
      </c>
      <c r="AB295" s="167">
        <f t="shared" si="56"/>
        <v>1631530.31712709</v>
      </c>
      <c r="AC295" s="168">
        <f t="shared" si="51"/>
        <v>108769.062872913</v>
      </c>
      <c r="AD295" s="158">
        <v>1740299.38</v>
      </c>
      <c r="AE295" s="156">
        <v>0.09</v>
      </c>
      <c r="AF295" s="158">
        <f t="shared" si="46"/>
        <v>156626.9442</v>
      </c>
      <c r="AG295" s="158">
        <v>156626.9442</v>
      </c>
      <c r="AH295" s="158"/>
      <c r="AI295" s="158"/>
      <c r="AJ295" s="156" t="s">
        <v>509</v>
      </c>
      <c r="AK295" s="174" t="s">
        <v>509</v>
      </c>
    </row>
    <row r="296" s="140" customFormat="1" ht="15" hidden="1" customHeight="1" spans="1:39">
      <c r="A296" s="140">
        <v>2017</v>
      </c>
      <c r="B296" s="140" t="s">
        <v>38</v>
      </c>
      <c r="C296" s="140" t="s">
        <v>54</v>
      </c>
      <c r="D296" s="140" t="s">
        <v>102</v>
      </c>
      <c r="E296" s="140" t="s">
        <v>187</v>
      </c>
      <c r="F296" s="140" t="s">
        <v>385</v>
      </c>
      <c r="G296" s="140" t="s">
        <v>385</v>
      </c>
      <c r="H296" s="140" t="s">
        <v>385</v>
      </c>
      <c r="I296" s="152" t="s">
        <v>243</v>
      </c>
      <c r="J296" s="140" t="s">
        <v>244</v>
      </c>
      <c r="K296" s="140" t="s">
        <v>245</v>
      </c>
      <c r="L296" s="140" t="s">
        <v>386</v>
      </c>
      <c r="M296" s="140" t="s">
        <v>46</v>
      </c>
      <c r="N296" s="156">
        <v>0</v>
      </c>
      <c r="O296" s="156" t="s">
        <v>47</v>
      </c>
      <c r="P296" s="156"/>
      <c r="Q296" s="158">
        <v>0</v>
      </c>
      <c r="R296" s="158">
        <v>0</v>
      </c>
      <c r="S296" s="158">
        <v>179065</v>
      </c>
      <c r="T296" s="158">
        <f t="shared" si="48"/>
        <v>0</v>
      </c>
      <c r="U296" s="158">
        <f t="shared" si="52"/>
        <v>179065</v>
      </c>
      <c r="V296" s="158">
        <v>20000</v>
      </c>
      <c r="W296" s="158">
        <f t="shared" si="53"/>
        <v>159065</v>
      </c>
      <c r="X296" s="158">
        <f t="shared" si="49"/>
        <v>159065</v>
      </c>
      <c r="Y296" s="158">
        <f t="shared" si="54"/>
        <v>0</v>
      </c>
      <c r="Z296" s="158">
        <v>16653.5</v>
      </c>
      <c r="AA296" s="158">
        <f t="shared" si="50"/>
        <v>3346.5</v>
      </c>
      <c r="AB296" s="167">
        <f t="shared" si="56"/>
        <v>16653.5</v>
      </c>
      <c r="AC296" s="168">
        <f t="shared" si="51"/>
        <v>0</v>
      </c>
      <c r="AD296" s="158">
        <v>13960.0886635785</v>
      </c>
      <c r="AE296" s="159">
        <v>0.176470588235294</v>
      </c>
      <c r="AF296" s="158">
        <f t="shared" si="46"/>
        <v>2463.54505827856</v>
      </c>
      <c r="AG296" s="158">
        <f t="shared" ref="AG296:AG304" si="57">AB296-Z296+AF296</f>
        <v>2463.54505827856</v>
      </c>
      <c r="AH296" s="175"/>
      <c r="AI296" s="175"/>
      <c r="AJ296" s="156" t="s">
        <v>47</v>
      </c>
      <c r="AK296" s="140" t="s">
        <v>47</v>
      </c>
      <c r="AM296" s="152"/>
    </row>
    <row r="297" s="140" customFormat="1" ht="15" hidden="1" customHeight="1" spans="1:39">
      <c r="A297" s="140">
        <v>2017</v>
      </c>
      <c r="B297" s="140" t="s">
        <v>38</v>
      </c>
      <c r="C297" s="140" t="s">
        <v>54</v>
      </c>
      <c r="D297" s="140" t="s">
        <v>102</v>
      </c>
      <c r="E297" s="140" t="s">
        <v>187</v>
      </c>
      <c r="F297" s="140" t="s">
        <v>510</v>
      </c>
      <c r="G297" s="140" t="s">
        <v>510</v>
      </c>
      <c r="H297" s="140" t="s">
        <v>510</v>
      </c>
      <c r="I297" s="152" t="s">
        <v>243</v>
      </c>
      <c r="J297" s="140" t="s">
        <v>244</v>
      </c>
      <c r="K297" s="140" t="s">
        <v>245</v>
      </c>
      <c r="L297" s="140" t="s">
        <v>511</v>
      </c>
      <c r="M297" s="140" t="s">
        <v>46</v>
      </c>
      <c r="N297" s="157">
        <v>0.02</v>
      </c>
      <c r="O297" s="156" t="s">
        <v>495</v>
      </c>
      <c r="P297" s="156"/>
      <c r="Q297" s="158">
        <v>0</v>
      </c>
      <c r="R297" s="158">
        <v>0</v>
      </c>
      <c r="S297" s="158">
        <v>2756.74</v>
      </c>
      <c r="T297" s="158">
        <f t="shared" si="48"/>
        <v>55.1348</v>
      </c>
      <c r="U297" s="158">
        <f t="shared" si="52"/>
        <v>2811.8748</v>
      </c>
      <c r="V297" s="158">
        <v>2814</v>
      </c>
      <c r="W297" s="158">
        <f t="shared" si="53"/>
        <v>-2.1252000000004</v>
      </c>
      <c r="X297" s="158">
        <f t="shared" si="49"/>
        <v>-2.0835294117651</v>
      </c>
      <c r="Y297" s="158">
        <f t="shared" si="54"/>
        <v>-0.0416705882353021</v>
      </c>
      <c r="Z297" s="158">
        <v>2813</v>
      </c>
      <c r="AA297" s="158">
        <f t="shared" si="50"/>
        <v>1</v>
      </c>
      <c r="AB297" s="167">
        <f t="shared" si="56"/>
        <v>2813</v>
      </c>
      <c r="AC297" s="168">
        <f t="shared" si="51"/>
        <v>56.26</v>
      </c>
      <c r="AD297" s="158">
        <v>2358.04662146974</v>
      </c>
      <c r="AE297" s="159">
        <v>0.176470588235294</v>
      </c>
      <c r="AF297" s="158">
        <f t="shared" si="46"/>
        <v>416.125874377013</v>
      </c>
      <c r="AG297" s="158">
        <f t="shared" si="57"/>
        <v>416.125874377013</v>
      </c>
      <c r="AH297" s="175"/>
      <c r="AI297" s="175"/>
      <c r="AJ297" s="157">
        <v>0.02</v>
      </c>
      <c r="AK297" s="177">
        <v>0.02</v>
      </c>
      <c r="AM297" s="152"/>
    </row>
    <row r="298" s="140" customFormat="1" ht="15" hidden="1" customHeight="1" spans="1:39">
      <c r="A298" s="140">
        <v>2017</v>
      </c>
      <c r="B298" s="140" t="s">
        <v>38</v>
      </c>
      <c r="C298" s="140" t="s">
        <v>54</v>
      </c>
      <c r="D298" s="140" t="s">
        <v>102</v>
      </c>
      <c r="E298" s="140" t="s">
        <v>187</v>
      </c>
      <c r="F298" s="140" t="s">
        <v>512</v>
      </c>
      <c r="G298" s="140" t="s">
        <v>512</v>
      </c>
      <c r="H298" s="140" t="s">
        <v>512</v>
      </c>
      <c r="I298" s="152" t="s">
        <v>243</v>
      </c>
      <c r="J298" s="140" t="s">
        <v>244</v>
      </c>
      <c r="K298" s="140" t="s">
        <v>245</v>
      </c>
      <c r="L298" s="140" t="s">
        <v>512</v>
      </c>
      <c r="M298" s="140" t="s">
        <v>46</v>
      </c>
      <c r="N298" s="156">
        <v>0</v>
      </c>
      <c r="O298" s="156" t="s">
        <v>47</v>
      </c>
      <c r="P298" s="156"/>
      <c r="Q298" s="158">
        <v>0</v>
      </c>
      <c r="R298" s="158">
        <v>0</v>
      </c>
      <c r="S298" s="158">
        <v>200000</v>
      </c>
      <c r="T298" s="158">
        <f t="shared" si="48"/>
        <v>0</v>
      </c>
      <c r="U298" s="158">
        <f t="shared" si="52"/>
        <v>200000</v>
      </c>
      <c r="V298" s="158">
        <v>197000</v>
      </c>
      <c r="W298" s="158">
        <f t="shared" si="53"/>
        <v>3000</v>
      </c>
      <c r="X298" s="158">
        <f t="shared" si="49"/>
        <v>3000</v>
      </c>
      <c r="Y298" s="158">
        <f t="shared" si="54"/>
        <v>0</v>
      </c>
      <c r="Z298" s="158">
        <v>176628.2</v>
      </c>
      <c r="AA298" s="158">
        <f t="shared" si="50"/>
        <v>20371.8</v>
      </c>
      <c r="AB298" s="167">
        <f t="shared" si="56"/>
        <v>176628.2</v>
      </c>
      <c r="AC298" s="168">
        <f t="shared" si="51"/>
        <v>0</v>
      </c>
      <c r="AD298" s="158">
        <v>148061.688683357</v>
      </c>
      <c r="AE298" s="159">
        <v>0.176470588235294</v>
      </c>
      <c r="AF298" s="158">
        <f t="shared" si="46"/>
        <v>26128.533297063</v>
      </c>
      <c r="AG298" s="158">
        <f t="shared" si="57"/>
        <v>26128.533297063</v>
      </c>
      <c r="AH298" s="175"/>
      <c r="AI298" s="175"/>
      <c r="AJ298" s="156" t="s">
        <v>47</v>
      </c>
      <c r="AK298" s="140" t="s">
        <v>47</v>
      </c>
      <c r="AM298" s="152"/>
    </row>
    <row r="299" s="140" customFormat="1" ht="15" hidden="1" customHeight="1" spans="1:39">
      <c r="A299" s="140">
        <v>2017</v>
      </c>
      <c r="B299" s="140" t="s">
        <v>38</v>
      </c>
      <c r="C299" s="140" t="s">
        <v>54</v>
      </c>
      <c r="D299" s="140" t="s">
        <v>102</v>
      </c>
      <c r="E299" s="140" t="s">
        <v>103</v>
      </c>
      <c r="F299" s="140" t="s">
        <v>513</v>
      </c>
      <c r="G299" s="140" t="s">
        <v>513</v>
      </c>
      <c r="H299" s="140" t="s">
        <v>513</v>
      </c>
      <c r="I299" s="152" t="s">
        <v>243</v>
      </c>
      <c r="J299" s="140" t="s">
        <v>244</v>
      </c>
      <c r="K299" s="140" t="s">
        <v>245</v>
      </c>
      <c r="L299" s="140" t="s">
        <v>513</v>
      </c>
      <c r="M299" s="140" t="s">
        <v>46</v>
      </c>
      <c r="N299" s="156">
        <v>0</v>
      </c>
      <c r="O299" s="156" t="s">
        <v>47</v>
      </c>
      <c r="P299" s="156"/>
      <c r="Q299" s="158">
        <v>0</v>
      </c>
      <c r="R299" s="158">
        <v>0</v>
      </c>
      <c r="S299" s="158">
        <v>480000</v>
      </c>
      <c r="T299" s="158">
        <f t="shared" si="48"/>
        <v>0</v>
      </c>
      <c r="U299" s="158">
        <f t="shared" si="52"/>
        <v>480000</v>
      </c>
      <c r="V299" s="158">
        <v>540626</v>
      </c>
      <c r="W299" s="158">
        <f t="shared" si="53"/>
        <v>-60626</v>
      </c>
      <c r="X299" s="158">
        <f t="shared" si="49"/>
        <v>-60626</v>
      </c>
      <c r="Y299" s="158">
        <f t="shared" si="54"/>
        <v>0</v>
      </c>
      <c r="Z299" s="158">
        <v>523634.25</v>
      </c>
      <c r="AA299" s="158">
        <f t="shared" si="50"/>
        <v>16991.75</v>
      </c>
      <c r="AB299" s="167">
        <f t="shared" si="56"/>
        <v>523634.25</v>
      </c>
      <c r="AC299" s="168">
        <f t="shared" si="51"/>
        <v>0</v>
      </c>
      <c r="AD299" s="158">
        <v>438945.600461551</v>
      </c>
      <c r="AE299" s="159">
        <v>0.176470588235294</v>
      </c>
      <c r="AF299" s="158">
        <f t="shared" si="46"/>
        <v>77460.9883167442</v>
      </c>
      <c r="AG299" s="158">
        <f t="shared" si="57"/>
        <v>77460.9883167442</v>
      </c>
      <c r="AH299" s="175"/>
      <c r="AI299" s="175"/>
      <c r="AJ299" s="156" t="s">
        <v>47</v>
      </c>
      <c r="AK299" s="140" t="s">
        <v>47</v>
      </c>
      <c r="AM299" s="152"/>
    </row>
    <row r="300" s="140" customFormat="1" ht="15" hidden="1" customHeight="1" spans="1:39">
      <c r="A300" s="140">
        <v>2017</v>
      </c>
      <c r="B300" s="140" t="s">
        <v>199</v>
      </c>
      <c r="C300" s="140" t="s">
        <v>54</v>
      </c>
      <c r="D300" s="140" t="s">
        <v>102</v>
      </c>
      <c r="E300" s="140" t="s">
        <v>103</v>
      </c>
      <c r="F300" s="140" t="s">
        <v>514</v>
      </c>
      <c r="G300" s="140" t="s">
        <v>515</v>
      </c>
      <c r="H300" s="140" t="s">
        <v>516</v>
      </c>
      <c r="I300" s="152" t="s">
        <v>243</v>
      </c>
      <c r="J300" s="140" t="s">
        <v>244</v>
      </c>
      <c r="K300" s="140" t="s">
        <v>245</v>
      </c>
      <c r="L300" s="140" t="s">
        <v>514</v>
      </c>
      <c r="M300" s="140" t="s">
        <v>46</v>
      </c>
      <c r="N300" s="156">
        <v>0</v>
      </c>
      <c r="O300" s="156" t="s">
        <v>47</v>
      </c>
      <c r="P300" s="156"/>
      <c r="Q300" s="158">
        <v>0</v>
      </c>
      <c r="R300" s="158">
        <v>0</v>
      </c>
      <c r="S300" s="158">
        <v>20000</v>
      </c>
      <c r="T300" s="158">
        <f t="shared" si="48"/>
        <v>0</v>
      </c>
      <c r="U300" s="158">
        <f t="shared" si="52"/>
        <v>20000</v>
      </c>
      <c r="V300" s="158">
        <v>20000</v>
      </c>
      <c r="W300" s="158">
        <f t="shared" si="53"/>
        <v>0</v>
      </c>
      <c r="X300" s="158">
        <f t="shared" si="49"/>
        <v>0</v>
      </c>
      <c r="Y300" s="158">
        <f t="shared" si="54"/>
        <v>0</v>
      </c>
      <c r="Z300" s="158">
        <v>18</v>
      </c>
      <c r="AA300" s="158">
        <f t="shared" si="50"/>
        <v>19982</v>
      </c>
      <c r="AB300" s="167">
        <f t="shared" si="56"/>
        <v>18</v>
      </c>
      <c r="AC300" s="168">
        <f t="shared" si="51"/>
        <v>0</v>
      </c>
      <c r="AD300" s="158">
        <v>15.0888159212426</v>
      </c>
      <c r="AE300" s="159">
        <v>0.176470588235294</v>
      </c>
      <c r="AF300" s="158">
        <f t="shared" si="46"/>
        <v>2.66273222139575</v>
      </c>
      <c r="AG300" s="158">
        <f t="shared" si="57"/>
        <v>2.66273222139575</v>
      </c>
      <c r="AH300" s="175"/>
      <c r="AI300" s="175"/>
      <c r="AJ300" s="156" t="s">
        <v>47</v>
      </c>
      <c r="AK300" s="140" t="s">
        <v>47</v>
      </c>
      <c r="AM300" s="152"/>
    </row>
    <row r="301" s="140" customFormat="1" ht="15" hidden="1" customHeight="1" spans="1:39">
      <c r="A301" s="140">
        <v>2017</v>
      </c>
      <c r="B301" s="140" t="s">
        <v>199</v>
      </c>
      <c r="C301" s="140" t="s">
        <v>54</v>
      </c>
      <c r="D301" s="140" t="s">
        <v>102</v>
      </c>
      <c r="E301" s="140" t="s">
        <v>103</v>
      </c>
      <c r="F301" s="140" t="s">
        <v>389</v>
      </c>
      <c r="G301" s="140" t="s">
        <v>390</v>
      </c>
      <c r="H301" s="140" t="s">
        <v>391</v>
      </c>
      <c r="I301" s="152" t="s">
        <v>243</v>
      </c>
      <c r="J301" s="140" t="s">
        <v>244</v>
      </c>
      <c r="K301" s="140" t="s">
        <v>245</v>
      </c>
      <c r="L301" s="140" t="s">
        <v>392</v>
      </c>
      <c r="M301" s="140" t="s">
        <v>46</v>
      </c>
      <c r="N301" s="156">
        <v>0</v>
      </c>
      <c r="O301" s="156" t="s">
        <v>47</v>
      </c>
      <c r="P301" s="156"/>
      <c r="Q301" s="158">
        <v>0</v>
      </c>
      <c r="R301" s="158">
        <v>0</v>
      </c>
      <c r="S301" s="158">
        <v>618837.5</v>
      </c>
      <c r="T301" s="158">
        <f t="shared" si="48"/>
        <v>0</v>
      </c>
      <c r="U301" s="158">
        <f t="shared" si="52"/>
        <v>618837.5</v>
      </c>
      <c r="V301" s="158">
        <v>420000</v>
      </c>
      <c r="W301" s="158">
        <f t="shared" si="53"/>
        <v>198837.5</v>
      </c>
      <c r="X301" s="158">
        <f t="shared" si="49"/>
        <v>198837.5</v>
      </c>
      <c r="Y301" s="158">
        <f t="shared" si="54"/>
        <v>0</v>
      </c>
      <c r="Z301" s="158">
        <v>475496.5</v>
      </c>
      <c r="AA301" s="158">
        <f t="shared" si="50"/>
        <v>-55496.5</v>
      </c>
      <c r="AB301" s="167">
        <f t="shared" si="56"/>
        <v>475496.5</v>
      </c>
      <c r="AC301" s="168">
        <f t="shared" si="51"/>
        <v>0</v>
      </c>
      <c r="AD301" s="158">
        <v>398593.286649729</v>
      </c>
      <c r="AE301" s="159">
        <v>0.176470588235294</v>
      </c>
      <c r="AF301" s="158">
        <f t="shared" si="46"/>
        <v>70339.9917617168</v>
      </c>
      <c r="AG301" s="158">
        <f t="shared" si="57"/>
        <v>70339.9917617168</v>
      </c>
      <c r="AH301" s="175"/>
      <c r="AI301" s="175"/>
      <c r="AJ301" s="156" t="s">
        <v>47</v>
      </c>
      <c r="AK301" s="140" t="s">
        <v>47</v>
      </c>
      <c r="AM301" s="152"/>
    </row>
    <row r="302" s="140" customFormat="1" ht="15" hidden="1" customHeight="1" spans="1:39">
      <c r="A302" s="140">
        <v>2017</v>
      </c>
      <c r="B302" s="140" t="s">
        <v>38</v>
      </c>
      <c r="C302" s="140" t="s">
        <v>54</v>
      </c>
      <c r="D302" s="140" t="s">
        <v>102</v>
      </c>
      <c r="E302" s="140" t="s">
        <v>103</v>
      </c>
      <c r="F302" s="140" t="s">
        <v>393</v>
      </c>
      <c r="G302" s="140" t="s">
        <v>393</v>
      </c>
      <c r="H302" s="140" t="s">
        <v>393</v>
      </c>
      <c r="I302" s="152" t="s">
        <v>243</v>
      </c>
      <c r="J302" s="140" t="s">
        <v>244</v>
      </c>
      <c r="K302" s="140" t="s">
        <v>245</v>
      </c>
      <c r="L302" s="140" t="s">
        <v>394</v>
      </c>
      <c r="M302" s="140" t="s">
        <v>46</v>
      </c>
      <c r="N302" s="156">
        <v>0</v>
      </c>
      <c r="O302" s="156" t="s">
        <v>47</v>
      </c>
      <c r="P302" s="156"/>
      <c r="Q302" s="158">
        <v>0</v>
      </c>
      <c r="R302" s="158">
        <v>0</v>
      </c>
      <c r="S302" s="158">
        <v>712010</v>
      </c>
      <c r="T302" s="158">
        <f t="shared" si="48"/>
        <v>0</v>
      </c>
      <c r="U302" s="158">
        <f t="shared" si="52"/>
        <v>712010</v>
      </c>
      <c r="V302" s="158">
        <v>678580</v>
      </c>
      <c r="W302" s="158">
        <f t="shared" si="53"/>
        <v>33430</v>
      </c>
      <c r="X302" s="158">
        <f t="shared" si="49"/>
        <v>33430</v>
      </c>
      <c r="Y302" s="158">
        <f t="shared" si="54"/>
        <v>0</v>
      </c>
      <c r="Z302" s="158">
        <v>636927.02</v>
      </c>
      <c r="AA302" s="158">
        <f t="shared" si="50"/>
        <v>41652.98</v>
      </c>
      <c r="AB302" s="167">
        <f t="shared" si="56"/>
        <v>636927.02</v>
      </c>
      <c r="AC302" s="168">
        <f t="shared" si="51"/>
        <v>0</v>
      </c>
      <c r="AD302" s="158">
        <v>533915.253335866</v>
      </c>
      <c r="AE302" s="159">
        <v>0.176470588235294</v>
      </c>
      <c r="AF302" s="158">
        <f t="shared" si="46"/>
        <v>94220.3388239763</v>
      </c>
      <c r="AG302" s="158">
        <f t="shared" si="57"/>
        <v>94220.3388239763</v>
      </c>
      <c r="AH302" s="175"/>
      <c r="AI302" s="175"/>
      <c r="AJ302" s="156" t="s">
        <v>47</v>
      </c>
      <c r="AK302" s="140" t="s">
        <v>47</v>
      </c>
      <c r="AM302" s="152"/>
    </row>
    <row r="303" s="140" customFormat="1" ht="15" hidden="1" customHeight="1" spans="1:39">
      <c r="A303" s="140">
        <v>2017</v>
      </c>
      <c r="B303" s="140" t="s">
        <v>38</v>
      </c>
      <c r="C303" s="140" t="s">
        <v>54</v>
      </c>
      <c r="D303" s="140" t="s">
        <v>102</v>
      </c>
      <c r="E303" s="140" t="s">
        <v>103</v>
      </c>
      <c r="F303" s="140" t="s">
        <v>395</v>
      </c>
      <c r="G303" s="140" t="s">
        <v>395</v>
      </c>
      <c r="H303" s="140" t="s">
        <v>395</v>
      </c>
      <c r="I303" s="152" t="s">
        <v>243</v>
      </c>
      <c r="J303" s="140" t="s">
        <v>244</v>
      </c>
      <c r="K303" s="140" t="s">
        <v>245</v>
      </c>
      <c r="L303" s="140" t="s">
        <v>395</v>
      </c>
      <c r="M303" s="140" t="s">
        <v>46</v>
      </c>
      <c r="N303" s="156">
        <v>0</v>
      </c>
      <c r="O303" s="156" t="s">
        <v>47</v>
      </c>
      <c r="P303" s="156"/>
      <c r="Q303" s="158">
        <v>0</v>
      </c>
      <c r="R303" s="158">
        <v>0</v>
      </c>
      <c r="S303" s="158">
        <v>300000</v>
      </c>
      <c r="T303" s="158">
        <f t="shared" si="48"/>
        <v>0</v>
      </c>
      <c r="U303" s="158">
        <f t="shared" si="52"/>
        <v>300000</v>
      </c>
      <c r="V303" s="158">
        <v>362500</v>
      </c>
      <c r="W303" s="158">
        <f t="shared" si="53"/>
        <v>-62500</v>
      </c>
      <c r="X303" s="158">
        <f t="shared" si="49"/>
        <v>-62500</v>
      </c>
      <c r="Y303" s="158">
        <f t="shared" si="54"/>
        <v>0</v>
      </c>
      <c r="Z303" s="158">
        <v>256002.78</v>
      </c>
      <c r="AA303" s="158">
        <f t="shared" si="50"/>
        <v>106497.22</v>
      </c>
      <c r="AB303" s="167">
        <f t="shared" si="56"/>
        <v>256002.78</v>
      </c>
      <c r="AC303" s="168">
        <f t="shared" si="51"/>
        <v>0</v>
      </c>
      <c r="AD303" s="158">
        <v>214598.823485909</v>
      </c>
      <c r="AE303" s="159">
        <v>0.176470588235294</v>
      </c>
      <c r="AF303" s="158">
        <f t="shared" ref="AF303:AF366" si="58">AD303*AE303</f>
        <v>37870.3806151604</v>
      </c>
      <c r="AG303" s="158">
        <f t="shared" si="57"/>
        <v>37870.3806151604</v>
      </c>
      <c r="AH303" s="175"/>
      <c r="AI303" s="175"/>
      <c r="AJ303" s="156" t="s">
        <v>47</v>
      </c>
      <c r="AK303" s="140" t="s">
        <v>47</v>
      </c>
      <c r="AM303" s="152"/>
    </row>
    <row r="304" s="140" customFormat="1" ht="15" hidden="1" customHeight="1" spans="1:39">
      <c r="A304" s="140">
        <v>2017</v>
      </c>
      <c r="B304" s="140" t="s">
        <v>38</v>
      </c>
      <c r="C304" s="140" t="s">
        <v>54</v>
      </c>
      <c r="D304" s="140" t="s">
        <v>102</v>
      </c>
      <c r="E304" s="140" t="s">
        <v>103</v>
      </c>
      <c r="F304" s="140" t="s">
        <v>517</v>
      </c>
      <c r="G304" s="140" t="s">
        <v>517</v>
      </c>
      <c r="H304" s="140" t="s">
        <v>517</v>
      </c>
      <c r="I304" s="152" t="s">
        <v>243</v>
      </c>
      <c r="J304" s="140" t="s">
        <v>244</v>
      </c>
      <c r="K304" s="140" t="s">
        <v>245</v>
      </c>
      <c r="L304" s="140" t="s">
        <v>517</v>
      </c>
      <c r="M304" s="140" t="s">
        <v>46</v>
      </c>
      <c r="N304" s="156">
        <v>0</v>
      </c>
      <c r="O304" s="156" t="s">
        <v>47</v>
      </c>
      <c r="P304" s="156"/>
      <c r="Q304" s="158">
        <v>0</v>
      </c>
      <c r="R304" s="158">
        <v>0</v>
      </c>
      <c r="S304" s="158">
        <v>710000</v>
      </c>
      <c r="T304" s="158">
        <f t="shared" si="48"/>
        <v>0</v>
      </c>
      <c r="U304" s="158">
        <f t="shared" si="52"/>
        <v>710000</v>
      </c>
      <c r="V304" s="158">
        <v>534000</v>
      </c>
      <c r="W304" s="158">
        <f t="shared" si="53"/>
        <v>176000</v>
      </c>
      <c r="X304" s="158">
        <f t="shared" si="49"/>
        <v>176000</v>
      </c>
      <c r="Y304" s="158">
        <f t="shared" si="54"/>
        <v>0</v>
      </c>
      <c r="Z304" s="158">
        <v>571542.06</v>
      </c>
      <c r="AA304" s="158">
        <f t="shared" si="50"/>
        <v>-37542.0600000001</v>
      </c>
      <c r="AB304" s="167">
        <f t="shared" si="56"/>
        <v>571542.06</v>
      </c>
      <c r="AC304" s="168">
        <f t="shared" si="51"/>
        <v>0</v>
      </c>
      <c r="AD304" s="158">
        <v>479105.163032654</v>
      </c>
      <c r="AE304" s="159">
        <v>0.176470588235294</v>
      </c>
      <c r="AF304" s="158">
        <f t="shared" si="58"/>
        <v>84547.9699469389</v>
      </c>
      <c r="AG304" s="158">
        <f t="shared" si="57"/>
        <v>84547.9699469389</v>
      </c>
      <c r="AH304" s="175"/>
      <c r="AI304" s="175"/>
      <c r="AJ304" s="156" t="s">
        <v>47</v>
      </c>
      <c r="AK304" s="140" t="s">
        <v>47</v>
      </c>
      <c r="AM304" s="152"/>
    </row>
    <row r="305" s="140" customFormat="1" ht="15" hidden="1" customHeight="1" spans="1:39">
      <c r="A305" s="140">
        <v>2017</v>
      </c>
      <c r="B305" s="140" t="s">
        <v>252</v>
      </c>
      <c r="C305" s="140" t="s">
        <v>75</v>
      </c>
      <c r="D305" s="140" t="s">
        <v>518</v>
      </c>
      <c r="F305" s="152" t="s">
        <v>519</v>
      </c>
      <c r="G305" s="152" t="s">
        <v>520</v>
      </c>
      <c r="H305" s="152" t="s">
        <v>521</v>
      </c>
      <c r="I305" s="152" t="s">
        <v>204</v>
      </c>
      <c r="J305" s="140" t="s">
        <v>205</v>
      </c>
      <c r="K305" s="140" t="s">
        <v>206</v>
      </c>
      <c r="L305" s="140" t="s">
        <v>519</v>
      </c>
      <c r="M305" s="140" t="s">
        <v>185</v>
      </c>
      <c r="N305" s="156">
        <v>0.08</v>
      </c>
      <c r="O305" s="156" t="s">
        <v>51</v>
      </c>
      <c r="P305" s="156"/>
      <c r="Q305" s="158">
        <v>0</v>
      </c>
      <c r="R305" s="158">
        <v>0</v>
      </c>
      <c r="S305" s="158"/>
      <c r="T305" s="158">
        <f t="shared" si="48"/>
        <v>0</v>
      </c>
      <c r="U305" s="158">
        <f t="shared" si="52"/>
        <v>0</v>
      </c>
      <c r="V305" s="158">
        <v>0</v>
      </c>
      <c r="W305" s="158">
        <f t="shared" si="53"/>
        <v>0</v>
      </c>
      <c r="X305" s="158">
        <f t="shared" si="49"/>
        <v>0</v>
      </c>
      <c r="Y305" s="158">
        <f t="shared" si="54"/>
        <v>0</v>
      </c>
      <c r="Z305" s="158">
        <v>191616.96</v>
      </c>
      <c r="AA305" s="158">
        <f t="shared" si="50"/>
        <v>-191616.96</v>
      </c>
      <c r="AB305" s="167">
        <f t="shared" si="56"/>
        <v>177423.111111111</v>
      </c>
      <c r="AC305" s="168">
        <f t="shared" si="51"/>
        <v>14193.8488888889</v>
      </c>
      <c r="AD305" s="158">
        <v>191616.96</v>
      </c>
      <c r="AE305" s="159">
        <v>0.2</v>
      </c>
      <c r="AF305" s="158">
        <f t="shared" si="58"/>
        <v>38323.392</v>
      </c>
      <c r="AG305" s="158">
        <v>38323.392</v>
      </c>
      <c r="AH305" s="175"/>
      <c r="AI305" s="175"/>
      <c r="AJ305" s="156" t="s">
        <v>53</v>
      </c>
      <c r="AM305" s="152" t="s">
        <v>208</v>
      </c>
    </row>
    <row r="306" s="140" customFormat="1" ht="15" hidden="1" customHeight="1" spans="1:39">
      <c r="A306" s="140">
        <v>2017</v>
      </c>
      <c r="B306" s="140" t="s">
        <v>38</v>
      </c>
      <c r="C306" s="140" t="s">
        <v>54</v>
      </c>
      <c r="D306" s="140" t="s">
        <v>396</v>
      </c>
      <c r="E306" s="140" t="s">
        <v>370</v>
      </c>
      <c r="F306" s="140" t="s">
        <v>242</v>
      </c>
      <c r="G306" s="140" t="s">
        <v>242</v>
      </c>
      <c r="H306" s="140" t="s">
        <v>242</v>
      </c>
      <c r="I306" s="152" t="s">
        <v>243</v>
      </c>
      <c r="J306" s="140" t="s">
        <v>244</v>
      </c>
      <c r="K306" s="140" t="s">
        <v>245</v>
      </c>
      <c r="L306" s="140" t="s">
        <v>242</v>
      </c>
      <c r="M306" s="140" t="s">
        <v>46</v>
      </c>
      <c r="N306" s="156">
        <v>0.05</v>
      </c>
      <c r="O306" s="156" t="s">
        <v>51</v>
      </c>
      <c r="P306" s="156"/>
      <c r="Q306" s="158">
        <v>0</v>
      </c>
      <c r="R306" s="158">
        <v>0</v>
      </c>
      <c r="S306" s="158">
        <v>1275000</v>
      </c>
      <c r="T306" s="158">
        <f t="shared" si="48"/>
        <v>63750</v>
      </c>
      <c r="U306" s="158">
        <f t="shared" si="52"/>
        <v>1338750</v>
      </c>
      <c r="V306" s="158">
        <v>205000</v>
      </c>
      <c r="W306" s="158">
        <f t="shared" si="53"/>
        <v>1133750</v>
      </c>
      <c r="X306" s="158">
        <f t="shared" si="49"/>
        <v>1079761.9047619</v>
      </c>
      <c r="Y306" s="158">
        <f t="shared" si="54"/>
        <v>53988.0952380954</v>
      </c>
      <c r="Z306" s="158">
        <v>188828</v>
      </c>
      <c r="AA306" s="158">
        <f t="shared" si="50"/>
        <v>16172</v>
      </c>
      <c r="AB306" s="167">
        <f t="shared" si="56"/>
        <v>179836.19047619</v>
      </c>
      <c r="AC306" s="168">
        <f t="shared" si="51"/>
        <v>8991.80952380953</v>
      </c>
      <c r="AD306" s="158">
        <v>0</v>
      </c>
      <c r="AE306" s="159">
        <v>0.176470588235294</v>
      </c>
      <c r="AF306" s="158">
        <f t="shared" si="58"/>
        <v>0</v>
      </c>
      <c r="AG306" s="158">
        <f t="shared" ref="AG306:AG324" si="59">AB306-Z306+AF306</f>
        <v>-8991.80952380953</v>
      </c>
      <c r="AH306" s="175"/>
      <c r="AI306" s="175"/>
      <c r="AJ306" s="156" t="s">
        <v>63</v>
      </c>
      <c r="AK306" s="140" t="s">
        <v>63</v>
      </c>
      <c r="AM306" s="152"/>
    </row>
    <row r="307" s="140" customFormat="1" ht="15" hidden="1" customHeight="1" spans="1:39">
      <c r="A307" s="140">
        <v>2017</v>
      </c>
      <c r="B307" s="140" t="s">
        <v>38</v>
      </c>
      <c r="C307" s="140" t="s">
        <v>54</v>
      </c>
      <c r="D307" s="140" t="s">
        <v>396</v>
      </c>
      <c r="E307" s="140" t="s">
        <v>64</v>
      </c>
      <c r="F307" s="140" t="s">
        <v>397</v>
      </c>
      <c r="G307" s="140" t="s">
        <v>397</v>
      </c>
      <c r="H307" s="140" t="s">
        <v>397</v>
      </c>
      <c r="I307" s="152" t="s">
        <v>243</v>
      </c>
      <c r="J307" s="140" t="s">
        <v>244</v>
      </c>
      <c r="K307" s="140" t="s">
        <v>245</v>
      </c>
      <c r="L307" s="140" t="s">
        <v>398</v>
      </c>
      <c r="M307" s="140" t="s">
        <v>46</v>
      </c>
      <c r="N307" s="156">
        <v>0</v>
      </c>
      <c r="O307" s="156" t="s">
        <v>47</v>
      </c>
      <c r="P307" s="156"/>
      <c r="Q307" s="158">
        <v>0</v>
      </c>
      <c r="R307" s="158">
        <v>0</v>
      </c>
      <c r="S307" s="158">
        <v>20000</v>
      </c>
      <c r="T307" s="158">
        <f t="shared" si="48"/>
        <v>0</v>
      </c>
      <c r="U307" s="158">
        <f t="shared" si="52"/>
        <v>20000</v>
      </c>
      <c r="V307" s="158">
        <v>33042.5</v>
      </c>
      <c r="W307" s="158">
        <f t="shared" si="53"/>
        <v>-13042.5</v>
      </c>
      <c r="X307" s="158">
        <f t="shared" si="49"/>
        <v>-13042.5</v>
      </c>
      <c r="Y307" s="158">
        <f t="shared" si="54"/>
        <v>0</v>
      </c>
      <c r="Z307" s="158">
        <v>20020.5</v>
      </c>
      <c r="AA307" s="158">
        <f t="shared" si="50"/>
        <v>13022</v>
      </c>
      <c r="AB307" s="167">
        <f t="shared" si="56"/>
        <v>20020.5</v>
      </c>
      <c r="AC307" s="168">
        <f t="shared" si="51"/>
        <v>0</v>
      </c>
      <c r="AD307" s="158">
        <v>16782.5355084021</v>
      </c>
      <c r="AE307" s="159">
        <v>0.176470588235294</v>
      </c>
      <c r="AF307" s="158">
        <f t="shared" si="58"/>
        <v>2961.62391324743</v>
      </c>
      <c r="AG307" s="158">
        <f t="shared" si="59"/>
        <v>2961.62391324743</v>
      </c>
      <c r="AH307" s="175"/>
      <c r="AI307" s="175"/>
      <c r="AJ307" s="156" t="s">
        <v>47</v>
      </c>
      <c r="AK307" s="140" t="s">
        <v>47</v>
      </c>
      <c r="AM307" s="152"/>
    </row>
    <row r="308" s="140" customFormat="1" ht="15" hidden="1" customHeight="1" spans="1:39">
      <c r="A308" s="140">
        <v>2017</v>
      </c>
      <c r="B308" s="140" t="s">
        <v>38</v>
      </c>
      <c r="C308" s="140" t="s">
        <v>88</v>
      </c>
      <c r="D308" s="140" t="s">
        <v>128</v>
      </c>
      <c r="E308" s="140" t="s">
        <v>124</v>
      </c>
      <c r="F308" s="140" t="s">
        <v>169</v>
      </c>
      <c r="G308" s="140" t="s">
        <v>169</v>
      </c>
      <c r="H308" s="140" t="s">
        <v>169</v>
      </c>
      <c r="I308" s="152" t="s">
        <v>243</v>
      </c>
      <c r="J308" s="140" t="s">
        <v>244</v>
      </c>
      <c r="K308" s="140" t="s">
        <v>245</v>
      </c>
      <c r="L308" s="140" t="s">
        <v>169</v>
      </c>
      <c r="M308" s="140" t="s">
        <v>160</v>
      </c>
      <c r="N308" s="157">
        <v>0</v>
      </c>
      <c r="O308" s="156" t="s">
        <v>47</v>
      </c>
      <c r="P308" s="156" t="s">
        <v>179</v>
      </c>
      <c r="Q308" s="158">
        <v>0</v>
      </c>
      <c r="R308" s="158">
        <v>0</v>
      </c>
      <c r="S308" s="158">
        <v>28800</v>
      </c>
      <c r="T308" s="158">
        <f t="shared" si="48"/>
        <v>0</v>
      </c>
      <c r="U308" s="158">
        <f t="shared" si="52"/>
        <v>28800</v>
      </c>
      <c r="V308" s="158">
        <v>0</v>
      </c>
      <c r="W308" s="158">
        <f t="shared" si="53"/>
        <v>28800</v>
      </c>
      <c r="X308" s="158">
        <f t="shared" si="49"/>
        <v>28800</v>
      </c>
      <c r="Y308" s="158">
        <f t="shared" si="54"/>
        <v>0</v>
      </c>
      <c r="Z308" s="158">
        <f t="shared" ref="Z308:Z324" si="60">S308</f>
        <v>28800</v>
      </c>
      <c r="AA308" s="158">
        <f t="shared" si="50"/>
        <v>-28800</v>
      </c>
      <c r="AB308" s="167">
        <f t="shared" si="56"/>
        <v>28800</v>
      </c>
      <c r="AC308" s="168">
        <f t="shared" si="51"/>
        <v>0</v>
      </c>
      <c r="AD308" s="158">
        <v>24000</v>
      </c>
      <c r="AE308" s="159">
        <v>0</v>
      </c>
      <c r="AF308" s="158">
        <f t="shared" si="58"/>
        <v>0</v>
      </c>
      <c r="AG308" s="158">
        <f t="shared" si="59"/>
        <v>0</v>
      </c>
      <c r="AH308" s="175"/>
      <c r="AI308" s="175"/>
      <c r="AJ308" s="156" t="s">
        <v>522</v>
      </c>
      <c r="AK308" s="140" t="s">
        <v>522</v>
      </c>
      <c r="AL308" s="140" t="s">
        <v>523</v>
      </c>
      <c r="AM308" s="152"/>
    </row>
    <row r="309" s="140" customFormat="1" ht="15" hidden="1" customHeight="1" spans="1:39">
      <c r="A309" s="140">
        <v>2017</v>
      </c>
      <c r="B309" s="140" t="s">
        <v>38</v>
      </c>
      <c r="C309" s="140" t="s">
        <v>110</v>
      </c>
      <c r="D309" s="140" t="s">
        <v>280</v>
      </c>
      <c r="E309" s="140" t="s">
        <v>281</v>
      </c>
      <c r="F309" s="140" t="s">
        <v>282</v>
      </c>
      <c r="G309" s="140" t="s">
        <v>282</v>
      </c>
      <c r="H309" s="140" t="s">
        <v>282</v>
      </c>
      <c r="I309" s="152" t="s">
        <v>243</v>
      </c>
      <c r="J309" s="140" t="s">
        <v>244</v>
      </c>
      <c r="K309" s="140" t="s">
        <v>245</v>
      </c>
      <c r="L309" s="140" t="s">
        <v>283</v>
      </c>
      <c r="M309" s="140" t="s">
        <v>160</v>
      </c>
      <c r="N309" s="156">
        <v>0</v>
      </c>
      <c r="O309" s="156" t="s">
        <v>47</v>
      </c>
      <c r="P309" s="156" t="s">
        <v>179</v>
      </c>
      <c r="Q309" s="158">
        <v>0</v>
      </c>
      <c r="R309" s="158">
        <v>0</v>
      </c>
      <c r="S309" s="158">
        <v>215900</v>
      </c>
      <c r="T309" s="158">
        <f t="shared" si="48"/>
        <v>0</v>
      </c>
      <c r="U309" s="158">
        <f t="shared" si="52"/>
        <v>215900</v>
      </c>
      <c r="V309" s="158">
        <v>0</v>
      </c>
      <c r="W309" s="158">
        <f t="shared" si="53"/>
        <v>215900</v>
      </c>
      <c r="X309" s="158">
        <f t="shared" si="49"/>
        <v>215900</v>
      </c>
      <c r="Y309" s="158">
        <f t="shared" si="54"/>
        <v>0</v>
      </c>
      <c r="Z309" s="158">
        <f t="shared" si="60"/>
        <v>215900</v>
      </c>
      <c r="AA309" s="158">
        <f t="shared" si="50"/>
        <v>-215900</v>
      </c>
      <c r="AB309" s="167">
        <f t="shared" si="56"/>
        <v>215900</v>
      </c>
      <c r="AC309" s="168">
        <f t="shared" si="51"/>
        <v>0</v>
      </c>
      <c r="AD309" s="158">
        <v>185000</v>
      </c>
      <c r="AE309" s="159">
        <v>0</v>
      </c>
      <c r="AF309" s="158">
        <f t="shared" si="58"/>
        <v>0</v>
      </c>
      <c r="AG309" s="158">
        <f t="shared" si="59"/>
        <v>0</v>
      </c>
      <c r="AH309" s="175"/>
      <c r="AI309" s="175"/>
      <c r="AJ309" s="156" t="s">
        <v>47</v>
      </c>
      <c r="AK309" s="140" t="s">
        <v>47</v>
      </c>
      <c r="AL309" s="140" t="s">
        <v>523</v>
      </c>
      <c r="AM309" s="152"/>
    </row>
    <row r="310" s="140" customFormat="1" ht="15" hidden="1" customHeight="1" spans="1:39">
      <c r="A310" s="140">
        <v>2017</v>
      </c>
      <c r="B310" s="140" t="s">
        <v>38</v>
      </c>
      <c r="C310" s="140" t="s">
        <v>75</v>
      </c>
      <c r="D310" s="140" t="s">
        <v>76</v>
      </c>
      <c r="E310" s="140" t="s">
        <v>150</v>
      </c>
      <c r="F310" s="140" t="s">
        <v>300</v>
      </c>
      <c r="G310" s="140" t="s">
        <v>301</v>
      </c>
      <c r="H310" s="140" t="s">
        <v>301</v>
      </c>
      <c r="I310" s="152" t="s">
        <v>243</v>
      </c>
      <c r="J310" s="140" t="s">
        <v>244</v>
      </c>
      <c r="K310" s="140" t="s">
        <v>245</v>
      </c>
      <c r="L310" s="140" t="s">
        <v>300</v>
      </c>
      <c r="M310" s="140" t="s">
        <v>160</v>
      </c>
      <c r="N310" s="156">
        <v>0</v>
      </c>
      <c r="O310" s="156" t="s">
        <v>47</v>
      </c>
      <c r="P310" s="156" t="s">
        <v>179</v>
      </c>
      <c r="Q310" s="158">
        <v>0</v>
      </c>
      <c r="R310" s="158">
        <v>0</v>
      </c>
      <c r="S310" s="158">
        <v>292400</v>
      </c>
      <c r="T310" s="158">
        <f t="shared" si="48"/>
        <v>0</v>
      </c>
      <c r="U310" s="158">
        <f t="shared" si="52"/>
        <v>292400</v>
      </c>
      <c r="V310" s="158">
        <v>0</v>
      </c>
      <c r="W310" s="158">
        <f t="shared" si="53"/>
        <v>292400</v>
      </c>
      <c r="X310" s="158">
        <f t="shared" si="49"/>
        <v>292400</v>
      </c>
      <c r="Y310" s="158">
        <f t="shared" si="54"/>
        <v>0</v>
      </c>
      <c r="Z310" s="158">
        <f t="shared" si="60"/>
        <v>292400</v>
      </c>
      <c r="AA310" s="158">
        <f t="shared" si="50"/>
        <v>-292400</v>
      </c>
      <c r="AB310" s="167">
        <f t="shared" si="56"/>
        <v>292400</v>
      </c>
      <c r="AC310" s="168">
        <f t="shared" si="51"/>
        <v>0</v>
      </c>
      <c r="AD310" s="158">
        <v>0</v>
      </c>
      <c r="AE310" s="159">
        <v>0</v>
      </c>
      <c r="AF310" s="158">
        <f t="shared" si="58"/>
        <v>0</v>
      </c>
      <c r="AG310" s="158">
        <f t="shared" si="59"/>
        <v>0</v>
      </c>
      <c r="AH310" s="175"/>
      <c r="AI310" s="175"/>
      <c r="AJ310" s="156" t="s">
        <v>47</v>
      </c>
      <c r="AK310" s="140" t="s">
        <v>47</v>
      </c>
      <c r="AL310" s="140" t="s">
        <v>523</v>
      </c>
      <c r="AM310" s="152"/>
    </row>
    <row r="311" s="140" customFormat="1" ht="15" hidden="1" customHeight="1" spans="1:39">
      <c r="A311" s="140">
        <v>2017</v>
      </c>
      <c r="B311" s="140" t="s">
        <v>38</v>
      </c>
      <c r="C311" s="140" t="s">
        <v>75</v>
      </c>
      <c r="D311" s="140" t="s">
        <v>76</v>
      </c>
      <c r="E311" s="140" t="s">
        <v>304</v>
      </c>
      <c r="F311" s="140" t="s">
        <v>237</v>
      </c>
      <c r="G311" s="140" t="s">
        <v>237</v>
      </c>
      <c r="H311" s="140" t="s">
        <v>237</v>
      </c>
      <c r="I311" s="152" t="s">
        <v>243</v>
      </c>
      <c r="J311" s="140" t="s">
        <v>244</v>
      </c>
      <c r="K311" s="140" t="s">
        <v>245</v>
      </c>
      <c r="L311" s="140" t="s">
        <v>442</v>
      </c>
      <c r="M311" s="140" t="s">
        <v>160</v>
      </c>
      <c r="N311" s="156">
        <v>0</v>
      </c>
      <c r="O311" s="156" t="s">
        <v>47</v>
      </c>
      <c r="P311" s="156" t="s">
        <v>179</v>
      </c>
      <c r="Q311" s="158">
        <v>0</v>
      </c>
      <c r="R311" s="158">
        <v>0</v>
      </c>
      <c r="S311" s="158">
        <v>240000</v>
      </c>
      <c r="T311" s="158">
        <f t="shared" si="48"/>
        <v>0</v>
      </c>
      <c r="U311" s="158">
        <f t="shared" si="52"/>
        <v>240000</v>
      </c>
      <c r="V311" s="158">
        <v>0</v>
      </c>
      <c r="W311" s="158">
        <f t="shared" si="53"/>
        <v>240000</v>
      </c>
      <c r="X311" s="158">
        <f t="shared" si="49"/>
        <v>240000</v>
      </c>
      <c r="Y311" s="158">
        <f t="shared" si="54"/>
        <v>0</v>
      </c>
      <c r="Z311" s="158">
        <f t="shared" si="60"/>
        <v>240000</v>
      </c>
      <c r="AA311" s="158">
        <f t="shared" si="50"/>
        <v>-240000</v>
      </c>
      <c r="AB311" s="167">
        <f t="shared" si="56"/>
        <v>240000</v>
      </c>
      <c r="AC311" s="168">
        <f t="shared" si="51"/>
        <v>0</v>
      </c>
      <c r="AD311" s="158">
        <v>202500</v>
      </c>
      <c r="AE311" s="159">
        <v>0</v>
      </c>
      <c r="AF311" s="158">
        <f t="shared" si="58"/>
        <v>0</v>
      </c>
      <c r="AG311" s="158">
        <f t="shared" si="59"/>
        <v>0</v>
      </c>
      <c r="AH311" s="175"/>
      <c r="AI311" s="175"/>
      <c r="AJ311" s="156" t="s">
        <v>47</v>
      </c>
      <c r="AK311" s="140" t="s">
        <v>47</v>
      </c>
      <c r="AL311" s="140" t="s">
        <v>523</v>
      </c>
      <c r="AM311" s="152"/>
    </row>
    <row r="312" s="140" customFormat="1" ht="15" hidden="1" customHeight="1" spans="1:39">
      <c r="A312" s="140">
        <v>2017</v>
      </c>
      <c r="B312" s="140" t="s">
        <v>38</v>
      </c>
      <c r="C312" s="140" t="s">
        <v>75</v>
      </c>
      <c r="D312" s="140" t="s">
        <v>76</v>
      </c>
      <c r="E312" s="140" t="s">
        <v>304</v>
      </c>
      <c r="F312" s="140" t="s">
        <v>159</v>
      </c>
      <c r="G312" s="140" t="s">
        <v>159</v>
      </c>
      <c r="H312" s="140" t="s">
        <v>159</v>
      </c>
      <c r="I312" s="152" t="s">
        <v>243</v>
      </c>
      <c r="J312" s="140" t="s">
        <v>244</v>
      </c>
      <c r="K312" s="140" t="s">
        <v>245</v>
      </c>
      <c r="L312" s="140" t="s">
        <v>159</v>
      </c>
      <c r="M312" s="140" t="s">
        <v>160</v>
      </c>
      <c r="N312" s="156">
        <v>0</v>
      </c>
      <c r="O312" s="156" t="s">
        <v>47</v>
      </c>
      <c r="P312" s="156" t="s">
        <v>179</v>
      </c>
      <c r="Q312" s="158">
        <v>0</v>
      </c>
      <c r="R312" s="158">
        <v>0</v>
      </c>
      <c r="S312" s="158">
        <v>155000</v>
      </c>
      <c r="T312" s="158">
        <f t="shared" si="48"/>
        <v>0</v>
      </c>
      <c r="U312" s="158">
        <f t="shared" si="52"/>
        <v>155000</v>
      </c>
      <c r="V312" s="158">
        <v>0</v>
      </c>
      <c r="W312" s="158">
        <f t="shared" si="53"/>
        <v>155000</v>
      </c>
      <c r="X312" s="158">
        <f t="shared" si="49"/>
        <v>155000</v>
      </c>
      <c r="Y312" s="158">
        <f t="shared" si="54"/>
        <v>0</v>
      </c>
      <c r="Z312" s="158">
        <f t="shared" si="60"/>
        <v>155000</v>
      </c>
      <c r="AA312" s="158">
        <f t="shared" si="50"/>
        <v>-155000</v>
      </c>
      <c r="AB312" s="167">
        <f t="shared" si="56"/>
        <v>155000</v>
      </c>
      <c r="AC312" s="168">
        <f t="shared" si="51"/>
        <v>0</v>
      </c>
      <c r="AD312" s="158">
        <v>133750</v>
      </c>
      <c r="AE312" s="159">
        <v>0</v>
      </c>
      <c r="AF312" s="158">
        <f t="shared" si="58"/>
        <v>0</v>
      </c>
      <c r="AG312" s="158">
        <f t="shared" si="59"/>
        <v>0</v>
      </c>
      <c r="AH312" s="175"/>
      <c r="AI312" s="175"/>
      <c r="AJ312" s="156" t="s">
        <v>47</v>
      </c>
      <c r="AK312" s="140" t="s">
        <v>47</v>
      </c>
      <c r="AL312" s="140" t="s">
        <v>523</v>
      </c>
      <c r="AM312" s="152"/>
    </row>
    <row r="313" s="140" customFormat="1" ht="15" hidden="1" customHeight="1" spans="1:39">
      <c r="A313" s="140">
        <v>2017</v>
      </c>
      <c r="B313" s="140" t="s">
        <v>38</v>
      </c>
      <c r="C313" s="140" t="s">
        <v>59</v>
      </c>
      <c r="D313" s="140" t="s">
        <v>154</v>
      </c>
      <c r="E313" s="140" t="s">
        <v>67</v>
      </c>
      <c r="F313" s="140" t="s">
        <v>345</v>
      </c>
      <c r="G313" s="140" t="s">
        <v>524</v>
      </c>
      <c r="H313" s="140" t="s">
        <v>524</v>
      </c>
      <c r="I313" s="152" t="s">
        <v>243</v>
      </c>
      <c r="J313" s="140" t="s">
        <v>244</v>
      </c>
      <c r="K313" s="140" t="s">
        <v>245</v>
      </c>
      <c r="L313" s="140" t="s">
        <v>345</v>
      </c>
      <c r="M313" s="140" t="s">
        <v>160</v>
      </c>
      <c r="N313" s="157">
        <v>0</v>
      </c>
      <c r="O313" s="156" t="s">
        <v>47</v>
      </c>
      <c r="P313" s="156" t="s">
        <v>179</v>
      </c>
      <c r="Q313" s="158">
        <v>0</v>
      </c>
      <c r="R313" s="158">
        <v>0</v>
      </c>
      <c r="S313" s="158">
        <v>149000</v>
      </c>
      <c r="T313" s="158">
        <f t="shared" si="48"/>
        <v>0</v>
      </c>
      <c r="U313" s="158">
        <f t="shared" si="52"/>
        <v>149000</v>
      </c>
      <c r="V313" s="158">
        <v>0</v>
      </c>
      <c r="W313" s="158">
        <f t="shared" si="53"/>
        <v>149000</v>
      </c>
      <c r="X313" s="158">
        <f t="shared" si="49"/>
        <v>149000</v>
      </c>
      <c r="Y313" s="158">
        <f t="shared" si="54"/>
        <v>0</v>
      </c>
      <c r="Z313" s="158">
        <f t="shared" si="60"/>
        <v>149000</v>
      </c>
      <c r="AA313" s="158">
        <f t="shared" si="50"/>
        <v>-149000</v>
      </c>
      <c r="AB313" s="167">
        <f t="shared" si="56"/>
        <v>149000</v>
      </c>
      <c r="AC313" s="168">
        <f t="shared" si="51"/>
        <v>0</v>
      </c>
      <c r="AD313" s="158">
        <v>135000</v>
      </c>
      <c r="AE313" s="159">
        <v>0</v>
      </c>
      <c r="AF313" s="158">
        <f t="shared" si="58"/>
        <v>0</v>
      </c>
      <c r="AG313" s="158">
        <f t="shared" si="59"/>
        <v>0</v>
      </c>
      <c r="AH313" s="175"/>
      <c r="AI313" s="175"/>
      <c r="AJ313" s="157">
        <v>0.6</v>
      </c>
      <c r="AK313" s="177">
        <v>0.6</v>
      </c>
      <c r="AL313" s="140" t="s">
        <v>523</v>
      </c>
      <c r="AM313" s="152"/>
    </row>
    <row r="314" s="140" customFormat="1" ht="15" hidden="1" customHeight="1" spans="1:39">
      <c r="A314" s="140">
        <v>2017</v>
      </c>
      <c r="B314" s="140" t="s">
        <v>38</v>
      </c>
      <c r="C314" s="140" t="s">
        <v>59</v>
      </c>
      <c r="D314" s="140" t="s">
        <v>106</v>
      </c>
      <c r="E314" s="140" t="s">
        <v>239</v>
      </c>
      <c r="F314" s="140" t="s">
        <v>240</v>
      </c>
      <c r="G314" s="140" t="s">
        <v>240</v>
      </c>
      <c r="H314" s="140" t="s">
        <v>240</v>
      </c>
      <c r="I314" s="152" t="s">
        <v>243</v>
      </c>
      <c r="J314" s="140" t="s">
        <v>244</v>
      </c>
      <c r="K314" s="140" t="s">
        <v>245</v>
      </c>
      <c r="L314" s="140" t="s">
        <v>240</v>
      </c>
      <c r="M314" s="140" t="s">
        <v>160</v>
      </c>
      <c r="N314" s="157">
        <v>0</v>
      </c>
      <c r="O314" s="156" t="s">
        <v>47</v>
      </c>
      <c r="P314" s="156" t="s">
        <v>179</v>
      </c>
      <c r="Q314" s="158">
        <v>0</v>
      </c>
      <c r="R314" s="158">
        <v>0</v>
      </c>
      <c r="S314" s="158">
        <v>19200</v>
      </c>
      <c r="T314" s="158">
        <f t="shared" si="48"/>
        <v>0</v>
      </c>
      <c r="U314" s="158">
        <f t="shared" si="52"/>
        <v>19200</v>
      </c>
      <c r="V314" s="158">
        <v>0</v>
      </c>
      <c r="W314" s="158">
        <f t="shared" si="53"/>
        <v>19200</v>
      </c>
      <c r="X314" s="158">
        <f t="shared" si="49"/>
        <v>19200</v>
      </c>
      <c r="Y314" s="158">
        <f t="shared" si="54"/>
        <v>0</v>
      </c>
      <c r="Z314" s="158">
        <f t="shared" si="60"/>
        <v>19200</v>
      </c>
      <c r="AA314" s="158">
        <f t="shared" si="50"/>
        <v>-19200</v>
      </c>
      <c r="AB314" s="167">
        <f t="shared" si="56"/>
        <v>19200</v>
      </c>
      <c r="AC314" s="168">
        <f t="shared" si="51"/>
        <v>0</v>
      </c>
      <c r="AD314" s="158">
        <v>12000</v>
      </c>
      <c r="AE314" s="159">
        <v>0</v>
      </c>
      <c r="AF314" s="158">
        <f t="shared" si="58"/>
        <v>0</v>
      </c>
      <c r="AG314" s="158">
        <f t="shared" si="59"/>
        <v>0</v>
      </c>
      <c r="AH314" s="175"/>
      <c r="AI314" s="175"/>
      <c r="AJ314" s="156" t="s">
        <v>525</v>
      </c>
      <c r="AK314" s="140" t="s">
        <v>525</v>
      </c>
      <c r="AL314" s="140" t="s">
        <v>523</v>
      </c>
      <c r="AM314" s="152"/>
    </row>
    <row r="315" s="140" customFormat="1" ht="15" hidden="1" customHeight="1" spans="1:39">
      <c r="A315" s="140">
        <v>2017</v>
      </c>
      <c r="B315" s="140" t="s">
        <v>252</v>
      </c>
      <c r="C315" s="140" t="s">
        <v>59</v>
      </c>
      <c r="D315" s="140" t="s">
        <v>106</v>
      </c>
      <c r="E315" s="140" t="s">
        <v>61</v>
      </c>
      <c r="F315" s="140" t="s">
        <v>297</v>
      </c>
      <c r="G315" s="140" t="s">
        <v>474</v>
      </c>
      <c r="H315" s="140" t="s">
        <v>299</v>
      </c>
      <c r="I315" s="152" t="s">
        <v>243</v>
      </c>
      <c r="J315" s="140" t="s">
        <v>244</v>
      </c>
      <c r="K315" s="140" t="s">
        <v>245</v>
      </c>
      <c r="L315" s="140" t="s">
        <v>300</v>
      </c>
      <c r="M315" s="140" t="s">
        <v>160</v>
      </c>
      <c r="N315" s="157">
        <v>0</v>
      </c>
      <c r="O315" s="156" t="s">
        <v>47</v>
      </c>
      <c r="P315" s="156" t="s">
        <v>179</v>
      </c>
      <c r="Q315" s="158">
        <v>0</v>
      </c>
      <c r="R315" s="158">
        <v>0</v>
      </c>
      <c r="S315" s="158">
        <v>240000</v>
      </c>
      <c r="T315" s="158">
        <f t="shared" si="48"/>
        <v>0</v>
      </c>
      <c r="U315" s="158">
        <f t="shared" si="52"/>
        <v>240000</v>
      </c>
      <c r="V315" s="158">
        <v>532400</v>
      </c>
      <c r="W315" s="158">
        <f t="shared" si="53"/>
        <v>-292400</v>
      </c>
      <c r="X315" s="158">
        <f t="shared" si="49"/>
        <v>-292400</v>
      </c>
      <c r="Y315" s="158">
        <f t="shared" si="54"/>
        <v>0</v>
      </c>
      <c r="Z315" s="158">
        <f t="shared" si="60"/>
        <v>240000</v>
      </c>
      <c r="AA315" s="158">
        <f t="shared" si="50"/>
        <v>292400</v>
      </c>
      <c r="AB315" s="167">
        <f t="shared" si="56"/>
        <v>240000</v>
      </c>
      <c r="AC315" s="168">
        <f t="shared" si="51"/>
        <v>0</v>
      </c>
      <c r="AD315" s="158">
        <v>437000</v>
      </c>
      <c r="AE315" s="159">
        <v>0</v>
      </c>
      <c r="AF315" s="158">
        <f t="shared" si="58"/>
        <v>0</v>
      </c>
      <c r="AG315" s="158">
        <f t="shared" si="59"/>
        <v>0</v>
      </c>
      <c r="AH315" s="175"/>
      <c r="AI315" s="175"/>
      <c r="AJ315" s="157">
        <v>0.6</v>
      </c>
      <c r="AK315" s="177">
        <v>0.6</v>
      </c>
      <c r="AL315" s="140" t="s">
        <v>523</v>
      </c>
      <c r="AM315" s="152"/>
    </row>
    <row r="316" s="140" customFormat="1" ht="15" hidden="1" customHeight="1" spans="1:39">
      <c r="A316" s="140">
        <v>2017</v>
      </c>
      <c r="B316" s="140" t="s">
        <v>38</v>
      </c>
      <c r="C316" s="140" t="s">
        <v>59</v>
      </c>
      <c r="D316" s="140" t="s">
        <v>106</v>
      </c>
      <c r="E316" s="140" t="s">
        <v>61</v>
      </c>
      <c r="F316" s="140" t="s">
        <v>353</v>
      </c>
      <c r="G316" s="140" t="s">
        <v>353</v>
      </c>
      <c r="H316" s="140" t="s">
        <v>353</v>
      </c>
      <c r="I316" s="152" t="s">
        <v>243</v>
      </c>
      <c r="J316" s="140" t="s">
        <v>244</v>
      </c>
      <c r="K316" s="140" t="s">
        <v>245</v>
      </c>
      <c r="L316" s="140" t="s">
        <v>354</v>
      </c>
      <c r="M316" s="140" t="s">
        <v>160</v>
      </c>
      <c r="N316" s="156">
        <v>0</v>
      </c>
      <c r="O316" s="156" t="s">
        <v>47</v>
      </c>
      <c r="P316" s="156" t="s">
        <v>179</v>
      </c>
      <c r="Q316" s="158">
        <v>0</v>
      </c>
      <c r="R316" s="158">
        <v>0</v>
      </c>
      <c r="S316" s="158">
        <v>105000</v>
      </c>
      <c r="T316" s="158">
        <f t="shared" si="48"/>
        <v>0</v>
      </c>
      <c r="U316" s="158">
        <f t="shared" si="52"/>
        <v>105000</v>
      </c>
      <c r="V316" s="158">
        <v>0</v>
      </c>
      <c r="W316" s="158">
        <f t="shared" si="53"/>
        <v>105000</v>
      </c>
      <c r="X316" s="158">
        <f t="shared" si="49"/>
        <v>105000</v>
      </c>
      <c r="Y316" s="158">
        <f t="shared" si="54"/>
        <v>0</v>
      </c>
      <c r="Z316" s="158">
        <f t="shared" si="60"/>
        <v>105000</v>
      </c>
      <c r="AA316" s="158">
        <f t="shared" si="50"/>
        <v>-105000</v>
      </c>
      <c r="AB316" s="167">
        <f t="shared" si="56"/>
        <v>105000</v>
      </c>
      <c r="AC316" s="168">
        <f t="shared" si="51"/>
        <v>0</v>
      </c>
      <c r="AD316" s="158">
        <v>78750</v>
      </c>
      <c r="AE316" s="159">
        <v>0</v>
      </c>
      <c r="AF316" s="158">
        <f t="shared" si="58"/>
        <v>0</v>
      </c>
      <c r="AG316" s="158">
        <f t="shared" si="59"/>
        <v>0</v>
      </c>
      <c r="AH316" s="175"/>
      <c r="AI316" s="175"/>
      <c r="AJ316" s="157">
        <v>0</v>
      </c>
      <c r="AK316" s="140">
        <v>0</v>
      </c>
      <c r="AL316" s="140" t="s">
        <v>523</v>
      </c>
      <c r="AM316" s="152"/>
    </row>
    <row r="317" s="140" customFormat="1" ht="15" hidden="1" customHeight="1" spans="1:39">
      <c r="A317" s="140">
        <v>2017</v>
      </c>
      <c r="B317" s="140" t="s">
        <v>38</v>
      </c>
      <c r="C317" s="140" t="s">
        <v>54</v>
      </c>
      <c r="D317" s="140" t="s">
        <v>55</v>
      </c>
      <c r="E317" s="140" t="s">
        <v>368</v>
      </c>
      <c r="F317" s="140" t="s">
        <v>526</v>
      </c>
      <c r="G317" s="140" t="s">
        <v>526</v>
      </c>
      <c r="H317" s="140" t="s">
        <v>526</v>
      </c>
      <c r="I317" s="152" t="s">
        <v>243</v>
      </c>
      <c r="J317" s="140" t="s">
        <v>244</v>
      </c>
      <c r="K317" s="140" t="s">
        <v>245</v>
      </c>
      <c r="L317" s="140" t="s">
        <v>526</v>
      </c>
      <c r="M317" s="140" t="s">
        <v>160</v>
      </c>
      <c r="N317" s="157">
        <v>0</v>
      </c>
      <c r="O317" s="156" t="s">
        <v>47</v>
      </c>
      <c r="P317" s="156" t="s">
        <v>179</v>
      </c>
      <c r="Q317" s="158">
        <v>0</v>
      </c>
      <c r="R317" s="158">
        <v>0</v>
      </c>
      <c r="S317" s="158">
        <v>99000</v>
      </c>
      <c r="T317" s="158">
        <f t="shared" si="48"/>
        <v>0</v>
      </c>
      <c r="U317" s="158">
        <f t="shared" si="52"/>
        <v>99000</v>
      </c>
      <c r="V317" s="158">
        <v>0</v>
      </c>
      <c r="W317" s="158">
        <f t="shared" si="53"/>
        <v>99000</v>
      </c>
      <c r="X317" s="158">
        <f t="shared" si="49"/>
        <v>99000</v>
      </c>
      <c r="Y317" s="158">
        <f t="shared" si="54"/>
        <v>0</v>
      </c>
      <c r="Z317" s="158">
        <f t="shared" si="60"/>
        <v>99000</v>
      </c>
      <c r="AA317" s="158">
        <f t="shared" si="50"/>
        <v>-99000</v>
      </c>
      <c r="AB317" s="167">
        <f t="shared" si="56"/>
        <v>99000</v>
      </c>
      <c r="AC317" s="168">
        <f t="shared" si="51"/>
        <v>0</v>
      </c>
      <c r="AD317" s="158">
        <v>90000</v>
      </c>
      <c r="AE317" s="159">
        <v>0</v>
      </c>
      <c r="AF317" s="158">
        <f t="shared" si="58"/>
        <v>0</v>
      </c>
      <c r="AG317" s="158">
        <f t="shared" si="59"/>
        <v>0</v>
      </c>
      <c r="AH317" s="175"/>
      <c r="AI317" s="175"/>
      <c r="AJ317" s="157">
        <v>0.6</v>
      </c>
      <c r="AK317" s="177">
        <v>0.6</v>
      </c>
      <c r="AL317" s="140" t="s">
        <v>523</v>
      </c>
      <c r="AM317" s="152"/>
    </row>
    <row r="318" s="140" customFormat="1" ht="15" hidden="1" customHeight="1" spans="1:39">
      <c r="A318" s="140">
        <v>2017</v>
      </c>
      <c r="B318" s="140" t="s">
        <v>38</v>
      </c>
      <c r="C318" s="140" t="s">
        <v>54</v>
      </c>
      <c r="D318" s="140" t="s">
        <v>55</v>
      </c>
      <c r="E318" s="140" t="s">
        <v>64</v>
      </c>
      <c r="F318" s="140" t="s">
        <v>374</v>
      </c>
      <c r="G318" s="140" t="s">
        <v>374</v>
      </c>
      <c r="H318" s="140" t="s">
        <v>374</v>
      </c>
      <c r="I318" s="152" t="s">
        <v>243</v>
      </c>
      <c r="J318" s="140" t="s">
        <v>244</v>
      </c>
      <c r="K318" s="140" t="s">
        <v>245</v>
      </c>
      <c r="L318" s="140" t="s">
        <v>375</v>
      </c>
      <c r="M318" s="140" t="s">
        <v>160</v>
      </c>
      <c r="N318" s="156">
        <v>0</v>
      </c>
      <c r="O318" s="156" t="s">
        <v>47</v>
      </c>
      <c r="P318" s="156" t="s">
        <v>179</v>
      </c>
      <c r="Q318" s="158">
        <v>0</v>
      </c>
      <c r="R318" s="158">
        <v>0</v>
      </c>
      <c r="S318" s="158">
        <v>60000</v>
      </c>
      <c r="T318" s="158">
        <f t="shared" si="48"/>
        <v>0</v>
      </c>
      <c r="U318" s="158">
        <f t="shared" si="52"/>
        <v>60000</v>
      </c>
      <c r="V318" s="158">
        <v>0</v>
      </c>
      <c r="W318" s="158">
        <f t="shared" si="53"/>
        <v>60000</v>
      </c>
      <c r="X318" s="158">
        <f t="shared" si="49"/>
        <v>60000</v>
      </c>
      <c r="Y318" s="158">
        <f t="shared" si="54"/>
        <v>0</v>
      </c>
      <c r="Z318" s="158">
        <f t="shared" si="60"/>
        <v>60000</v>
      </c>
      <c r="AA318" s="158">
        <f t="shared" si="50"/>
        <v>-60000</v>
      </c>
      <c r="AB318" s="167">
        <f t="shared" si="56"/>
        <v>60000</v>
      </c>
      <c r="AC318" s="168">
        <f t="shared" si="51"/>
        <v>0</v>
      </c>
      <c r="AD318" s="158">
        <v>45000</v>
      </c>
      <c r="AE318" s="159">
        <v>0</v>
      </c>
      <c r="AF318" s="158">
        <f t="shared" si="58"/>
        <v>0</v>
      </c>
      <c r="AG318" s="158">
        <f t="shared" si="59"/>
        <v>0</v>
      </c>
      <c r="AH318" s="175"/>
      <c r="AI318" s="175"/>
      <c r="AJ318" s="156" t="s">
        <v>47</v>
      </c>
      <c r="AK318" s="140" t="s">
        <v>47</v>
      </c>
      <c r="AL318" s="140" t="s">
        <v>523</v>
      </c>
      <c r="AM318" s="152"/>
    </row>
    <row r="319" s="140" customFormat="1" ht="15" hidden="1" customHeight="1" spans="1:39">
      <c r="A319" s="140">
        <v>2017</v>
      </c>
      <c r="B319" s="140" t="s">
        <v>38</v>
      </c>
      <c r="C319" s="140" t="s">
        <v>54</v>
      </c>
      <c r="D319" s="140" t="s">
        <v>102</v>
      </c>
      <c r="E319" s="140" t="s">
        <v>187</v>
      </c>
      <c r="F319" s="140" t="s">
        <v>527</v>
      </c>
      <c r="G319" s="140" t="s">
        <v>527</v>
      </c>
      <c r="H319" s="140" t="s">
        <v>527</v>
      </c>
      <c r="I319" s="152" t="s">
        <v>243</v>
      </c>
      <c r="J319" s="140" t="s">
        <v>244</v>
      </c>
      <c r="K319" s="140" t="s">
        <v>245</v>
      </c>
      <c r="L319" s="140" t="s">
        <v>528</v>
      </c>
      <c r="M319" s="140" t="s">
        <v>160</v>
      </c>
      <c r="N319" s="156">
        <v>0</v>
      </c>
      <c r="O319" s="156" t="s">
        <v>47</v>
      </c>
      <c r="P319" s="156" t="s">
        <v>179</v>
      </c>
      <c r="Q319" s="158">
        <v>0</v>
      </c>
      <c r="R319" s="158">
        <v>0</v>
      </c>
      <c r="S319" s="158">
        <v>133500</v>
      </c>
      <c r="T319" s="158">
        <f t="shared" si="48"/>
        <v>0</v>
      </c>
      <c r="U319" s="158">
        <f t="shared" si="52"/>
        <v>133500</v>
      </c>
      <c r="V319" s="158">
        <v>0</v>
      </c>
      <c r="W319" s="158">
        <f t="shared" si="53"/>
        <v>133500</v>
      </c>
      <c r="X319" s="158">
        <f t="shared" si="49"/>
        <v>133500</v>
      </c>
      <c r="Y319" s="158">
        <f t="shared" si="54"/>
        <v>0</v>
      </c>
      <c r="Z319" s="158">
        <f t="shared" si="60"/>
        <v>133500</v>
      </c>
      <c r="AA319" s="158">
        <f t="shared" si="50"/>
        <v>-133500</v>
      </c>
      <c r="AB319" s="167">
        <f t="shared" si="56"/>
        <v>133500</v>
      </c>
      <c r="AC319" s="168">
        <f t="shared" si="51"/>
        <v>0</v>
      </c>
      <c r="AD319" s="158">
        <v>106000</v>
      </c>
      <c r="AE319" s="159">
        <v>0</v>
      </c>
      <c r="AF319" s="158">
        <f t="shared" si="58"/>
        <v>0</v>
      </c>
      <c r="AG319" s="158">
        <f t="shared" si="59"/>
        <v>0</v>
      </c>
      <c r="AH319" s="175"/>
      <c r="AI319" s="175"/>
      <c r="AJ319" s="156" t="s">
        <v>47</v>
      </c>
      <c r="AK319" s="140" t="s">
        <v>47</v>
      </c>
      <c r="AL319" s="140" t="s">
        <v>523</v>
      </c>
      <c r="AM319" s="152"/>
    </row>
    <row r="320" s="140" customFormat="1" ht="15" hidden="1" customHeight="1" spans="1:39">
      <c r="A320" s="140">
        <v>2017</v>
      </c>
      <c r="B320" s="140" t="s">
        <v>38</v>
      </c>
      <c r="C320" s="140" t="s">
        <v>54</v>
      </c>
      <c r="D320" s="140" t="s">
        <v>102</v>
      </c>
      <c r="E320" s="140" t="s">
        <v>187</v>
      </c>
      <c r="F320" s="140" t="s">
        <v>392</v>
      </c>
      <c r="G320" s="140" t="s">
        <v>508</v>
      </c>
      <c r="H320" s="140" t="s">
        <v>508</v>
      </c>
      <c r="I320" s="152" t="s">
        <v>243</v>
      </c>
      <c r="J320" s="140" t="s">
        <v>244</v>
      </c>
      <c r="K320" s="140" t="s">
        <v>245</v>
      </c>
      <c r="L320" s="140" t="s">
        <v>392</v>
      </c>
      <c r="M320" s="140" t="s">
        <v>160</v>
      </c>
      <c r="N320" s="156">
        <v>0</v>
      </c>
      <c r="O320" s="156" t="s">
        <v>47</v>
      </c>
      <c r="P320" s="156" t="s">
        <v>179</v>
      </c>
      <c r="Q320" s="158">
        <v>0</v>
      </c>
      <c r="R320" s="158">
        <v>0</v>
      </c>
      <c r="S320" s="158">
        <v>120000</v>
      </c>
      <c r="T320" s="158">
        <f t="shared" si="48"/>
        <v>0</v>
      </c>
      <c r="U320" s="158">
        <f t="shared" si="52"/>
        <v>120000</v>
      </c>
      <c r="V320" s="158">
        <v>0</v>
      </c>
      <c r="W320" s="158">
        <f t="shared" si="53"/>
        <v>120000</v>
      </c>
      <c r="X320" s="158">
        <f t="shared" si="49"/>
        <v>120000</v>
      </c>
      <c r="Y320" s="158">
        <f t="shared" si="54"/>
        <v>0</v>
      </c>
      <c r="Z320" s="158">
        <f t="shared" si="60"/>
        <v>120000</v>
      </c>
      <c r="AA320" s="158">
        <f t="shared" si="50"/>
        <v>-120000</v>
      </c>
      <c r="AB320" s="167">
        <f t="shared" si="56"/>
        <v>120000</v>
      </c>
      <c r="AC320" s="168">
        <f t="shared" si="51"/>
        <v>0</v>
      </c>
      <c r="AD320" s="158">
        <v>100000</v>
      </c>
      <c r="AE320" s="159">
        <v>0</v>
      </c>
      <c r="AF320" s="158">
        <f t="shared" si="58"/>
        <v>0</v>
      </c>
      <c r="AG320" s="158">
        <f t="shared" si="59"/>
        <v>0</v>
      </c>
      <c r="AH320" s="175"/>
      <c r="AI320" s="175"/>
      <c r="AJ320" s="156" t="s">
        <v>47</v>
      </c>
      <c r="AK320" s="140" t="s">
        <v>47</v>
      </c>
      <c r="AL320" s="140" t="s">
        <v>523</v>
      </c>
      <c r="AM320" s="152"/>
    </row>
    <row r="321" s="140" customFormat="1" ht="15" hidden="1" customHeight="1" spans="1:39">
      <c r="A321" s="140">
        <v>2017</v>
      </c>
      <c r="B321" s="140" t="s">
        <v>38</v>
      </c>
      <c r="C321" s="140" t="s">
        <v>54</v>
      </c>
      <c r="D321" s="140" t="s">
        <v>102</v>
      </c>
      <c r="E321" s="140" t="s">
        <v>103</v>
      </c>
      <c r="F321" s="140" t="s">
        <v>513</v>
      </c>
      <c r="G321" s="140" t="s">
        <v>513</v>
      </c>
      <c r="H321" s="140" t="s">
        <v>513</v>
      </c>
      <c r="I321" s="152" t="s">
        <v>243</v>
      </c>
      <c r="J321" s="140" t="s">
        <v>244</v>
      </c>
      <c r="K321" s="140" t="s">
        <v>245</v>
      </c>
      <c r="L321" s="140" t="s">
        <v>529</v>
      </c>
      <c r="M321" s="140" t="s">
        <v>160</v>
      </c>
      <c r="N321" s="157">
        <v>0</v>
      </c>
      <c r="O321" s="156" t="s">
        <v>47</v>
      </c>
      <c r="P321" s="156" t="s">
        <v>179</v>
      </c>
      <c r="Q321" s="158">
        <v>0</v>
      </c>
      <c r="R321" s="158">
        <v>0</v>
      </c>
      <c r="S321" s="158">
        <v>25000</v>
      </c>
      <c r="T321" s="158">
        <f t="shared" si="48"/>
        <v>0</v>
      </c>
      <c r="U321" s="158">
        <f t="shared" si="52"/>
        <v>25000</v>
      </c>
      <c r="V321" s="158">
        <v>0</v>
      </c>
      <c r="W321" s="158">
        <f t="shared" si="53"/>
        <v>25000</v>
      </c>
      <c r="X321" s="158">
        <f t="shared" si="49"/>
        <v>25000</v>
      </c>
      <c r="Y321" s="158">
        <f t="shared" si="54"/>
        <v>0</v>
      </c>
      <c r="Z321" s="158">
        <f t="shared" si="60"/>
        <v>25000</v>
      </c>
      <c r="AA321" s="158">
        <f t="shared" si="50"/>
        <v>-25000</v>
      </c>
      <c r="AB321" s="167">
        <f t="shared" si="56"/>
        <v>25000</v>
      </c>
      <c r="AC321" s="168">
        <f t="shared" si="51"/>
        <v>0</v>
      </c>
      <c r="AD321" s="158">
        <v>18750</v>
      </c>
      <c r="AE321" s="159">
        <v>0</v>
      </c>
      <c r="AF321" s="158">
        <f t="shared" si="58"/>
        <v>0</v>
      </c>
      <c r="AG321" s="158">
        <f t="shared" si="59"/>
        <v>0</v>
      </c>
      <c r="AH321" s="175"/>
      <c r="AI321" s="175"/>
      <c r="AJ321" s="157">
        <v>0.6</v>
      </c>
      <c r="AK321" s="177">
        <v>0.6</v>
      </c>
      <c r="AL321" s="140" t="s">
        <v>523</v>
      </c>
      <c r="AM321" s="152"/>
    </row>
    <row r="322" s="140" customFormat="1" ht="15" hidden="1" customHeight="1" spans="1:39">
      <c r="A322" s="140">
        <v>2017</v>
      </c>
      <c r="B322" s="140" t="s">
        <v>38</v>
      </c>
      <c r="C322" s="140" t="s">
        <v>54</v>
      </c>
      <c r="D322" s="140" t="s">
        <v>102</v>
      </c>
      <c r="E322" s="140" t="s">
        <v>103</v>
      </c>
      <c r="F322" s="140" t="s">
        <v>517</v>
      </c>
      <c r="G322" s="140" t="s">
        <v>517</v>
      </c>
      <c r="H322" s="140" t="s">
        <v>517</v>
      </c>
      <c r="I322" s="152" t="s">
        <v>243</v>
      </c>
      <c r="J322" s="140" t="s">
        <v>244</v>
      </c>
      <c r="K322" s="140" t="s">
        <v>245</v>
      </c>
      <c r="L322" s="140" t="s">
        <v>530</v>
      </c>
      <c r="M322" s="140" t="s">
        <v>160</v>
      </c>
      <c r="N322" s="156">
        <v>0</v>
      </c>
      <c r="O322" s="156" t="s">
        <v>47</v>
      </c>
      <c r="P322" s="156" t="s">
        <v>179</v>
      </c>
      <c r="Q322" s="158">
        <v>0</v>
      </c>
      <c r="R322" s="158">
        <v>0</v>
      </c>
      <c r="S322" s="158">
        <v>385000</v>
      </c>
      <c r="T322" s="158">
        <f t="shared" ref="T322:T385" si="61">S322*N322</f>
        <v>0</v>
      </c>
      <c r="U322" s="158">
        <f t="shared" si="52"/>
        <v>385000</v>
      </c>
      <c r="V322" s="158">
        <v>0</v>
      </c>
      <c r="W322" s="158">
        <f t="shared" si="53"/>
        <v>385000</v>
      </c>
      <c r="X322" s="158">
        <f t="shared" ref="X322:X385" si="62">W322/(1+N322)</f>
        <v>385000</v>
      </c>
      <c r="Y322" s="158">
        <f t="shared" si="54"/>
        <v>0</v>
      </c>
      <c r="Z322" s="158">
        <f t="shared" si="60"/>
        <v>385000</v>
      </c>
      <c r="AA322" s="158">
        <f t="shared" ref="AA322:AA385" si="63">Q322+V322-Z322</f>
        <v>-385000</v>
      </c>
      <c r="AB322" s="167">
        <f t="shared" si="56"/>
        <v>385000</v>
      </c>
      <c r="AC322" s="168">
        <f t="shared" ref="AC322:AC385" si="64">IF(O322="返现",Z322*N322,Z322-AB322)</f>
        <v>0</v>
      </c>
      <c r="AD322" s="158">
        <v>288750</v>
      </c>
      <c r="AE322" s="159">
        <v>0</v>
      </c>
      <c r="AF322" s="158">
        <f t="shared" si="58"/>
        <v>0</v>
      </c>
      <c r="AG322" s="158">
        <f t="shared" si="59"/>
        <v>0</v>
      </c>
      <c r="AH322" s="175"/>
      <c r="AI322" s="175"/>
      <c r="AJ322" s="156" t="s">
        <v>47</v>
      </c>
      <c r="AK322" s="140" t="s">
        <v>47</v>
      </c>
      <c r="AL322" s="140" t="s">
        <v>523</v>
      </c>
      <c r="AM322" s="152"/>
    </row>
    <row r="323" s="140" customFormat="1" ht="15" hidden="1" customHeight="1" spans="1:39">
      <c r="A323" s="140">
        <v>2017</v>
      </c>
      <c r="B323" s="140" t="s">
        <v>38</v>
      </c>
      <c r="C323" s="140" t="s">
        <v>54</v>
      </c>
      <c r="D323" s="140" t="s">
        <v>102</v>
      </c>
      <c r="E323" s="140" t="s">
        <v>103</v>
      </c>
      <c r="F323" s="140" t="s">
        <v>531</v>
      </c>
      <c r="G323" s="140" t="s">
        <v>532</v>
      </c>
      <c r="H323" s="140" t="s">
        <v>532</v>
      </c>
      <c r="I323" s="152" t="s">
        <v>243</v>
      </c>
      <c r="J323" s="140" t="s">
        <v>244</v>
      </c>
      <c r="K323" s="140" t="s">
        <v>245</v>
      </c>
      <c r="L323" s="140" t="s">
        <v>531</v>
      </c>
      <c r="M323" s="140" t="s">
        <v>160</v>
      </c>
      <c r="N323" s="156">
        <v>0</v>
      </c>
      <c r="O323" s="156" t="s">
        <v>47</v>
      </c>
      <c r="P323" s="156" t="s">
        <v>179</v>
      </c>
      <c r="Q323" s="158">
        <v>0</v>
      </c>
      <c r="R323" s="158">
        <v>0</v>
      </c>
      <c r="S323" s="158">
        <v>20000</v>
      </c>
      <c r="T323" s="158">
        <f t="shared" si="61"/>
        <v>0</v>
      </c>
      <c r="U323" s="158">
        <f t="shared" ref="U323:U386" si="65">R323+S323+T323</f>
        <v>20000</v>
      </c>
      <c r="V323" s="158">
        <v>0</v>
      </c>
      <c r="W323" s="158">
        <f t="shared" ref="W323:W386" si="66">U323-V323</f>
        <v>20000</v>
      </c>
      <c r="X323" s="158">
        <f t="shared" si="62"/>
        <v>20000</v>
      </c>
      <c r="Y323" s="158">
        <f t="shared" ref="Y323:Y386" si="67">W323-X323</f>
        <v>0</v>
      </c>
      <c r="Z323" s="158">
        <f t="shared" si="60"/>
        <v>20000</v>
      </c>
      <c r="AA323" s="158">
        <f t="shared" si="63"/>
        <v>-20000</v>
      </c>
      <c r="AB323" s="167">
        <f t="shared" si="56"/>
        <v>20000</v>
      </c>
      <c r="AC323" s="168">
        <f t="shared" si="64"/>
        <v>0</v>
      </c>
      <c r="AD323" s="158">
        <v>15000</v>
      </c>
      <c r="AE323" s="159">
        <v>0</v>
      </c>
      <c r="AF323" s="158">
        <f t="shared" si="58"/>
        <v>0</v>
      </c>
      <c r="AG323" s="158">
        <f t="shared" si="59"/>
        <v>0</v>
      </c>
      <c r="AH323" s="175"/>
      <c r="AI323" s="175"/>
      <c r="AJ323" s="157">
        <v>0.6</v>
      </c>
      <c r="AK323" s="177">
        <v>0.6</v>
      </c>
      <c r="AL323" s="140" t="s">
        <v>523</v>
      </c>
      <c r="AM323" s="152"/>
    </row>
    <row r="324" s="140" customFormat="1" ht="15" hidden="1" customHeight="1" spans="1:39">
      <c r="A324" s="140">
        <v>2017</v>
      </c>
      <c r="B324" s="140" t="s">
        <v>38</v>
      </c>
      <c r="C324" s="140" t="s">
        <v>54</v>
      </c>
      <c r="D324" s="140" t="s">
        <v>396</v>
      </c>
      <c r="E324" s="140" t="s">
        <v>370</v>
      </c>
      <c r="F324" s="140" t="s">
        <v>242</v>
      </c>
      <c r="G324" s="140" t="s">
        <v>242</v>
      </c>
      <c r="H324" s="140" t="s">
        <v>242</v>
      </c>
      <c r="I324" s="152" t="s">
        <v>243</v>
      </c>
      <c r="J324" s="140" t="s">
        <v>244</v>
      </c>
      <c r="K324" s="140" t="s">
        <v>245</v>
      </c>
      <c r="L324" s="140" t="s">
        <v>242</v>
      </c>
      <c r="M324" s="140" t="s">
        <v>160</v>
      </c>
      <c r="N324" s="157">
        <v>0</v>
      </c>
      <c r="O324" s="156" t="s">
        <v>47</v>
      </c>
      <c r="P324" s="156" t="s">
        <v>179</v>
      </c>
      <c r="Q324" s="158">
        <v>0</v>
      </c>
      <c r="R324" s="158">
        <v>0</v>
      </c>
      <c r="S324" s="158">
        <v>756200</v>
      </c>
      <c r="T324" s="158">
        <f t="shared" si="61"/>
        <v>0</v>
      </c>
      <c r="U324" s="158">
        <f t="shared" si="65"/>
        <v>756200</v>
      </c>
      <c r="V324" s="158">
        <v>0</v>
      </c>
      <c r="W324" s="158">
        <f t="shared" si="66"/>
        <v>756200</v>
      </c>
      <c r="X324" s="158">
        <f t="shared" si="62"/>
        <v>756200</v>
      </c>
      <c r="Y324" s="158">
        <f t="shared" si="67"/>
        <v>0</v>
      </c>
      <c r="Z324" s="158">
        <f t="shared" si="60"/>
        <v>756200</v>
      </c>
      <c r="AA324" s="158">
        <f t="shared" si="63"/>
        <v>-756200</v>
      </c>
      <c r="AB324" s="167">
        <f t="shared" si="56"/>
        <v>756200</v>
      </c>
      <c r="AC324" s="168">
        <f t="shared" si="64"/>
        <v>0</v>
      </c>
      <c r="AD324" s="158">
        <v>638500</v>
      </c>
      <c r="AE324" s="159">
        <v>0</v>
      </c>
      <c r="AF324" s="158">
        <f t="shared" si="58"/>
        <v>0</v>
      </c>
      <c r="AG324" s="158">
        <f t="shared" si="59"/>
        <v>0</v>
      </c>
      <c r="AH324" s="175"/>
      <c r="AI324" s="175"/>
      <c r="AJ324" s="157">
        <v>0.6</v>
      </c>
      <c r="AK324" s="177">
        <v>0.6</v>
      </c>
      <c r="AL324" s="140" t="s">
        <v>523</v>
      </c>
      <c r="AM324" s="152"/>
    </row>
    <row r="325" s="140" customFormat="1" ht="15" hidden="1" customHeight="1" spans="1:39">
      <c r="A325" s="140">
        <v>2017</v>
      </c>
      <c r="B325" s="152" t="s">
        <v>38</v>
      </c>
      <c r="C325" s="140" t="s">
        <v>59</v>
      </c>
      <c r="D325" s="152"/>
      <c r="E325" s="152"/>
      <c r="F325" s="152" t="s">
        <v>360</v>
      </c>
      <c r="G325" s="152" t="s">
        <v>360</v>
      </c>
      <c r="H325" s="152" t="s">
        <v>360</v>
      </c>
      <c r="I325" s="152" t="s">
        <v>243</v>
      </c>
      <c r="J325" s="140" t="s">
        <v>244</v>
      </c>
      <c r="K325" s="140" t="s">
        <v>266</v>
      </c>
      <c r="L325" s="140" t="s">
        <v>360</v>
      </c>
      <c r="M325" s="140" t="s">
        <v>46</v>
      </c>
      <c r="N325" s="156">
        <v>0</v>
      </c>
      <c r="O325" s="156" t="s">
        <v>47</v>
      </c>
      <c r="P325" s="156"/>
      <c r="Q325" s="158">
        <v>0</v>
      </c>
      <c r="R325" s="158">
        <v>0</v>
      </c>
      <c r="S325" s="152"/>
      <c r="T325" s="158">
        <f t="shared" si="61"/>
        <v>0</v>
      </c>
      <c r="U325" s="158">
        <f t="shared" si="65"/>
        <v>0</v>
      </c>
      <c r="V325" s="158">
        <v>31483.5</v>
      </c>
      <c r="W325" s="158">
        <f t="shared" si="66"/>
        <v>-31483.5</v>
      </c>
      <c r="X325" s="158">
        <f t="shared" si="62"/>
        <v>-31483.5</v>
      </c>
      <c r="Y325" s="158">
        <f t="shared" si="67"/>
        <v>0</v>
      </c>
      <c r="Z325" s="158">
        <v>41978</v>
      </c>
      <c r="AA325" s="158">
        <f t="shared" si="63"/>
        <v>-10494.5</v>
      </c>
      <c r="AB325" s="167">
        <f t="shared" si="56"/>
        <v>41978</v>
      </c>
      <c r="AC325" s="168">
        <f t="shared" si="64"/>
        <v>0</v>
      </c>
      <c r="AD325" s="158">
        <v>31483.5</v>
      </c>
      <c r="AE325" s="159">
        <v>0</v>
      </c>
      <c r="AF325" s="158">
        <f t="shared" si="58"/>
        <v>0</v>
      </c>
      <c r="AG325" s="152"/>
      <c r="AH325" s="152"/>
      <c r="AI325" s="152"/>
      <c r="AJ325" s="156" t="s">
        <v>47</v>
      </c>
      <c r="AK325" s="152"/>
      <c r="AL325" s="140" t="s">
        <v>269</v>
      </c>
      <c r="AM325" s="152" t="s">
        <v>208</v>
      </c>
    </row>
    <row r="326" s="140" customFormat="1" ht="15" hidden="1" customHeight="1" spans="1:39">
      <c r="A326" s="140">
        <v>2017</v>
      </c>
      <c r="B326" s="152" t="s">
        <v>38</v>
      </c>
      <c r="C326" s="140" t="s">
        <v>433</v>
      </c>
      <c r="D326" s="152"/>
      <c r="E326" s="152"/>
      <c r="F326" s="152" t="s">
        <v>264</v>
      </c>
      <c r="G326" s="152" t="s">
        <v>265</v>
      </c>
      <c r="H326" s="152" t="s">
        <v>265</v>
      </c>
      <c r="I326" s="152" t="s">
        <v>243</v>
      </c>
      <c r="J326" s="140" t="s">
        <v>244</v>
      </c>
      <c r="K326" s="140" t="s">
        <v>266</v>
      </c>
      <c r="L326" s="140" t="s">
        <v>533</v>
      </c>
      <c r="M326" s="140" t="s">
        <v>46</v>
      </c>
      <c r="N326" s="181">
        <v>0</v>
      </c>
      <c r="O326" s="156" t="s">
        <v>47</v>
      </c>
      <c r="P326" s="156"/>
      <c r="Q326" s="158">
        <v>0</v>
      </c>
      <c r="R326" s="158">
        <v>0</v>
      </c>
      <c r="S326" s="152"/>
      <c r="T326" s="158">
        <f t="shared" si="61"/>
        <v>0</v>
      </c>
      <c r="U326" s="158">
        <f t="shared" si="65"/>
        <v>0</v>
      </c>
      <c r="V326" s="158">
        <v>403.5</v>
      </c>
      <c r="W326" s="158">
        <f t="shared" si="66"/>
        <v>-403.5</v>
      </c>
      <c r="X326" s="158">
        <f t="shared" si="62"/>
        <v>-403.5</v>
      </c>
      <c r="Y326" s="158">
        <f t="shared" si="67"/>
        <v>0</v>
      </c>
      <c r="Z326" s="158">
        <v>672.5</v>
      </c>
      <c r="AA326" s="158">
        <f t="shared" si="63"/>
        <v>-269</v>
      </c>
      <c r="AB326" s="167">
        <f t="shared" si="56"/>
        <v>672.5</v>
      </c>
      <c r="AC326" s="168">
        <f t="shared" si="64"/>
        <v>0</v>
      </c>
      <c r="AD326" s="158">
        <v>403.5</v>
      </c>
      <c r="AE326" s="159">
        <v>0</v>
      </c>
      <c r="AF326" s="158">
        <f t="shared" si="58"/>
        <v>0</v>
      </c>
      <c r="AG326" s="152"/>
      <c r="AH326" s="152"/>
      <c r="AI326" s="152"/>
      <c r="AJ326" s="156" t="s">
        <v>268</v>
      </c>
      <c r="AK326" s="152"/>
      <c r="AL326" s="140" t="s">
        <v>269</v>
      </c>
      <c r="AM326" s="152" t="s">
        <v>208</v>
      </c>
    </row>
    <row r="327" s="140" customFormat="1" ht="15" hidden="1" customHeight="1" spans="1:39">
      <c r="A327" s="140">
        <v>2017</v>
      </c>
      <c r="B327" s="152" t="s">
        <v>38</v>
      </c>
      <c r="C327" s="140" t="s">
        <v>39</v>
      </c>
      <c r="D327" s="152"/>
      <c r="E327" s="152"/>
      <c r="F327" s="152" t="s">
        <v>327</v>
      </c>
      <c r="G327" s="152" t="s">
        <v>327</v>
      </c>
      <c r="H327" s="152" t="s">
        <v>327</v>
      </c>
      <c r="I327" s="152" t="s">
        <v>243</v>
      </c>
      <c r="J327" s="140" t="s">
        <v>244</v>
      </c>
      <c r="K327" s="140" t="s">
        <v>266</v>
      </c>
      <c r="L327" s="140" t="s">
        <v>534</v>
      </c>
      <c r="M327" s="140" t="s">
        <v>46</v>
      </c>
      <c r="N327" s="182">
        <v>0</v>
      </c>
      <c r="O327" s="156" t="s">
        <v>47</v>
      </c>
      <c r="P327" s="156"/>
      <c r="Q327" s="158">
        <v>0</v>
      </c>
      <c r="R327" s="158">
        <v>0</v>
      </c>
      <c r="S327" s="183">
        <v>20000</v>
      </c>
      <c r="T327" s="158">
        <f t="shared" si="61"/>
        <v>0</v>
      </c>
      <c r="U327" s="158">
        <f t="shared" si="65"/>
        <v>20000</v>
      </c>
      <c r="V327" s="158">
        <v>4614</v>
      </c>
      <c r="W327" s="158">
        <f t="shared" si="66"/>
        <v>15386</v>
      </c>
      <c r="X327" s="158">
        <f t="shared" si="62"/>
        <v>15386</v>
      </c>
      <c r="Y327" s="158">
        <f t="shared" si="67"/>
        <v>0</v>
      </c>
      <c r="Z327" s="158">
        <v>6698.5</v>
      </c>
      <c r="AA327" s="158">
        <f t="shared" si="63"/>
        <v>-2084.5</v>
      </c>
      <c r="AB327" s="167">
        <f t="shared" si="56"/>
        <v>6698.5</v>
      </c>
      <c r="AC327" s="168">
        <f t="shared" si="64"/>
        <v>0</v>
      </c>
      <c r="AD327" s="158">
        <v>4614</v>
      </c>
      <c r="AE327" s="159">
        <v>0</v>
      </c>
      <c r="AF327" s="158">
        <f t="shared" si="58"/>
        <v>0</v>
      </c>
      <c r="AG327" s="152"/>
      <c r="AH327" s="152"/>
      <c r="AI327" s="152"/>
      <c r="AJ327" s="156" t="e">
        <v>#N/A</v>
      </c>
      <c r="AK327" s="152"/>
      <c r="AL327" s="140" t="s">
        <v>269</v>
      </c>
      <c r="AM327" s="152" t="s">
        <v>208</v>
      </c>
    </row>
    <row r="328" s="140" customFormat="1" ht="15" hidden="1" customHeight="1" spans="1:39">
      <c r="A328" s="140">
        <v>2017</v>
      </c>
      <c r="B328" s="152" t="s">
        <v>38</v>
      </c>
      <c r="C328" s="140" t="s">
        <v>59</v>
      </c>
      <c r="D328" s="152"/>
      <c r="E328" s="152"/>
      <c r="F328" s="152" t="s">
        <v>485</v>
      </c>
      <c r="G328" s="152" t="s">
        <v>485</v>
      </c>
      <c r="H328" s="152" t="s">
        <v>485</v>
      </c>
      <c r="I328" s="152" t="s">
        <v>243</v>
      </c>
      <c r="J328" s="140" t="s">
        <v>244</v>
      </c>
      <c r="K328" s="140" t="s">
        <v>266</v>
      </c>
      <c r="L328" s="140" t="s">
        <v>486</v>
      </c>
      <c r="M328" s="140" t="s">
        <v>46</v>
      </c>
      <c r="N328" s="181">
        <v>0.02</v>
      </c>
      <c r="O328" s="156" t="s">
        <v>51</v>
      </c>
      <c r="P328" s="156"/>
      <c r="Q328" s="158">
        <v>0</v>
      </c>
      <c r="R328" s="158">
        <v>0</v>
      </c>
      <c r="S328" s="152"/>
      <c r="T328" s="158">
        <f t="shared" si="61"/>
        <v>0</v>
      </c>
      <c r="U328" s="158">
        <f t="shared" si="65"/>
        <v>0</v>
      </c>
      <c r="V328" s="158">
        <v>19608</v>
      </c>
      <c r="W328" s="158">
        <f t="shared" si="66"/>
        <v>-19608</v>
      </c>
      <c r="X328" s="158">
        <f t="shared" si="62"/>
        <v>-19223.5294117647</v>
      </c>
      <c r="Y328" s="158">
        <f t="shared" si="67"/>
        <v>-384.470588235294</v>
      </c>
      <c r="Z328" s="158">
        <v>30037</v>
      </c>
      <c r="AA328" s="158">
        <f t="shared" si="63"/>
        <v>-10429</v>
      </c>
      <c r="AB328" s="167">
        <f t="shared" si="56"/>
        <v>29448.0392156863</v>
      </c>
      <c r="AC328" s="168">
        <f t="shared" si="64"/>
        <v>588.960784313727</v>
      </c>
      <c r="AD328" s="158">
        <v>19608</v>
      </c>
      <c r="AE328" s="159">
        <v>0</v>
      </c>
      <c r="AF328" s="158">
        <f t="shared" si="58"/>
        <v>0</v>
      </c>
      <c r="AG328" s="152"/>
      <c r="AH328" s="152"/>
      <c r="AI328" s="152"/>
      <c r="AJ328" s="157">
        <v>0.02</v>
      </c>
      <c r="AK328" s="152"/>
      <c r="AL328" s="140" t="s">
        <v>269</v>
      </c>
      <c r="AM328" s="152" t="s">
        <v>208</v>
      </c>
    </row>
    <row r="329" s="140" customFormat="1" ht="15" hidden="1" customHeight="1" spans="1:39">
      <c r="A329" s="140">
        <v>2017</v>
      </c>
      <c r="B329" s="152" t="s">
        <v>38</v>
      </c>
      <c r="C329" s="140" t="s">
        <v>433</v>
      </c>
      <c r="D329" s="152"/>
      <c r="E329" s="152"/>
      <c r="F329" s="152" t="s">
        <v>271</v>
      </c>
      <c r="G329" s="140" t="s">
        <v>272</v>
      </c>
      <c r="H329" s="140" t="s">
        <v>272</v>
      </c>
      <c r="I329" s="152" t="s">
        <v>243</v>
      </c>
      <c r="J329" s="140" t="s">
        <v>244</v>
      </c>
      <c r="K329" s="140" t="s">
        <v>266</v>
      </c>
      <c r="L329" s="140" t="s">
        <v>404</v>
      </c>
      <c r="M329" s="140" t="s">
        <v>46</v>
      </c>
      <c r="N329" s="182">
        <v>0</v>
      </c>
      <c r="O329" s="156" t="s">
        <v>47</v>
      </c>
      <c r="P329" s="156"/>
      <c r="Q329" s="158">
        <v>0</v>
      </c>
      <c r="R329" s="158">
        <v>0</v>
      </c>
      <c r="S329" s="152"/>
      <c r="T329" s="158">
        <f t="shared" si="61"/>
        <v>0</v>
      </c>
      <c r="U329" s="158">
        <f t="shared" si="65"/>
        <v>0</v>
      </c>
      <c r="V329" s="158">
        <v>601.5</v>
      </c>
      <c r="W329" s="158">
        <f t="shared" si="66"/>
        <v>-601.5</v>
      </c>
      <c r="X329" s="158">
        <f t="shared" si="62"/>
        <v>-601.5</v>
      </c>
      <c r="Y329" s="158">
        <f t="shared" si="67"/>
        <v>0</v>
      </c>
      <c r="Z329" s="158">
        <v>1000.5</v>
      </c>
      <c r="AA329" s="158">
        <f t="shared" si="63"/>
        <v>-399</v>
      </c>
      <c r="AB329" s="167">
        <f t="shared" si="56"/>
        <v>1000.5</v>
      </c>
      <c r="AC329" s="168">
        <f t="shared" si="64"/>
        <v>0</v>
      </c>
      <c r="AD329" s="158">
        <v>601.5</v>
      </c>
      <c r="AE329" s="159">
        <v>0</v>
      </c>
      <c r="AF329" s="158">
        <f t="shared" si="58"/>
        <v>0</v>
      </c>
      <c r="AG329" s="152"/>
      <c r="AH329" s="152"/>
      <c r="AI329" s="152"/>
      <c r="AJ329" s="157">
        <v>0</v>
      </c>
      <c r="AK329" s="152"/>
      <c r="AL329" s="140" t="s">
        <v>269</v>
      </c>
      <c r="AM329" s="152" t="s">
        <v>208</v>
      </c>
    </row>
    <row r="330" s="140" customFormat="1" ht="15" hidden="1" customHeight="1" spans="1:39">
      <c r="A330" s="140">
        <v>2017</v>
      </c>
      <c r="B330" s="152" t="s">
        <v>38</v>
      </c>
      <c r="C330" s="140" t="s">
        <v>54</v>
      </c>
      <c r="D330" s="152"/>
      <c r="E330" s="152"/>
      <c r="F330" s="152" t="s">
        <v>65</v>
      </c>
      <c r="G330" s="152" t="s">
        <v>65</v>
      </c>
      <c r="H330" s="152" t="s">
        <v>65</v>
      </c>
      <c r="I330" s="152" t="s">
        <v>243</v>
      </c>
      <c r="J330" s="140" t="s">
        <v>244</v>
      </c>
      <c r="K330" s="140" t="s">
        <v>266</v>
      </c>
      <c r="L330" s="140" t="s">
        <v>535</v>
      </c>
      <c r="M330" s="140" t="s">
        <v>46</v>
      </c>
      <c r="N330" s="156">
        <v>0</v>
      </c>
      <c r="O330" s="156" t="s">
        <v>47</v>
      </c>
      <c r="P330" s="156"/>
      <c r="Q330" s="158">
        <v>0</v>
      </c>
      <c r="R330" s="158">
        <v>0</v>
      </c>
      <c r="S330" s="152"/>
      <c r="T330" s="158">
        <f t="shared" si="61"/>
        <v>0</v>
      </c>
      <c r="U330" s="158">
        <f t="shared" si="65"/>
        <v>0</v>
      </c>
      <c r="V330" s="158">
        <v>38479.5</v>
      </c>
      <c r="W330" s="158">
        <f t="shared" si="66"/>
        <v>-38479.5</v>
      </c>
      <c r="X330" s="158">
        <f t="shared" si="62"/>
        <v>-38479.5</v>
      </c>
      <c r="Y330" s="158">
        <f t="shared" si="67"/>
        <v>0</v>
      </c>
      <c r="Z330" s="158">
        <v>54231.5</v>
      </c>
      <c r="AA330" s="158">
        <f t="shared" si="63"/>
        <v>-15752</v>
      </c>
      <c r="AB330" s="167">
        <f t="shared" si="56"/>
        <v>54231.5</v>
      </c>
      <c r="AC330" s="168">
        <f t="shared" si="64"/>
        <v>0</v>
      </c>
      <c r="AD330" s="158">
        <v>38479.5</v>
      </c>
      <c r="AE330" s="159">
        <v>0</v>
      </c>
      <c r="AF330" s="158">
        <f t="shared" si="58"/>
        <v>0</v>
      </c>
      <c r="AG330" s="152"/>
      <c r="AH330" s="152"/>
      <c r="AI330" s="152"/>
      <c r="AJ330" s="156" t="s">
        <v>47</v>
      </c>
      <c r="AK330" s="152"/>
      <c r="AL330" s="140" t="s">
        <v>269</v>
      </c>
      <c r="AM330" s="152" t="s">
        <v>208</v>
      </c>
    </row>
    <row r="331" s="140" customFormat="1" ht="15" hidden="1" customHeight="1" spans="1:39">
      <c r="A331" s="140">
        <v>2017</v>
      </c>
      <c r="B331" s="152" t="s">
        <v>38</v>
      </c>
      <c r="C331" s="140" t="s">
        <v>75</v>
      </c>
      <c r="D331" s="152"/>
      <c r="E331" s="152"/>
      <c r="F331" s="152" t="s">
        <v>306</v>
      </c>
      <c r="G331" s="152" t="s">
        <v>306</v>
      </c>
      <c r="H331" s="152" t="s">
        <v>306</v>
      </c>
      <c r="I331" s="152" t="s">
        <v>243</v>
      </c>
      <c r="J331" s="140" t="s">
        <v>244</v>
      </c>
      <c r="K331" s="140" t="s">
        <v>266</v>
      </c>
      <c r="L331" s="140" t="s">
        <v>306</v>
      </c>
      <c r="M331" s="140" t="s">
        <v>46</v>
      </c>
      <c r="N331" s="156">
        <v>0</v>
      </c>
      <c r="O331" s="156" t="s">
        <v>47</v>
      </c>
      <c r="P331" s="156"/>
      <c r="Q331" s="158">
        <v>0</v>
      </c>
      <c r="R331" s="158">
        <v>0</v>
      </c>
      <c r="S331" s="152"/>
      <c r="T331" s="158">
        <f t="shared" si="61"/>
        <v>0</v>
      </c>
      <c r="U331" s="158">
        <f t="shared" si="65"/>
        <v>0</v>
      </c>
      <c r="V331" s="158">
        <v>63664.5</v>
      </c>
      <c r="W331" s="158">
        <f t="shared" si="66"/>
        <v>-63664.5</v>
      </c>
      <c r="X331" s="158">
        <f t="shared" si="62"/>
        <v>-63664.5</v>
      </c>
      <c r="Y331" s="158">
        <f t="shared" si="67"/>
        <v>0</v>
      </c>
      <c r="Z331" s="158">
        <v>90914</v>
      </c>
      <c r="AA331" s="158">
        <f t="shared" si="63"/>
        <v>-27249.5</v>
      </c>
      <c r="AB331" s="167">
        <f t="shared" si="56"/>
        <v>90914</v>
      </c>
      <c r="AC331" s="168">
        <f t="shared" si="64"/>
        <v>0</v>
      </c>
      <c r="AD331" s="158">
        <v>63664.5</v>
      </c>
      <c r="AE331" s="159">
        <v>0</v>
      </c>
      <c r="AF331" s="158">
        <f t="shared" si="58"/>
        <v>0</v>
      </c>
      <c r="AG331" s="152"/>
      <c r="AH331" s="152"/>
      <c r="AI331" s="152"/>
      <c r="AJ331" s="156" t="s">
        <v>47</v>
      </c>
      <c r="AK331" s="152"/>
      <c r="AL331" s="140" t="s">
        <v>269</v>
      </c>
      <c r="AM331" s="152" t="s">
        <v>208</v>
      </c>
    </row>
    <row r="332" s="140" customFormat="1" ht="15" hidden="1" customHeight="1" spans="1:40">
      <c r="A332" s="140">
        <v>2017</v>
      </c>
      <c r="B332" s="152" t="s">
        <v>38</v>
      </c>
      <c r="C332" s="140" t="s">
        <v>59</v>
      </c>
      <c r="D332" s="152" t="s">
        <v>106</v>
      </c>
      <c r="E332" s="152" t="s">
        <v>107</v>
      </c>
      <c r="F332" s="152" t="s">
        <v>536</v>
      </c>
      <c r="G332" s="152"/>
      <c r="H332" s="152"/>
      <c r="I332" s="152" t="s">
        <v>243</v>
      </c>
      <c r="J332" s="140" t="s">
        <v>244</v>
      </c>
      <c r="K332" s="140" t="s">
        <v>266</v>
      </c>
      <c r="L332" s="140" t="s">
        <v>536</v>
      </c>
      <c r="M332" s="140" t="s">
        <v>46</v>
      </c>
      <c r="N332" s="182">
        <v>0</v>
      </c>
      <c r="O332" s="156" t="s">
        <v>47</v>
      </c>
      <c r="P332" s="156"/>
      <c r="Q332" s="158">
        <v>0</v>
      </c>
      <c r="R332" s="158">
        <v>0</v>
      </c>
      <c r="S332" s="152"/>
      <c r="T332" s="158">
        <f t="shared" si="61"/>
        <v>0</v>
      </c>
      <c r="U332" s="158">
        <f t="shared" si="65"/>
        <v>0</v>
      </c>
      <c r="V332" s="158">
        <v>196.5</v>
      </c>
      <c r="W332" s="158">
        <f t="shared" si="66"/>
        <v>-196.5</v>
      </c>
      <c r="X332" s="158">
        <f t="shared" si="62"/>
        <v>-196.5</v>
      </c>
      <c r="Y332" s="158">
        <f t="shared" si="67"/>
        <v>0</v>
      </c>
      <c r="Z332" s="158">
        <v>262</v>
      </c>
      <c r="AA332" s="158">
        <f t="shared" si="63"/>
        <v>-65.5</v>
      </c>
      <c r="AB332" s="167">
        <v>0</v>
      </c>
      <c r="AC332" s="168">
        <f t="shared" si="64"/>
        <v>262</v>
      </c>
      <c r="AD332" s="158">
        <v>196.5</v>
      </c>
      <c r="AE332" s="159">
        <v>0</v>
      </c>
      <c r="AF332" s="158">
        <f t="shared" si="58"/>
        <v>0</v>
      </c>
      <c r="AG332" s="152"/>
      <c r="AH332" s="152"/>
      <c r="AI332" s="152"/>
      <c r="AJ332" s="157">
        <v>0</v>
      </c>
      <c r="AK332" s="152"/>
      <c r="AL332" s="140" t="s">
        <v>269</v>
      </c>
      <c r="AM332" s="152" t="s">
        <v>208</v>
      </c>
      <c r="AN332" s="140" t="s">
        <v>537</v>
      </c>
    </row>
    <row r="333" s="140" customFormat="1" ht="15" hidden="1" customHeight="1" spans="1:40">
      <c r="A333" s="140">
        <v>2017</v>
      </c>
      <c r="B333" s="152"/>
      <c r="C333" s="140" t="s">
        <v>75</v>
      </c>
      <c r="D333" s="152"/>
      <c r="E333" s="152"/>
      <c r="F333" s="152" t="s">
        <v>538</v>
      </c>
      <c r="G333" s="152"/>
      <c r="H333" s="152"/>
      <c r="I333" s="152" t="s">
        <v>243</v>
      </c>
      <c r="J333" s="140" t="s">
        <v>244</v>
      </c>
      <c r="K333" s="140" t="s">
        <v>266</v>
      </c>
      <c r="L333" s="140" t="s">
        <v>539</v>
      </c>
      <c r="M333" s="140" t="s">
        <v>46</v>
      </c>
      <c r="N333" s="182">
        <v>0</v>
      </c>
      <c r="O333" s="156" t="s">
        <v>47</v>
      </c>
      <c r="P333" s="156"/>
      <c r="Q333" s="158">
        <v>0</v>
      </c>
      <c r="R333" s="158">
        <v>0</v>
      </c>
      <c r="S333" s="152"/>
      <c r="T333" s="158">
        <f t="shared" si="61"/>
        <v>0</v>
      </c>
      <c r="U333" s="158">
        <f t="shared" si="65"/>
        <v>0</v>
      </c>
      <c r="V333" s="158">
        <v>52773</v>
      </c>
      <c r="W333" s="158">
        <f t="shared" si="66"/>
        <v>-52773</v>
      </c>
      <c r="X333" s="158">
        <f t="shared" si="62"/>
        <v>-52773</v>
      </c>
      <c r="Y333" s="158">
        <f t="shared" si="67"/>
        <v>0</v>
      </c>
      <c r="Z333" s="158">
        <v>70364</v>
      </c>
      <c r="AA333" s="158">
        <f t="shared" si="63"/>
        <v>-17591</v>
      </c>
      <c r="AB333" s="167"/>
      <c r="AC333" s="168">
        <f t="shared" si="64"/>
        <v>70364</v>
      </c>
      <c r="AD333" s="158">
        <v>52773</v>
      </c>
      <c r="AE333" s="159">
        <v>0</v>
      </c>
      <c r="AF333" s="158">
        <f t="shared" si="58"/>
        <v>0</v>
      </c>
      <c r="AG333" s="152"/>
      <c r="AH333" s="152"/>
      <c r="AI333" s="152"/>
      <c r="AJ333" s="157">
        <v>0</v>
      </c>
      <c r="AK333" s="152"/>
      <c r="AL333" s="140" t="s">
        <v>269</v>
      </c>
      <c r="AM333" s="152" t="s">
        <v>208</v>
      </c>
      <c r="AN333" s="140" t="s">
        <v>537</v>
      </c>
    </row>
    <row r="334" s="140" customFormat="1" ht="15" hidden="1" customHeight="1" spans="1:39">
      <c r="A334" s="140">
        <v>2017</v>
      </c>
      <c r="B334" s="152" t="s">
        <v>38</v>
      </c>
      <c r="C334" s="140" t="s">
        <v>75</v>
      </c>
      <c r="D334" s="152"/>
      <c r="E334" s="152"/>
      <c r="F334" s="152" t="s">
        <v>237</v>
      </c>
      <c r="G334" s="152" t="s">
        <v>237</v>
      </c>
      <c r="H334" s="152" t="s">
        <v>237</v>
      </c>
      <c r="I334" s="152" t="s">
        <v>243</v>
      </c>
      <c r="J334" s="140" t="s">
        <v>244</v>
      </c>
      <c r="K334" s="140" t="s">
        <v>266</v>
      </c>
      <c r="L334" s="140" t="s">
        <v>442</v>
      </c>
      <c r="M334" s="140" t="s">
        <v>46</v>
      </c>
      <c r="N334" s="156">
        <v>0</v>
      </c>
      <c r="O334" s="156" t="s">
        <v>47</v>
      </c>
      <c r="P334" s="156"/>
      <c r="Q334" s="158">
        <v>0</v>
      </c>
      <c r="R334" s="158">
        <v>0</v>
      </c>
      <c r="S334" s="152"/>
      <c r="T334" s="158">
        <f t="shared" si="61"/>
        <v>0</v>
      </c>
      <c r="U334" s="158">
        <f t="shared" si="65"/>
        <v>0</v>
      </c>
      <c r="V334" s="158">
        <v>285063</v>
      </c>
      <c r="W334" s="158">
        <f t="shared" si="66"/>
        <v>-285063</v>
      </c>
      <c r="X334" s="158">
        <f t="shared" si="62"/>
        <v>-285063</v>
      </c>
      <c r="Y334" s="158">
        <f t="shared" si="67"/>
        <v>0</v>
      </c>
      <c r="Z334" s="158">
        <v>398531.5</v>
      </c>
      <c r="AA334" s="158">
        <f t="shared" si="63"/>
        <v>-113468.5</v>
      </c>
      <c r="AB334" s="167">
        <f t="shared" ref="AB333:AB339" si="68">IF(O334="返货",Z334/(1+N334),IF(O334="返现",Z334,IF(O334="折扣",Z334*N334,IF(O334="无",Z334))))</f>
        <v>398531.5</v>
      </c>
      <c r="AC334" s="168">
        <f t="shared" si="64"/>
        <v>0</v>
      </c>
      <c r="AD334" s="158">
        <v>285063</v>
      </c>
      <c r="AE334" s="159">
        <v>0</v>
      </c>
      <c r="AF334" s="158">
        <f t="shared" si="58"/>
        <v>0</v>
      </c>
      <c r="AG334" s="152"/>
      <c r="AH334" s="152"/>
      <c r="AI334" s="152"/>
      <c r="AJ334" s="157">
        <v>1</v>
      </c>
      <c r="AK334" s="152"/>
      <c r="AL334" s="140" t="s">
        <v>269</v>
      </c>
      <c r="AM334" s="152" t="s">
        <v>208</v>
      </c>
    </row>
    <row r="335" s="140" customFormat="1" ht="15" hidden="1" customHeight="1" spans="1:39">
      <c r="A335" s="140">
        <v>2017</v>
      </c>
      <c r="B335" s="152" t="s">
        <v>38</v>
      </c>
      <c r="C335" s="140" t="s">
        <v>59</v>
      </c>
      <c r="D335" s="152"/>
      <c r="E335" s="152"/>
      <c r="F335" s="152" t="s">
        <v>462</v>
      </c>
      <c r="G335" s="152" t="s">
        <v>462</v>
      </c>
      <c r="H335" s="152" t="s">
        <v>462</v>
      </c>
      <c r="I335" s="152" t="s">
        <v>243</v>
      </c>
      <c r="J335" s="140" t="s">
        <v>244</v>
      </c>
      <c r="K335" s="140" t="s">
        <v>266</v>
      </c>
      <c r="L335" s="140" t="s">
        <v>462</v>
      </c>
      <c r="M335" s="140" t="s">
        <v>46</v>
      </c>
      <c r="N335" s="156">
        <v>0</v>
      </c>
      <c r="O335" s="156" t="s">
        <v>47</v>
      </c>
      <c r="P335" s="156"/>
      <c r="Q335" s="158">
        <v>0</v>
      </c>
      <c r="R335" s="158">
        <v>0</v>
      </c>
      <c r="S335" s="152"/>
      <c r="T335" s="158">
        <f t="shared" si="61"/>
        <v>0</v>
      </c>
      <c r="U335" s="158">
        <f t="shared" si="65"/>
        <v>0</v>
      </c>
      <c r="V335" s="158">
        <v>1.5</v>
      </c>
      <c r="W335" s="158">
        <f t="shared" si="66"/>
        <v>-1.5</v>
      </c>
      <c r="X335" s="158">
        <f t="shared" si="62"/>
        <v>-1.5</v>
      </c>
      <c r="Y335" s="158">
        <f t="shared" si="67"/>
        <v>0</v>
      </c>
      <c r="Z335" s="158">
        <v>2.5</v>
      </c>
      <c r="AA335" s="158">
        <f t="shared" si="63"/>
        <v>-1</v>
      </c>
      <c r="AB335" s="167">
        <f t="shared" si="68"/>
        <v>2.5</v>
      </c>
      <c r="AC335" s="168">
        <f t="shared" si="64"/>
        <v>0</v>
      </c>
      <c r="AD335" s="158">
        <v>1.5</v>
      </c>
      <c r="AE335" s="159">
        <v>0</v>
      </c>
      <c r="AF335" s="158">
        <f t="shared" si="58"/>
        <v>0</v>
      </c>
      <c r="AG335" s="152"/>
      <c r="AH335" s="152"/>
      <c r="AI335" s="152"/>
      <c r="AJ335" s="157">
        <v>0</v>
      </c>
      <c r="AK335" s="152"/>
      <c r="AL335" s="140" t="s">
        <v>269</v>
      </c>
      <c r="AM335" s="152" t="s">
        <v>208</v>
      </c>
    </row>
    <row r="336" s="140" customFormat="1" ht="15" hidden="1" customHeight="1" spans="1:39">
      <c r="A336" s="140">
        <v>2017</v>
      </c>
      <c r="B336" s="152" t="s">
        <v>38</v>
      </c>
      <c r="C336" s="140" t="s">
        <v>59</v>
      </c>
      <c r="D336" s="152"/>
      <c r="E336" s="152"/>
      <c r="F336" s="152" t="s">
        <v>355</v>
      </c>
      <c r="G336" s="152" t="s">
        <v>355</v>
      </c>
      <c r="H336" s="152" t="s">
        <v>355</v>
      </c>
      <c r="I336" s="152" t="s">
        <v>243</v>
      </c>
      <c r="J336" s="140" t="s">
        <v>244</v>
      </c>
      <c r="K336" s="140" t="s">
        <v>266</v>
      </c>
      <c r="L336" s="140" t="s">
        <v>355</v>
      </c>
      <c r="M336" s="140" t="s">
        <v>46</v>
      </c>
      <c r="N336" s="156">
        <v>0</v>
      </c>
      <c r="O336" s="156" t="s">
        <v>47</v>
      </c>
      <c r="P336" s="156"/>
      <c r="Q336" s="158">
        <v>0</v>
      </c>
      <c r="R336" s="158">
        <v>0</v>
      </c>
      <c r="S336" s="152"/>
      <c r="T336" s="158">
        <f t="shared" si="61"/>
        <v>0</v>
      </c>
      <c r="U336" s="158">
        <f t="shared" si="65"/>
        <v>0</v>
      </c>
      <c r="V336" s="158">
        <v>53994</v>
      </c>
      <c r="W336" s="158">
        <f t="shared" si="66"/>
        <v>-53994</v>
      </c>
      <c r="X336" s="158">
        <f t="shared" si="62"/>
        <v>-53994</v>
      </c>
      <c r="Y336" s="158">
        <f t="shared" si="67"/>
        <v>0</v>
      </c>
      <c r="Z336" s="158">
        <v>71992</v>
      </c>
      <c r="AA336" s="158">
        <f t="shared" si="63"/>
        <v>-17998</v>
      </c>
      <c r="AB336" s="167">
        <f t="shared" si="68"/>
        <v>71992</v>
      </c>
      <c r="AC336" s="168">
        <f t="shared" si="64"/>
        <v>0</v>
      </c>
      <c r="AD336" s="158">
        <v>53994</v>
      </c>
      <c r="AE336" s="159">
        <v>0</v>
      </c>
      <c r="AF336" s="158">
        <f t="shared" si="58"/>
        <v>0</v>
      </c>
      <c r="AG336" s="152"/>
      <c r="AH336" s="152"/>
      <c r="AI336" s="152"/>
      <c r="AJ336" s="157">
        <v>0</v>
      </c>
      <c r="AK336" s="152"/>
      <c r="AL336" s="140" t="s">
        <v>269</v>
      </c>
      <c r="AM336" s="152" t="s">
        <v>208</v>
      </c>
    </row>
    <row r="337" s="140" customFormat="1" ht="15" hidden="1" customHeight="1" spans="1:39">
      <c r="A337" s="140">
        <v>2017</v>
      </c>
      <c r="B337" s="152" t="s">
        <v>38</v>
      </c>
      <c r="C337" s="140" t="s">
        <v>39</v>
      </c>
      <c r="D337" s="152"/>
      <c r="E337" s="152"/>
      <c r="F337" s="152" t="s">
        <v>328</v>
      </c>
      <c r="G337" s="152" t="s">
        <v>328</v>
      </c>
      <c r="H337" s="152" t="s">
        <v>328</v>
      </c>
      <c r="I337" s="152" t="s">
        <v>243</v>
      </c>
      <c r="J337" s="140" t="s">
        <v>244</v>
      </c>
      <c r="K337" s="140" t="s">
        <v>266</v>
      </c>
      <c r="L337" s="140" t="s">
        <v>328</v>
      </c>
      <c r="M337" s="140" t="s">
        <v>46</v>
      </c>
      <c r="N337" s="156">
        <v>0</v>
      </c>
      <c r="O337" s="156" t="s">
        <v>47</v>
      </c>
      <c r="P337" s="156"/>
      <c r="Q337" s="158">
        <v>0</v>
      </c>
      <c r="R337" s="158">
        <v>0</v>
      </c>
      <c r="S337" s="152"/>
      <c r="T337" s="158">
        <f t="shared" si="61"/>
        <v>0</v>
      </c>
      <c r="U337" s="158">
        <f t="shared" si="65"/>
        <v>0</v>
      </c>
      <c r="V337" s="158">
        <v>57861</v>
      </c>
      <c r="W337" s="158">
        <f t="shared" si="66"/>
        <v>-57861</v>
      </c>
      <c r="X337" s="158">
        <f t="shared" si="62"/>
        <v>-57861</v>
      </c>
      <c r="Y337" s="158">
        <f t="shared" si="67"/>
        <v>0</v>
      </c>
      <c r="Z337" s="158">
        <v>77148</v>
      </c>
      <c r="AA337" s="158">
        <f t="shared" si="63"/>
        <v>-19287</v>
      </c>
      <c r="AB337" s="167">
        <f t="shared" si="68"/>
        <v>77148</v>
      </c>
      <c r="AC337" s="168">
        <f t="shared" si="64"/>
        <v>0</v>
      </c>
      <c r="AD337" s="158">
        <v>57861</v>
      </c>
      <c r="AE337" s="159">
        <v>0</v>
      </c>
      <c r="AF337" s="158">
        <f t="shared" si="58"/>
        <v>0</v>
      </c>
      <c r="AG337" s="152"/>
      <c r="AH337" s="152"/>
      <c r="AI337" s="152"/>
      <c r="AJ337" s="156" t="s">
        <v>47</v>
      </c>
      <c r="AK337" s="152"/>
      <c r="AL337" s="140" t="s">
        <v>269</v>
      </c>
      <c r="AM337" s="152" t="s">
        <v>208</v>
      </c>
    </row>
    <row r="338" s="140" customFormat="1" ht="15" hidden="1" customHeight="1" spans="1:39">
      <c r="A338" s="140">
        <v>2017</v>
      </c>
      <c r="B338" s="152" t="s">
        <v>38</v>
      </c>
      <c r="C338" s="140" t="s">
        <v>39</v>
      </c>
      <c r="D338" s="152"/>
      <c r="E338" s="152"/>
      <c r="F338" s="152" t="s">
        <v>328</v>
      </c>
      <c r="G338" s="152" t="s">
        <v>328</v>
      </c>
      <c r="H338" s="152" t="s">
        <v>328</v>
      </c>
      <c r="I338" s="152" t="s">
        <v>243</v>
      </c>
      <c r="J338" s="140" t="s">
        <v>244</v>
      </c>
      <c r="K338" s="140" t="s">
        <v>266</v>
      </c>
      <c r="L338" s="140" t="s">
        <v>328</v>
      </c>
      <c r="M338" s="140" t="s">
        <v>46</v>
      </c>
      <c r="N338" s="156">
        <v>0</v>
      </c>
      <c r="O338" s="156" t="s">
        <v>47</v>
      </c>
      <c r="P338" s="156"/>
      <c r="Q338" s="158">
        <v>0</v>
      </c>
      <c r="R338" s="158">
        <v>0</v>
      </c>
      <c r="S338" s="152"/>
      <c r="T338" s="158">
        <f t="shared" si="61"/>
        <v>0</v>
      </c>
      <c r="U338" s="158">
        <f t="shared" si="65"/>
        <v>0</v>
      </c>
      <c r="V338" s="158">
        <v>141981</v>
      </c>
      <c r="W338" s="158">
        <f t="shared" si="66"/>
        <v>-141981</v>
      </c>
      <c r="X338" s="158">
        <f t="shared" si="62"/>
        <v>-141981</v>
      </c>
      <c r="Y338" s="158">
        <f t="shared" si="67"/>
        <v>0</v>
      </c>
      <c r="Z338" s="158">
        <v>189308</v>
      </c>
      <c r="AA338" s="158">
        <f t="shared" si="63"/>
        <v>-47327</v>
      </c>
      <c r="AB338" s="167">
        <f t="shared" si="68"/>
        <v>189308</v>
      </c>
      <c r="AC338" s="168">
        <f t="shared" si="64"/>
        <v>0</v>
      </c>
      <c r="AD338" s="158">
        <v>141981</v>
      </c>
      <c r="AE338" s="159">
        <v>0</v>
      </c>
      <c r="AF338" s="158">
        <f t="shared" si="58"/>
        <v>0</v>
      </c>
      <c r="AG338" s="152"/>
      <c r="AH338" s="152"/>
      <c r="AI338" s="152"/>
      <c r="AJ338" s="156" t="s">
        <v>47</v>
      </c>
      <c r="AK338" s="152"/>
      <c r="AL338" s="140" t="s">
        <v>269</v>
      </c>
      <c r="AM338" s="152" t="s">
        <v>208</v>
      </c>
    </row>
    <row r="339" s="140" customFormat="1" ht="15" hidden="1" customHeight="1" spans="1:39">
      <c r="A339" s="140">
        <v>2017</v>
      </c>
      <c r="B339" s="152" t="s">
        <v>38</v>
      </c>
      <c r="C339" s="140" t="s">
        <v>39</v>
      </c>
      <c r="D339" s="152"/>
      <c r="E339" s="152"/>
      <c r="F339" s="152" t="s">
        <v>83</v>
      </c>
      <c r="G339" s="152" t="s">
        <v>83</v>
      </c>
      <c r="H339" s="152" t="s">
        <v>83</v>
      </c>
      <c r="I339" s="152" t="s">
        <v>243</v>
      </c>
      <c r="J339" s="140" t="s">
        <v>244</v>
      </c>
      <c r="K339" s="140" t="s">
        <v>266</v>
      </c>
      <c r="L339" s="140" t="s">
        <v>83</v>
      </c>
      <c r="M339" s="140" t="s">
        <v>46</v>
      </c>
      <c r="N339" s="156">
        <v>0</v>
      </c>
      <c r="O339" s="156" t="s">
        <v>47</v>
      </c>
      <c r="P339" s="156"/>
      <c r="Q339" s="158">
        <v>0</v>
      </c>
      <c r="R339" s="158">
        <v>0</v>
      </c>
      <c r="S339" s="152"/>
      <c r="T339" s="158">
        <f t="shared" si="61"/>
        <v>0</v>
      </c>
      <c r="U339" s="158">
        <f t="shared" si="65"/>
        <v>0</v>
      </c>
      <c r="V339" s="158">
        <v>86382</v>
      </c>
      <c r="W339" s="158">
        <f t="shared" si="66"/>
        <v>-86382</v>
      </c>
      <c r="X339" s="158">
        <f t="shared" si="62"/>
        <v>-86382</v>
      </c>
      <c r="Y339" s="158">
        <f t="shared" si="67"/>
        <v>0</v>
      </c>
      <c r="Z339" s="158">
        <v>115176</v>
      </c>
      <c r="AA339" s="158">
        <f t="shared" si="63"/>
        <v>-28794</v>
      </c>
      <c r="AB339" s="167">
        <f t="shared" si="68"/>
        <v>115176</v>
      </c>
      <c r="AC339" s="168">
        <f t="shared" si="64"/>
        <v>0</v>
      </c>
      <c r="AD339" s="158">
        <v>86382</v>
      </c>
      <c r="AE339" s="159">
        <v>0</v>
      </c>
      <c r="AF339" s="158">
        <f t="shared" si="58"/>
        <v>0</v>
      </c>
      <c r="AG339" s="152"/>
      <c r="AH339" s="152"/>
      <c r="AI339" s="152"/>
      <c r="AJ339" s="157">
        <v>0</v>
      </c>
      <c r="AK339" s="152"/>
      <c r="AL339" s="140" t="s">
        <v>269</v>
      </c>
      <c r="AM339" s="152" t="s">
        <v>208</v>
      </c>
    </row>
    <row r="340" s="140" customFormat="1" ht="15" hidden="1" customHeight="1" spans="1:40">
      <c r="A340" s="140">
        <v>2017</v>
      </c>
      <c r="B340" s="152" t="s">
        <v>38</v>
      </c>
      <c r="C340" s="140" t="s">
        <v>59</v>
      </c>
      <c r="D340" s="152"/>
      <c r="E340" s="152"/>
      <c r="F340" s="152" t="s">
        <v>540</v>
      </c>
      <c r="G340" s="152" t="s">
        <v>540</v>
      </c>
      <c r="H340" s="152" t="s">
        <v>540</v>
      </c>
      <c r="I340" s="152" t="s">
        <v>243</v>
      </c>
      <c r="J340" s="140" t="s">
        <v>244</v>
      </c>
      <c r="K340" s="140" t="s">
        <v>266</v>
      </c>
      <c r="L340" s="140" t="s">
        <v>540</v>
      </c>
      <c r="M340" s="140" t="s">
        <v>46</v>
      </c>
      <c r="N340" s="182">
        <v>0</v>
      </c>
      <c r="O340" s="156" t="s">
        <v>47</v>
      </c>
      <c r="P340" s="156"/>
      <c r="Q340" s="158">
        <v>0</v>
      </c>
      <c r="R340" s="158">
        <v>0</v>
      </c>
      <c r="S340" s="152"/>
      <c r="T340" s="158">
        <f t="shared" si="61"/>
        <v>0</v>
      </c>
      <c r="U340" s="158">
        <f t="shared" si="65"/>
        <v>0</v>
      </c>
      <c r="V340" s="158">
        <v>481.5</v>
      </c>
      <c r="W340" s="158">
        <f t="shared" si="66"/>
        <v>-481.5</v>
      </c>
      <c r="X340" s="158">
        <f t="shared" si="62"/>
        <v>-481.5</v>
      </c>
      <c r="Y340" s="158">
        <f t="shared" si="67"/>
        <v>0</v>
      </c>
      <c r="Z340" s="158">
        <v>642</v>
      </c>
      <c r="AA340" s="158">
        <f t="shared" si="63"/>
        <v>-160.5</v>
      </c>
      <c r="AB340" s="167">
        <v>0</v>
      </c>
      <c r="AC340" s="168">
        <f t="shared" si="64"/>
        <v>642</v>
      </c>
      <c r="AD340" s="158">
        <v>481.5</v>
      </c>
      <c r="AE340" s="159">
        <v>0</v>
      </c>
      <c r="AF340" s="158">
        <f t="shared" si="58"/>
        <v>0</v>
      </c>
      <c r="AG340" s="152"/>
      <c r="AH340" s="152"/>
      <c r="AI340" s="152"/>
      <c r="AJ340" s="156">
        <v>0</v>
      </c>
      <c r="AK340" s="152"/>
      <c r="AL340" s="140" t="s">
        <v>269</v>
      </c>
      <c r="AM340" s="152" t="s">
        <v>208</v>
      </c>
      <c r="AN340" s="140" t="s">
        <v>541</v>
      </c>
    </row>
    <row r="341" s="140" customFormat="1" ht="15" hidden="1" customHeight="1" spans="1:39">
      <c r="A341" s="140">
        <v>2017</v>
      </c>
      <c r="B341" s="152" t="s">
        <v>333</v>
      </c>
      <c r="C341" s="140" t="s">
        <v>39</v>
      </c>
      <c r="D341" s="152"/>
      <c r="E341" s="152"/>
      <c r="F341" s="152" t="s">
        <v>334</v>
      </c>
      <c r="G341" s="152" t="s">
        <v>335</v>
      </c>
      <c r="H341" s="152" t="s">
        <v>335</v>
      </c>
      <c r="I341" s="152" t="s">
        <v>243</v>
      </c>
      <c r="J341" s="140" t="s">
        <v>244</v>
      </c>
      <c r="K341" s="140" t="s">
        <v>266</v>
      </c>
      <c r="L341" s="140" t="s">
        <v>519</v>
      </c>
      <c r="M341" s="140" t="s">
        <v>46</v>
      </c>
      <c r="N341" s="156">
        <v>0</v>
      </c>
      <c r="O341" s="156" t="s">
        <v>47</v>
      </c>
      <c r="P341" s="156"/>
      <c r="Q341" s="158">
        <v>0</v>
      </c>
      <c r="R341" s="158">
        <v>0</v>
      </c>
      <c r="S341" s="152"/>
      <c r="T341" s="158">
        <f t="shared" si="61"/>
        <v>0</v>
      </c>
      <c r="U341" s="158">
        <f t="shared" si="65"/>
        <v>0</v>
      </c>
      <c r="V341" s="158">
        <v>6246</v>
      </c>
      <c r="W341" s="158">
        <f t="shared" si="66"/>
        <v>-6246</v>
      </c>
      <c r="X341" s="158">
        <f t="shared" si="62"/>
        <v>-6246</v>
      </c>
      <c r="Y341" s="158">
        <f t="shared" si="67"/>
        <v>0</v>
      </c>
      <c r="Z341" s="158">
        <v>10410</v>
      </c>
      <c r="AA341" s="158">
        <f t="shared" si="63"/>
        <v>-4164</v>
      </c>
      <c r="AB341" s="167">
        <f>IF(O341="返货",Z341/(1+N341),IF(O341="返现",Z341,IF(O341="折扣",Z341*N341,IF(O341="无",Z341))))</f>
        <v>10410</v>
      </c>
      <c r="AC341" s="168">
        <f t="shared" si="64"/>
        <v>0</v>
      </c>
      <c r="AD341" s="158">
        <v>6246</v>
      </c>
      <c r="AE341" s="159">
        <v>0</v>
      </c>
      <c r="AF341" s="158">
        <f t="shared" si="58"/>
        <v>0</v>
      </c>
      <c r="AG341" s="152"/>
      <c r="AH341" s="152"/>
      <c r="AI341" s="152"/>
      <c r="AJ341" s="156" t="s">
        <v>47</v>
      </c>
      <c r="AK341" s="152"/>
      <c r="AL341" s="140" t="s">
        <v>269</v>
      </c>
      <c r="AM341" s="152" t="s">
        <v>208</v>
      </c>
    </row>
    <row r="342" s="140" customFormat="1" ht="15" hidden="1" customHeight="1" spans="1:39">
      <c r="A342" s="140">
        <v>2017</v>
      </c>
      <c r="B342" s="152" t="s">
        <v>38</v>
      </c>
      <c r="C342" s="140" t="s">
        <v>54</v>
      </c>
      <c r="D342" s="152"/>
      <c r="E342" s="152"/>
      <c r="F342" s="152" t="s">
        <v>531</v>
      </c>
      <c r="G342" s="152" t="s">
        <v>532</v>
      </c>
      <c r="H342" s="152" t="s">
        <v>532</v>
      </c>
      <c r="I342" s="152" t="s">
        <v>243</v>
      </c>
      <c r="J342" s="140" t="s">
        <v>244</v>
      </c>
      <c r="K342" s="140" t="s">
        <v>266</v>
      </c>
      <c r="L342" s="140" t="s">
        <v>531</v>
      </c>
      <c r="M342" s="140" t="s">
        <v>46</v>
      </c>
      <c r="N342" s="181">
        <v>0</v>
      </c>
      <c r="O342" s="156" t="s">
        <v>47</v>
      </c>
      <c r="P342" s="156"/>
      <c r="Q342" s="158">
        <v>0</v>
      </c>
      <c r="R342" s="158">
        <v>0</v>
      </c>
      <c r="S342" s="152"/>
      <c r="T342" s="158">
        <f t="shared" si="61"/>
        <v>0</v>
      </c>
      <c r="U342" s="158">
        <f t="shared" si="65"/>
        <v>0</v>
      </c>
      <c r="V342" s="158">
        <v>147</v>
      </c>
      <c r="W342" s="158">
        <f t="shared" si="66"/>
        <v>-147</v>
      </c>
      <c r="X342" s="158">
        <f t="shared" si="62"/>
        <v>-147</v>
      </c>
      <c r="Y342" s="158">
        <f t="shared" si="67"/>
        <v>0</v>
      </c>
      <c r="Z342" s="158">
        <v>245</v>
      </c>
      <c r="AA342" s="158">
        <f t="shared" si="63"/>
        <v>-98</v>
      </c>
      <c r="AB342" s="167">
        <f>IF(O342="返货",Z342/(1+N342),IF(O342="返现",Z342,IF(O342="折扣",Z342*N342,IF(O342="无",Z342))))</f>
        <v>245</v>
      </c>
      <c r="AC342" s="168">
        <f t="shared" si="64"/>
        <v>0</v>
      </c>
      <c r="AD342" s="158">
        <v>147</v>
      </c>
      <c r="AE342" s="159">
        <v>0</v>
      </c>
      <c r="AF342" s="158">
        <f t="shared" si="58"/>
        <v>0</v>
      </c>
      <c r="AG342" s="152"/>
      <c r="AH342" s="152"/>
      <c r="AI342" s="152"/>
      <c r="AJ342" s="157" t="s">
        <v>47</v>
      </c>
      <c r="AK342" s="152"/>
      <c r="AL342" s="140" t="s">
        <v>269</v>
      </c>
      <c r="AM342" s="152" t="s">
        <v>208</v>
      </c>
    </row>
    <row r="343" s="140" customFormat="1" ht="15" hidden="1" customHeight="1" spans="1:40">
      <c r="A343" s="140">
        <v>2017</v>
      </c>
      <c r="B343" s="152" t="s">
        <v>38</v>
      </c>
      <c r="C343" s="140" t="s">
        <v>59</v>
      </c>
      <c r="D343" s="152" t="s">
        <v>106</v>
      </c>
      <c r="E343" s="152" t="s">
        <v>107</v>
      </c>
      <c r="F343" s="152" t="s">
        <v>542</v>
      </c>
      <c r="G343" s="152"/>
      <c r="H343" s="152"/>
      <c r="I343" s="152" t="s">
        <v>243</v>
      </c>
      <c r="J343" s="140" t="s">
        <v>244</v>
      </c>
      <c r="K343" s="140" t="s">
        <v>266</v>
      </c>
      <c r="L343" s="140" t="s">
        <v>542</v>
      </c>
      <c r="M343" s="140" t="s">
        <v>46</v>
      </c>
      <c r="N343" s="182">
        <v>0</v>
      </c>
      <c r="O343" s="156" t="s">
        <v>47</v>
      </c>
      <c r="P343" s="156"/>
      <c r="Q343" s="158">
        <v>0</v>
      </c>
      <c r="R343" s="158">
        <v>0</v>
      </c>
      <c r="S343" s="152"/>
      <c r="T343" s="158">
        <f t="shared" si="61"/>
        <v>0</v>
      </c>
      <c r="U343" s="158">
        <f t="shared" si="65"/>
        <v>0</v>
      </c>
      <c r="V343" s="158">
        <v>6756</v>
      </c>
      <c r="W343" s="158">
        <f t="shared" si="66"/>
        <v>-6756</v>
      </c>
      <c r="X343" s="158">
        <f t="shared" si="62"/>
        <v>-6756</v>
      </c>
      <c r="Y343" s="158">
        <f t="shared" si="67"/>
        <v>0</v>
      </c>
      <c r="Z343" s="158">
        <v>9008</v>
      </c>
      <c r="AA343" s="158">
        <f t="shared" si="63"/>
        <v>-2252</v>
      </c>
      <c r="AB343" s="167">
        <v>0</v>
      </c>
      <c r="AC343" s="168">
        <f t="shared" si="64"/>
        <v>9008</v>
      </c>
      <c r="AD343" s="158">
        <v>6756</v>
      </c>
      <c r="AE343" s="159">
        <v>0</v>
      </c>
      <c r="AF343" s="158">
        <f t="shared" si="58"/>
        <v>0</v>
      </c>
      <c r="AG343" s="152"/>
      <c r="AH343" s="152"/>
      <c r="AI343" s="152"/>
      <c r="AJ343" s="156">
        <v>0</v>
      </c>
      <c r="AK343" s="152"/>
      <c r="AL343" s="140" t="s">
        <v>269</v>
      </c>
      <c r="AM343" s="152" t="s">
        <v>208</v>
      </c>
      <c r="AN343" s="140" t="s">
        <v>537</v>
      </c>
    </row>
    <row r="344" s="140" customFormat="1" ht="15" hidden="1" customHeight="1" spans="1:39">
      <c r="A344" s="140">
        <v>2017</v>
      </c>
      <c r="B344" s="152" t="s">
        <v>38</v>
      </c>
      <c r="C344" s="140" t="s">
        <v>39</v>
      </c>
      <c r="D344" s="152"/>
      <c r="E344" s="152"/>
      <c r="F344" s="152" t="s">
        <v>329</v>
      </c>
      <c r="G344" s="152" t="s">
        <v>329</v>
      </c>
      <c r="H344" s="152" t="s">
        <v>329</v>
      </c>
      <c r="I344" s="152" t="s">
        <v>243</v>
      </c>
      <c r="J344" s="140" t="s">
        <v>244</v>
      </c>
      <c r="K344" s="140" t="s">
        <v>266</v>
      </c>
      <c r="L344" s="140" t="s">
        <v>329</v>
      </c>
      <c r="M344" s="140" t="s">
        <v>46</v>
      </c>
      <c r="N344" s="156">
        <v>0</v>
      </c>
      <c r="O344" s="156" t="s">
        <v>47</v>
      </c>
      <c r="P344" s="156"/>
      <c r="Q344" s="158">
        <v>0</v>
      </c>
      <c r="R344" s="158">
        <v>0</v>
      </c>
      <c r="S344" s="152"/>
      <c r="T344" s="158">
        <f t="shared" si="61"/>
        <v>0</v>
      </c>
      <c r="U344" s="158">
        <f t="shared" si="65"/>
        <v>0</v>
      </c>
      <c r="V344" s="158">
        <v>6988.5</v>
      </c>
      <c r="W344" s="158">
        <f t="shared" si="66"/>
        <v>-6988.5</v>
      </c>
      <c r="X344" s="158">
        <f t="shared" si="62"/>
        <v>-6988.5</v>
      </c>
      <c r="Y344" s="158">
        <f t="shared" si="67"/>
        <v>0</v>
      </c>
      <c r="Z344" s="158">
        <v>9318</v>
      </c>
      <c r="AA344" s="158">
        <f t="shared" si="63"/>
        <v>-2329.5</v>
      </c>
      <c r="AB344" s="167">
        <f t="shared" ref="AB344:AB375" si="69">IF(O344="返货",Z344/(1+N344),IF(O344="返现",Z344,IF(O344="折扣",Z344*N344,IF(O344="无",Z344))))</f>
        <v>9318</v>
      </c>
      <c r="AC344" s="168">
        <f t="shared" si="64"/>
        <v>0</v>
      </c>
      <c r="AD344" s="158">
        <v>6988.5</v>
      </c>
      <c r="AE344" s="159">
        <v>0</v>
      </c>
      <c r="AF344" s="158">
        <f t="shared" si="58"/>
        <v>0</v>
      </c>
      <c r="AG344" s="152"/>
      <c r="AH344" s="152"/>
      <c r="AI344" s="152"/>
      <c r="AJ344" s="157">
        <v>0</v>
      </c>
      <c r="AK344" s="152"/>
      <c r="AL344" s="140" t="s">
        <v>269</v>
      </c>
      <c r="AM344" s="152" t="s">
        <v>208</v>
      </c>
    </row>
    <row r="345" s="140" customFormat="1" ht="15" hidden="1" customHeight="1" spans="1:39">
      <c r="A345" s="140">
        <v>2017</v>
      </c>
      <c r="B345" s="152" t="s">
        <v>199</v>
      </c>
      <c r="C345" s="140" t="s">
        <v>54</v>
      </c>
      <c r="D345" s="152"/>
      <c r="E345" s="152"/>
      <c r="F345" s="152" t="s">
        <v>242</v>
      </c>
      <c r="G345" s="152" t="s">
        <v>371</v>
      </c>
      <c r="H345" s="179" t="s">
        <v>372</v>
      </c>
      <c r="I345" s="152" t="s">
        <v>243</v>
      </c>
      <c r="J345" s="140" t="s">
        <v>244</v>
      </c>
      <c r="K345" s="140" t="s">
        <v>266</v>
      </c>
      <c r="L345" s="140" t="s">
        <v>242</v>
      </c>
      <c r="M345" s="140" t="s">
        <v>46</v>
      </c>
      <c r="N345" s="156">
        <v>0</v>
      </c>
      <c r="O345" s="156" t="s">
        <v>47</v>
      </c>
      <c r="P345" s="156"/>
      <c r="Q345" s="158">
        <v>0</v>
      </c>
      <c r="R345" s="158">
        <v>0</v>
      </c>
      <c r="S345" s="152"/>
      <c r="T345" s="158">
        <f t="shared" si="61"/>
        <v>0</v>
      </c>
      <c r="U345" s="158">
        <f t="shared" si="65"/>
        <v>0</v>
      </c>
      <c r="V345" s="158">
        <v>6561</v>
      </c>
      <c r="W345" s="158">
        <f t="shared" si="66"/>
        <v>-6561</v>
      </c>
      <c r="X345" s="158">
        <f t="shared" si="62"/>
        <v>-6561</v>
      </c>
      <c r="Y345" s="158">
        <f t="shared" si="67"/>
        <v>0</v>
      </c>
      <c r="Z345" s="158">
        <v>10935</v>
      </c>
      <c r="AA345" s="158">
        <f t="shared" si="63"/>
        <v>-4374</v>
      </c>
      <c r="AB345" s="167">
        <f t="shared" si="69"/>
        <v>10935</v>
      </c>
      <c r="AC345" s="168">
        <f t="shared" si="64"/>
        <v>0</v>
      </c>
      <c r="AD345" s="158">
        <v>6561</v>
      </c>
      <c r="AE345" s="159">
        <v>0</v>
      </c>
      <c r="AF345" s="158">
        <f t="shared" si="58"/>
        <v>0</v>
      </c>
      <c r="AG345" s="152"/>
      <c r="AH345" s="152"/>
      <c r="AI345" s="152"/>
      <c r="AJ345" s="157">
        <v>0</v>
      </c>
      <c r="AK345" s="152"/>
      <c r="AL345" s="140" t="s">
        <v>269</v>
      </c>
      <c r="AM345" s="152" t="s">
        <v>208</v>
      </c>
    </row>
    <row r="346" s="140" customFormat="1" ht="15" hidden="1" customHeight="1" spans="1:39">
      <c r="A346" s="140">
        <v>2017</v>
      </c>
      <c r="B346" s="152" t="s">
        <v>38</v>
      </c>
      <c r="C346" s="140" t="s">
        <v>39</v>
      </c>
      <c r="D346" s="152"/>
      <c r="E346" s="152"/>
      <c r="F346" s="140" t="s">
        <v>327</v>
      </c>
      <c r="G346" s="152" t="s">
        <v>327</v>
      </c>
      <c r="H346" s="152" t="s">
        <v>327</v>
      </c>
      <c r="I346" s="152" t="s">
        <v>243</v>
      </c>
      <c r="J346" s="140" t="s">
        <v>244</v>
      </c>
      <c r="K346" s="140" t="s">
        <v>266</v>
      </c>
      <c r="L346" s="140" t="s">
        <v>543</v>
      </c>
      <c r="M346" s="140" t="s">
        <v>46</v>
      </c>
      <c r="N346" s="182">
        <v>0</v>
      </c>
      <c r="O346" s="156" t="s">
        <v>47</v>
      </c>
      <c r="P346" s="156"/>
      <c r="Q346" s="158">
        <v>0</v>
      </c>
      <c r="R346" s="158">
        <v>0</v>
      </c>
      <c r="S346" s="152"/>
      <c r="T346" s="158">
        <f t="shared" si="61"/>
        <v>0</v>
      </c>
      <c r="U346" s="158">
        <f t="shared" si="65"/>
        <v>0</v>
      </c>
      <c r="V346" s="158">
        <v>3168</v>
      </c>
      <c r="W346" s="158">
        <f t="shared" si="66"/>
        <v>-3168</v>
      </c>
      <c r="X346" s="158">
        <f t="shared" si="62"/>
        <v>-3168</v>
      </c>
      <c r="Y346" s="158">
        <f t="shared" si="67"/>
        <v>0</v>
      </c>
      <c r="Z346" s="158">
        <v>5061.5</v>
      </c>
      <c r="AA346" s="158">
        <f t="shared" si="63"/>
        <v>-1893.5</v>
      </c>
      <c r="AB346" s="167">
        <f t="shared" si="69"/>
        <v>5061.5</v>
      </c>
      <c r="AC346" s="168">
        <f t="shared" si="64"/>
        <v>0</v>
      </c>
      <c r="AD346" s="158">
        <v>3168</v>
      </c>
      <c r="AE346" s="159">
        <v>0</v>
      </c>
      <c r="AF346" s="158">
        <f t="shared" si="58"/>
        <v>0</v>
      </c>
      <c r="AG346" s="152"/>
      <c r="AH346" s="152"/>
      <c r="AI346" s="152"/>
      <c r="AJ346" s="156" t="e">
        <v>#N/A</v>
      </c>
      <c r="AK346" s="152"/>
      <c r="AL346" s="140" t="s">
        <v>269</v>
      </c>
      <c r="AM346" s="152" t="s">
        <v>208</v>
      </c>
    </row>
    <row r="347" s="140" customFormat="1" ht="15" hidden="1" customHeight="1" spans="1:39">
      <c r="A347" s="140">
        <v>2017</v>
      </c>
      <c r="B347" s="152" t="s">
        <v>38</v>
      </c>
      <c r="C347" s="140" t="s">
        <v>75</v>
      </c>
      <c r="D347" s="152"/>
      <c r="E347" s="152"/>
      <c r="F347" s="152" t="s">
        <v>251</v>
      </c>
      <c r="G347" s="152" t="s">
        <v>251</v>
      </c>
      <c r="H347" s="152" t="s">
        <v>251</v>
      </c>
      <c r="I347" s="152" t="s">
        <v>243</v>
      </c>
      <c r="J347" s="140" t="s">
        <v>244</v>
      </c>
      <c r="K347" s="140" t="s">
        <v>266</v>
      </c>
      <c r="L347" s="140" t="s">
        <v>251</v>
      </c>
      <c r="M347" s="140" t="s">
        <v>46</v>
      </c>
      <c r="N347" s="156">
        <v>0</v>
      </c>
      <c r="O347" s="156" t="s">
        <v>47</v>
      </c>
      <c r="P347" s="156"/>
      <c r="Q347" s="158">
        <v>0</v>
      </c>
      <c r="R347" s="158">
        <v>0</v>
      </c>
      <c r="S347" s="152"/>
      <c r="T347" s="158">
        <f t="shared" si="61"/>
        <v>0</v>
      </c>
      <c r="U347" s="158">
        <f t="shared" si="65"/>
        <v>0</v>
      </c>
      <c r="V347" s="158">
        <v>5443.5</v>
      </c>
      <c r="W347" s="158">
        <f t="shared" si="66"/>
        <v>-5443.5</v>
      </c>
      <c r="X347" s="158">
        <f t="shared" si="62"/>
        <v>-5443.5</v>
      </c>
      <c r="Y347" s="158">
        <f t="shared" si="67"/>
        <v>0</v>
      </c>
      <c r="Z347" s="158">
        <v>7258</v>
      </c>
      <c r="AA347" s="158">
        <f t="shared" si="63"/>
        <v>-1814.5</v>
      </c>
      <c r="AB347" s="167">
        <f t="shared" si="69"/>
        <v>7258</v>
      </c>
      <c r="AC347" s="168">
        <f t="shared" si="64"/>
        <v>0</v>
      </c>
      <c r="AD347" s="158">
        <v>5443.5</v>
      </c>
      <c r="AE347" s="159">
        <v>0</v>
      </c>
      <c r="AF347" s="158">
        <f t="shared" si="58"/>
        <v>0</v>
      </c>
      <c r="AG347" s="152"/>
      <c r="AH347" s="152"/>
      <c r="AI347" s="152"/>
      <c r="AJ347" s="156" t="s">
        <v>47</v>
      </c>
      <c r="AK347" s="152"/>
      <c r="AL347" s="140" t="s">
        <v>269</v>
      </c>
      <c r="AM347" s="152" t="s">
        <v>208</v>
      </c>
    </row>
    <row r="348" s="140" customFormat="1" ht="15" hidden="1" customHeight="1" spans="1:39">
      <c r="A348" s="140">
        <v>2017</v>
      </c>
      <c r="B348" s="152" t="s">
        <v>38</v>
      </c>
      <c r="C348" s="140" t="s">
        <v>59</v>
      </c>
      <c r="D348" s="152"/>
      <c r="E348" s="152"/>
      <c r="F348" s="152" t="s">
        <v>274</v>
      </c>
      <c r="G348" s="152" t="s">
        <v>274</v>
      </c>
      <c r="H348" s="152" t="s">
        <v>274</v>
      </c>
      <c r="I348" s="152" t="s">
        <v>243</v>
      </c>
      <c r="J348" s="140" t="s">
        <v>244</v>
      </c>
      <c r="K348" s="140" t="s">
        <v>266</v>
      </c>
      <c r="L348" s="140" t="s">
        <v>274</v>
      </c>
      <c r="M348" s="140" t="s">
        <v>46</v>
      </c>
      <c r="N348" s="156">
        <v>0</v>
      </c>
      <c r="O348" s="156" t="s">
        <v>47</v>
      </c>
      <c r="P348" s="156"/>
      <c r="Q348" s="158">
        <v>0</v>
      </c>
      <c r="R348" s="158">
        <v>0</v>
      </c>
      <c r="S348" s="152"/>
      <c r="T348" s="158">
        <f t="shared" si="61"/>
        <v>0</v>
      </c>
      <c r="U348" s="158">
        <f t="shared" si="65"/>
        <v>0</v>
      </c>
      <c r="V348" s="158">
        <v>6721.5</v>
      </c>
      <c r="W348" s="158">
        <f t="shared" si="66"/>
        <v>-6721.5</v>
      </c>
      <c r="X348" s="158">
        <f t="shared" si="62"/>
        <v>-6721.5</v>
      </c>
      <c r="Y348" s="158">
        <f t="shared" si="67"/>
        <v>0</v>
      </c>
      <c r="Z348" s="158">
        <v>9461.5</v>
      </c>
      <c r="AA348" s="158">
        <f t="shared" si="63"/>
        <v>-2740</v>
      </c>
      <c r="AB348" s="167">
        <f t="shared" si="69"/>
        <v>9461.5</v>
      </c>
      <c r="AC348" s="168">
        <f t="shared" si="64"/>
        <v>0</v>
      </c>
      <c r="AD348" s="158">
        <v>6721.5</v>
      </c>
      <c r="AE348" s="159">
        <v>0</v>
      </c>
      <c r="AF348" s="158">
        <f t="shared" si="58"/>
        <v>0</v>
      </c>
      <c r="AG348" s="152"/>
      <c r="AH348" s="152"/>
      <c r="AI348" s="152"/>
      <c r="AJ348" s="157">
        <v>0</v>
      </c>
      <c r="AK348" s="152"/>
      <c r="AL348" s="140" t="s">
        <v>269</v>
      </c>
      <c r="AM348" s="152" t="s">
        <v>208</v>
      </c>
    </row>
    <row r="349" s="140" customFormat="1" ht="15" hidden="1" customHeight="1" spans="1:39">
      <c r="A349" s="140">
        <v>2017</v>
      </c>
      <c r="B349" s="152" t="s">
        <v>199</v>
      </c>
      <c r="C349" s="140" t="s">
        <v>54</v>
      </c>
      <c r="D349" s="152"/>
      <c r="E349" s="152"/>
      <c r="F349" s="152" t="s">
        <v>242</v>
      </c>
      <c r="G349" s="152" t="s">
        <v>371</v>
      </c>
      <c r="H349" s="179" t="s">
        <v>372</v>
      </c>
      <c r="I349" s="152" t="s">
        <v>243</v>
      </c>
      <c r="J349" s="140" t="s">
        <v>244</v>
      </c>
      <c r="K349" s="140" t="s">
        <v>266</v>
      </c>
      <c r="L349" s="140" t="s">
        <v>242</v>
      </c>
      <c r="M349" s="140" t="s">
        <v>46</v>
      </c>
      <c r="N349" s="156">
        <v>0</v>
      </c>
      <c r="O349" s="156" t="s">
        <v>47</v>
      </c>
      <c r="P349" s="156"/>
      <c r="Q349" s="158">
        <v>0</v>
      </c>
      <c r="R349" s="158">
        <v>0</v>
      </c>
      <c r="S349" s="152"/>
      <c r="T349" s="158">
        <f t="shared" si="61"/>
        <v>0</v>
      </c>
      <c r="U349" s="158">
        <f t="shared" si="65"/>
        <v>0</v>
      </c>
      <c r="V349" s="158">
        <v>30115.5</v>
      </c>
      <c r="W349" s="158">
        <f t="shared" si="66"/>
        <v>-30115.5</v>
      </c>
      <c r="X349" s="158">
        <f t="shared" si="62"/>
        <v>-30115.5</v>
      </c>
      <c r="Y349" s="158">
        <f t="shared" si="67"/>
        <v>0</v>
      </c>
      <c r="Z349" s="158">
        <v>50192.5</v>
      </c>
      <c r="AA349" s="158">
        <f t="shared" si="63"/>
        <v>-20077</v>
      </c>
      <c r="AB349" s="167">
        <f t="shared" si="69"/>
        <v>50192.5</v>
      </c>
      <c r="AC349" s="168">
        <f t="shared" si="64"/>
        <v>0</v>
      </c>
      <c r="AD349" s="158">
        <v>30115.5</v>
      </c>
      <c r="AE349" s="159">
        <v>0</v>
      </c>
      <c r="AF349" s="158">
        <f t="shared" si="58"/>
        <v>0</v>
      </c>
      <c r="AG349" s="152"/>
      <c r="AH349" s="152"/>
      <c r="AI349" s="152"/>
      <c r="AJ349" s="157">
        <v>0</v>
      </c>
      <c r="AK349" s="152"/>
      <c r="AL349" s="140" t="s">
        <v>269</v>
      </c>
      <c r="AM349" s="152" t="s">
        <v>208</v>
      </c>
    </row>
    <row r="350" s="140" customFormat="1" ht="15" hidden="1" customHeight="1" spans="1:39">
      <c r="A350" s="140">
        <v>2017</v>
      </c>
      <c r="B350" s="152" t="s">
        <v>38</v>
      </c>
      <c r="C350" s="140" t="s">
        <v>59</v>
      </c>
      <c r="D350" s="152"/>
      <c r="E350" s="152"/>
      <c r="F350" s="152" t="s">
        <v>355</v>
      </c>
      <c r="G350" s="152" t="s">
        <v>355</v>
      </c>
      <c r="H350" s="152" t="s">
        <v>355</v>
      </c>
      <c r="I350" s="152" t="s">
        <v>243</v>
      </c>
      <c r="J350" s="140" t="s">
        <v>244</v>
      </c>
      <c r="K350" s="140" t="s">
        <v>266</v>
      </c>
      <c r="L350" s="140" t="s">
        <v>544</v>
      </c>
      <c r="M350" s="140" t="s">
        <v>46</v>
      </c>
      <c r="N350" s="182">
        <v>0</v>
      </c>
      <c r="O350" s="156" t="s">
        <v>47</v>
      </c>
      <c r="P350" s="156"/>
      <c r="Q350" s="158">
        <v>0</v>
      </c>
      <c r="R350" s="158">
        <v>0</v>
      </c>
      <c r="S350" s="152"/>
      <c r="T350" s="158">
        <f t="shared" si="61"/>
        <v>0</v>
      </c>
      <c r="U350" s="158">
        <f t="shared" si="65"/>
        <v>0</v>
      </c>
      <c r="V350" s="158">
        <v>17676</v>
      </c>
      <c r="W350" s="158">
        <f t="shared" si="66"/>
        <v>-17676</v>
      </c>
      <c r="X350" s="158">
        <f t="shared" si="62"/>
        <v>-17676</v>
      </c>
      <c r="Y350" s="158">
        <f t="shared" si="67"/>
        <v>0</v>
      </c>
      <c r="Z350" s="158">
        <v>23568</v>
      </c>
      <c r="AA350" s="158">
        <f t="shared" si="63"/>
        <v>-5892</v>
      </c>
      <c r="AB350" s="167">
        <f t="shared" si="69"/>
        <v>23568</v>
      </c>
      <c r="AC350" s="168">
        <f t="shared" si="64"/>
        <v>0</v>
      </c>
      <c r="AD350" s="158">
        <v>17676</v>
      </c>
      <c r="AE350" s="159">
        <v>0</v>
      </c>
      <c r="AF350" s="158">
        <f t="shared" si="58"/>
        <v>0</v>
      </c>
      <c r="AG350" s="152"/>
      <c r="AH350" s="152"/>
      <c r="AI350" s="152"/>
      <c r="AJ350" s="156">
        <v>0</v>
      </c>
      <c r="AK350" s="152"/>
      <c r="AL350" s="140" t="s">
        <v>269</v>
      </c>
      <c r="AM350" s="152" t="s">
        <v>208</v>
      </c>
    </row>
    <row r="351" s="140" customFormat="1" ht="15" hidden="1" customHeight="1" spans="1:39">
      <c r="A351" s="140">
        <v>2017</v>
      </c>
      <c r="B351" s="152" t="s">
        <v>199</v>
      </c>
      <c r="C351" s="140" t="s">
        <v>54</v>
      </c>
      <c r="D351" s="152"/>
      <c r="E351" s="152"/>
      <c r="F351" s="152" t="s">
        <v>389</v>
      </c>
      <c r="G351" s="152" t="s">
        <v>390</v>
      </c>
      <c r="H351" s="179" t="s">
        <v>391</v>
      </c>
      <c r="I351" s="152" t="s">
        <v>243</v>
      </c>
      <c r="J351" s="140" t="s">
        <v>244</v>
      </c>
      <c r="K351" s="140" t="s">
        <v>266</v>
      </c>
      <c r="L351" s="140" t="s">
        <v>389</v>
      </c>
      <c r="M351" s="140" t="s">
        <v>46</v>
      </c>
      <c r="N351" s="156">
        <v>0</v>
      </c>
      <c r="O351" s="156" t="s">
        <v>47</v>
      </c>
      <c r="P351" s="156"/>
      <c r="Q351" s="158">
        <v>0</v>
      </c>
      <c r="R351" s="158">
        <v>0</v>
      </c>
      <c r="S351" s="152"/>
      <c r="T351" s="158">
        <f t="shared" si="61"/>
        <v>0</v>
      </c>
      <c r="U351" s="158">
        <f t="shared" si="65"/>
        <v>0</v>
      </c>
      <c r="V351" s="158">
        <v>237643.5</v>
      </c>
      <c r="W351" s="158">
        <f t="shared" si="66"/>
        <v>-237643.5</v>
      </c>
      <c r="X351" s="158">
        <f t="shared" si="62"/>
        <v>-237643.5</v>
      </c>
      <c r="Y351" s="158">
        <f t="shared" si="67"/>
        <v>0</v>
      </c>
      <c r="Z351" s="158">
        <v>331486</v>
      </c>
      <c r="AA351" s="158">
        <f t="shared" si="63"/>
        <v>-93842.5</v>
      </c>
      <c r="AB351" s="167">
        <f t="shared" si="69"/>
        <v>331486</v>
      </c>
      <c r="AC351" s="168">
        <f t="shared" si="64"/>
        <v>0</v>
      </c>
      <c r="AD351" s="158">
        <v>237643.5</v>
      </c>
      <c r="AE351" s="159">
        <v>0</v>
      </c>
      <c r="AF351" s="158">
        <f t="shared" si="58"/>
        <v>0</v>
      </c>
      <c r="AG351" s="152"/>
      <c r="AH351" s="152"/>
      <c r="AI351" s="152"/>
      <c r="AJ351" s="156" t="s">
        <v>47</v>
      </c>
      <c r="AK351" s="152"/>
      <c r="AL351" s="140" t="s">
        <v>269</v>
      </c>
      <c r="AM351" s="152" t="s">
        <v>208</v>
      </c>
    </row>
    <row r="352" s="140" customFormat="1" ht="15" hidden="1" customHeight="1" spans="1:39">
      <c r="A352" s="140">
        <v>2017</v>
      </c>
      <c r="B352" s="140" t="s">
        <v>38</v>
      </c>
      <c r="C352" s="140" t="s">
        <v>54</v>
      </c>
      <c r="D352" s="152"/>
      <c r="E352" s="152"/>
      <c r="F352" s="152" t="s">
        <v>376</v>
      </c>
      <c r="G352" s="152" t="s">
        <v>376</v>
      </c>
      <c r="H352" s="152" t="s">
        <v>376</v>
      </c>
      <c r="I352" s="152" t="s">
        <v>243</v>
      </c>
      <c r="J352" s="140" t="s">
        <v>244</v>
      </c>
      <c r="K352" s="140" t="s">
        <v>245</v>
      </c>
      <c r="L352" s="140" t="s">
        <v>377</v>
      </c>
      <c r="M352" s="140" t="s">
        <v>46</v>
      </c>
      <c r="N352" s="156">
        <v>0</v>
      </c>
      <c r="O352" s="156" t="s">
        <v>47</v>
      </c>
      <c r="P352" s="156"/>
      <c r="Q352" s="158">
        <v>0</v>
      </c>
      <c r="T352" s="158">
        <f t="shared" si="61"/>
        <v>0</v>
      </c>
      <c r="U352" s="158">
        <f t="shared" si="65"/>
        <v>0</v>
      </c>
      <c r="V352" s="158">
        <v>15000</v>
      </c>
      <c r="W352" s="158">
        <f t="shared" si="66"/>
        <v>-15000</v>
      </c>
      <c r="X352" s="158">
        <f t="shared" si="62"/>
        <v>-15000</v>
      </c>
      <c r="Y352" s="158">
        <f t="shared" si="67"/>
        <v>0</v>
      </c>
      <c r="Z352" s="158">
        <v>5259.3</v>
      </c>
      <c r="AA352" s="158">
        <f t="shared" si="63"/>
        <v>9740.7</v>
      </c>
      <c r="AB352" s="167">
        <f t="shared" si="69"/>
        <v>5259.3</v>
      </c>
      <c r="AC352" s="168">
        <f t="shared" si="64"/>
        <v>0</v>
      </c>
      <c r="AD352" s="158">
        <v>4408.70053192173</v>
      </c>
      <c r="AE352" s="159">
        <v>0.176470588235294</v>
      </c>
      <c r="AF352" s="158">
        <f t="shared" si="58"/>
        <v>778.005976221481</v>
      </c>
      <c r="AG352" s="152"/>
      <c r="AH352" s="152"/>
      <c r="AI352" s="152"/>
      <c r="AJ352" s="157">
        <v>0</v>
      </c>
      <c r="AK352" s="152"/>
      <c r="AL352" s="152"/>
      <c r="AM352" s="152" t="s">
        <v>208</v>
      </c>
    </row>
    <row r="353" s="140" customFormat="1" ht="15" hidden="1" customHeight="1" spans="1:39">
      <c r="A353" s="140">
        <v>2017</v>
      </c>
      <c r="B353" s="152" t="s">
        <v>38</v>
      </c>
      <c r="C353" s="140" t="s">
        <v>433</v>
      </c>
      <c r="D353" s="152"/>
      <c r="E353" s="152"/>
      <c r="F353" s="152" t="s">
        <v>264</v>
      </c>
      <c r="G353" s="152" t="s">
        <v>265</v>
      </c>
      <c r="H353" s="152" t="s">
        <v>265</v>
      </c>
      <c r="I353" s="152" t="s">
        <v>243</v>
      </c>
      <c r="J353" s="140" t="s">
        <v>244</v>
      </c>
      <c r="K353" s="140" t="s">
        <v>245</v>
      </c>
      <c r="L353" s="140" t="s">
        <v>533</v>
      </c>
      <c r="M353" s="140" t="s">
        <v>46</v>
      </c>
      <c r="N353" s="157">
        <v>0.02</v>
      </c>
      <c r="O353" s="156" t="s">
        <v>51</v>
      </c>
      <c r="P353" s="156"/>
      <c r="Q353" s="158">
        <v>0</v>
      </c>
      <c r="T353" s="158">
        <f t="shared" si="61"/>
        <v>0</v>
      </c>
      <c r="U353" s="158">
        <f t="shared" si="65"/>
        <v>0</v>
      </c>
      <c r="V353" s="158">
        <v>299731</v>
      </c>
      <c r="W353" s="158">
        <f t="shared" si="66"/>
        <v>-299731</v>
      </c>
      <c r="X353" s="158">
        <f t="shared" si="62"/>
        <v>-293853.921568627</v>
      </c>
      <c r="Y353" s="158">
        <f t="shared" si="67"/>
        <v>-5877.07843137253</v>
      </c>
      <c r="Z353" s="158">
        <v>284897.8</v>
      </c>
      <c r="AA353" s="158">
        <f t="shared" si="63"/>
        <v>14833.2</v>
      </c>
      <c r="AB353" s="167">
        <f t="shared" si="69"/>
        <v>279311.568627451</v>
      </c>
      <c r="AC353" s="168">
        <f t="shared" si="64"/>
        <v>5586.23137254902</v>
      </c>
      <c r="AD353" s="158">
        <v>238820.58114261</v>
      </c>
      <c r="AE353" s="159">
        <v>0.176470588235294</v>
      </c>
      <c r="AF353" s="158">
        <f t="shared" si="58"/>
        <v>42144.8084369311</v>
      </c>
      <c r="AG353" s="152"/>
      <c r="AH353" s="152"/>
      <c r="AI353" s="152"/>
      <c r="AJ353" s="156" t="s">
        <v>173</v>
      </c>
      <c r="AK353" s="152"/>
      <c r="AL353" s="152"/>
      <c r="AM353" s="152" t="s">
        <v>208</v>
      </c>
    </row>
    <row r="354" s="140" customFormat="1" ht="15" hidden="1" customHeight="1" spans="1:39">
      <c r="A354" s="140">
        <v>2017</v>
      </c>
      <c r="B354" s="152" t="s">
        <v>38</v>
      </c>
      <c r="C354" s="140" t="s">
        <v>39</v>
      </c>
      <c r="D354" s="152"/>
      <c r="E354" s="152"/>
      <c r="F354" s="152" t="s">
        <v>327</v>
      </c>
      <c r="G354" s="152" t="s">
        <v>327</v>
      </c>
      <c r="H354" s="152" t="s">
        <v>327</v>
      </c>
      <c r="I354" s="152" t="s">
        <v>243</v>
      </c>
      <c r="J354" s="140" t="s">
        <v>244</v>
      </c>
      <c r="K354" s="140" t="s">
        <v>245</v>
      </c>
      <c r="L354" s="140" t="s">
        <v>534</v>
      </c>
      <c r="M354" s="140" t="s">
        <v>46</v>
      </c>
      <c r="N354" s="182">
        <v>0</v>
      </c>
      <c r="O354" s="156" t="s">
        <v>47</v>
      </c>
      <c r="P354" s="156"/>
      <c r="Q354" s="158">
        <v>0</v>
      </c>
      <c r="T354" s="158">
        <f t="shared" si="61"/>
        <v>0</v>
      </c>
      <c r="U354" s="158">
        <f t="shared" si="65"/>
        <v>0</v>
      </c>
      <c r="V354" s="158">
        <v>15000</v>
      </c>
      <c r="W354" s="158">
        <f t="shared" si="66"/>
        <v>-15000</v>
      </c>
      <c r="X354" s="158">
        <f t="shared" si="62"/>
        <v>-15000</v>
      </c>
      <c r="Y354" s="158">
        <f t="shared" si="67"/>
        <v>0</v>
      </c>
      <c r="Z354" s="158">
        <v>382.5</v>
      </c>
      <c r="AA354" s="158">
        <f t="shared" si="63"/>
        <v>14617.5</v>
      </c>
      <c r="AB354" s="167">
        <f t="shared" si="69"/>
        <v>382.5</v>
      </c>
      <c r="AC354" s="168">
        <f t="shared" si="64"/>
        <v>0</v>
      </c>
      <c r="AD354" s="158">
        <v>320.637338326405</v>
      </c>
      <c r="AE354" s="159">
        <v>0.176470588235294</v>
      </c>
      <c r="AF354" s="158">
        <f t="shared" si="58"/>
        <v>56.5830597046597</v>
      </c>
      <c r="AG354" s="152"/>
      <c r="AH354" s="152"/>
      <c r="AI354" s="152"/>
      <c r="AJ354" s="156" t="e">
        <v>#N/A</v>
      </c>
      <c r="AK354" s="152"/>
      <c r="AL354" s="152"/>
      <c r="AM354" s="152" t="s">
        <v>208</v>
      </c>
    </row>
    <row r="355" s="140" customFormat="1" ht="15" hidden="1" customHeight="1" spans="1:39">
      <c r="A355" s="140">
        <v>2017</v>
      </c>
      <c r="B355" s="152"/>
      <c r="C355" s="140" t="s">
        <v>39</v>
      </c>
      <c r="D355" s="152"/>
      <c r="E355" s="152"/>
      <c r="F355" s="152" t="s">
        <v>122</v>
      </c>
      <c r="G355" s="152"/>
      <c r="H355" s="152"/>
      <c r="I355" s="152" t="s">
        <v>243</v>
      </c>
      <c r="J355" s="140" t="s">
        <v>244</v>
      </c>
      <c r="K355" s="140" t="s">
        <v>245</v>
      </c>
      <c r="L355" s="140" t="s">
        <v>123</v>
      </c>
      <c r="M355" s="140" t="s">
        <v>46</v>
      </c>
      <c r="N355" s="182">
        <v>0</v>
      </c>
      <c r="O355" s="156" t="s">
        <v>47</v>
      </c>
      <c r="P355" s="156"/>
      <c r="Q355" s="158">
        <v>0</v>
      </c>
      <c r="R355" s="158">
        <v>0</v>
      </c>
      <c r="T355" s="158">
        <f t="shared" si="61"/>
        <v>0</v>
      </c>
      <c r="U355" s="158">
        <f t="shared" si="65"/>
        <v>0</v>
      </c>
      <c r="V355" s="158">
        <v>20000</v>
      </c>
      <c r="W355" s="158">
        <f t="shared" si="66"/>
        <v>-20000</v>
      </c>
      <c r="X355" s="158">
        <f t="shared" si="62"/>
        <v>-20000</v>
      </c>
      <c r="Y355" s="158">
        <f t="shared" si="67"/>
        <v>0</v>
      </c>
      <c r="Z355" s="158">
        <v>1359</v>
      </c>
      <c r="AA355" s="158">
        <f t="shared" si="63"/>
        <v>18641</v>
      </c>
      <c r="AB355" s="167">
        <f t="shared" si="69"/>
        <v>1359</v>
      </c>
      <c r="AC355" s="168">
        <f t="shared" si="64"/>
        <v>0</v>
      </c>
      <c r="AD355" s="158">
        <v>1139.20560205381</v>
      </c>
      <c r="AE355" s="159">
        <v>0.176470588235294</v>
      </c>
      <c r="AF355" s="158">
        <f t="shared" si="58"/>
        <v>201.036282715378</v>
      </c>
      <c r="AG355" s="152"/>
      <c r="AH355" s="152"/>
      <c r="AI355" s="152"/>
      <c r="AJ355" s="156" t="e">
        <v>#N/A</v>
      </c>
      <c r="AK355" s="152"/>
      <c r="AL355" s="152"/>
      <c r="AM355" s="152" t="s">
        <v>208</v>
      </c>
    </row>
    <row r="356" s="140" customFormat="1" ht="15" hidden="1" customHeight="1" spans="1:39">
      <c r="A356" s="140">
        <v>2017</v>
      </c>
      <c r="B356" s="152" t="s">
        <v>38</v>
      </c>
      <c r="C356" s="140" t="s">
        <v>137</v>
      </c>
      <c r="D356" s="152"/>
      <c r="E356" s="152"/>
      <c r="F356" s="152" t="s">
        <v>271</v>
      </c>
      <c r="G356" s="152" t="s">
        <v>403</v>
      </c>
      <c r="H356" s="152" t="s">
        <v>403</v>
      </c>
      <c r="I356" s="152" t="s">
        <v>243</v>
      </c>
      <c r="J356" s="140" t="s">
        <v>244</v>
      </c>
      <c r="K356" s="140" t="s">
        <v>245</v>
      </c>
      <c r="L356" s="140" t="s">
        <v>545</v>
      </c>
      <c r="M356" s="140" t="s">
        <v>46</v>
      </c>
      <c r="N356" s="157">
        <v>0.02</v>
      </c>
      <c r="O356" s="156" t="s">
        <v>51</v>
      </c>
      <c r="P356" s="156" t="s">
        <v>440</v>
      </c>
      <c r="Q356" s="158">
        <v>0</v>
      </c>
      <c r="T356" s="158">
        <f t="shared" si="61"/>
        <v>0</v>
      </c>
      <c r="U356" s="158">
        <f t="shared" si="65"/>
        <v>0</v>
      </c>
      <c r="V356" s="158">
        <v>20000</v>
      </c>
      <c r="W356" s="158">
        <f t="shared" si="66"/>
        <v>-20000</v>
      </c>
      <c r="X356" s="158">
        <f t="shared" si="62"/>
        <v>-19607.8431372549</v>
      </c>
      <c r="Y356" s="158">
        <f t="shared" si="67"/>
        <v>-392.156862745098</v>
      </c>
      <c r="Z356" s="158">
        <f>7088.5-Z1168</f>
        <v>4088.5</v>
      </c>
      <c r="AA356" s="158">
        <f t="shared" si="63"/>
        <v>15911.5</v>
      </c>
      <c r="AB356" s="167">
        <f t="shared" si="69"/>
        <v>4008.33333333333</v>
      </c>
      <c r="AC356" s="168">
        <f t="shared" si="64"/>
        <v>80.1666666666665</v>
      </c>
      <c r="AD356" s="158">
        <v>5942.05953654044</v>
      </c>
      <c r="AE356" s="159">
        <v>0.176470588235294</v>
      </c>
      <c r="AF356" s="158">
        <f t="shared" si="58"/>
        <v>1048.59874174243</v>
      </c>
      <c r="AG356" s="152"/>
      <c r="AH356" s="152"/>
      <c r="AI356" s="152"/>
      <c r="AJ356" s="156" t="s">
        <v>173</v>
      </c>
      <c r="AK356" s="152"/>
      <c r="AL356" s="152"/>
      <c r="AM356" s="152" t="s">
        <v>208</v>
      </c>
    </row>
    <row r="357" s="140" customFormat="1" ht="15" hidden="1" customHeight="1" spans="1:39">
      <c r="A357" s="140">
        <v>2017</v>
      </c>
      <c r="B357" s="152" t="s">
        <v>38</v>
      </c>
      <c r="C357" s="140" t="s">
        <v>433</v>
      </c>
      <c r="D357" s="152"/>
      <c r="E357" s="152"/>
      <c r="F357" s="152" t="s">
        <v>264</v>
      </c>
      <c r="G357" s="152" t="s">
        <v>265</v>
      </c>
      <c r="H357" s="152" t="s">
        <v>265</v>
      </c>
      <c r="I357" s="152" t="s">
        <v>243</v>
      </c>
      <c r="J357" s="140" t="s">
        <v>244</v>
      </c>
      <c r="K357" s="140" t="s">
        <v>245</v>
      </c>
      <c r="L357" s="140" t="s">
        <v>267</v>
      </c>
      <c r="M357" s="140" t="s">
        <v>46</v>
      </c>
      <c r="N357" s="157">
        <v>0.02</v>
      </c>
      <c r="O357" s="156" t="s">
        <v>51</v>
      </c>
      <c r="P357" s="156"/>
      <c r="Q357" s="158">
        <v>0</v>
      </c>
      <c r="T357" s="158">
        <f t="shared" si="61"/>
        <v>0</v>
      </c>
      <c r="U357" s="158">
        <f t="shared" si="65"/>
        <v>0</v>
      </c>
      <c r="V357" s="158">
        <v>120000</v>
      </c>
      <c r="W357" s="158">
        <f t="shared" si="66"/>
        <v>-120000</v>
      </c>
      <c r="X357" s="158">
        <f t="shared" si="62"/>
        <v>-117647.058823529</v>
      </c>
      <c r="Y357" s="158">
        <f t="shared" si="67"/>
        <v>-2352.94117647059</v>
      </c>
      <c r="Z357" s="158">
        <v>72630.97</v>
      </c>
      <c r="AA357" s="158">
        <f t="shared" si="63"/>
        <v>47369.03</v>
      </c>
      <c r="AB357" s="167">
        <f t="shared" si="69"/>
        <v>71206.8333333333</v>
      </c>
      <c r="AC357" s="168">
        <f t="shared" si="64"/>
        <v>1424.13666666667</v>
      </c>
      <c r="AD357" s="158">
        <v>60884.1853617384</v>
      </c>
      <c r="AE357" s="159">
        <v>0.176470588235294</v>
      </c>
      <c r="AF357" s="158">
        <f t="shared" si="58"/>
        <v>10744.2680050127</v>
      </c>
      <c r="AG357" s="152"/>
      <c r="AH357" s="152"/>
      <c r="AI357" s="152"/>
      <c r="AJ357" s="156" t="s">
        <v>173</v>
      </c>
      <c r="AK357" s="152"/>
      <c r="AL357" s="152"/>
      <c r="AM357" s="152" t="s">
        <v>208</v>
      </c>
    </row>
    <row r="358" s="140" customFormat="1" ht="15" hidden="1" customHeight="1" spans="1:39">
      <c r="A358" s="140">
        <v>2017</v>
      </c>
      <c r="B358" s="152" t="s">
        <v>38</v>
      </c>
      <c r="C358" s="140" t="s">
        <v>137</v>
      </c>
      <c r="D358" s="152"/>
      <c r="E358" s="152"/>
      <c r="F358" s="152" t="s">
        <v>264</v>
      </c>
      <c r="G358" s="152" t="s">
        <v>265</v>
      </c>
      <c r="H358" s="152" t="s">
        <v>265</v>
      </c>
      <c r="I358" s="152" t="s">
        <v>243</v>
      </c>
      <c r="J358" s="140" t="s">
        <v>244</v>
      </c>
      <c r="K358" s="140" t="s">
        <v>245</v>
      </c>
      <c r="L358" s="140" t="s">
        <v>546</v>
      </c>
      <c r="M358" s="140" t="s">
        <v>46</v>
      </c>
      <c r="N358" s="157">
        <v>0.02</v>
      </c>
      <c r="O358" s="156" t="s">
        <v>51</v>
      </c>
      <c r="P358" s="156"/>
      <c r="Q358" s="158">
        <v>0</v>
      </c>
      <c r="T358" s="158">
        <f t="shared" si="61"/>
        <v>0</v>
      </c>
      <c r="U358" s="158">
        <f t="shared" si="65"/>
        <v>0</v>
      </c>
      <c r="V358" s="158">
        <v>80000</v>
      </c>
      <c r="W358" s="158">
        <f t="shared" si="66"/>
        <v>-80000</v>
      </c>
      <c r="X358" s="158">
        <f t="shared" si="62"/>
        <v>-78431.3725490196</v>
      </c>
      <c r="Y358" s="158">
        <f t="shared" si="67"/>
        <v>-1568.62745098039</v>
      </c>
      <c r="Z358" s="158">
        <v>47766.15</v>
      </c>
      <c r="AA358" s="158">
        <f t="shared" si="63"/>
        <v>32233.85</v>
      </c>
      <c r="AB358" s="167">
        <f t="shared" si="69"/>
        <v>46829.5588235294</v>
      </c>
      <c r="AC358" s="168">
        <f t="shared" si="64"/>
        <v>936.591176470589</v>
      </c>
      <c r="AD358" s="158">
        <v>40040.8135898034</v>
      </c>
      <c r="AE358" s="159">
        <v>0.176470588235294</v>
      </c>
      <c r="AF358" s="158">
        <f t="shared" si="58"/>
        <v>7066.02592761236</v>
      </c>
      <c r="AG358" s="152"/>
      <c r="AH358" s="152"/>
      <c r="AI358" s="152"/>
      <c r="AJ358" s="156" t="s">
        <v>173</v>
      </c>
      <c r="AK358" s="152"/>
      <c r="AL358" s="152"/>
      <c r="AM358" s="152" t="s">
        <v>208</v>
      </c>
    </row>
    <row r="359" s="140" customFormat="1" ht="15" hidden="1" customHeight="1" spans="1:39">
      <c r="A359" s="140">
        <v>2017</v>
      </c>
      <c r="B359" s="152" t="s">
        <v>38</v>
      </c>
      <c r="C359" s="140" t="s">
        <v>54</v>
      </c>
      <c r="D359" s="152"/>
      <c r="E359" s="152"/>
      <c r="F359" s="152" t="s">
        <v>65</v>
      </c>
      <c r="G359" s="152" t="s">
        <v>65</v>
      </c>
      <c r="H359" s="152" t="s">
        <v>65</v>
      </c>
      <c r="I359" s="152" t="s">
        <v>243</v>
      </c>
      <c r="J359" s="140" t="s">
        <v>244</v>
      </c>
      <c r="K359" s="140" t="s">
        <v>245</v>
      </c>
      <c r="L359" s="140" t="s">
        <v>535</v>
      </c>
      <c r="M359" s="140" t="s">
        <v>46</v>
      </c>
      <c r="N359" s="156">
        <v>0</v>
      </c>
      <c r="O359" s="156" t="s">
        <v>47</v>
      </c>
      <c r="P359" s="156"/>
      <c r="Q359" s="158">
        <v>0</v>
      </c>
      <c r="T359" s="158">
        <f t="shared" si="61"/>
        <v>0</v>
      </c>
      <c r="U359" s="158">
        <f t="shared" si="65"/>
        <v>0</v>
      </c>
      <c r="V359" s="158">
        <v>651000.5</v>
      </c>
      <c r="W359" s="158">
        <f t="shared" si="66"/>
        <v>-651000.5</v>
      </c>
      <c r="X359" s="158">
        <f t="shared" si="62"/>
        <v>-651000.5</v>
      </c>
      <c r="Y359" s="158">
        <f t="shared" si="67"/>
        <v>0</v>
      </c>
      <c r="Z359" s="158">
        <v>599390.73</v>
      </c>
      <c r="AA359" s="158">
        <f t="shared" si="63"/>
        <v>51609.77</v>
      </c>
      <c r="AB359" s="167">
        <f t="shared" si="69"/>
        <v>599390.73</v>
      </c>
      <c r="AC359" s="168">
        <f t="shared" si="64"/>
        <v>0</v>
      </c>
      <c r="AD359" s="158">
        <v>502449.799437178</v>
      </c>
      <c r="AE359" s="159">
        <v>0.176470588235294</v>
      </c>
      <c r="AF359" s="158">
        <f t="shared" si="58"/>
        <v>88667.6116653843</v>
      </c>
      <c r="AG359" s="152"/>
      <c r="AH359" s="152"/>
      <c r="AI359" s="152"/>
      <c r="AJ359" s="156" t="s">
        <v>47</v>
      </c>
      <c r="AK359" s="152"/>
      <c r="AL359" s="152"/>
      <c r="AM359" s="152" t="s">
        <v>208</v>
      </c>
    </row>
    <row r="360" s="140" customFormat="1" ht="15" hidden="1" customHeight="1" spans="1:39">
      <c r="A360" s="140">
        <v>2017</v>
      </c>
      <c r="B360" s="152" t="s">
        <v>333</v>
      </c>
      <c r="C360" s="140" t="s">
        <v>39</v>
      </c>
      <c r="D360" s="152"/>
      <c r="E360" s="152"/>
      <c r="F360" s="152" t="s">
        <v>334</v>
      </c>
      <c r="G360" s="152" t="s">
        <v>335</v>
      </c>
      <c r="H360" s="152" t="s">
        <v>335</v>
      </c>
      <c r="I360" s="152" t="s">
        <v>243</v>
      </c>
      <c r="J360" s="140" t="s">
        <v>244</v>
      </c>
      <c r="K360" s="140" t="s">
        <v>245</v>
      </c>
      <c r="L360" s="140" t="s">
        <v>461</v>
      </c>
      <c r="M360" s="140" t="s">
        <v>46</v>
      </c>
      <c r="N360" s="157">
        <v>0.02</v>
      </c>
      <c r="O360" s="156" t="s">
        <v>51</v>
      </c>
      <c r="P360" s="156"/>
      <c r="Q360" s="158">
        <v>0</v>
      </c>
      <c r="T360" s="158">
        <f t="shared" si="61"/>
        <v>0</v>
      </c>
      <c r="U360" s="158">
        <f t="shared" si="65"/>
        <v>0</v>
      </c>
      <c r="V360" s="158">
        <v>0</v>
      </c>
      <c r="W360" s="158">
        <f t="shared" si="66"/>
        <v>0</v>
      </c>
      <c r="X360" s="158">
        <f t="shared" si="62"/>
        <v>0</v>
      </c>
      <c r="Y360" s="158">
        <f t="shared" si="67"/>
        <v>0</v>
      </c>
      <c r="Z360" s="158">
        <v>11876.6</v>
      </c>
      <c r="AA360" s="158">
        <f t="shared" si="63"/>
        <v>-11876.6</v>
      </c>
      <c r="AB360" s="167">
        <f t="shared" si="69"/>
        <v>11643.7254901961</v>
      </c>
      <c r="AC360" s="168">
        <f t="shared" si="64"/>
        <v>232.874509803922</v>
      </c>
      <c r="AD360" s="158">
        <v>9955.76839834609</v>
      </c>
      <c r="AE360" s="159">
        <v>0.176470588235294</v>
      </c>
      <c r="AF360" s="158">
        <f t="shared" si="58"/>
        <v>1756.90030559049</v>
      </c>
      <c r="AG360" s="152"/>
      <c r="AH360" s="152"/>
      <c r="AI360" s="152"/>
      <c r="AJ360" s="156" t="s">
        <v>173</v>
      </c>
      <c r="AK360" s="152"/>
      <c r="AL360" s="152"/>
      <c r="AM360" s="152" t="s">
        <v>208</v>
      </c>
    </row>
    <row r="361" s="140" customFormat="1" ht="15" hidden="1" customHeight="1" spans="1:39">
      <c r="A361" s="140">
        <v>2017</v>
      </c>
      <c r="B361" s="152" t="s">
        <v>38</v>
      </c>
      <c r="C361" s="140" t="s">
        <v>75</v>
      </c>
      <c r="D361" s="152"/>
      <c r="E361" s="152"/>
      <c r="F361" s="152" t="s">
        <v>306</v>
      </c>
      <c r="G361" s="152" t="s">
        <v>306</v>
      </c>
      <c r="H361" s="152" t="s">
        <v>306</v>
      </c>
      <c r="I361" s="152" t="s">
        <v>243</v>
      </c>
      <c r="J361" s="140" t="s">
        <v>244</v>
      </c>
      <c r="K361" s="140" t="s">
        <v>245</v>
      </c>
      <c r="L361" s="140" t="s">
        <v>306</v>
      </c>
      <c r="M361" s="140" t="s">
        <v>46</v>
      </c>
      <c r="N361" s="156">
        <v>0</v>
      </c>
      <c r="O361" s="156" t="s">
        <v>47</v>
      </c>
      <c r="P361" s="156"/>
      <c r="Q361" s="158">
        <v>0</v>
      </c>
      <c r="T361" s="158">
        <f t="shared" si="61"/>
        <v>0</v>
      </c>
      <c r="U361" s="158">
        <f t="shared" si="65"/>
        <v>0</v>
      </c>
      <c r="V361" s="158">
        <v>310832.5</v>
      </c>
      <c r="W361" s="158">
        <f t="shared" si="66"/>
        <v>-310832.5</v>
      </c>
      <c r="X361" s="158">
        <f t="shared" si="62"/>
        <v>-310832.5</v>
      </c>
      <c r="Y361" s="158">
        <f t="shared" si="67"/>
        <v>0</v>
      </c>
      <c r="Z361" s="158">
        <v>238998.5</v>
      </c>
      <c r="AA361" s="158">
        <f t="shared" si="63"/>
        <v>71834</v>
      </c>
      <c r="AB361" s="167">
        <f t="shared" si="69"/>
        <v>238998.5</v>
      </c>
      <c r="AC361" s="168">
        <f t="shared" si="64"/>
        <v>0</v>
      </c>
      <c r="AD361" s="158">
        <v>200344.687330727</v>
      </c>
      <c r="AE361" s="159">
        <v>0.176470588235294</v>
      </c>
      <c r="AF361" s="158">
        <f t="shared" si="58"/>
        <v>35354.9448230694</v>
      </c>
      <c r="AG361" s="152"/>
      <c r="AH361" s="152"/>
      <c r="AI361" s="152"/>
      <c r="AJ361" s="156" t="s">
        <v>47</v>
      </c>
      <c r="AK361" s="152"/>
      <c r="AL361" s="152"/>
      <c r="AM361" s="152" t="s">
        <v>208</v>
      </c>
    </row>
    <row r="362" s="140" customFormat="1" ht="15" hidden="1" customHeight="1" spans="1:39">
      <c r="A362" s="140">
        <v>2017</v>
      </c>
      <c r="B362" s="152" t="s">
        <v>38</v>
      </c>
      <c r="C362" s="140" t="s">
        <v>54</v>
      </c>
      <c r="D362" s="152"/>
      <c r="E362" s="152"/>
      <c r="F362" s="152" t="s">
        <v>380</v>
      </c>
      <c r="G362" s="152" t="s">
        <v>380</v>
      </c>
      <c r="H362" s="152" t="s">
        <v>380</v>
      </c>
      <c r="I362" s="152" t="s">
        <v>243</v>
      </c>
      <c r="J362" s="140" t="s">
        <v>244</v>
      </c>
      <c r="K362" s="140" t="s">
        <v>245</v>
      </c>
      <c r="L362" s="140" t="s">
        <v>380</v>
      </c>
      <c r="M362" s="140" t="s">
        <v>46</v>
      </c>
      <c r="N362" s="156">
        <v>0</v>
      </c>
      <c r="O362" s="156" t="s">
        <v>47</v>
      </c>
      <c r="P362" s="156"/>
      <c r="Q362" s="158">
        <v>0</v>
      </c>
      <c r="T362" s="158">
        <f t="shared" si="61"/>
        <v>0</v>
      </c>
      <c r="U362" s="158">
        <f t="shared" si="65"/>
        <v>0</v>
      </c>
      <c r="V362" s="158">
        <v>0</v>
      </c>
      <c r="W362" s="158">
        <f t="shared" si="66"/>
        <v>0</v>
      </c>
      <c r="X362" s="158">
        <f t="shared" si="62"/>
        <v>0</v>
      </c>
      <c r="Y362" s="158">
        <f t="shared" si="67"/>
        <v>0</v>
      </c>
      <c r="Z362" s="158">
        <v>27161.94</v>
      </c>
      <c r="AA362" s="158">
        <f t="shared" si="63"/>
        <v>-27161.94</v>
      </c>
      <c r="AB362" s="167">
        <f t="shared" si="69"/>
        <v>27161.94</v>
      </c>
      <c r="AC362" s="168">
        <f t="shared" si="64"/>
        <v>0</v>
      </c>
      <c r="AD362" s="158">
        <v>22768.972929102</v>
      </c>
      <c r="AE362" s="159">
        <v>0.176470588235294</v>
      </c>
      <c r="AF362" s="158">
        <f t="shared" si="58"/>
        <v>4018.05404631212</v>
      </c>
      <c r="AG362" s="152"/>
      <c r="AH362" s="152"/>
      <c r="AI362" s="152"/>
      <c r="AJ362" s="156" t="s">
        <v>47</v>
      </c>
      <c r="AK362" s="152"/>
      <c r="AL362" s="152"/>
      <c r="AM362" s="152" t="s">
        <v>208</v>
      </c>
    </row>
    <row r="363" s="140" customFormat="1" ht="15" hidden="1" customHeight="1" spans="1:39">
      <c r="A363" s="140">
        <v>2017</v>
      </c>
      <c r="B363" s="152" t="s">
        <v>38</v>
      </c>
      <c r="C363" s="140" t="s">
        <v>54</v>
      </c>
      <c r="D363" s="152"/>
      <c r="E363" s="152"/>
      <c r="F363" s="152" t="s">
        <v>380</v>
      </c>
      <c r="G363" s="152" t="s">
        <v>380</v>
      </c>
      <c r="H363" s="152" t="s">
        <v>380</v>
      </c>
      <c r="I363" s="152" t="s">
        <v>243</v>
      </c>
      <c r="J363" s="140" t="s">
        <v>244</v>
      </c>
      <c r="K363" s="140" t="s">
        <v>245</v>
      </c>
      <c r="L363" s="140" t="s">
        <v>380</v>
      </c>
      <c r="M363" s="140" t="s">
        <v>46</v>
      </c>
      <c r="N363" s="156">
        <v>0</v>
      </c>
      <c r="O363" s="156" t="s">
        <v>47</v>
      </c>
      <c r="P363" s="156"/>
      <c r="Q363" s="158">
        <v>0</v>
      </c>
      <c r="T363" s="158">
        <f t="shared" si="61"/>
        <v>0</v>
      </c>
      <c r="U363" s="158">
        <f t="shared" si="65"/>
        <v>0</v>
      </c>
      <c r="V363" s="158">
        <v>0</v>
      </c>
      <c r="W363" s="158">
        <f t="shared" si="66"/>
        <v>0</v>
      </c>
      <c r="X363" s="158">
        <f t="shared" si="62"/>
        <v>0</v>
      </c>
      <c r="Y363" s="158">
        <f t="shared" si="67"/>
        <v>0</v>
      </c>
      <c r="Z363" s="158">
        <v>689.4</v>
      </c>
      <c r="AA363" s="158">
        <f t="shared" si="63"/>
        <v>-689.4</v>
      </c>
      <c r="AB363" s="167">
        <f t="shared" si="69"/>
        <v>689.4</v>
      </c>
      <c r="AC363" s="168">
        <f t="shared" si="64"/>
        <v>0</v>
      </c>
      <c r="AD363" s="158">
        <v>577.901649783591</v>
      </c>
      <c r="AE363" s="159">
        <v>0.176470588235294</v>
      </c>
      <c r="AF363" s="158">
        <f t="shared" si="58"/>
        <v>101.982644079457</v>
      </c>
      <c r="AG363" s="152"/>
      <c r="AH363" s="152"/>
      <c r="AI363" s="152"/>
      <c r="AJ363" s="156" t="s">
        <v>47</v>
      </c>
      <c r="AK363" s="152"/>
      <c r="AL363" s="152"/>
      <c r="AM363" s="152" t="s">
        <v>208</v>
      </c>
    </row>
    <row r="364" s="140" customFormat="1" ht="15" customHeight="1" spans="1:39">
      <c r="A364" s="140">
        <v>2017</v>
      </c>
      <c r="B364" s="152" t="s">
        <v>38</v>
      </c>
      <c r="C364" s="140" t="s">
        <v>75</v>
      </c>
      <c r="D364" s="152"/>
      <c r="E364" s="152"/>
      <c r="F364" s="152" t="s">
        <v>323</v>
      </c>
      <c r="G364" s="152" t="s">
        <v>323</v>
      </c>
      <c r="H364" s="152" t="s">
        <v>323</v>
      </c>
      <c r="I364" s="152" t="s">
        <v>243</v>
      </c>
      <c r="J364" s="140" t="s">
        <v>244</v>
      </c>
      <c r="K364" s="140" t="s">
        <v>245</v>
      </c>
      <c r="L364" s="140" t="s">
        <v>324</v>
      </c>
      <c r="M364" s="140" t="s">
        <v>46</v>
      </c>
      <c r="N364" s="156">
        <v>0</v>
      </c>
      <c r="O364" s="156" t="s">
        <v>47</v>
      </c>
      <c r="P364" s="156"/>
      <c r="Q364" s="158">
        <v>0</v>
      </c>
      <c r="T364" s="158">
        <f t="shared" si="61"/>
        <v>0</v>
      </c>
      <c r="U364" s="158">
        <f t="shared" si="65"/>
        <v>0</v>
      </c>
      <c r="V364" s="158">
        <v>38584</v>
      </c>
      <c r="W364" s="158">
        <f t="shared" si="66"/>
        <v>-38584</v>
      </c>
      <c r="X364" s="158">
        <f t="shared" si="62"/>
        <v>-38584</v>
      </c>
      <c r="Y364" s="158">
        <f t="shared" si="67"/>
        <v>0</v>
      </c>
      <c r="Z364" s="158">
        <v>36658</v>
      </c>
      <c r="AA364" s="158">
        <f t="shared" si="63"/>
        <v>1926</v>
      </c>
      <c r="AB364" s="167">
        <f t="shared" si="69"/>
        <v>36658</v>
      </c>
      <c r="AC364" s="168">
        <f t="shared" si="64"/>
        <v>0</v>
      </c>
      <c r="AD364" s="158">
        <v>30729.2118911617</v>
      </c>
      <c r="AE364" s="159">
        <v>0.176470588235294</v>
      </c>
      <c r="AF364" s="158">
        <f t="shared" si="58"/>
        <v>5422.8020984403</v>
      </c>
      <c r="AG364" s="152"/>
      <c r="AH364" s="152"/>
      <c r="AI364" s="152"/>
      <c r="AJ364" s="156" t="s">
        <v>47</v>
      </c>
      <c r="AK364" s="152"/>
      <c r="AL364" s="152"/>
      <c r="AM364" s="152" t="s">
        <v>208</v>
      </c>
    </row>
    <row r="365" s="140" customFormat="1" ht="15" hidden="1" customHeight="1" spans="1:39">
      <c r="A365" s="140">
        <v>2017</v>
      </c>
      <c r="B365" s="140" t="s">
        <v>199</v>
      </c>
      <c r="C365" s="140" t="s">
        <v>75</v>
      </c>
      <c r="D365" s="140" t="s">
        <v>518</v>
      </c>
      <c r="F365" s="152" t="s">
        <v>547</v>
      </c>
      <c r="G365" s="152" t="s">
        <v>548</v>
      </c>
      <c r="H365" s="152" t="s">
        <v>549</v>
      </c>
      <c r="I365" s="152" t="s">
        <v>204</v>
      </c>
      <c r="J365" s="140" t="s">
        <v>205</v>
      </c>
      <c r="K365" s="140" t="s">
        <v>206</v>
      </c>
      <c r="L365" s="140" t="s">
        <v>547</v>
      </c>
      <c r="M365" s="140" t="s">
        <v>185</v>
      </c>
      <c r="N365" s="157">
        <v>0.02</v>
      </c>
      <c r="O365" s="156" t="s">
        <v>51</v>
      </c>
      <c r="P365" s="156"/>
      <c r="Q365" s="158">
        <v>0</v>
      </c>
      <c r="R365" s="158">
        <v>0</v>
      </c>
      <c r="S365" s="158"/>
      <c r="T365" s="158">
        <f t="shared" si="61"/>
        <v>0</v>
      </c>
      <c r="U365" s="158">
        <f t="shared" si="65"/>
        <v>0</v>
      </c>
      <c r="V365" s="158">
        <v>0</v>
      </c>
      <c r="W365" s="158">
        <f t="shared" si="66"/>
        <v>0</v>
      </c>
      <c r="X365" s="158">
        <f t="shared" si="62"/>
        <v>0</v>
      </c>
      <c r="Y365" s="158">
        <f t="shared" si="67"/>
        <v>0</v>
      </c>
      <c r="Z365" s="158">
        <v>174166.5</v>
      </c>
      <c r="AA365" s="158">
        <f t="shared" si="63"/>
        <v>-174166.5</v>
      </c>
      <c r="AB365" s="167">
        <f t="shared" si="69"/>
        <v>170751.470588235</v>
      </c>
      <c r="AC365" s="168">
        <f t="shared" si="64"/>
        <v>3415.0294117647</v>
      </c>
      <c r="AD365" s="158">
        <v>174166.5</v>
      </c>
      <c r="AE365" s="159">
        <v>0.2</v>
      </c>
      <c r="AF365" s="158">
        <f t="shared" si="58"/>
        <v>34833.3</v>
      </c>
      <c r="AG365" s="158">
        <v>34833.3</v>
      </c>
      <c r="AH365" s="175"/>
      <c r="AI365" s="175"/>
      <c r="AJ365" s="156" t="s">
        <v>173</v>
      </c>
      <c r="AM365" s="152" t="s">
        <v>208</v>
      </c>
    </row>
    <row r="366" s="140" customFormat="1" ht="15" hidden="1" customHeight="1" spans="1:39">
      <c r="A366" s="140">
        <v>2017</v>
      </c>
      <c r="B366" s="152" t="s">
        <v>252</v>
      </c>
      <c r="C366" s="140" t="s">
        <v>137</v>
      </c>
      <c r="D366" s="152"/>
      <c r="E366" s="152"/>
      <c r="F366" s="152" t="s">
        <v>550</v>
      </c>
      <c r="G366" s="152" t="s">
        <v>551</v>
      </c>
      <c r="H366" s="152" t="s">
        <v>551</v>
      </c>
      <c r="I366" s="152" t="s">
        <v>243</v>
      </c>
      <c r="J366" s="140" t="s">
        <v>244</v>
      </c>
      <c r="K366" s="140" t="s">
        <v>245</v>
      </c>
      <c r="L366" s="140" t="s">
        <v>552</v>
      </c>
      <c r="M366" s="140" t="s">
        <v>46</v>
      </c>
      <c r="N366" s="156">
        <v>0</v>
      </c>
      <c r="O366" s="156" t="s">
        <v>47</v>
      </c>
      <c r="P366" s="156"/>
      <c r="Q366" s="158">
        <v>0</v>
      </c>
      <c r="T366" s="158">
        <f t="shared" si="61"/>
        <v>0</v>
      </c>
      <c r="U366" s="158">
        <f t="shared" si="65"/>
        <v>0</v>
      </c>
      <c r="V366" s="158">
        <v>30600</v>
      </c>
      <c r="W366" s="158">
        <f t="shared" si="66"/>
        <v>-30600</v>
      </c>
      <c r="X366" s="158">
        <f t="shared" si="62"/>
        <v>-30600</v>
      </c>
      <c r="Y366" s="158">
        <f t="shared" si="67"/>
        <v>0</v>
      </c>
      <c r="Z366" s="158">
        <v>16873.51</v>
      </c>
      <c r="AA366" s="158">
        <f t="shared" si="63"/>
        <v>13726.49</v>
      </c>
      <c r="AB366" s="167">
        <f t="shared" si="69"/>
        <v>16873.51</v>
      </c>
      <c r="AC366" s="168">
        <f t="shared" si="64"/>
        <v>0</v>
      </c>
      <c r="AD366" s="158">
        <v>14144.5159075137</v>
      </c>
      <c r="AE366" s="159">
        <v>0.176470588235294</v>
      </c>
      <c r="AF366" s="158">
        <f t="shared" si="58"/>
        <v>2496.09104250242</v>
      </c>
      <c r="AG366" s="152"/>
      <c r="AH366" s="152"/>
      <c r="AI366" s="152"/>
      <c r="AJ366" s="157">
        <v>0</v>
      </c>
      <c r="AK366" s="152"/>
      <c r="AL366" s="152"/>
      <c r="AM366" s="152" t="s">
        <v>208</v>
      </c>
    </row>
    <row r="367" s="140" customFormat="1" ht="15" hidden="1" customHeight="1" spans="1:39">
      <c r="A367" s="140">
        <v>2017</v>
      </c>
      <c r="B367" s="152" t="s">
        <v>38</v>
      </c>
      <c r="C367" s="140" t="s">
        <v>54</v>
      </c>
      <c r="D367" s="152"/>
      <c r="E367" s="152"/>
      <c r="F367" s="152" t="s">
        <v>393</v>
      </c>
      <c r="G367" s="152" t="s">
        <v>393</v>
      </c>
      <c r="H367" s="152" t="s">
        <v>393</v>
      </c>
      <c r="I367" s="152" t="s">
        <v>243</v>
      </c>
      <c r="J367" s="140" t="s">
        <v>244</v>
      </c>
      <c r="K367" s="140" t="s">
        <v>245</v>
      </c>
      <c r="L367" s="140" t="s">
        <v>517</v>
      </c>
      <c r="M367" s="140" t="s">
        <v>46</v>
      </c>
      <c r="N367" s="156">
        <v>0</v>
      </c>
      <c r="O367" s="156" t="s">
        <v>47</v>
      </c>
      <c r="P367" s="156"/>
      <c r="Q367" s="158">
        <v>0</v>
      </c>
      <c r="T367" s="158">
        <f t="shared" si="61"/>
        <v>0</v>
      </c>
      <c r="U367" s="158">
        <f t="shared" si="65"/>
        <v>0</v>
      </c>
      <c r="V367" s="158">
        <v>70000</v>
      </c>
      <c r="W367" s="158">
        <f t="shared" si="66"/>
        <v>-70000</v>
      </c>
      <c r="X367" s="158">
        <f t="shared" si="62"/>
        <v>-70000</v>
      </c>
      <c r="Y367" s="158">
        <f t="shared" si="67"/>
        <v>0</v>
      </c>
      <c r="Z367" s="158">
        <v>69993</v>
      </c>
      <c r="AA367" s="158">
        <f t="shared" si="63"/>
        <v>7</v>
      </c>
      <c r="AB367" s="167">
        <f t="shared" si="69"/>
        <v>69993</v>
      </c>
      <c r="AC367" s="168">
        <f t="shared" si="64"/>
        <v>0</v>
      </c>
      <c r="AD367" s="158">
        <v>58672.8607097517</v>
      </c>
      <c r="AE367" s="159">
        <v>0.176470588235294</v>
      </c>
      <c r="AF367" s="158">
        <f t="shared" ref="AF367:AF430" si="70">AD367*AE367</f>
        <v>10354.0342428974</v>
      </c>
      <c r="AG367" s="152"/>
      <c r="AH367" s="152"/>
      <c r="AI367" s="152"/>
      <c r="AJ367" s="156" t="s">
        <v>47</v>
      </c>
      <c r="AK367" s="152"/>
      <c r="AL367" s="152"/>
      <c r="AM367" s="152" t="s">
        <v>208</v>
      </c>
    </row>
    <row r="368" s="140" customFormat="1" ht="15" hidden="1" customHeight="1" spans="1:39">
      <c r="A368" s="140">
        <v>2017</v>
      </c>
      <c r="B368" s="152" t="s">
        <v>38</v>
      </c>
      <c r="C368" s="140" t="s">
        <v>39</v>
      </c>
      <c r="D368" s="152"/>
      <c r="E368" s="152"/>
      <c r="F368" s="152" t="s">
        <v>460</v>
      </c>
      <c r="G368" s="152" t="s">
        <v>460</v>
      </c>
      <c r="H368" s="152" t="s">
        <v>460</v>
      </c>
      <c r="I368" s="152" t="s">
        <v>243</v>
      </c>
      <c r="J368" s="140" t="s">
        <v>244</v>
      </c>
      <c r="K368" s="140" t="s">
        <v>245</v>
      </c>
      <c r="L368" s="140" t="s">
        <v>553</v>
      </c>
      <c r="M368" s="140" t="s">
        <v>46</v>
      </c>
      <c r="N368" s="182">
        <v>0</v>
      </c>
      <c r="O368" s="156" t="s">
        <v>47</v>
      </c>
      <c r="P368" s="156"/>
      <c r="Q368" s="158">
        <v>0</v>
      </c>
      <c r="T368" s="158">
        <f t="shared" si="61"/>
        <v>0</v>
      </c>
      <c r="U368" s="158">
        <f t="shared" si="65"/>
        <v>0</v>
      </c>
      <c r="V368" s="158">
        <v>20000</v>
      </c>
      <c r="W368" s="158">
        <f t="shared" si="66"/>
        <v>-20000</v>
      </c>
      <c r="X368" s="158">
        <f t="shared" si="62"/>
        <v>-20000</v>
      </c>
      <c r="Y368" s="158">
        <f t="shared" si="67"/>
        <v>0</v>
      </c>
      <c r="Z368" s="158">
        <v>3666</v>
      </c>
      <c r="AA368" s="158">
        <f t="shared" si="63"/>
        <v>16334</v>
      </c>
      <c r="AB368" s="167">
        <f t="shared" si="69"/>
        <v>3666</v>
      </c>
      <c r="AC368" s="168">
        <f t="shared" si="64"/>
        <v>0</v>
      </c>
      <c r="AD368" s="158">
        <v>3073.0888426264</v>
      </c>
      <c r="AE368" s="159">
        <v>0.176470588235294</v>
      </c>
      <c r="AF368" s="158">
        <f t="shared" si="70"/>
        <v>542.3097957576</v>
      </c>
      <c r="AG368" s="152"/>
      <c r="AH368" s="152"/>
      <c r="AI368" s="152"/>
      <c r="AJ368" s="156" t="e">
        <v>#N/A</v>
      </c>
      <c r="AK368" s="152"/>
      <c r="AL368" s="152"/>
      <c r="AM368" s="152" t="s">
        <v>208</v>
      </c>
    </row>
    <row r="369" s="140" customFormat="1" ht="15" hidden="1" customHeight="1" spans="1:39">
      <c r="A369" s="140">
        <v>2017</v>
      </c>
      <c r="B369" s="152" t="s">
        <v>333</v>
      </c>
      <c r="C369" s="140" t="s">
        <v>39</v>
      </c>
      <c r="D369" s="152"/>
      <c r="E369" s="152"/>
      <c r="F369" s="152" t="s">
        <v>334</v>
      </c>
      <c r="G369" s="152" t="s">
        <v>335</v>
      </c>
      <c r="H369" s="152" t="s">
        <v>335</v>
      </c>
      <c r="I369" s="152" t="s">
        <v>243</v>
      </c>
      <c r="J369" s="140" t="s">
        <v>244</v>
      </c>
      <c r="K369" s="140" t="s">
        <v>245</v>
      </c>
      <c r="L369" s="140" t="s">
        <v>519</v>
      </c>
      <c r="M369" s="140" t="s">
        <v>46</v>
      </c>
      <c r="N369" s="157">
        <v>0.02</v>
      </c>
      <c r="O369" s="156" t="s">
        <v>51</v>
      </c>
      <c r="P369" s="156"/>
      <c r="Q369" s="158">
        <v>0</v>
      </c>
      <c r="T369" s="158">
        <f t="shared" si="61"/>
        <v>0</v>
      </c>
      <c r="U369" s="158">
        <f t="shared" si="65"/>
        <v>0</v>
      </c>
      <c r="V369" s="158">
        <v>104683</v>
      </c>
      <c r="W369" s="158">
        <f t="shared" si="66"/>
        <v>-104683</v>
      </c>
      <c r="X369" s="158">
        <f t="shared" si="62"/>
        <v>-102630.392156863</v>
      </c>
      <c r="Y369" s="158">
        <f t="shared" si="67"/>
        <v>-2052.60784313726</v>
      </c>
      <c r="Z369" s="158">
        <v>48433.5</v>
      </c>
      <c r="AA369" s="158">
        <f t="shared" si="63"/>
        <v>56249.5</v>
      </c>
      <c r="AB369" s="167">
        <f t="shared" si="69"/>
        <v>47483.8235294118</v>
      </c>
      <c r="AC369" s="168">
        <f t="shared" si="64"/>
        <v>949.676470588238</v>
      </c>
      <c r="AD369" s="158">
        <v>40600.2314400835</v>
      </c>
      <c r="AE369" s="159">
        <v>0.176470588235294</v>
      </c>
      <c r="AF369" s="158">
        <f t="shared" si="70"/>
        <v>7164.74672472061</v>
      </c>
      <c r="AG369" s="152"/>
      <c r="AH369" s="152"/>
      <c r="AI369" s="152"/>
      <c r="AJ369" s="156" t="s">
        <v>173</v>
      </c>
      <c r="AK369" s="152"/>
      <c r="AL369" s="152"/>
      <c r="AM369" s="152" t="s">
        <v>208</v>
      </c>
    </row>
    <row r="370" s="140" customFormat="1" ht="15" hidden="1" customHeight="1" spans="1:39">
      <c r="A370" s="140">
        <v>2017</v>
      </c>
      <c r="B370" s="152" t="s">
        <v>38</v>
      </c>
      <c r="C370" s="140" t="s">
        <v>59</v>
      </c>
      <c r="D370" s="152"/>
      <c r="E370" s="152"/>
      <c r="F370" s="152" t="s">
        <v>465</v>
      </c>
      <c r="G370" s="152" t="s">
        <v>465</v>
      </c>
      <c r="H370" s="152" t="s">
        <v>465</v>
      </c>
      <c r="I370" s="152" t="s">
        <v>243</v>
      </c>
      <c r="J370" s="140" t="s">
        <v>244</v>
      </c>
      <c r="K370" s="140" t="s">
        <v>245</v>
      </c>
      <c r="L370" s="140" t="s">
        <v>465</v>
      </c>
      <c r="M370" s="140" t="s">
        <v>46</v>
      </c>
      <c r="N370" s="156">
        <v>0</v>
      </c>
      <c r="O370" s="156" t="s">
        <v>47</v>
      </c>
      <c r="P370" s="156"/>
      <c r="Q370" s="158">
        <v>0</v>
      </c>
      <c r="T370" s="158">
        <f t="shared" si="61"/>
        <v>0</v>
      </c>
      <c r="U370" s="158">
        <f t="shared" si="65"/>
        <v>0</v>
      </c>
      <c r="V370" s="158">
        <v>0</v>
      </c>
      <c r="W370" s="158">
        <f t="shared" si="66"/>
        <v>0</v>
      </c>
      <c r="X370" s="158">
        <f t="shared" si="62"/>
        <v>0</v>
      </c>
      <c r="Y370" s="158">
        <f t="shared" si="67"/>
        <v>0</v>
      </c>
      <c r="Z370" s="158">
        <v>3770.96</v>
      </c>
      <c r="AA370" s="158">
        <f t="shared" si="63"/>
        <v>-3770.96</v>
      </c>
      <c r="AB370" s="167">
        <f t="shared" si="69"/>
        <v>3770.96</v>
      </c>
      <c r="AC370" s="168">
        <f t="shared" si="64"/>
        <v>0</v>
      </c>
      <c r="AD370" s="158">
        <v>3161.07340479827</v>
      </c>
      <c r="AE370" s="159">
        <v>0.176470588235294</v>
      </c>
      <c r="AF370" s="158">
        <f t="shared" si="70"/>
        <v>557.836483199694</v>
      </c>
      <c r="AG370" s="152"/>
      <c r="AH370" s="152"/>
      <c r="AI370" s="152"/>
      <c r="AJ370" s="156" t="s">
        <v>47</v>
      </c>
      <c r="AK370" s="152"/>
      <c r="AL370" s="152"/>
      <c r="AM370" s="152" t="s">
        <v>208</v>
      </c>
    </row>
    <row r="371" s="140" customFormat="1" ht="15" hidden="1" customHeight="1" spans="1:39">
      <c r="A371" s="140">
        <v>2017</v>
      </c>
      <c r="B371" s="152" t="s">
        <v>199</v>
      </c>
      <c r="C371" s="140" t="s">
        <v>88</v>
      </c>
      <c r="D371" s="152"/>
      <c r="E371" s="152"/>
      <c r="F371" s="152" t="s">
        <v>288</v>
      </c>
      <c r="G371" s="152" t="s">
        <v>289</v>
      </c>
      <c r="H371" s="152" t="s">
        <v>289</v>
      </c>
      <c r="I371" s="152" t="s">
        <v>243</v>
      </c>
      <c r="J371" s="140" t="s">
        <v>244</v>
      </c>
      <c r="K371" s="140" t="s">
        <v>245</v>
      </c>
      <c r="L371" s="140" t="s">
        <v>288</v>
      </c>
      <c r="M371" s="140" t="s">
        <v>46</v>
      </c>
      <c r="N371" s="156">
        <v>0</v>
      </c>
      <c r="O371" s="156" t="s">
        <v>47</v>
      </c>
      <c r="P371" s="156"/>
      <c r="Q371" s="158">
        <v>0</v>
      </c>
      <c r="T371" s="158">
        <f t="shared" si="61"/>
        <v>0</v>
      </c>
      <c r="U371" s="158">
        <f t="shared" si="65"/>
        <v>0</v>
      </c>
      <c r="V371" s="158">
        <v>0</v>
      </c>
      <c r="W371" s="158">
        <f t="shared" si="66"/>
        <v>0</v>
      </c>
      <c r="X371" s="158">
        <f t="shared" si="62"/>
        <v>0</v>
      </c>
      <c r="Y371" s="158">
        <f t="shared" si="67"/>
        <v>0</v>
      </c>
      <c r="Z371" s="158">
        <v>1186</v>
      </c>
      <c r="AA371" s="158">
        <f t="shared" si="63"/>
        <v>-1186</v>
      </c>
      <c r="AB371" s="167">
        <f t="shared" si="69"/>
        <v>1186</v>
      </c>
      <c r="AC371" s="168">
        <f t="shared" si="64"/>
        <v>0</v>
      </c>
      <c r="AD371" s="158">
        <v>994.18531569965</v>
      </c>
      <c r="AE371" s="159">
        <v>0.176470588235294</v>
      </c>
      <c r="AF371" s="158">
        <f t="shared" si="70"/>
        <v>175.444467476409</v>
      </c>
      <c r="AG371" s="152"/>
      <c r="AH371" s="152"/>
      <c r="AI371" s="152"/>
      <c r="AJ371" s="156" t="s">
        <v>47</v>
      </c>
      <c r="AK371" s="152"/>
      <c r="AL371" s="152"/>
      <c r="AM371" s="152" t="s">
        <v>208</v>
      </c>
    </row>
    <row r="372" s="140" customFormat="1" ht="15" hidden="1" customHeight="1" spans="1:39">
      <c r="A372" s="140">
        <v>2017</v>
      </c>
      <c r="B372" s="152" t="s">
        <v>38</v>
      </c>
      <c r="C372" s="140" t="s">
        <v>54</v>
      </c>
      <c r="D372" s="152"/>
      <c r="E372" s="152"/>
      <c r="F372" s="152" t="s">
        <v>502</v>
      </c>
      <c r="G372" s="152" t="s">
        <v>502</v>
      </c>
      <c r="H372" s="152" t="s">
        <v>502</v>
      </c>
      <c r="I372" s="152" t="s">
        <v>243</v>
      </c>
      <c r="J372" s="140" t="s">
        <v>244</v>
      </c>
      <c r="K372" s="140" t="s">
        <v>245</v>
      </c>
      <c r="L372" s="140" t="s">
        <v>554</v>
      </c>
      <c r="M372" s="140" t="s">
        <v>46</v>
      </c>
      <c r="N372" s="157">
        <v>0.02</v>
      </c>
      <c r="O372" s="156" t="s">
        <v>495</v>
      </c>
      <c r="P372" s="156"/>
      <c r="Q372" s="158">
        <v>0</v>
      </c>
      <c r="T372" s="158">
        <f t="shared" si="61"/>
        <v>0</v>
      </c>
      <c r="U372" s="158">
        <f t="shared" si="65"/>
        <v>0</v>
      </c>
      <c r="V372" s="158">
        <v>70000</v>
      </c>
      <c r="W372" s="158">
        <f t="shared" si="66"/>
        <v>-70000</v>
      </c>
      <c r="X372" s="158">
        <f t="shared" si="62"/>
        <v>-68627.4509803922</v>
      </c>
      <c r="Y372" s="158">
        <f t="shared" si="67"/>
        <v>-1372.54901960785</v>
      </c>
      <c r="Z372" s="158">
        <v>22170.6</v>
      </c>
      <c r="AA372" s="158">
        <f t="shared" si="63"/>
        <v>47829.4</v>
      </c>
      <c r="AB372" s="167">
        <f t="shared" si="69"/>
        <v>22170.6</v>
      </c>
      <c r="AC372" s="168">
        <f t="shared" si="64"/>
        <v>443.412</v>
      </c>
      <c r="AD372" s="158">
        <v>18584.8945701945</v>
      </c>
      <c r="AE372" s="159">
        <v>0.176470588235294</v>
      </c>
      <c r="AF372" s="158">
        <f t="shared" si="70"/>
        <v>3279.68727709314</v>
      </c>
      <c r="AG372" s="152"/>
      <c r="AH372" s="152"/>
      <c r="AI372" s="152"/>
      <c r="AJ372" s="157">
        <v>0.02</v>
      </c>
      <c r="AK372" s="152"/>
      <c r="AL372" s="152"/>
      <c r="AM372" s="152" t="s">
        <v>208</v>
      </c>
    </row>
    <row r="373" s="140" customFormat="1" ht="15" hidden="1" customHeight="1" spans="1:39">
      <c r="A373" s="140">
        <v>2017</v>
      </c>
      <c r="B373" s="152" t="s">
        <v>38</v>
      </c>
      <c r="C373" s="140" t="s">
        <v>39</v>
      </c>
      <c r="D373" s="152"/>
      <c r="E373" s="152"/>
      <c r="F373" s="140" t="s">
        <v>327</v>
      </c>
      <c r="G373" s="152" t="s">
        <v>327</v>
      </c>
      <c r="H373" s="152" t="s">
        <v>327</v>
      </c>
      <c r="I373" s="152" t="s">
        <v>243</v>
      </c>
      <c r="J373" s="140" t="s">
        <v>244</v>
      </c>
      <c r="K373" s="140" t="s">
        <v>245</v>
      </c>
      <c r="L373" s="140" t="s">
        <v>543</v>
      </c>
      <c r="M373" s="140" t="s">
        <v>46</v>
      </c>
      <c r="N373" s="182">
        <v>0</v>
      </c>
      <c r="O373" s="156" t="s">
        <v>47</v>
      </c>
      <c r="P373" s="156"/>
      <c r="Q373" s="158">
        <v>0</v>
      </c>
      <c r="T373" s="158">
        <f t="shared" si="61"/>
        <v>0</v>
      </c>
      <c r="U373" s="158">
        <f t="shared" si="65"/>
        <v>0</v>
      </c>
      <c r="V373" s="158">
        <v>15000</v>
      </c>
      <c r="W373" s="158">
        <f t="shared" si="66"/>
        <v>-15000</v>
      </c>
      <c r="X373" s="158">
        <f t="shared" si="62"/>
        <v>-15000</v>
      </c>
      <c r="Y373" s="158">
        <f t="shared" si="67"/>
        <v>0</v>
      </c>
      <c r="Z373" s="158">
        <v>11743.5</v>
      </c>
      <c r="AA373" s="158">
        <f t="shared" si="63"/>
        <v>3256.5</v>
      </c>
      <c r="AB373" s="167">
        <f t="shared" si="69"/>
        <v>11743.5</v>
      </c>
      <c r="AC373" s="168">
        <f t="shared" si="64"/>
        <v>0</v>
      </c>
      <c r="AD373" s="158">
        <v>9844.19498728401</v>
      </c>
      <c r="AE373" s="159">
        <v>0.176470588235294</v>
      </c>
      <c r="AF373" s="158">
        <f t="shared" si="70"/>
        <v>1737.21088010894</v>
      </c>
      <c r="AG373" s="152"/>
      <c r="AH373" s="152"/>
      <c r="AI373" s="152"/>
      <c r="AJ373" s="156" t="e">
        <v>#N/A</v>
      </c>
      <c r="AK373" s="152"/>
      <c r="AL373" s="152"/>
      <c r="AM373" s="152" t="s">
        <v>208</v>
      </c>
    </row>
    <row r="374" s="140" customFormat="1" ht="15" hidden="1" customHeight="1" spans="1:39">
      <c r="A374" s="140">
        <v>2017</v>
      </c>
      <c r="B374" s="152" t="s">
        <v>38</v>
      </c>
      <c r="C374" s="140" t="s">
        <v>75</v>
      </c>
      <c r="D374" s="152"/>
      <c r="E374" s="152"/>
      <c r="F374" s="152" t="s">
        <v>251</v>
      </c>
      <c r="G374" s="152" t="s">
        <v>251</v>
      </c>
      <c r="H374" s="152" t="s">
        <v>251</v>
      </c>
      <c r="I374" s="152" t="s">
        <v>243</v>
      </c>
      <c r="J374" s="140" t="s">
        <v>244</v>
      </c>
      <c r="K374" s="140" t="s">
        <v>245</v>
      </c>
      <c r="L374" s="140" t="s">
        <v>251</v>
      </c>
      <c r="M374" s="140" t="s">
        <v>46</v>
      </c>
      <c r="N374" s="156">
        <v>0</v>
      </c>
      <c r="O374" s="156" t="s">
        <v>47</v>
      </c>
      <c r="P374" s="156"/>
      <c r="Q374" s="158">
        <v>0</v>
      </c>
      <c r="T374" s="158">
        <f t="shared" si="61"/>
        <v>0</v>
      </c>
      <c r="U374" s="158">
        <f t="shared" si="65"/>
        <v>0</v>
      </c>
      <c r="V374" s="158">
        <v>0</v>
      </c>
      <c r="W374" s="158">
        <f t="shared" si="66"/>
        <v>0</v>
      </c>
      <c r="X374" s="158">
        <f t="shared" si="62"/>
        <v>0</v>
      </c>
      <c r="Y374" s="158">
        <f t="shared" si="67"/>
        <v>0</v>
      </c>
      <c r="Z374" s="158">
        <v>20000</v>
      </c>
      <c r="AA374" s="158">
        <f t="shared" si="63"/>
        <v>-20000</v>
      </c>
      <c r="AB374" s="167">
        <f t="shared" si="69"/>
        <v>20000</v>
      </c>
      <c r="AC374" s="168">
        <f t="shared" si="64"/>
        <v>0</v>
      </c>
      <c r="AD374" s="158">
        <v>16765.3510236029</v>
      </c>
      <c r="AE374" s="159">
        <v>0.176470588235294</v>
      </c>
      <c r="AF374" s="158">
        <f t="shared" si="70"/>
        <v>2958.59135710639</v>
      </c>
      <c r="AG374" s="152"/>
      <c r="AH374" s="152"/>
      <c r="AI374" s="152"/>
      <c r="AJ374" s="157">
        <v>1</v>
      </c>
      <c r="AK374" s="152"/>
      <c r="AL374" s="152"/>
      <c r="AM374" s="152" t="s">
        <v>208</v>
      </c>
    </row>
    <row r="375" s="140" customFormat="1" ht="15" hidden="1" customHeight="1" spans="1:39">
      <c r="A375" s="140">
        <v>2017</v>
      </c>
      <c r="B375" s="152" t="s">
        <v>38</v>
      </c>
      <c r="C375" s="140" t="s">
        <v>88</v>
      </c>
      <c r="D375" s="152"/>
      <c r="E375" s="152"/>
      <c r="F375" s="152" t="s">
        <v>274</v>
      </c>
      <c r="G375" s="152" t="s">
        <v>274</v>
      </c>
      <c r="H375" s="152" t="s">
        <v>274</v>
      </c>
      <c r="I375" s="152" t="s">
        <v>243</v>
      </c>
      <c r="J375" s="140" t="s">
        <v>244</v>
      </c>
      <c r="K375" s="140" t="s">
        <v>245</v>
      </c>
      <c r="L375" s="140" t="s">
        <v>274</v>
      </c>
      <c r="M375" s="140" t="s">
        <v>46</v>
      </c>
      <c r="N375" s="156">
        <v>0</v>
      </c>
      <c r="O375" s="156" t="s">
        <v>47</v>
      </c>
      <c r="P375" s="156"/>
      <c r="Q375" s="158">
        <v>0</v>
      </c>
      <c r="T375" s="158">
        <f t="shared" si="61"/>
        <v>0</v>
      </c>
      <c r="U375" s="158">
        <f t="shared" si="65"/>
        <v>0</v>
      </c>
      <c r="V375" s="158">
        <v>0</v>
      </c>
      <c r="W375" s="158">
        <f t="shared" si="66"/>
        <v>0</v>
      </c>
      <c r="X375" s="158">
        <f t="shared" si="62"/>
        <v>0</v>
      </c>
      <c r="Y375" s="158">
        <f t="shared" si="67"/>
        <v>0</v>
      </c>
      <c r="Z375" s="158">
        <v>16472.23</v>
      </c>
      <c r="AA375" s="158">
        <f t="shared" si="63"/>
        <v>-16472.23</v>
      </c>
      <c r="AB375" s="167">
        <f t="shared" si="69"/>
        <v>16472.23</v>
      </c>
      <c r="AC375" s="168">
        <f t="shared" si="64"/>
        <v>0</v>
      </c>
      <c r="AD375" s="158">
        <v>13808.1359045761</v>
      </c>
      <c r="AE375" s="159">
        <v>0.176470588235294</v>
      </c>
      <c r="AF375" s="158">
        <f t="shared" si="70"/>
        <v>2436.72986551343</v>
      </c>
      <c r="AG375" s="152"/>
      <c r="AH375" s="152"/>
      <c r="AI375" s="152"/>
      <c r="AJ375" s="157">
        <v>0</v>
      </c>
      <c r="AK375" s="152"/>
      <c r="AL375" s="152"/>
      <c r="AM375" s="152" t="s">
        <v>208</v>
      </c>
    </row>
    <row r="376" s="140" customFormat="1" ht="15" hidden="1" customHeight="1" spans="1:39">
      <c r="A376" s="140">
        <v>2017</v>
      </c>
      <c r="B376" s="152"/>
      <c r="C376" s="140" t="s">
        <v>137</v>
      </c>
      <c r="D376" s="152"/>
      <c r="E376" s="152"/>
      <c r="F376" s="152" t="s">
        <v>555</v>
      </c>
      <c r="G376" s="152"/>
      <c r="H376" s="152"/>
      <c r="I376" s="152" t="s">
        <v>243</v>
      </c>
      <c r="J376" s="140" t="s">
        <v>244</v>
      </c>
      <c r="K376" s="140" t="s">
        <v>245</v>
      </c>
      <c r="L376" s="140" t="s">
        <v>555</v>
      </c>
      <c r="M376" s="140" t="s">
        <v>46</v>
      </c>
      <c r="N376" s="182">
        <v>0</v>
      </c>
      <c r="O376" s="156" t="s">
        <v>47</v>
      </c>
      <c r="P376" s="156"/>
      <c r="Q376" s="158">
        <v>0</v>
      </c>
      <c r="R376" s="158">
        <v>0</v>
      </c>
      <c r="T376" s="158">
        <f t="shared" si="61"/>
        <v>0</v>
      </c>
      <c r="U376" s="158">
        <f t="shared" si="65"/>
        <v>0</v>
      </c>
      <c r="V376" s="158">
        <v>20000</v>
      </c>
      <c r="W376" s="158">
        <f t="shared" si="66"/>
        <v>-20000</v>
      </c>
      <c r="X376" s="158">
        <f t="shared" si="62"/>
        <v>-20000</v>
      </c>
      <c r="Y376" s="158">
        <f t="shared" si="67"/>
        <v>0</v>
      </c>
      <c r="Z376" s="158">
        <v>20000</v>
      </c>
      <c r="AA376" s="158">
        <f t="shared" si="63"/>
        <v>0</v>
      </c>
      <c r="AB376" s="167">
        <f t="shared" ref="AB376:AB403" si="71">IF(O376="返货",Z376/(1+N376),IF(O376="返现",Z376,IF(O376="折扣",Z376*N376,IF(O376="无",Z376))))</f>
        <v>20000</v>
      </c>
      <c r="AC376" s="168">
        <f t="shared" si="64"/>
        <v>0</v>
      </c>
      <c r="AD376" s="158">
        <v>16765.3510236029</v>
      </c>
      <c r="AE376" s="159">
        <v>0.176470588235294</v>
      </c>
      <c r="AF376" s="158">
        <f t="shared" si="70"/>
        <v>2958.59135710639</v>
      </c>
      <c r="AG376" s="152"/>
      <c r="AH376" s="152"/>
      <c r="AI376" s="152"/>
      <c r="AJ376" s="156" t="e">
        <v>#N/A</v>
      </c>
      <c r="AK376" s="152"/>
      <c r="AL376" s="152"/>
      <c r="AM376" s="152" t="s">
        <v>208</v>
      </c>
    </row>
    <row r="377" s="140" customFormat="1" ht="15" hidden="1" customHeight="1" spans="1:39">
      <c r="A377" s="140">
        <v>2017</v>
      </c>
      <c r="B377" s="152" t="s">
        <v>252</v>
      </c>
      <c r="C377" s="140" t="s">
        <v>39</v>
      </c>
      <c r="D377" s="180" t="s">
        <v>556</v>
      </c>
      <c r="E377" s="152" t="s">
        <v>253</v>
      </c>
      <c r="F377" s="152" t="s">
        <v>418</v>
      </c>
      <c r="G377" s="152" t="s">
        <v>419</v>
      </c>
      <c r="H377" s="179" t="s">
        <v>420</v>
      </c>
      <c r="I377" s="152" t="s">
        <v>243</v>
      </c>
      <c r="J377" s="140" t="s">
        <v>244</v>
      </c>
      <c r="K377" s="140" t="s">
        <v>245</v>
      </c>
      <c r="L377" s="140" t="s">
        <v>557</v>
      </c>
      <c r="M377" s="140" t="s">
        <v>46</v>
      </c>
      <c r="N377" s="156">
        <v>0</v>
      </c>
      <c r="O377" s="140" t="s">
        <v>47</v>
      </c>
      <c r="Q377" s="158">
        <v>0</v>
      </c>
      <c r="T377" s="158">
        <f t="shared" si="61"/>
        <v>0</v>
      </c>
      <c r="U377" s="158">
        <f t="shared" si="65"/>
        <v>0</v>
      </c>
      <c r="V377" s="158">
        <v>100000</v>
      </c>
      <c r="W377" s="158">
        <f t="shared" si="66"/>
        <v>-100000</v>
      </c>
      <c r="X377" s="158">
        <f t="shared" si="62"/>
        <v>-100000</v>
      </c>
      <c r="Y377" s="158">
        <f t="shared" si="67"/>
        <v>0</v>
      </c>
      <c r="Z377" s="158">
        <v>69932.2</v>
      </c>
      <c r="AA377" s="158">
        <f t="shared" si="63"/>
        <v>30067.8</v>
      </c>
      <c r="AB377" s="167">
        <f t="shared" si="71"/>
        <v>69932.2</v>
      </c>
      <c r="AC377" s="168">
        <f t="shared" si="64"/>
        <v>0</v>
      </c>
      <c r="AD377" s="158">
        <v>58621.89404264</v>
      </c>
      <c r="AE377" s="159">
        <v>0.176470588235294</v>
      </c>
      <c r="AF377" s="158">
        <f t="shared" si="70"/>
        <v>10345.0401251718</v>
      </c>
      <c r="AG377" s="152"/>
      <c r="AH377" s="152"/>
      <c r="AI377" s="152"/>
      <c r="AJ377" s="176">
        <v>0</v>
      </c>
      <c r="AK377" s="152"/>
      <c r="AL377" s="152"/>
      <c r="AM377" s="152" t="s">
        <v>208</v>
      </c>
    </row>
    <row r="378" s="140" customFormat="1" ht="15" hidden="1" customHeight="1" spans="1:39">
      <c r="A378" s="140">
        <v>2017</v>
      </c>
      <c r="B378" s="152" t="s">
        <v>38</v>
      </c>
      <c r="C378" s="140" t="s">
        <v>54</v>
      </c>
      <c r="D378" s="152"/>
      <c r="E378" s="152"/>
      <c r="F378" s="152" t="s">
        <v>527</v>
      </c>
      <c r="G378" s="152" t="s">
        <v>527</v>
      </c>
      <c r="H378" s="152" t="s">
        <v>527</v>
      </c>
      <c r="I378" s="152" t="s">
        <v>243</v>
      </c>
      <c r="J378" s="140" t="s">
        <v>244</v>
      </c>
      <c r="K378" s="140" t="s">
        <v>245</v>
      </c>
      <c r="L378" s="140" t="s">
        <v>558</v>
      </c>
      <c r="M378" s="140" t="s">
        <v>46</v>
      </c>
      <c r="N378" s="156">
        <v>0.98</v>
      </c>
      <c r="O378" s="156" t="s">
        <v>559</v>
      </c>
      <c r="P378" s="156"/>
      <c r="Q378" s="158">
        <v>0</v>
      </c>
      <c r="T378" s="158">
        <f t="shared" si="61"/>
        <v>0</v>
      </c>
      <c r="U378" s="158">
        <f t="shared" si="65"/>
        <v>0</v>
      </c>
      <c r="V378" s="158">
        <v>100000</v>
      </c>
      <c r="W378" s="158">
        <f t="shared" si="66"/>
        <v>-100000</v>
      </c>
      <c r="X378" s="158">
        <f t="shared" si="62"/>
        <v>-50505.0505050505</v>
      </c>
      <c r="Y378" s="158">
        <f t="shared" si="67"/>
        <v>-49494.9494949495</v>
      </c>
      <c r="Z378" s="158">
        <v>92156.6</v>
      </c>
      <c r="AA378" s="158">
        <f t="shared" si="63"/>
        <v>7843.39999999999</v>
      </c>
      <c r="AB378" s="167" t="b">
        <f t="shared" si="71"/>
        <v>0</v>
      </c>
      <c r="AC378" s="168">
        <f t="shared" si="64"/>
        <v>92156.6</v>
      </c>
      <c r="AD378" s="158">
        <v>77251.887407088</v>
      </c>
      <c r="AE378" s="159">
        <v>0.176470588235294</v>
      </c>
      <c r="AF378" s="158">
        <f t="shared" si="70"/>
        <v>13632.6860130155</v>
      </c>
      <c r="AG378" s="152"/>
      <c r="AH378" s="152"/>
      <c r="AI378" s="152"/>
      <c r="AJ378" s="156" t="s">
        <v>560</v>
      </c>
      <c r="AK378" s="152"/>
      <c r="AL378" s="152"/>
      <c r="AM378" s="152" t="s">
        <v>208</v>
      </c>
    </row>
    <row r="379" s="140" customFormat="1" ht="15" hidden="1" customHeight="1" spans="1:39">
      <c r="A379" s="140">
        <v>2017</v>
      </c>
      <c r="B379" s="152"/>
      <c r="C379" s="140" t="s">
        <v>110</v>
      </c>
      <c r="D379" s="152"/>
      <c r="E379" s="152"/>
      <c r="F379" s="152" t="s">
        <v>561</v>
      </c>
      <c r="G379" s="152"/>
      <c r="H379" s="152"/>
      <c r="I379" s="152" t="s">
        <v>243</v>
      </c>
      <c r="J379" s="140" t="s">
        <v>244</v>
      </c>
      <c r="K379" s="140" t="s">
        <v>245</v>
      </c>
      <c r="L379" s="140" t="s">
        <v>561</v>
      </c>
      <c r="M379" s="140" t="s">
        <v>46</v>
      </c>
      <c r="N379" s="182">
        <v>0</v>
      </c>
      <c r="O379" s="156" t="s">
        <v>47</v>
      </c>
      <c r="P379" s="156"/>
      <c r="Q379" s="158">
        <v>0</v>
      </c>
      <c r="R379" s="158">
        <v>0</v>
      </c>
      <c r="T379" s="158">
        <f t="shared" si="61"/>
        <v>0</v>
      </c>
      <c r="U379" s="158">
        <f t="shared" si="65"/>
        <v>0</v>
      </c>
      <c r="V379" s="158">
        <v>10000</v>
      </c>
      <c r="W379" s="158">
        <f t="shared" si="66"/>
        <v>-10000</v>
      </c>
      <c r="X379" s="158">
        <f t="shared" si="62"/>
        <v>-10000</v>
      </c>
      <c r="Y379" s="158">
        <f t="shared" si="67"/>
        <v>0</v>
      </c>
      <c r="Z379" s="158">
        <v>219</v>
      </c>
      <c r="AA379" s="158">
        <f t="shared" si="63"/>
        <v>9781</v>
      </c>
      <c r="AB379" s="167">
        <f t="shared" si="71"/>
        <v>219</v>
      </c>
      <c r="AC379" s="168">
        <f t="shared" si="64"/>
        <v>0</v>
      </c>
      <c r="AD379" s="158">
        <v>183.580593708451</v>
      </c>
      <c r="AE379" s="159">
        <v>0.176470588235294</v>
      </c>
      <c r="AF379" s="158">
        <f t="shared" si="70"/>
        <v>32.3965753603149</v>
      </c>
      <c r="AG379" s="152"/>
      <c r="AH379" s="152"/>
      <c r="AI379" s="152"/>
      <c r="AJ379" s="156" t="e">
        <v>#N/A</v>
      </c>
      <c r="AK379" s="152"/>
      <c r="AL379" s="152"/>
      <c r="AM379" s="152" t="s">
        <v>208</v>
      </c>
    </row>
    <row r="380" s="140" customFormat="1" ht="15" hidden="1" customHeight="1" spans="1:39">
      <c r="A380" s="140">
        <v>2017</v>
      </c>
      <c r="B380" s="152"/>
      <c r="C380" s="140" t="s">
        <v>137</v>
      </c>
      <c r="D380" s="152"/>
      <c r="E380" s="152"/>
      <c r="F380" s="152" t="s">
        <v>562</v>
      </c>
      <c r="G380" s="152"/>
      <c r="H380" s="152"/>
      <c r="I380" s="152" t="s">
        <v>243</v>
      </c>
      <c r="J380" s="140" t="s">
        <v>244</v>
      </c>
      <c r="K380" s="140" t="s">
        <v>245</v>
      </c>
      <c r="L380" s="140" t="s">
        <v>562</v>
      </c>
      <c r="M380" s="140" t="s">
        <v>46</v>
      </c>
      <c r="N380" s="182">
        <v>0</v>
      </c>
      <c r="O380" s="156" t="s">
        <v>47</v>
      </c>
      <c r="P380" s="156"/>
      <c r="Q380" s="158">
        <v>0</v>
      </c>
      <c r="R380" s="158">
        <v>0</v>
      </c>
      <c r="T380" s="158">
        <f t="shared" si="61"/>
        <v>0</v>
      </c>
      <c r="U380" s="158">
        <f t="shared" si="65"/>
        <v>0</v>
      </c>
      <c r="V380" s="158">
        <v>40000</v>
      </c>
      <c r="W380" s="158">
        <f t="shared" si="66"/>
        <v>-40000</v>
      </c>
      <c r="X380" s="158">
        <f t="shared" si="62"/>
        <v>-40000</v>
      </c>
      <c r="Y380" s="158">
        <f t="shared" si="67"/>
        <v>0</v>
      </c>
      <c r="Z380" s="158">
        <v>38036.86</v>
      </c>
      <c r="AA380" s="158">
        <f t="shared" si="63"/>
        <v>1963.14</v>
      </c>
      <c r="AB380" s="167">
        <f t="shared" si="71"/>
        <v>38036.86</v>
      </c>
      <c r="AC380" s="168">
        <f t="shared" si="64"/>
        <v>0</v>
      </c>
      <c r="AD380" s="158">
        <v>4976.54297109115</v>
      </c>
      <c r="AE380" s="159">
        <v>0.176470588235294</v>
      </c>
      <c r="AF380" s="158">
        <f t="shared" si="70"/>
        <v>878.213465486673</v>
      </c>
      <c r="AG380" s="152"/>
      <c r="AH380" s="152"/>
      <c r="AI380" s="152"/>
      <c r="AJ380" s="156" t="e">
        <v>#N/A</v>
      </c>
      <c r="AK380" s="152"/>
      <c r="AL380" s="152"/>
      <c r="AM380" s="152" t="s">
        <v>208</v>
      </c>
    </row>
    <row r="381" s="140" customFormat="1" ht="15" hidden="1" customHeight="1" spans="1:39">
      <c r="A381" s="140">
        <v>2017</v>
      </c>
      <c r="B381" s="152"/>
      <c r="C381" s="140" t="s">
        <v>137</v>
      </c>
      <c r="D381" s="152"/>
      <c r="E381" s="152"/>
      <c r="F381" s="152" t="s">
        <v>562</v>
      </c>
      <c r="G381" s="152"/>
      <c r="H381" s="152"/>
      <c r="I381" s="152" t="s">
        <v>243</v>
      </c>
      <c r="J381" s="140" t="s">
        <v>244</v>
      </c>
      <c r="K381" s="140" t="s">
        <v>245</v>
      </c>
      <c r="L381" s="140" t="s">
        <v>562</v>
      </c>
      <c r="M381" s="140" t="s">
        <v>46</v>
      </c>
      <c r="N381" s="182">
        <v>0</v>
      </c>
      <c r="O381" s="156" t="s">
        <v>47</v>
      </c>
      <c r="P381" s="156"/>
      <c r="Q381" s="158">
        <v>0</v>
      </c>
      <c r="R381" s="158">
        <v>0</v>
      </c>
      <c r="T381" s="158">
        <f t="shared" si="61"/>
        <v>0</v>
      </c>
      <c r="U381" s="158">
        <f t="shared" si="65"/>
        <v>0</v>
      </c>
      <c r="V381" s="158">
        <v>0</v>
      </c>
      <c r="W381" s="158">
        <f t="shared" si="66"/>
        <v>0</v>
      </c>
      <c r="X381" s="158">
        <f t="shared" si="62"/>
        <v>0</v>
      </c>
      <c r="Y381" s="158">
        <f t="shared" si="67"/>
        <v>0</v>
      </c>
      <c r="Z381" s="158"/>
      <c r="AA381" s="158">
        <f t="shared" si="63"/>
        <v>0</v>
      </c>
      <c r="AB381" s="167">
        <f t="shared" si="71"/>
        <v>0</v>
      </c>
      <c r="AC381" s="168">
        <f t="shared" si="64"/>
        <v>0</v>
      </c>
      <c r="AD381" s="158">
        <v>26908.5225156908</v>
      </c>
      <c r="AE381" s="159">
        <v>0.176470588235294</v>
      </c>
      <c r="AF381" s="158">
        <f t="shared" si="70"/>
        <v>4748.56279688661</v>
      </c>
      <c r="AG381" s="152"/>
      <c r="AH381" s="152"/>
      <c r="AI381" s="152"/>
      <c r="AJ381" s="156" t="e">
        <v>#N/A</v>
      </c>
      <c r="AK381" s="152"/>
      <c r="AL381" s="152"/>
      <c r="AM381" s="152" t="s">
        <v>208</v>
      </c>
    </row>
    <row r="382" s="140" customFormat="1" ht="15" hidden="1" customHeight="1" spans="1:39">
      <c r="A382" s="140">
        <v>2017</v>
      </c>
      <c r="B382" s="152" t="s">
        <v>38</v>
      </c>
      <c r="C382" s="140" t="s">
        <v>54</v>
      </c>
      <c r="D382" s="152"/>
      <c r="E382" s="152"/>
      <c r="F382" s="152" t="s">
        <v>242</v>
      </c>
      <c r="G382" s="152" t="s">
        <v>242</v>
      </c>
      <c r="H382" s="152" t="s">
        <v>242</v>
      </c>
      <c r="I382" s="152" t="s">
        <v>243</v>
      </c>
      <c r="J382" s="140" t="s">
        <v>244</v>
      </c>
      <c r="K382" s="140" t="s">
        <v>245</v>
      </c>
      <c r="L382" s="140" t="s">
        <v>242</v>
      </c>
      <c r="M382" s="140" t="s">
        <v>46</v>
      </c>
      <c r="N382" s="157">
        <v>0.05</v>
      </c>
      <c r="O382" s="156" t="s">
        <v>51</v>
      </c>
      <c r="P382" s="156"/>
      <c r="Q382" s="158">
        <v>0</v>
      </c>
      <c r="T382" s="158">
        <f t="shared" si="61"/>
        <v>0</v>
      </c>
      <c r="U382" s="158">
        <f t="shared" si="65"/>
        <v>0</v>
      </c>
      <c r="V382" s="158"/>
      <c r="W382" s="158">
        <f t="shared" si="66"/>
        <v>0</v>
      </c>
      <c r="X382" s="158">
        <f t="shared" si="62"/>
        <v>0</v>
      </c>
      <c r="Y382" s="158">
        <f t="shared" si="67"/>
        <v>0</v>
      </c>
      <c r="Z382" s="158"/>
      <c r="AA382" s="158">
        <f t="shared" si="63"/>
        <v>0</v>
      </c>
      <c r="AB382" s="167">
        <f t="shared" si="71"/>
        <v>0</v>
      </c>
      <c r="AC382" s="168">
        <f t="shared" si="64"/>
        <v>0</v>
      </c>
      <c r="AD382" s="158">
        <v>158288.385154244</v>
      </c>
      <c r="AE382" s="159">
        <v>0.176470588235294</v>
      </c>
      <c r="AF382" s="158">
        <f t="shared" si="70"/>
        <v>27933.2444389842</v>
      </c>
      <c r="AG382" s="152"/>
      <c r="AH382" s="152"/>
      <c r="AI382" s="152"/>
      <c r="AJ382" s="156" t="s">
        <v>63</v>
      </c>
      <c r="AK382" s="152"/>
      <c r="AL382" s="152"/>
      <c r="AM382" s="152" t="s">
        <v>208</v>
      </c>
    </row>
    <row r="383" s="140" customFormat="1" ht="15" hidden="1" customHeight="1" spans="1:39">
      <c r="A383" s="140">
        <v>2017</v>
      </c>
      <c r="B383" s="152" t="s">
        <v>38</v>
      </c>
      <c r="C383" s="140" t="s">
        <v>88</v>
      </c>
      <c r="D383" s="140" t="s">
        <v>89</v>
      </c>
      <c r="E383" s="140" t="s">
        <v>124</v>
      </c>
      <c r="F383" s="152" t="s">
        <v>430</v>
      </c>
      <c r="G383" s="152" t="s">
        <v>431</v>
      </c>
      <c r="H383" s="152" t="s">
        <v>431</v>
      </c>
      <c r="I383" s="152" t="s">
        <v>243</v>
      </c>
      <c r="J383" s="140" t="s">
        <v>244</v>
      </c>
      <c r="K383" s="140" t="s">
        <v>245</v>
      </c>
      <c r="L383" s="140" t="s">
        <v>563</v>
      </c>
      <c r="M383" s="140" t="s">
        <v>46</v>
      </c>
      <c r="N383" s="156">
        <v>0</v>
      </c>
      <c r="O383" s="156" t="s">
        <v>47</v>
      </c>
      <c r="P383" s="156"/>
      <c r="Q383" s="158">
        <v>0</v>
      </c>
      <c r="T383" s="158">
        <f t="shared" si="61"/>
        <v>0</v>
      </c>
      <c r="U383" s="158">
        <f t="shared" si="65"/>
        <v>0</v>
      </c>
      <c r="V383" s="158">
        <v>20000</v>
      </c>
      <c r="W383" s="158">
        <f t="shared" si="66"/>
        <v>-20000</v>
      </c>
      <c r="X383" s="158">
        <f t="shared" si="62"/>
        <v>-20000</v>
      </c>
      <c r="Y383" s="158">
        <f t="shared" si="67"/>
        <v>0</v>
      </c>
      <c r="Z383" s="158">
        <v>1322</v>
      </c>
      <c r="AA383" s="158">
        <f t="shared" si="63"/>
        <v>18678</v>
      </c>
      <c r="AB383" s="167">
        <f t="shared" si="71"/>
        <v>1322</v>
      </c>
      <c r="AC383" s="168">
        <f t="shared" si="64"/>
        <v>0</v>
      </c>
      <c r="AD383" s="158">
        <v>1108.18970266015</v>
      </c>
      <c r="AE383" s="159">
        <v>0.176470588235294</v>
      </c>
      <c r="AF383" s="158">
        <f t="shared" si="70"/>
        <v>195.562888704732</v>
      </c>
      <c r="AG383" s="152"/>
      <c r="AH383" s="152"/>
      <c r="AI383" s="152"/>
      <c r="AJ383" s="156" t="s">
        <v>47</v>
      </c>
      <c r="AK383" s="152"/>
      <c r="AL383" s="152"/>
      <c r="AM383" s="152" t="s">
        <v>208</v>
      </c>
    </row>
    <row r="384" s="140" customFormat="1" ht="15" hidden="1" customHeight="1" spans="1:39">
      <c r="A384" s="140">
        <v>2017</v>
      </c>
      <c r="B384" s="152" t="s">
        <v>333</v>
      </c>
      <c r="C384" s="140" t="s">
        <v>54</v>
      </c>
      <c r="D384" s="152"/>
      <c r="E384" s="152"/>
      <c r="F384" s="152" t="s">
        <v>491</v>
      </c>
      <c r="G384" s="152" t="s">
        <v>492</v>
      </c>
      <c r="H384" s="152" t="s">
        <v>492</v>
      </c>
      <c r="I384" s="152" t="s">
        <v>243</v>
      </c>
      <c r="J384" s="140" t="s">
        <v>244</v>
      </c>
      <c r="K384" s="140" t="s">
        <v>245</v>
      </c>
      <c r="L384" s="140" t="s">
        <v>564</v>
      </c>
      <c r="M384" s="140" t="s">
        <v>46</v>
      </c>
      <c r="N384" s="156">
        <v>0</v>
      </c>
      <c r="O384" s="156" t="s">
        <v>47</v>
      </c>
      <c r="P384" s="156"/>
      <c r="Q384" s="158">
        <v>0</v>
      </c>
      <c r="T384" s="158">
        <f t="shared" si="61"/>
        <v>0</v>
      </c>
      <c r="U384" s="158">
        <f t="shared" si="65"/>
        <v>0</v>
      </c>
      <c r="V384" s="158">
        <v>10000</v>
      </c>
      <c r="W384" s="158">
        <f t="shared" si="66"/>
        <v>-10000</v>
      </c>
      <c r="X384" s="158">
        <f t="shared" si="62"/>
        <v>-10000</v>
      </c>
      <c r="Y384" s="158">
        <f t="shared" si="67"/>
        <v>0</v>
      </c>
      <c r="Z384" s="158">
        <v>641.4</v>
      </c>
      <c r="AA384" s="158">
        <f t="shared" si="63"/>
        <v>9358.6</v>
      </c>
      <c r="AB384" s="167">
        <f t="shared" si="71"/>
        <v>641.4</v>
      </c>
      <c r="AC384" s="168">
        <f t="shared" si="64"/>
        <v>0</v>
      </c>
      <c r="AD384" s="158">
        <v>537.664807326944</v>
      </c>
      <c r="AE384" s="159">
        <v>0.176470588235294</v>
      </c>
      <c r="AF384" s="158">
        <f t="shared" si="70"/>
        <v>94.8820248224018</v>
      </c>
      <c r="AG384" s="152"/>
      <c r="AH384" s="152"/>
      <c r="AI384" s="152"/>
      <c r="AJ384" s="156" t="s">
        <v>47</v>
      </c>
      <c r="AK384" s="152"/>
      <c r="AL384" s="152"/>
      <c r="AM384" s="152" t="s">
        <v>208</v>
      </c>
    </row>
    <row r="385" s="140" customFormat="1" ht="15" hidden="1" customHeight="1" spans="1:39">
      <c r="A385" s="140">
        <v>2017</v>
      </c>
      <c r="B385" s="152" t="s">
        <v>199</v>
      </c>
      <c r="C385" s="140" t="s">
        <v>54</v>
      </c>
      <c r="D385" s="152"/>
      <c r="E385" s="152"/>
      <c r="F385" s="152" t="s">
        <v>389</v>
      </c>
      <c r="G385" s="152" t="s">
        <v>390</v>
      </c>
      <c r="H385" s="179" t="s">
        <v>391</v>
      </c>
      <c r="I385" s="152" t="s">
        <v>243</v>
      </c>
      <c r="J385" s="140" t="s">
        <v>244</v>
      </c>
      <c r="K385" s="140" t="s">
        <v>245</v>
      </c>
      <c r="L385" s="140" t="s">
        <v>389</v>
      </c>
      <c r="M385" s="140" t="s">
        <v>46</v>
      </c>
      <c r="N385" s="156">
        <v>0</v>
      </c>
      <c r="O385" s="156" t="s">
        <v>47</v>
      </c>
      <c r="P385" s="156"/>
      <c r="Q385" s="158">
        <v>0</v>
      </c>
      <c r="T385" s="158">
        <f t="shared" si="61"/>
        <v>0</v>
      </c>
      <c r="U385" s="158">
        <f t="shared" si="65"/>
        <v>0</v>
      </c>
      <c r="V385" s="158">
        <v>654000</v>
      </c>
      <c r="W385" s="158">
        <f t="shared" si="66"/>
        <v>-654000</v>
      </c>
      <c r="X385" s="158">
        <f t="shared" si="62"/>
        <v>-654000</v>
      </c>
      <c r="Y385" s="158">
        <f t="shared" si="67"/>
        <v>0</v>
      </c>
      <c r="Z385" s="158">
        <v>563887.4</v>
      </c>
      <c r="AA385" s="158">
        <f t="shared" si="63"/>
        <v>90112.6</v>
      </c>
      <c r="AB385" s="167">
        <f t="shared" si="71"/>
        <v>563887.4</v>
      </c>
      <c r="AC385" s="168">
        <f t="shared" si="64"/>
        <v>0</v>
      </c>
      <c r="AD385" s="158">
        <v>472688.509939338</v>
      </c>
      <c r="AE385" s="159">
        <v>0.176470588235294</v>
      </c>
      <c r="AF385" s="158">
        <f t="shared" si="70"/>
        <v>83415.6194010596</v>
      </c>
      <c r="AG385" s="152"/>
      <c r="AH385" s="152"/>
      <c r="AI385" s="152"/>
      <c r="AJ385" s="156" t="s">
        <v>47</v>
      </c>
      <c r="AK385" s="152"/>
      <c r="AL385" s="152"/>
      <c r="AM385" s="152" t="s">
        <v>208</v>
      </c>
    </row>
    <row r="386" s="140" customFormat="1" ht="15" hidden="1" customHeight="1" spans="1:39">
      <c r="A386" s="140">
        <v>2017</v>
      </c>
      <c r="B386" s="152" t="s">
        <v>199</v>
      </c>
      <c r="C386" s="140" t="s">
        <v>54</v>
      </c>
      <c r="D386" s="152"/>
      <c r="E386" s="152"/>
      <c r="F386" s="152" t="s">
        <v>389</v>
      </c>
      <c r="G386" s="152" t="s">
        <v>390</v>
      </c>
      <c r="H386" s="179" t="s">
        <v>391</v>
      </c>
      <c r="I386" s="152" t="s">
        <v>243</v>
      </c>
      <c r="J386" s="140" t="s">
        <v>244</v>
      </c>
      <c r="K386" s="140" t="s">
        <v>245</v>
      </c>
      <c r="L386" s="140" t="s">
        <v>565</v>
      </c>
      <c r="M386" s="140" t="s">
        <v>46</v>
      </c>
      <c r="N386" s="156">
        <v>0</v>
      </c>
      <c r="O386" s="156" t="s">
        <v>47</v>
      </c>
      <c r="P386" s="156"/>
      <c r="Q386" s="158">
        <v>0</v>
      </c>
      <c r="T386" s="158">
        <f t="shared" ref="T386:T449" si="72">S386*N386</f>
        <v>0</v>
      </c>
      <c r="U386" s="158">
        <f t="shared" si="65"/>
        <v>0</v>
      </c>
      <c r="V386" s="158">
        <v>10000</v>
      </c>
      <c r="W386" s="158">
        <f t="shared" si="66"/>
        <v>-10000</v>
      </c>
      <c r="X386" s="158">
        <f t="shared" ref="X386:X449" si="73">W386/(1+N386)</f>
        <v>-10000</v>
      </c>
      <c r="Y386" s="158">
        <f t="shared" si="67"/>
        <v>0</v>
      </c>
      <c r="Z386" s="158">
        <v>3930.9</v>
      </c>
      <c r="AA386" s="158">
        <f t="shared" ref="AA386:AA449" si="74">Q386+V386-Z386</f>
        <v>6069.1</v>
      </c>
      <c r="AB386" s="167">
        <f t="shared" si="71"/>
        <v>3930.9</v>
      </c>
      <c r="AC386" s="168">
        <f t="shared" ref="AC386:AC449" si="75">IF(O386="返现",Z386*N386,Z386-AB386)</f>
        <v>0</v>
      </c>
      <c r="AD386" s="158">
        <v>3295.14591693402</v>
      </c>
      <c r="AE386" s="159">
        <v>0.176470588235294</v>
      </c>
      <c r="AF386" s="158">
        <f t="shared" si="70"/>
        <v>581.496338282474</v>
      </c>
      <c r="AG386" s="152"/>
      <c r="AH386" s="152"/>
      <c r="AI386" s="152"/>
      <c r="AJ386" s="156" t="s">
        <v>47</v>
      </c>
      <c r="AK386" s="152"/>
      <c r="AL386" s="152"/>
      <c r="AM386" s="152" t="s">
        <v>208</v>
      </c>
    </row>
    <row r="387" s="140" customFormat="1" ht="15" hidden="1" customHeight="1" spans="1:39">
      <c r="A387" s="140">
        <v>2017</v>
      </c>
      <c r="B387" s="152" t="s">
        <v>38</v>
      </c>
      <c r="C387" s="140" t="s">
        <v>75</v>
      </c>
      <c r="D387" s="152"/>
      <c r="E387" s="152"/>
      <c r="F387" s="152" t="s">
        <v>527</v>
      </c>
      <c r="G387" s="152" t="s">
        <v>527</v>
      </c>
      <c r="H387" s="152" t="s">
        <v>527</v>
      </c>
      <c r="I387" s="152" t="s">
        <v>243</v>
      </c>
      <c r="J387" s="140" t="s">
        <v>244</v>
      </c>
      <c r="K387" s="140" t="s">
        <v>245</v>
      </c>
      <c r="L387" s="140" t="s">
        <v>566</v>
      </c>
      <c r="M387" s="140" t="s">
        <v>46</v>
      </c>
      <c r="N387" s="157">
        <v>0.98</v>
      </c>
      <c r="O387" s="156" t="s">
        <v>259</v>
      </c>
      <c r="P387" s="156"/>
      <c r="Q387" s="158">
        <v>0</v>
      </c>
      <c r="T387" s="158">
        <f t="shared" si="72"/>
        <v>0</v>
      </c>
      <c r="U387" s="158">
        <f t="shared" ref="U387:U450" si="76">R387+S387+T387</f>
        <v>0</v>
      </c>
      <c r="W387" s="158">
        <f t="shared" ref="W387:W450" si="77">U387-V387</f>
        <v>0</v>
      </c>
      <c r="X387" s="158">
        <f t="shared" si="73"/>
        <v>0</v>
      </c>
      <c r="Y387" s="158">
        <f t="shared" ref="Y387:Y450" si="78">W387-X387</f>
        <v>0</v>
      </c>
      <c r="Z387" s="158"/>
      <c r="AA387" s="158">
        <f t="shared" si="74"/>
        <v>0</v>
      </c>
      <c r="AB387" s="167">
        <f t="shared" si="71"/>
        <v>0</v>
      </c>
      <c r="AC387" s="168">
        <f t="shared" si="75"/>
        <v>0</v>
      </c>
      <c r="AD387" s="158">
        <v>16775.2425807068</v>
      </c>
      <c r="AE387" s="159">
        <v>0.176470588235294</v>
      </c>
      <c r="AF387" s="158">
        <f t="shared" si="70"/>
        <v>2960.33692600708</v>
      </c>
      <c r="AG387" s="152"/>
      <c r="AH387" s="152"/>
      <c r="AI387" s="152"/>
      <c r="AJ387" s="156" t="s">
        <v>560</v>
      </c>
      <c r="AK387" s="152"/>
      <c r="AL387" s="152"/>
      <c r="AM387" s="152" t="s">
        <v>208</v>
      </c>
    </row>
    <row r="388" s="140" customFormat="1" ht="15" hidden="1" customHeight="1" spans="1:37">
      <c r="A388" s="140">
        <v>2017</v>
      </c>
      <c r="B388" s="140" t="s">
        <v>38</v>
      </c>
      <c r="C388" s="140" t="s">
        <v>59</v>
      </c>
      <c r="D388" s="140" t="s">
        <v>106</v>
      </c>
      <c r="E388" s="140" t="s">
        <v>239</v>
      </c>
      <c r="F388" s="140" t="s">
        <v>240</v>
      </c>
      <c r="G388" s="140" t="s">
        <v>240</v>
      </c>
      <c r="H388" s="140" t="s">
        <v>240</v>
      </c>
      <c r="I388" s="140" t="s">
        <v>227</v>
      </c>
      <c r="J388" s="140" t="s">
        <v>228</v>
      </c>
      <c r="K388" s="140" t="s">
        <v>229</v>
      </c>
      <c r="L388" s="140" t="s">
        <v>240</v>
      </c>
      <c r="M388" s="158" t="s">
        <v>178</v>
      </c>
      <c r="N388" s="156">
        <v>0</v>
      </c>
      <c r="O388" s="156" t="s">
        <v>47</v>
      </c>
      <c r="P388" s="156" t="s">
        <v>179</v>
      </c>
      <c r="Q388" s="158">
        <v>0</v>
      </c>
      <c r="R388" s="158">
        <v>0</v>
      </c>
      <c r="S388" s="158">
        <v>224300</v>
      </c>
      <c r="T388" s="158">
        <f t="shared" si="72"/>
        <v>0</v>
      </c>
      <c r="U388" s="158">
        <f t="shared" si="76"/>
        <v>224300</v>
      </c>
      <c r="V388" s="158">
        <v>224300</v>
      </c>
      <c r="W388" s="158">
        <f t="shared" si="77"/>
        <v>0</v>
      </c>
      <c r="X388" s="158">
        <f t="shared" si="73"/>
        <v>0</v>
      </c>
      <c r="Y388" s="158">
        <f t="shared" si="78"/>
        <v>0</v>
      </c>
      <c r="Z388" s="158">
        <v>224300</v>
      </c>
      <c r="AA388" s="158">
        <f t="shared" si="74"/>
        <v>0</v>
      </c>
      <c r="AB388" s="167">
        <f t="shared" si="71"/>
        <v>224300</v>
      </c>
      <c r="AC388" s="168">
        <f t="shared" si="75"/>
        <v>0</v>
      </c>
      <c r="AD388" s="158">
        <v>84833.33</v>
      </c>
      <c r="AE388" s="156">
        <v>0.13</v>
      </c>
      <c r="AF388" s="158">
        <f t="shared" si="70"/>
        <v>11028.3329</v>
      </c>
      <c r="AG388" s="158"/>
      <c r="AH388" s="158"/>
      <c r="AI388" s="158"/>
      <c r="AJ388" s="157">
        <v>0.5</v>
      </c>
      <c r="AK388" s="174"/>
    </row>
    <row r="389" s="140" customFormat="1" ht="15" hidden="1" customHeight="1" spans="1:39">
      <c r="A389" s="140">
        <v>2017</v>
      </c>
      <c r="B389" s="152" t="s">
        <v>38</v>
      </c>
      <c r="C389" s="140" t="s">
        <v>88</v>
      </c>
      <c r="D389" s="140" t="s">
        <v>89</v>
      </c>
      <c r="E389" s="140" t="s">
        <v>124</v>
      </c>
      <c r="F389" s="152" t="s">
        <v>430</v>
      </c>
      <c r="G389" s="152" t="s">
        <v>431</v>
      </c>
      <c r="H389" s="152" t="s">
        <v>431</v>
      </c>
      <c r="I389" s="152" t="s">
        <v>243</v>
      </c>
      <c r="J389" s="140" t="s">
        <v>244</v>
      </c>
      <c r="K389" s="140" t="s">
        <v>245</v>
      </c>
      <c r="L389" s="140" t="s">
        <v>567</v>
      </c>
      <c r="M389" s="140" t="s">
        <v>46</v>
      </c>
      <c r="N389" s="156">
        <v>0</v>
      </c>
      <c r="O389" s="156" t="s">
        <v>47</v>
      </c>
      <c r="P389" s="156"/>
      <c r="Q389" s="158">
        <v>0</v>
      </c>
      <c r="T389" s="158">
        <f t="shared" si="72"/>
        <v>0</v>
      </c>
      <c r="U389" s="158">
        <f t="shared" si="76"/>
        <v>0</v>
      </c>
      <c r="V389" s="158">
        <v>40800</v>
      </c>
      <c r="W389" s="158">
        <f t="shared" si="77"/>
        <v>-40800</v>
      </c>
      <c r="X389" s="158">
        <f t="shared" si="73"/>
        <v>-40800</v>
      </c>
      <c r="Y389" s="158">
        <f t="shared" si="78"/>
        <v>0</v>
      </c>
      <c r="Z389" s="158">
        <v>6201.5</v>
      </c>
      <c r="AA389" s="158">
        <f t="shared" si="74"/>
        <v>34598.5</v>
      </c>
      <c r="AB389" s="167">
        <f t="shared" si="71"/>
        <v>6201.5</v>
      </c>
      <c r="AC389" s="168">
        <f t="shared" si="75"/>
        <v>0</v>
      </c>
      <c r="AD389" s="158">
        <v>5198.51621864366</v>
      </c>
      <c r="AE389" s="159">
        <v>0.176470588235294</v>
      </c>
      <c r="AF389" s="158">
        <f t="shared" si="70"/>
        <v>917.385215054763</v>
      </c>
      <c r="AG389" s="152"/>
      <c r="AH389" s="152"/>
      <c r="AI389" s="152"/>
      <c r="AJ389" s="156" t="s">
        <v>47</v>
      </c>
      <c r="AK389" s="152"/>
      <c r="AL389" s="152"/>
      <c r="AM389" s="152" t="s">
        <v>208</v>
      </c>
    </row>
    <row r="390" s="140" customFormat="1" ht="15" hidden="1" customHeight="1" spans="1:39">
      <c r="A390" s="140">
        <v>2017</v>
      </c>
      <c r="B390" s="152" t="s">
        <v>38</v>
      </c>
      <c r="C390" s="140" t="s">
        <v>88</v>
      </c>
      <c r="D390" s="140" t="s">
        <v>89</v>
      </c>
      <c r="E390" s="140" t="s">
        <v>124</v>
      </c>
      <c r="F390" s="152" t="s">
        <v>430</v>
      </c>
      <c r="G390" s="152" t="s">
        <v>430</v>
      </c>
      <c r="H390" s="152" t="s">
        <v>430</v>
      </c>
      <c r="I390" s="152" t="s">
        <v>243</v>
      </c>
      <c r="J390" s="140" t="s">
        <v>244</v>
      </c>
      <c r="K390" s="140" t="s">
        <v>245</v>
      </c>
      <c r="L390" s="140" t="s">
        <v>568</v>
      </c>
      <c r="M390" s="140" t="s">
        <v>46</v>
      </c>
      <c r="N390" s="182">
        <v>0</v>
      </c>
      <c r="O390" s="156" t="s">
        <v>47</v>
      </c>
      <c r="P390" s="156"/>
      <c r="Q390" s="158">
        <v>0</v>
      </c>
      <c r="T390" s="158">
        <f t="shared" si="72"/>
        <v>0</v>
      </c>
      <c r="U390" s="158">
        <f t="shared" si="76"/>
        <v>0</v>
      </c>
      <c r="V390" s="158">
        <v>20000</v>
      </c>
      <c r="W390" s="158">
        <f t="shared" si="77"/>
        <v>-20000</v>
      </c>
      <c r="X390" s="158">
        <f t="shared" si="73"/>
        <v>-20000</v>
      </c>
      <c r="Y390" s="158">
        <f t="shared" si="78"/>
        <v>0</v>
      </c>
      <c r="Z390" s="158">
        <v>718.5</v>
      </c>
      <c r="AA390" s="158">
        <f t="shared" si="74"/>
        <v>19281.5</v>
      </c>
      <c r="AB390" s="167">
        <f t="shared" si="71"/>
        <v>718.5</v>
      </c>
      <c r="AC390" s="168">
        <f t="shared" si="75"/>
        <v>0</v>
      </c>
      <c r="AD390" s="158">
        <v>602.295235522933</v>
      </c>
      <c r="AE390" s="159">
        <v>0.176470588235294</v>
      </c>
      <c r="AF390" s="158">
        <f t="shared" si="70"/>
        <v>106.287394504047</v>
      </c>
      <c r="AG390" s="152"/>
      <c r="AH390" s="152"/>
      <c r="AI390" s="152"/>
      <c r="AJ390" s="156" t="e">
        <v>#N/A</v>
      </c>
      <c r="AK390" s="152"/>
      <c r="AL390" s="152"/>
      <c r="AM390" s="152" t="s">
        <v>208</v>
      </c>
    </row>
    <row r="391" s="140" customFormat="1" ht="15" hidden="1" customHeight="1" spans="1:37">
      <c r="A391" s="140">
        <v>2017</v>
      </c>
      <c r="B391" s="140" t="s">
        <v>38</v>
      </c>
      <c r="C391" s="140" t="s">
        <v>75</v>
      </c>
      <c r="D391" s="140" t="s">
        <v>76</v>
      </c>
      <c r="E391" s="140" t="s">
        <v>296</v>
      </c>
      <c r="F391" s="140" t="s">
        <v>569</v>
      </c>
      <c r="G391" s="140" t="s">
        <v>570</v>
      </c>
      <c r="H391" s="140" t="s">
        <v>570</v>
      </c>
      <c r="I391" s="140" t="s">
        <v>170</v>
      </c>
      <c r="J391" s="140" t="s">
        <v>171</v>
      </c>
      <c r="K391" s="140" t="s">
        <v>172</v>
      </c>
      <c r="L391" s="140" t="s">
        <v>571</v>
      </c>
      <c r="M391" s="140" t="s">
        <v>185</v>
      </c>
      <c r="N391" s="157">
        <v>0.14</v>
      </c>
      <c r="O391" s="156" t="s">
        <v>51</v>
      </c>
      <c r="P391" s="156"/>
      <c r="Q391" s="158">
        <v>0</v>
      </c>
      <c r="R391" s="158">
        <v>0</v>
      </c>
      <c r="S391" s="158">
        <v>20000</v>
      </c>
      <c r="T391" s="158">
        <f t="shared" si="72"/>
        <v>2800</v>
      </c>
      <c r="U391" s="158">
        <f t="shared" si="76"/>
        <v>22800</v>
      </c>
      <c r="V391" s="158">
        <v>34958.53</v>
      </c>
      <c r="W391" s="158">
        <f t="shared" si="77"/>
        <v>-12158.53</v>
      </c>
      <c r="X391" s="158">
        <f t="shared" si="73"/>
        <v>-10665.3771929825</v>
      </c>
      <c r="Y391" s="158">
        <f t="shared" si="78"/>
        <v>-1493.15280701754</v>
      </c>
      <c r="Z391" s="158">
        <v>185823.4658</v>
      </c>
      <c r="AA391" s="158">
        <f t="shared" si="74"/>
        <v>-150864.9358</v>
      </c>
      <c r="AB391" s="167">
        <f t="shared" si="71"/>
        <v>163003.040175439</v>
      </c>
      <c r="AC391" s="168">
        <f t="shared" si="75"/>
        <v>22820.4256245614</v>
      </c>
      <c r="AD391" s="158">
        <f>(Z391-Q391)*0.91072157793815</f>
        <v>169233.439991312</v>
      </c>
      <c r="AE391" s="159">
        <v>0.112691732739812</v>
      </c>
      <c r="AF391" s="158">
        <f t="shared" si="70"/>
        <v>19071.2095901399</v>
      </c>
      <c r="AG391" s="158">
        <v>-6194.85338568571</v>
      </c>
      <c r="AH391" s="175"/>
      <c r="AI391" s="175"/>
      <c r="AJ391" s="157">
        <v>0.14</v>
      </c>
      <c r="AK391" s="177">
        <v>0.14</v>
      </c>
    </row>
    <row r="392" s="140" customFormat="1" ht="15" hidden="1" customHeight="1" spans="1:39">
      <c r="A392" s="140">
        <v>2017</v>
      </c>
      <c r="B392" s="152" t="s">
        <v>38</v>
      </c>
      <c r="C392" s="140" t="s">
        <v>75</v>
      </c>
      <c r="D392" s="152"/>
      <c r="E392" s="152"/>
      <c r="F392" s="152" t="s">
        <v>205</v>
      </c>
      <c r="G392" s="152" t="s">
        <v>205</v>
      </c>
      <c r="H392" s="152" t="s">
        <v>205</v>
      </c>
      <c r="I392" s="152" t="s">
        <v>243</v>
      </c>
      <c r="J392" s="140" t="s">
        <v>244</v>
      </c>
      <c r="K392" s="140" t="s">
        <v>245</v>
      </c>
      <c r="L392" s="140" t="s">
        <v>572</v>
      </c>
      <c r="M392" s="140" t="s">
        <v>46</v>
      </c>
      <c r="N392" s="157">
        <v>0.02</v>
      </c>
      <c r="O392" s="156" t="s">
        <v>51</v>
      </c>
      <c r="P392" s="156"/>
      <c r="Q392" s="158"/>
      <c r="T392" s="158">
        <f t="shared" si="72"/>
        <v>0</v>
      </c>
      <c r="U392" s="158">
        <f t="shared" si="76"/>
        <v>0</v>
      </c>
      <c r="V392" s="158">
        <v>688</v>
      </c>
      <c r="W392" s="158">
        <f t="shared" si="77"/>
        <v>-688</v>
      </c>
      <c r="X392" s="158">
        <f t="shared" si="73"/>
        <v>-674.509803921569</v>
      </c>
      <c r="Y392" s="158">
        <f t="shared" si="78"/>
        <v>-13.4901960784314</v>
      </c>
      <c r="AA392" s="158">
        <f t="shared" si="74"/>
        <v>688</v>
      </c>
      <c r="AB392" s="167">
        <f t="shared" si="71"/>
        <v>0</v>
      </c>
      <c r="AC392" s="168">
        <f t="shared" si="75"/>
        <v>0</v>
      </c>
      <c r="AD392" s="152">
        <v>0</v>
      </c>
      <c r="AE392" s="152"/>
      <c r="AF392" s="158">
        <f t="shared" si="70"/>
        <v>0</v>
      </c>
      <c r="AG392" s="152"/>
      <c r="AH392" s="152"/>
      <c r="AI392" s="152"/>
      <c r="AJ392" s="157">
        <v>0.02</v>
      </c>
      <c r="AK392" s="152"/>
      <c r="AL392" s="152"/>
      <c r="AM392" s="152" t="s">
        <v>208</v>
      </c>
    </row>
    <row r="393" s="140" customFormat="1" ht="15" hidden="1" customHeight="1" spans="1:39">
      <c r="A393" s="140">
        <v>2017</v>
      </c>
      <c r="B393" s="152" t="s">
        <v>38</v>
      </c>
      <c r="C393" s="140" t="s">
        <v>54</v>
      </c>
      <c r="D393" s="152"/>
      <c r="E393" s="152"/>
      <c r="F393" s="152" t="s">
        <v>501</v>
      </c>
      <c r="G393" s="152" t="s">
        <v>501</v>
      </c>
      <c r="H393" s="152" t="s">
        <v>501</v>
      </c>
      <c r="I393" s="152" t="s">
        <v>243</v>
      </c>
      <c r="J393" s="140" t="s">
        <v>244</v>
      </c>
      <c r="K393" s="140" t="s">
        <v>245</v>
      </c>
      <c r="L393" s="140" t="s">
        <v>573</v>
      </c>
      <c r="M393" s="140" t="s">
        <v>46</v>
      </c>
      <c r="N393" s="156">
        <v>0</v>
      </c>
      <c r="O393" s="156" t="s">
        <v>47</v>
      </c>
      <c r="P393" s="156"/>
      <c r="Q393" s="152"/>
      <c r="R393" s="152"/>
      <c r="S393" s="152"/>
      <c r="T393" s="158">
        <f t="shared" si="72"/>
        <v>0</v>
      </c>
      <c r="U393" s="158">
        <f t="shared" si="76"/>
        <v>0</v>
      </c>
      <c r="V393" s="158">
        <v>0</v>
      </c>
      <c r="W393" s="158">
        <f t="shared" si="77"/>
        <v>0</v>
      </c>
      <c r="X393" s="158">
        <f t="shared" si="73"/>
        <v>0</v>
      </c>
      <c r="Y393" s="158">
        <f t="shared" si="78"/>
        <v>0</v>
      </c>
      <c r="Z393" s="152"/>
      <c r="AA393" s="158">
        <f t="shared" si="74"/>
        <v>0</v>
      </c>
      <c r="AB393" s="167">
        <f t="shared" si="71"/>
        <v>0</v>
      </c>
      <c r="AC393" s="168">
        <f t="shared" si="75"/>
        <v>0</v>
      </c>
      <c r="AD393" s="152">
        <v>0</v>
      </c>
      <c r="AE393" s="152"/>
      <c r="AF393" s="158">
        <f t="shared" si="70"/>
        <v>0</v>
      </c>
      <c r="AG393" s="152"/>
      <c r="AH393" s="152"/>
      <c r="AI393" s="152"/>
      <c r="AJ393" s="157">
        <v>0</v>
      </c>
      <c r="AK393" s="152"/>
      <c r="AL393" s="152"/>
      <c r="AM393" s="152" t="s">
        <v>208</v>
      </c>
    </row>
    <row r="394" s="140" customFormat="1" ht="15" hidden="1" customHeight="1" spans="1:39">
      <c r="A394" s="140">
        <v>2017</v>
      </c>
      <c r="B394" s="152" t="s">
        <v>199</v>
      </c>
      <c r="C394" s="140" t="s">
        <v>59</v>
      </c>
      <c r="D394" s="152"/>
      <c r="E394" s="152"/>
      <c r="F394" s="152" t="s">
        <v>348</v>
      </c>
      <c r="G394" s="152" t="s">
        <v>349</v>
      </c>
      <c r="H394" s="152" t="s">
        <v>349</v>
      </c>
      <c r="I394" s="152" t="s">
        <v>243</v>
      </c>
      <c r="J394" s="140" t="s">
        <v>244</v>
      </c>
      <c r="K394" s="140" t="s">
        <v>245</v>
      </c>
      <c r="L394" s="140" t="s">
        <v>348</v>
      </c>
      <c r="M394" s="140" t="s">
        <v>46</v>
      </c>
      <c r="N394" s="156">
        <v>0</v>
      </c>
      <c r="O394" s="156" t="s">
        <v>47</v>
      </c>
      <c r="P394" s="156"/>
      <c r="Q394" s="152"/>
      <c r="R394" s="152"/>
      <c r="S394" s="152"/>
      <c r="T394" s="158">
        <f t="shared" si="72"/>
        <v>0</v>
      </c>
      <c r="U394" s="158">
        <f t="shared" si="76"/>
        <v>0</v>
      </c>
      <c r="V394" s="158">
        <v>15000</v>
      </c>
      <c r="W394" s="158">
        <f t="shared" si="77"/>
        <v>-15000</v>
      </c>
      <c r="X394" s="158">
        <f t="shared" si="73"/>
        <v>-15000</v>
      </c>
      <c r="Y394" s="158">
        <f t="shared" si="78"/>
        <v>0</v>
      </c>
      <c r="Z394" s="152"/>
      <c r="AA394" s="158">
        <f t="shared" si="74"/>
        <v>15000</v>
      </c>
      <c r="AB394" s="167">
        <f t="shared" si="71"/>
        <v>0</v>
      </c>
      <c r="AC394" s="168">
        <f t="shared" si="75"/>
        <v>0</v>
      </c>
      <c r="AD394" s="152">
        <v>0</v>
      </c>
      <c r="AE394" s="152"/>
      <c r="AF394" s="158">
        <f t="shared" si="70"/>
        <v>0</v>
      </c>
      <c r="AG394" s="152"/>
      <c r="AH394" s="152"/>
      <c r="AI394" s="152"/>
      <c r="AJ394" s="157">
        <v>0</v>
      </c>
      <c r="AK394" s="152"/>
      <c r="AL394" s="152"/>
      <c r="AM394" s="152" t="s">
        <v>208</v>
      </c>
    </row>
    <row r="395" s="140" customFormat="1" ht="15" hidden="1" customHeight="1" spans="1:39">
      <c r="A395" s="140">
        <v>2017</v>
      </c>
      <c r="B395" s="152" t="s">
        <v>38</v>
      </c>
      <c r="C395" s="140" t="s">
        <v>59</v>
      </c>
      <c r="D395" s="152"/>
      <c r="E395" s="152"/>
      <c r="F395" s="152" t="s">
        <v>362</v>
      </c>
      <c r="G395" s="152" t="s">
        <v>362</v>
      </c>
      <c r="H395" s="152" t="s">
        <v>362</v>
      </c>
      <c r="I395" s="152" t="s">
        <v>243</v>
      </c>
      <c r="J395" s="140" t="s">
        <v>244</v>
      </c>
      <c r="K395" s="140" t="s">
        <v>245</v>
      </c>
      <c r="L395" s="140" t="s">
        <v>362</v>
      </c>
      <c r="M395" s="140" t="s">
        <v>46</v>
      </c>
      <c r="N395" s="156">
        <v>0</v>
      </c>
      <c r="O395" s="156" t="s">
        <v>47</v>
      </c>
      <c r="P395" s="156"/>
      <c r="Q395" s="152"/>
      <c r="R395" s="152"/>
      <c r="S395" s="152"/>
      <c r="T395" s="158">
        <f t="shared" si="72"/>
        <v>0</v>
      </c>
      <c r="U395" s="158">
        <f t="shared" si="76"/>
        <v>0</v>
      </c>
      <c r="V395" s="158">
        <v>15000</v>
      </c>
      <c r="W395" s="158">
        <f t="shared" si="77"/>
        <v>-15000</v>
      </c>
      <c r="X395" s="158">
        <f t="shared" si="73"/>
        <v>-15000</v>
      </c>
      <c r="Y395" s="158">
        <f t="shared" si="78"/>
        <v>0</v>
      </c>
      <c r="Z395" s="152"/>
      <c r="AA395" s="158">
        <f t="shared" si="74"/>
        <v>15000</v>
      </c>
      <c r="AB395" s="167">
        <f t="shared" si="71"/>
        <v>0</v>
      </c>
      <c r="AC395" s="168">
        <f t="shared" si="75"/>
        <v>0</v>
      </c>
      <c r="AD395" s="152">
        <v>0</v>
      </c>
      <c r="AE395" s="152"/>
      <c r="AF395" s="158">
        <f t="shared" si="70"/>
        <v>0</v>
      </c>
      <c r="AG395" s="152"/>
      <c r="AH395" s="152"/>
      <c r="AI395" s="152"/>
      <c r="AJ395" s="157">
        <v>0</v>
      </c>
      <c r="AK395" s="152"/>
      <c r="AL395" s="152"/>
      <c r="AM395" s="152" t="s">
        <v>208</v>
      </c>
    </row>
    <row r="396" s="140" customFormat="1" ht="15" hidden="1" customHeight="1" spans="1:39">
      <c r="A396" s="140">
        <v>2017</v>
      </c>
      <c r="B396" s="152" t="s">
        <v>38</v>
      </c>
      <c r="C396" s="140" t="s">
        <v>39</v>
      </c>
      <c r="D396" s="152"/>
      <c r="E396" s="152"/>
      <c r="F396" s="152" t="s">
        <v>127</v>
      </c>
      <c r="G396" s="152" t="s">
        <v>127</v>
      </c>
      <c r="H396" s="152" t="s">
        <v>127</v>
      </c>
      <c r="I396" s="152" t="s">
        <v>243</v>
      </c>
      <c r="J396" s="140" t="s">
        <v>244</v>
      </c>
      <c r="K396" s="140" t="s">
        <v>245</v>
      </c>
      <c r="L396" s="140" t="s">
        <v>127</v>
      </c>
      <c r="M396" s="140" t="s">
        <v>46</v>
      </c>
      <c r="N396" s="156">
        <v>0</v>
      </c>
      <c r="O396" s="156" t="s">
        <v>47</v>
      </c>
      <c r="P396" s="156"/>
      <c r="Q396" s="152"/>
      <c r="R396" s="152"/>
      <c r="S396" s="152"/>
      <c r="T396" s="158">
        <f t="shared" si="72"/>
        <v>0</v>
      </c>
      <c r="U396" s="158">
        <f t="shared" si="76"/>
        <v>0</v>
      </c>
      <c r="V396" s="158">
        <v>15000</v>
      </c>
      <c r="W396" s="158">
        <f t="shared" si="77"/>
        <v>-15000</v>
      </c>
      <c r="X396" s="158">
        <f t="shared" si="73"/>
        <v>-15000</v>
      </c>
      <c r="Y396" s="158">
        <f t="shared" si="78"/>
        <v>0</v>
      </c>
      <c r="Z396" s="152"/>
      <c r="AA396" s="158">
        <f t="shared" si="74"/>
        <v>15000</v>
      </c>
      <c r="AB396" s="167">
        <f t="shared" si="71"/>
        <v>0</v>
      </c>
      <c r="AC396" s="168">
        <f t="shared" si="75"/>
        <v>0</v>
      </c>
      <c r="AD396" s="152">
        <v>0</v>
      </c>
      <c r="AE396" s="152"/>
      <c r="AF396" s="158">
        <f t="shared" si="70"/>
        <v>0</v>
      </c>
      <c r="AG396" s="152"/>
      <c r="AH396" s="152"/>
      <c r="AI396" s="152"/>
      <c r="AJ396" s="157">
        <v>0</v>
      </c>
      <c r="AK396" s="152"/>
      <c r="AL396" s="152"/>
      <c r="AM396" s="152" t="s">
        <v>208</v>
      </c>
    </row>
    <row r="397" s="140" customFormat="1" ht="15" hidden="1" customHeight="1" spans="1:39">
      <c r="A397" s="140">
        <v>2017</v>
      </c>
      <c r="B397" s="152" t="s">
        <v>38</v>
      </c>
      <c r="C397" s="140" t="s">
        <v>88</v>
      </c>
      <c r="D397" s="140" t="s">
        <v>89</v>
      </c>
      <c r="E397" s="140" t="s">
        <v>124</v>
      </c>
      <c r="F397" s="152" t="s">
        <v>430</v>
      </c>
      <c r="G397" s="152" t="s">
        <v>431</v>
      </c>
      <c r="H397" s="152" t="s">
        <v>431</v>
      </c>
      <c r="I397" s="152" t="s">
        <v>243</v>
      </c>
      <c r="J397" s="140" t="s">
        <v>244</v>
      </c>
      <c r="K397" s="140" t="s">
        <v>245</v>
      </c>
      <c r="L397" s="140" t="s">
        <v>574</v>
      </c>
      <c r="M397" s="140" t="s">
        <v>46</v>
      </c>
      <c r="N397" s="156">
        <v>0</v>
      </c>
      <c r="O397" s="156" t="s">
        <v>47</v>
      </c>
      <c r="P397" s="156"/>
      <c r="Q397" s="152"/>
      <c r="R397" s="152"/>
      <c r="S397" s="152"/>
      <c r="T397" s="158">
        <f t="shared" si="72"/>
        <v>0</v>
      </c>
      <c r="U397" s="158">
        <f t="shared" si="76"/>
        <v>0</v>
      </c>
      <c r="V397" s="158">
        <v>20000</v>
      </c>
      <c r="W397" s="158">
        <f t="shared" si="77"/>
        <v>-20000</v>
      </c>
      <c r="X397" s="158">
        <f t="shared" si="73"/>
        <v>-20000</v>
      </c>
      <c r="Y397" s="158">
        <f t="shared" si="78"/>
        <v>0</v>
      </c>
      <c r="Z397" s="152"/>
      <c r="AA397" s="158">
        <f t="shared" si="74"/>
        <v>20000</v>
      </c>
      <c r="AB397" s="167">
        <f t="shared" si="71"/>
        <v>0</v>
      </c>
      <c r="AC397" s="168">
        <f t="shared" si="75"/>
        <v>0</v>
      </c>
      <c r="AD397" s="152">
        <v>0</v>
      </c>
      <c r="AE397" s="152"/>
      <c r="AF397" s="158">
        <f t="shared" si="70"/>
        <v>0</v>
      </c>
      <c r="AG397" s="152"/>
      <c r="AH397" s="152"/>
      <c r="AI397" s="152"/>
      <c r="AJ397" s="156" t="s">
        <v>47</v>
      </c>
      <c r="AK397" s="152"/>
      <c r="AL397" s="152"/>
      <c r="AM397" s="152" t="s">
        <v>208</v>
      </c>
    </row>
    <row r="398" s="140" customFormat="1" ht="15" hidden="1" customHeight="1" spans="1:39">
      <c r="A398" s="140">
        <v>2017</v>
      </c>
      <c r="B398" s="152" t="s">
        <v>38</v>
      </c>
      <c r="C398" s="140" t="s">
        <v>54</v>
      </c>
      <c r="D398" s="152"/>
      <c r="E398" s="152"/>
      <c r="F398" s="152" t="s">
        <v>527</v>
      </c>
      <c r="G398" s="152" t="s">
        <v>527</v>
      </c>
      <c r="H398" s="152" t="s">
        <v>527</v>
      </c>
      <c r="I398" s="152" t="s">
        <v>243</v>
      </c>
      <c r="J398" s="140" t="s">
        <v>244</v>
      </c>
      <c r="K398" s="140" t="s">
        <v>245</v>
      </c>
      <c r="L398" s="140" t="s">
        <v>528</v>
      </c>
      <c r="M398" s="140" t="s">
        <v>46</v>
      </c>
      <c r="N398" s="156">
        <v>0.98</v>
      </c>
      <c r="O398" s="156" t="s">
        <v>559</v>
      </c>
      <c r="P398" s="156"/>
      <c r="Q398" s="152"/>
      <c r="R398" s="152"/>
      <c r="S398" s="152"/>
      <c r="T398" s="158">
        <f t="shared" si="72"/>
        <v>0</v>
      </c>
      <c r="U398" s="158">
        <f t="shared" si="76"/>
        <v>0</v>
      </c>
      <c r="V398" s="158">
        <v>170000</v>
      </c>
      <c r="W398" s="158">
        <f t="shared" si="77"/>
        <v>-170000</v>
      </c>
      <c r="X398" s="158">
        <f t="shared" si="73"/>
        <v>-85858.5858585859</v>
      </c>
      <c r="Y398" s="158">
        <f t="shared" si="78"/>
        <v>-84141.4141414141</v>
      </c>
      <c r="Z398" s="152"/>
      <c r="AA398" s="158">
        <f t="shared" si="74"/>
        <v>170000</v>
      </c>
      <c r="AB398" s="167" t="b">
        <f t="shared" si="71"/>
        <v>0</v>
      </c>
      <c r="AC398" s="168">
        <f t="shared" si="75"/>
        <v>0</v>
      </c>
      <c r="AD398" s="152">
        <v>0</v>
      </c>
      <c r="AE398" s="152"/>
      <c r="AF398" s="158">
        <f t="shared" si="70"/>
        <v>0</v>
      </c>
      <c r="AG398" s="152"/>
      <c r="AH398" s="152"/>
      <c r="AI398" s="152"/>
      <c r="AJ398" s="156" t="s">
        <v>560</v>
      </c>
      <c r="AK398" s="152"/>
      <c r="AL398" s="152"/>
      <c r="AM398" s="152" t="s">
        <v>208</v>
      </c>
    </row>
    <row r="399" s="140" customFormat="1" ht="15" hidden="1" customHeight="1" spans="1:39">
      <c r="A399" s="140">
        <v>2017</v>
      </c>
      <c r="B399" s="152"/>
      <c r="C399" s="140" t="s">
        <v>75</v>
      </c>
      <c r="D399" s="152"/>
      <c r="E399" s="152"/>
      <c r="F399" s="152" t="s">
        <v>538</v>
      </c>
      <c r="G399" s="152"/>
      <c r="H399" s="152"/>
      <c r="I399" s="152" t="s">
        <v>243</v>
      </c>
      <c r="J399" s="140" t="s">
        <v>244</v>
      </c>
      <c r="K399" s="140" t="s">
        <v>245</v>
      </c>
      <c r="L399" s="140" t="s">
        <v>539</v>
      </c>
      <c r="M399" s="140" t="s">
        <v>46</v>
      </c>
      <c r="N399" s="182">
        <v>0</v>
      </c>
      <c r="O399" s="156" t="s">
        <v>47</v>
      </c>
      <c r="P399" s="156"/>
      <c r="Q399" s="152"/>
      <c r="R399" s="158">
        <v>0</v>
      </c>
      <c r="S399" s="152"/>
      <c r="T399" s="158">
        <f t="shared" si="72"/>
        <v>0</v>
      </c>
      <c r="U399" s="158">
        <f t="shared" si="76"/>
        <v>0</v>
      </c>
      <c r="V399" s="158">
        <v>37500</v>
      </c>
      <c r="W399" s="158">
        <f t="shared" si="77"/>
        <v>-37500</v>
      </c>
      <c r="X399" s="158">
        <f t="shared" si="73"/>
        <v>-37500</v>
      </c>
      <c r="Y399" s="158">
        <f t="shared" si="78"/>
        <v>0</v>
      </c>
      <c r="Z399" s="152"/>
      <c r="AA399" s="158">
        <f t="shared" si="74"/>
        <v>37500</v>
      </c>
      <c r="AB399" s="167">
        <f t="shared" si="71"/>
        <v>0</v>
      </c>
      <c r="AC399" s="168">
        <f t="shared" si="75"/>
        <v>0</v>
      </c>
      <c r="AD399" s="152">
        <v>0</v>
      </c>
      <c r="AE399" s="152"/>
      <c r="AF399" s="158">
        <f t="shared" si="70"/>
        <v>0</v>
      </c>
      <c r="AG399" s="152"/>
      <c r="AH399" s="152"/>
      <c r="AI399" s="152"/>
      <c r="AJ399" s="157">
        <v>0</v>
      </c>
      <c r="AK399" s="152"/>
      <c r="AL399" s="152"/>
      <c r="AM399" s="152" t="s">
        <v>208</v>
      </c>
    </row>
    <row r="400" s="140" customFormat="1" ht="15" hidden="1" customHeight="1" spans="1:39">
      <c r="A400" s="140">
        <v>2017</v>
      </c>
      <c r="B400" s="152" t="s">
        <v>38</v>
      </c>
      <c r="C400" s="140" t="s">
        <v>59</v>
      </c>
      <c r="D400" s="152"/>
      <c r="E400" s="152"/>
      <c r="F400" s="152" t="s">
        <v>355</v>
      </c>
      <c r="G400" s="152" t="s">
        <v>355</v>
      </c>
      <c r="H400" s="152" t="s">
        <v>355</v>
      </c>
      <c r="I400" s="152" t="s">
        <v>243</v>
      </c>
      <c r="J400" s="140" t="s">
        <v>244</v>
      </c>
      <c r="K400" s="140" t="s">
        <v>245</v>
      </c>
      <c r="L400" s="140" t="s">
        <v>355</v>
      </c>
      <c r="M400" s="140" t="s">
        <v>46</v>
      </c>
      <c r="N400" s="156">
        <v>0</v>
      </c>
      <c r="O400" s="156" t="s">
        <v>47</v>
      </c>
      <c r="P400" s="156"/>
      <c r="Q400" s="152"/>
      <c r="R400" s="152"/>
      <c r="S400" s="152"/>
      <c r="T400" s="158">
        <f t="shared" si="72"/>
        <v>0</v>
      </c>
      <c r="U400" s="158">
        <f t="shared" si="76"/>
        <v>0</v>
      </c>
      <c r="V400" s="158">
        <v>15000</v>
      </c>
      <c r="W400" s="158">
        <f t="shared" si="77"/>
        <v>-15000</v>
      </c>
      <c r="X400" s="158">
        <f t="shared" si="73"/>
        <v>-15000</v>
      </c>
      <c r="Y400" s="158">
        <f t="shared" si="78"/>
        <v>0</v>
      </c>
      <c r="Z400" s="152"/>
      <c r="AA400" s="158">
        <f t="shared" si="74"/>
        <v>15000</v>
      </c>
      <c r="AB400" s="167">
        <f t="shared" si="71"/>
        <v>0</v>
      </c>
      <c r="AC400" s="168">
        <f t="shared" si="75"/>
        <v>0</v>
      </c>
      <c r="AD400" s="152">
        <v>0</v>
      </c>
      <c r="AE400" s="152"/>
      <c r="AF400" s="158">
        <f t="shared" si="70"/>
        <v>0</v>
      </c>
      <c r="AG400" s="152"/>
      <c r="AH400" s="152"/>
      <c r="AI400" s="152"/>
      <c r="AJ400" s="157">
        <v>0</v>
      </c>
      <c r="AK400" s="152"/>
      <c r="AL400" s="152"/>
      <c r="AM400" s="152" t="s">
        <v>208</v>
      </c>
    </row>
    <row r="401" s="140" customFormat="1" ht="15" hidden="1" customHeight="1" spans="1:39">
      <c r="A401" s="140">
        <v>2017</v>
      </c>
      <c r="B401" s="140" t="s">
        <v>38</v>
      </c>
      <c r="C401" s="140" t="s">
        <v>137</v>
      </c>
      <c r="D401" s="140" t="s">
        <v>138</v>
      </c>
      <c r="E401" s="140" t="s">
        <v>139</v>
      </c>
      <c r="F401" s="140" t="s">
        <v>575</v>
      </c>
      <c r="G401" s="140" t="s">
        <v>576</v>
      </c>
      <c r="H401" s="140" t="s">
        <v>576</v>
      </c>
      <c r="I401" s="184" t="s">
        <v>204</v>
      </c>
      <c r="J401" s="140" t="s">
        <v>577</v>
      </c>
      <c r="K401" s="140" t="s">
        <v>578</v>
      </c>
      <c r="L401" s="140" t="s">
        <v>579</v>
      </c>
      <c r="M401" s="140" t="s">
        <v>46</v>
      </c>
      <c r="N401" s="156">
        <v>0.05</v>
      </c>
      <c r="O401" s="156" t="s">
        <v>51</v>
      </c>
      <c r="P401" s="156"/>
      <c r="Q401" s="158">
        <v>0</v>
      </c>
      <c r="R401" s="158">
        <v>0</v>
      </c>
      <c r="S401" s="158">
        <v>25000</v>
      </c>
      <c r="T401" s="158">
        <f t="shared" si="72"/>
        <v>1250</v>
      </c>
      <c r="U401" s="158">
        <f t="shared" si="76"/>
        <v>26250</v>
      </c>
      <c r="V401" s="158">
        <v>30000</v>
      </c>
      <c r="W401" s="158">
        <f t="shared" si="77"/>
        <v>-3750</v>
      </c>
      <c r="X401" s="158">
        <f t="shared" si="73"/>
        <v>-3571.42857142857</v>
      </c>
      <c r="Y401" s="158">
        <f t="shared" si="78"/>
        <v>-178.571428571429</v>
      </c>
      <c r="Z401" s="158">
        <v>21319</v>
      </c>
      <c r="AA401" s="158">
        <f t="shared" si="74"/>
        <v>8681</v>
      </c>
      <c r="AB401" s="167">
        <f t="shared" si="71"/>
        <v>20303.8095238095</v>
      </c>
      <c r="AC401" s="168">
        <f t="shared" si="75"/>
        <v>1015.19047619048</v>
      </c>
      <c r="AD401" s="158">
        <f t="shared" ref="AD401:AD417" si="79">Z401*0.980277351080772</f>
        <v>20898.532847691</v>
      </c>
      <c r="AE401" s="159">
        <v>0.1077</v>
      </c>
      <c r="AF401" s="158">
        <f t="shared" si="70"/>
        <v>2250.77198769632</v>
      </c>
      <c r="AG401" s="158">
        <v>1280.86582380952</v>
      </c>
      <c r="AH401" s="175"/>
      <c r="AI401" s="175"/>
      <c r="AJ401" s="156" t="s">
        <v>63</v>
      </c>
      <c r="AK401" s="140" t="s">
        <v>63</v>
      </c>
      <c r="AM401" s="152"/>
    </row>
    <row r="402" s="140" customFormat="1" ht="15" hidden="1" customHeight="1" spans="1:39">
      <c r="A402" s="140">
        <v>2017</v>
      </c>
      <c r="B402" s="140" t="s">
        <v>38</v>
      </c>
      <c r="C402" s="140" t="s">
        <v>137</v>
      </c>
      <c r="D402" s="140" t="s">
        <v>138</v>
      </c>
      <c r="E402" s="140" t="s">
        <v>580</v>
      </c>
      <c r="F402" s="140" t="s">
        <v>581</v>
      </c>
      <c r="G402" s="140" t="s">
        <v>581</v>
      </c>
      <c r="H402" s="140" t="s">
        <v>581</v>
      </c>
      <c r="I402" s="184" t="s">
        <v>204</v>
      </c>
      <c r="J402" s="140" t="s">
        <v>577</v>
      </c>
      <c r="K402" s="140" t="s">
        <v>578</v>
      </c>
      <c r="L402" s="140" t="s">
        <v>582</v>
      </c>
      <c r="M402" s="140" t="s">
        <v>46</v>
      </c>
      <c r="N402" s="157">
        <v>0.05</v>
      </c>
      <c r="O402" s="156" t="s">
        <v>51</v>
      </c>
      <c r="P402" s="156"/>
      <c r="Q402" s="158">
        <v>0</v>
      </c>
      <c r="R402" s="158">
        <v>0</v>
      </c>
      <c r="S402" s="158">
        <v>10000</v>
      </c>
      <c r="T402" s="158">
        <f t="shared" si="72"/>
        <v>500</v>
      </c>
      <c r="U402" s="158">
        <f t="shared" si="76"/>
        <v>10500</v>
      </c>
      <c r="V402" s="158">
        <v>10000</v>
      </c>
      <c r="W402" s="158">
        <f t="shared" si="77"/>
        <v>500</v>
      </c>
      <c r="X402" s="158">
        <f t="shared" si="73"/>
        <v>476.190476190476</v>
      </c>
      <c r="Y402" s="158">
        <f t="shared" si="78"/>
        <v>23.8095238095239</v>
      </c>
      <c r="Z402" s="158">
        <v>10000</v>
      </c>
      <c r="AA402" s="158">
        <f t="shared" si="74"/>
        <v>0</v>
      </c>
      <c r="AB402" s="167">
        <f t="shared" si="71"/>
        <v>9523.80952380952</v>
      </c>
      <c r="AC402" s="168">
        <f t="shared" si="75"/>
        <v>476.190476190477</v>
      </c>
      <c r="AD402" s="158">
        <f t="shared" si="79"/>
        <v>9802.77351080772</v>
      </c>
      <c r="AE402" s="159">
        <v>0.1077</v>
      </c>
      <c r="AF402" s="158">
        <f t="shared" si="70"/>
        <v>1055.75870711399</v>
      </c>
      <c r="AG402" s="158">
        <v>600.809523809523</v>
      </c>
      <c r="AH402" s="175"/>
      <c r="AI402" s="175"/>
      <c r="AJ402" s="156" t="s">
        <v>583</v>
      </c>
      <c r="AK402" s="140" t="s">
        <v>583</v>
      </c>
      <c r="AM402" s="152"/>
    </row>
    <row r="403" s="140" customFormat="1" ht="15" hidden="1" customHeight="1" spans="1:39">
      <c r="A403" s="140">
        <v>2017</v>
      </c>
      <c r="B403" s="140" t="s">
        <v>38</v>
      </c>
      <c r="C403" s="140" t="s">
        <v>137</v>
      </c>
      <c r="D403" s="140" t="s">
        <v>138</v>
      </c>
      <c r="E403" s="140" t="s">
        <v>580</v>
      </c>
      <c r="F403" s="140" t="s">
        <v>584</v>
      </c>
      <c r="G403" s="140" t="s">
        <v>585</v>
      </c>
      <c r="H403" s="140" t="s">
        <v>585</v>
      </c>
      <c r="I403" s="184" t="s">
        <v>204</v>
      </c>
      <c r="J403" s="140" t="s">
        <v>577</v>
      </c>
      <c r="K403" s="140" t="s">
        <v>578</v>
      </c>
      <c r="L403" s="140" t="s">
        <v>586</v>
      </c>
      <c r="M403" s="140" t="s">
        <v>46</v>
      </c>
      <c r="N403" s="157">
        <v>0.05</v>
      </c>
      <c r="O403" s="156" t="s">
        <v>495</v>
      </c>
      <c r="P403" s="156"/>
      <c r="Q403" s="158">
        <v>0</v>
      </c>
      <c r="R403" s="158">
        <v>0</v>
      </c>
      <c r="S403" s="158">
        <v>5000</v>
      </c>
      <c r="T403" s="158">
        <f t="shared" si="72"/>
        <v>250</v>
      </c>
      <c r="U403" s="158">
        <f t="shared" si="76"/>
        <v>5250</v>
      </c>
      <c r="V403" s="158">
        <v>5240.65</v>
      </c>
      <c r="W403" s="158">
        <f t="shared" si="77"/>
        <v>9.35000000000036</v>
      </c>
      <c r="X403" s="158">
        <f t="shared" si="73"/>
        <v>8.90476190476225</v>
      </c>
      <c r="Y403" s="158">
        <f t="shared" si="78"/>
        <v>0.445238095238112</v>
      </c>
      <c r="Z403" s="158">
        <v>4813</v>
      </c>
      <c r="AA403" s="158">
        <f t="shared" si="74"/>
        <v>427.65</v>
      </c>
      <c r="AB403" s="167">
        <f t="shared" si="71"/>
        <v>4813</v>
      </c>
      <c r="AC403" s="168">
        <f t="shared" si="75"/>
        <v>240.65</v>
      </c>
      <c r="AD403" s="158">
        <f t="shared" si="79"/>
        <v>4718.07489075176</v>
      </c>
      <c r="AE403" s="159">
        <v>0.1077</v>
      </c>
      <c r="AF403" s="158">
        <f t="shared" si="70"/>
        <v>508.136665733964</v>
      </c>
      <c r="AG403" s="158">
        <v>289.169623809524</v>
      </c>
      <c r="AH403" s="175"/>
      <c r="AI403" s="175"/>
      <c r="AJ403" s="157">
        <v>0.05</v>
      </c>
      <c r="AK403" s="177">
        <v>0.05</v>
      </c>
      <c r="AM403" s="152"/>
    </row>
    <row r="404" s="140" customFormat="1" ht="15" hidden="1" customHeight="1" spans="1:39">
      <c r="A404" s="140">
        <v>2017</v>
      </c>
      <c r="B404" s="140" t="s">
        <v>38</v>
      </c>
      <c r="C404" s="140" t="s">
        <v>137</v>
      </c>
      <c r="D404" s="140" t="s">
        <v>270</v>
      </c>
      <c r="E404" s="140" t="s">
        <v>139</v>
      </c>
      <c r="F404" s="140" t="s">
        <v>587</v>
      </c>
      <c r="G404" s="140" t="s">
        <v>588</v>
      </c>
      <c r="H404" s="140" t="s">
        <v>588</v>
      </c>
      <c r="I404" s="184" t="s">
        <v>204</v>
      </c>
      <c r="J404" s="140" t="s">
        <v>577</v>
      </c>
      <c r="K404" s="140" t="s">
        <v>578</v>
      </c>
      <c r="L404" s="140" t="s">
        <v>589</v>
      </c>
      <c r="M404" s="140" t="s">
        <v>185</v>
      </c>
      <c r="N404" s="157">
        <v>0.16</v>
      </c>
      <c r="O404" s="156" t="s">
        <v>51</v>
      </c>
      <c r="P404" s="156"/>
      <c r="Q404" s="158">
        <v>8000</v>
      </c>
      <c r="R404" s="158">
        <v>0</v>
      </c>
      <c r="S404" s="158">
        <v>356198.9</v>
      </c>
      <c r="T404" s="158">
        <f t="shared" si="72"/>
        <v>56991.824</v>
      </c>
      <c r="U404" s="158">
        <f t="shared" si="76"/>
        <v>413190.724</v>
      </c>
      <c r="V404" s="158">
        <v>0</v>
      </c>
      <c r="W404" s="158">
        <f t="shared" si="77"/>
        <v>413190.724</v>
      </c>
      <c r="X404" s="158">
        <f t="shared" si="73"/>
        <v>356198.9</v>
      </c>
      <c r="Y404" s="158">
        <f t="shared" si="78"/>
        <v>56991.824</v>
      </c>
      <c r="Z404" s="158">
        <v>356198.9</v>
      </c>
      <c r="AA404" s="158">
        <f t="shared" si="74"/>
        <v>-348198.9</v>
      </c>
      <c r="AB404" s="167">
        <f>IF(O404="返货",(Z404-Q404)/(1+N404),IF(O404="返现",(Z404-Q404),IF(O404="折扣",(Z404-Q404)*N404,IF(O404="无",(Z404-Q404)))))</f>
        <v>300171.465517241</v>
      </c>
      <c r="AC404" s="168">
        <f t="shared" si="75"/>
        <v>56027.4344827586</v>
      </c>
      <c r="AD404" s="158">
        <f t="shared" si="79"/>
        <v>349173.714149885</v>
      </c>
      <c r="AE404" s="159">
        <v>0.3156</v>
      </c>
      <c r="AF404" s="158">
        <f t="shared" si="70"/>
        <v>110199.224185704</v>
      </c>
      <c r="AG404" s="158">
        <v>63285.4900813794</v>
      </c>
      <c r="AH404" s="175"/>
      <c r="AI404" s="175"/>
      <c r="AJ404" s="156" t="s">
        <v>590</v>
      </c>
      <c r="AK404" s="140" t="s">
        <v>590</v>
      </c>
      <c r="AL404" s="140" t="s">
        <v>591</v>
      </c>
      <c r="AM404" s="152"/>
    </row>
    <row r="405" s="140" customFormat="1" ht="15" hidden="1" customHeight="1" spans="1:39">
      <c r="A405" s="140">
        <v>2017</v>
      </c>
      <c r="B405" s="140" t="s">
        <v>38</v>
      </c>
      <c r="C405" s="140" t="s">
        <v>137</v>
      </c>
      <c r="D405" s="140" t="s">
        <v>270</v>
      </c>
      <c r="E405" s="140" t="s">
        <v>139</v>
      </c>
      <c r="F405" s="140" t="s">
        <v>587</v>
      </c>
      <c r="G405" s="140" t="s">
        <v>588</v>
      </c>
      <c r="H405" s="140" t="s">
        <v>588</v>
      </c>
      <c r="I405" s="184" t="s">
        <v>204</v>
      </c>
      <c r="J405" s="140" t="s">
        <v>577</v>
      </c>
      <c r="K405" s="140" t="s">
        <v>578</v>
      </c>
      <c r="L405" s="140" t="s">
        <v>589</v>
      </c>
      <c r="M405" s="140" t="s">
        <v>46</v>
      </c>
      <c r="N405" s="156">
        <v>0.06</v>
      </c>
      <c r="O405" s="156" t="s">
        <v>51</v>
      </c>
      <c r="P405" s="156"/>
      <c r="Q405" s="158">
        <v>2700</v>
      </c>
      <c r="R405" s="158">
        <v>0</v>
      </c>
      <c r="S405" s="158">
        <v>133238.39</v>
      </c>
      <c r="T405" s="158">
        <f t="shared" si="72"/>
        <v>7994.3034</v>
      </c>
      <c r="U405" s="158">
        <f t="shared" si="76"/>
        <v>141232.6934</v>
      </c>
      <c r="V405" s="158">
        <v>609700</v>
      </c>
      <c r="W405" s="158">
        <f t="shared" si="77"/>
        <v>-468467.3066</v>
      </c>
      <c r="X405" s="158">
        <f t="shared" si="73"/>
        <v>-441950.289245283</v>
      </c>
      <c r="Y405" s="158">
        <f t="shared" si="78"/>
        <v>-26517.017354717</v>
      </c>
      <c r="Z405" s="158">
        <v>200738.39</v>
      </c>
      <c r="AA405" s="158">
        <f t="shared" si="74"/>
        <v>411661.61</v>
      </c>
      <c r="AB405" s="167">
        <f>IF(O405="返货",(Z405-Q405)/(1+N405),IF(O405="返现",(Z405-Q405),IF(O405="折扣",(Z405-Q405)*N405,IF(O405="无",(Z405-Q405)))))</f>
        <v>186828.669811321</v>
      </c>
      <c r="AC405" s="168">
        <f t="shared" si="75"/>
        <v>13909.7201886793</v>
      </c>
      <c r="AD405" s="158">
        <f t="shared" si="79"/>
        <v>196779.297209419</v>
      </c>
      <c r="AE405" s="159">
        <v>0.1077</v>
      </c>
      <c r="AF405" s="158">
        <f t="shared" si="70"/>
        <v>21193.1303094544</v>
      </c>
      <c r="AG405" s="158">
        <v>10256.9742256415</v>
      </c>
      <c r="AH405" s="175"/>
      <c r="AI405" s="175"/>
      <c r="AJ405" s="156" t="s">
        <v>193</v>
      </c>
      <c r="AK405" s="140" t="s">
        <v>193</v>
      </c>
      <c r="AL405" s="140" t="s">
        <v>591</v>
      </c>
      <c r="AM405" s="152"/>
    </row>
    <row r="406" s="140" customFormat="1" ht="15" hidden="1" customHeight="1" spans="1:39">
      <c r="A406" s="140">
        <v>2017</v>
      </c>
      <c r="B406" s="140" t="s">
        <v>199</v>
      </c>
      <c r="C406" s="140" t="s">
        <v>137</v>
      </c>
      <c r="D406" s="140" t="s">
        <v>270</v>
      </c>
      <c r="E406" s="140" t="s">
        <v>270</v>
      </c>
      <c r="F406" s="140" t="s">
        <v>592</v>
      </c>
      <c r="G406" s="140" t="s">
        <v>593</v>
      </c>
      <c r="H406" s="140" t="s">
        <v>593</v>
      </c>
      <c r="I406" s="184" t="s">
        <v>204</v>
      </c>
      <c r="J406" s="140" t="s">
        <v>577</v>
      </c>
      <c r="K406" s="140" t="s">
        <v>578</v>
      </c>
      <c r="L406" s="140" t="s">
        <v>592</v>
      </c>
      <c r="M406" s="140" t="s">
        <v>46</v>
      </c>
      <c r="N406" s="157">
        <v>0.02</v>
      </c>
      <c r="O406" s="156" t="s">
        <v>51</v>
      </c>
      <c r="P406" s="156"/>
      <c r="Q406" s="158">
        <v>0</v>
      </c>
      <c r="R406" s="158">
        <v>0</v>
      </c>
      <c r="S406" s="158">
        <v>65844.83</v>
      </c>
      <c r="T406" s="158">
        <f t="shared" si="72"/>
        <v>1316.8966</v>
      </c>
      <c r="U406" s="158">
        <f t="shared" si="76"/>
        <v>67161.7266</v>
      </c>
      <c r="V406" s="158">
        <v>80000</v>
      </c>
      <c r="W406" s="158">
        <f t="shared" si="77"/>
        <v>-12838.2734</v>
      </c>
      <c r="X406" s="158">
        <f t="shared" si="73"/>
        <v>-12586.5425490196</v>
      </c>
      <c r="Y406" s="158">
        <f t="shared" si="78"/>
        <v>-251.730850980393</v>
      </c>
      <c r="Z406" s="158">
        <v>65844.83</v>
      </c>
      <c r="AA406" s="158">
        <f t="shared" si="74"/>
        <v>14155.17</v>
      </c>
      <c r="AB406" s="167">
        <f>IF(O406="返货",Z406/(1+N406),IF(O406="返现",Z406,IF(O406="折扣",Z406*N406,IF(O406="无",Z406))))</f>
        <v>64553.7549019608</v>
      </c>
      <c r="AC406" s="168">
        <f t="shared" si="75"/>
        <v>1291.07509803922</v>
      </c>
      <c r="AD406" s="158">
        <f t="shared" si="79"/>
        <v>64546.1955347637</v>
      </c>
      <c r="AE406" s="159">
        <v>0.1077</v>
      </c>
      <c r="AF406" s="158">
        <f t="shared" si="70"/>
        <v>6951.62525909406</v>
      </c>
      <c r="AG406" s="158">
        <v>5800.41309296078</v>
      </c>
      <c r="AH406" s="175"/>
      <c r="AI406" s="175"/>
      <c r="AJ406" s="156" t="s">
        <v>173</v>
      </c>
      <c r="AK406" s="140" t="s">
        <v>173</v>
      </c>
      <c r="AM406" s="152"/>
    </row>
    <row r="407" s="140" customFormat="1" ht="15" hidden="1" customHeight="1" spans="1:39">
      <c r="A407" s="140">
        <v>2017</v>
      </c>
      <c r="B407" s="140" t="s">
        <v>38</v>
      </c>
      <c r="C407" s="140" t="s">
        <v>88</v>
      </c>
      <c r="D407" s="140" t="s">
        <v>128</v>
      </c>
      <c r="E407" s="140" t="s">
        <v>96</v>
      </c>
      <c r="F407" s="140" t="s">
        <v>594</v>
      </c>
      <c r="G407" s="140" t="s">
        <v>594</v>
      </c>
      <c r="H407" s="140" t="s">
        <v>594</v>
      </c>
      <c r="I407" s="184" t="s">
        <v>204</v>
      </c>
      <c r="J407" s="140" t="s">
        <v>577</v>
      </c>
      <c r="K407" s="140" t="s">
        <v>578</v>
      </c>
      <c r="L407" s="140" t="s">
        <v>594</v>
      </c>
      <c r="M407" s="140" t="s">
        <v>46</v>
      </c>
      <c r="N407" s="157">
        <v>0.02</v>
      </c>
      <c r="O407" s="156" t="s">
        <v>51</v>
      </c>
      <c r="P407" s="156"/>
      <c r="Q407" s="158">
        <v>0</v>
      </c>
      <c r="R407" s="158">
        <v>0</v>
      </c>
      <c r="S407" s="158">
        <v>239780.51</v>
      </c>
      <c r="T407" s="158">
        <f t="shared" si="72"/>
        <v>4795.6102</v>
      </c>
      <c r="U407" s="158">
        <f t="shared" si="76"/>
        <v>244576.1202</v>
      </c>
      <c r="V407" s="158">
        <v>255000</v>
      </c>
      <c r="W407" s="158">
        <f t="shared" si="77"/>
        <v>-10423.8798</v>
      </c>
      <c r="X407" s="158">
        <f t="shared" si="73"/>
        <v>-10219.49</v>
      </c>
      <c r="Y407" s="158">
        <f t="shared" si="78"/>
        <v>-204.389800000001</v>
      </c>
      <c r="Z407" s="158">
        <v>244576.12</v>
      </c>
      <c r="AA407" s="158">
        <f t="shared" si="74"/>
        <v>10423.88</v>
      </c>
      <c r="AB407" s="167">
        <f>IF(O407="返货",Z407/(1+N407),IF(O407="返现",Z407,IF(O407="折扣",Z407*N407,IF(O407="无",Z407))))</f>
        <v>239780.509803922</v>
      </c>
      <c r="AC407" s="168">
        <f t="shared" si="75"/>
        <v>4795.61019607843</v>
      </c>
      <c r="AD407" s="158">
        <f t="shared" si="79"/>
        <v>239752.431051213</v>
      </c>
      <c r="AE407" s="159">
        <v>0.1077</v>
      </c>
      <c r="AF407" s="158">
        <f t="shared" si="70"/>
        <v>25821.3368242156</v>
      </c>
      <c r="AG407" s="158">
        <v>21545.2379279216</v>
      </c>
      <c r="AH407" s="175"/>
      <c r="AI407" s="175"/>
      <c r="AJ407" s="156" t="s">
        <v>173</v>
      </c>
      <c r="AK407" s="177">
        <v>0.02</v>
      </c>
      <c r="AM407" s="152"/>
    </row>
    <row r="408" s="140" customFormat="1" ht="15" hidden="1" customHeight="1" spans="1:39">
      <c r="A408" s="140">
        <v>2017</v>
      </c>
      <c r="B408" s="140" t="s">
        <v>38</v>
      </c>
      <c r="C408" s="140" t="s">
        <v>88</v>
      </c>
      <c r="D408" s="140" t="s">
        <v>128</v>
      </c>
      <c r="E408" s="140" t="s">
        <v>98</v>
      </c>
      <c r="F408" s="140" t="s">
        <v>595</v>
      </c>
      <c r="G408" s="140" t="s">
        <v>595</v>
      </c>
      <c r="H408" s="140" t="s">
        <v>595</v>
      </c>
      <c r="I408" s="184" t="s">
        <v>204</v>
      </c>
      <c r="J408" s="140" t="s">
        <v>577</v>
      </c>
      <c r="K408" s="140" t="s">
        <v>578</v>
      </c>
      <c r="L408" s="140" t="s">
        <v>596</v>
      </c>
      <c r="M408" s="140" t="s">
        <v>46</v>
      </c>
      <c r="N408" s="157">
        <v>0.04</v>
      </c>
      <c r="O408" s="156" t="s">
        <v>51</v>
      </c>
      <c r="P408" s="156"/>
      <c r="Q408" s="158">
        <v>0</v>
      </c>
      <c r="R408" s="158">
        <v>0</v>
      </c>
      <c r="S408" s="158">
        <v>326442.31</v>
      </c>
      <c r="T408" s="158">
        <f t="shared" si="72"/>
        <v>13057.6924</v>
      </c>
      <c r="U408" s="158">
        <f t="shared" si="76"/>
        <v>339500.0024</v>
      </c>
      <c r="V408" s="158">
        <v>364000</v>
      </c>
      <c r="W408" s="158">
        <f t="shared" si="77"/>
        <v>-24499.9976</v>
      </c>
      <c r="X408" s="158">
        <f t="shared" si="73"/>
        <v>-23557.69</v>
      </c>
      <c r="Y408" s="158">
        <f t="shared" si="78"/>
        <v>-942.3076</v>
      </c>
      <c r="Z408" s="158">
        <v>339500</v>
      </c>
      <c r="AA408" s="158">
        <f t="shared" si="74"/>
        <v>24500</v>
      </c>
      <c r="AB408" s="167">
        <f>IF(O408="返货",Z408/(1+N408),IF(O408="返现",Z408,IF(O408="折扣",Z408*N408,IF(O408="无",Z408))))</f>
        <v>326442.307692308</v>
      </c>
      <c r="AC408" s="168">
        <f t="shared" si="75"/>
        <v>13057.6923076923</v>
      </c>
      <c r="AD408" s="158">
        <f t="shared" si="79"/>
        <v>332804.160691922</v>
      </c>
      <c r="AE408" s="159">
        <v>0.1077</v>
      </c>
      <c r="AF408" s="158">
        <f t="shared" si="70"/>
        <v>35843.00810652</v>
      </c>
      <c r="AG408" s="158">
        <v>23506.4576923077</v>
      </c>
      <c r="AH408" s="175"/>
      <c r="AI408" s="175"/>
      <c r="AJ408" s="156" t="s">
        <v>186</v>
      </c>
      <c r="AK408" s="140" t="s">
        <v>186</v>
      </c>
      <c r="AM408" s="152"/>
    </row>
    <row r="409" s="140" customFormat="1" ht="15" hidden="1" customHeight="1" spans="1:39">
      <c r="A409" s="140">
        <v>2017</v>
      </c>
      <c r="B409" s="140" t="s">
        <v>38</v>
      </c>
      <c r="C409" s="140" t="s">
        <v>88</v>
      </c>
      <c r="D409" s="140" t="s">
        <v>128</v>
      </c>
      <c r="E409" s="140" t="s">
        <v>124</v>
      </c>
      <c r="F409" s="140" t="s">
        <v>169</v>
      </c>
      <c r="G409" s="140" t="s">
        <v>169</v>
      </c>
      <c r="H409" s="140" t="s">
        <v>169</v>
      </c>
      <c r="I409" s="184" t="s">
        <v>204</v>
      </c>
      <c r="J409" s="140" t="s">
        <v>577</v>
      </c>
      <c r="K409" s="140" t="s">
        <v>578</v>
      </c>
      <c r="L409" s="140" t="s">
        <v>169</v>
      </c>
      <c r="M409" s="140" t="s">
        <v>46</v>
      </c>
      <c r="N409" s="157">
        <v>0.02</v>
      </c>
      <c r="O409" s="156" t="s">
        <v>51</v>
      </c>
      <c r="P409" s="156"/>
      <c r="Q409" s="158">
        <v>652500.8469</v>
      </c>
      <c r="R409" s="158">
        <v>0</v>
      </c>
      <c r="S409" s="158">
        <v>16177470.59</v>
      </c>
      <c r="T409" s="158">
        <f t="shared" si="72"/>
        <v>323549.4118</v>
      </c>
      <c r="U409" s="158">
        <f t="shared" si="76"/>
        <v>16501020.0018</v>
      </c>
      <c r="V409" s="158">
        <v>17760200</v>
      </c>
      <c r="W409" s="158">
        <f t="shared" si="77"/>
        <v>-1259179.9982</v>
      </c>
      <c r="X409" s="158">
        <f t="shared" si="73"/>
        <v>-1234490.19431372</v>
      </c>
      <c r="Y409" s="158">
        <f t="shared" si="78"/>
        <v>-24689.8038862746</v>
      </c>
      <c r="Z409" s="158">
        <v>18177686.65</v>
      </c>
      <c r="AA409" s="158">
        <f t="shared" si="74"/>
        <v>235014.196900003</v>
      </c>
      <c r="AB409" s="167">
        <f>IF(O409="返货",(Z409-Q409)/(1+N409),IF(O409="返现",(Z409-Q409),IF(O409="折扣",(Z409-Q409)*N409,IF(O409="无",(Z409-Q409)))))</f>
        <v>17181554.7089216</v>
      </c>
      <c r="AC409" s="168">
        <f t="shared" si="75"/>
        <v>996131.941078432</v>
      </c>
      <c r="AD409" s="158">
        <f t="shared" si="79"/>
        <v>17819174.5180383</v>
      </c>
      <c r="AE409" s="159">
        <v>0.1077</v>
      </c>
      <c r="AF409" s="158">
        <f t="shared" si="70"/>
        <v>1919125.09559273</v>
      </c>
      <c r="AG409" s="158">
        <v>1601311.62377363</v>
      </c>
      <c r="AH409" s="175"/>
      <c r="AI409" s="175"/>
      <c r="AJ409" s="156" t="s">
        <v>173</v>
      </c>
      <c r="AK409" s="140" t="s">
        <v>173</v>
      </c>
      <c r="AM409" s="152"/>
    </row>
    <row r="410" s="140" customFormat="1" ht="15" hidden="1" customHeight="1" spans="1:39">
      <c r="A410" s="140">
        <v>2017</v>
      </c>
      <c r="B410" s="140" t="s">
        <v>38</v>
      </c>
      <c r="C410" s="140" t="s">
        <v>88</v>
      </c>
      <c r="D410" s="140" t="s">
        <v>128</v>
      </c>
      <c r="E410" s="140" t="s">
        <v>124</v>
      </c>
      <c r="F410" s="140" t="s">
        <v>169</v>
      </c>
      <c r="G410" s="140" t="s">
        <v>169</v>
      </c>
      <c r="H410" s="140" t="s">
        <v>169</v>
      </c>
      <c r="I410" s="184" t="s">
        <v>204</v>
      </c>
      <c r="J410" s="140" t="s">
        <v>577</v>
      </c>
      <c r="K410" s="140" t="s">
        <v>578</v>
      </c>
      <c r="L410" s="140" t="s">
        <v>169</v>
      </c>
      <c r="M410" s="140" t="s">
        <v>185</v>
      </c>
      <c r="N410" s="157">
        <v>0.08</v>
      </c>
      <c r="O410" s="156" t="s">
        <v>51</v>
      </c>
      <c r="P410" s="156"/>
      <c r="Q410" s="158">
        <v>207908.42</v>
      </c>
      <c r="R410" s="158">
        <v>0</v>
      </c>
      <c r="S410" s="158">
        <v>22529.41</v>
      </c>
      <c r="T410" s="158">
        <f t="shared" si="72"/>
        <v>1802.3528</v>
      </c>
      <c r="U410" s="158">
        <f t="shared" si="76"/>
        <v>24331.7628</v>
      </c>
      <c r="V410" s="158">
        <v>0</v>
      </c>
      <c r="W410" s="158">
        <f t="shared" si="77"/>
        <v>24331.7628</v>
      </c>
      <c r="X410" s="158">
        <f t="shared" si="73"/>
        <v>22529.41</v>
      </c>
      <c r="Y410" s="158">
        <f t="shared" si="78"/>
        <v>1802.3528</v>
      </c>
      <c r="Z410" s="158">
        <v>30888.42</v>
      </c>
      <c r="AA410" s="158">
        <f t="shared" si="74"/>
        <v>177020</v>
      </c>
      <c r="AB410" s="167">
        <f>IF(O410="返货",(Z410-Q410)/(1+N410),IF(O410="返现",(Z410-Q410),IF(O410="折扣",(Z410-Q410)*N410,IF(O410="无",(Z410-Q410)))))</f>
        <v>-163907.407407407</v>
      </c>
      <c r="AC410" s="168">
        <f t="shared" si="75"/>
        <v>194795.827407407</v>
      </c>
      <c r="AD410" s="158">
        <f t="shared" si="79"/>
        <v>30279.2185366703</v>
      </c>
      <c r="AE410" s="159">
        <v>0.3156</v>
      </c>
      <c r="AF410" s="158">
        <f t="shared" si="70"/>
        <v>9556.12137017316</v>
      </c>
      <c r="AG410" s="158">
        <v>7460.35424088889</v>
      </c>
      <c r="AH410" s="175"/>
      <c r="AI410" s="175"/>
      <c r="AJ410" s="156" t="s">
        <v>53</v>
      </c>
      <c r="AK410" s="140" t="s">
        <v>53</v>
      </c>
      <c r="AM410" s="152"/>
    </row>
    <row r="411" s="140" customFormat="1" ht="15" hidden="1" customHeight="1" spans="1:39">
      <c r="A411" s="140">
        <v>2017</v>
      </c>
      <c r="B411" s="140" t="s">
        <v>38</v>
      </c>
      <c r="C411" s="140" t="s">
        <v>88</v>
      </c>
      <c r="D411" s="140" t="s">
        <v>128</v>
      </c>
      <c r="E411" s="140" t="s">
        <v>124</v>
      </c>
      <c r="F411" s="140" t="s">
        <v>169</v>
      </c>
      <c r="G411" s="140" t="s">
        <v>169</v>
      </c>
      <c r="H411" s="140" t="s">
        <v>169</v>
      </c>
      <c r="I411" s="184" t="s">
        <v>204</v>
      </c>
      <c r="J411" s="140" t="s">
        <v>577</v>
      </c>
      <c r="K411" s="140" t="s">
        <v>578</v>
      </c>
      <c r="L411" s="140" t="s">
        <v>169</v>
      </c>
      <c r="M411" s="140" t="s">
        <v>597</v>
      </c>
      <c r="N411" s="156">
        <v>0</v>
      </c>
      <c r="O411" s="156" t="s">
        <v>47</v>
      </c>
      <c r="P411" s="156"/>
      <c r="Q411" s="158">
        <v>0</v>
      </c>
      <c r="R411" s="158">
        <v>0</v>
      </c>
      <c r="S411" s="158">
        <v>1750</v>
      </c>
      <c r="T411" s="158">
        <f t="shared" si="72"/>
        <v>0</v>
      </c>
      <c r="U411" s="158">
        <f t="shared" si="76"/>
        <v>1750</v>
      </c>
      <c r="V411" s="158">
        <v>1750</v>
      </c>
      <c r="W411" s="158">
        <f t="shared" si="77"/>
        <v>0</v>
      </c>
      <c r="X411" s="158">
        <f t="shared" si="73"/>
        <v>0</v>
      </c>
      <c r="Y411" s="158">
        <f t="shared" si="78"/>
        <v>0</v>
      </c>
      <c r="Z411" s="158">
        <v>1750</v>
      </c>
      <c r="AA411" s="158">
        <f t="shared" si="74"/>
        <v>0</v>
      </c>
      <c r="AB411" s="167">
        <f>IF(O411="返货",Z411/(1+N411),IF(O411="返现",Z411,IF(O411="折扣",Z411*N411,IF(O411="无",Z411))))</f>
        <v>1750</v>
      </c>
      <c r="AC411" s="168">
        <f t="shared" si="75"/>
        <v>0</v>
      </c>
      <c r="AD411" s="158">
        <f t="shared" si="79"/>
        <v>1715.48536439135</v>
      </c>
      <c r="AE411" s="159">
        <v>0.3534</v>
      </c>
      <c r="AF411" s="158">
        <f t="shared" si="70"/>
        <v>606.252527775903</v>
      </c>
      <c r="AG411" s="158">
        <v>618.45</v>
      </c>
      <c r="AH411" s="175"/>
      <c r="AI411" s="175"/>
      <c r="AJ411" s="156" t="s">
        <v>47</v>
      </c>
      <c r="AK411" s="140" t="s">
        <v>47</v>
      </c>
      <c r="AM411" s="152"/>
    </row>
    <row r="412" s="140" customFormat="1" ht="15" hidden="1" customHeight="1" spans="1:39">
      <c r="A412" s="140">
        <v>2017</v>
      </c>
      <c r="B412" s="140" t="s">
        <v>38</v>
      </c>
      <c r="C412" s="140" t="s">
        <v>88</v>
      </c>
      <c r="D412" s="140" t="s">
        <v>128</v>
      </c>
      <c r="E412" s="140" t="s">
        <v>277</v>
      </c>
      <c r="F412" s="140" t="s">
        <v>598</v>
      </c>
      <c r="G412" s="140" t="s">
        <v>598</v>
      </c>
      <c r="H412" s="140" t="s">
        <v>598</v>
      </c>
      <c r="I412" s="184" t="s">
        <v>204</v>
      </c>
      <c r="J412" s="140" t="s">
        <v>577</v>
      </c>
      <c r="K412" s="140" t="s">
        <v>578</v>
      </c>
      <c r="L412" s="140" t="s">
        <v>599</v>
      </c>
      <c r="M412" s="140" t="s">
        <v>46</v>
      </c>
      <c r="N412" s="157">
        <v>0.02</v>
      </c>
      <c r="O412" s="156" t="s">
        <v>51</v>
      </c>
      <c r="P412" s="156"/>
      <c r="Q412" s="158">
        <v>0</v>
      </c>
      <c r="R412" s="158">
        <v>0</v>
      </c>
      <c r="S412" s="158">
        <v>58827</v>
      </c>
      <c r="T412" s="158">
        <f t="shared" si="72"/>
        <v>1176.54</v>
      </c>
      <c r="U412" s="158">
        <f t="shared" si="76"/>
        <v>60003.54</v>
      </c>
      <c r="V412" s="158">
        <v>61200</v>
      </c>
      <c r="W412" s="158">
        <f t="shared" si="77"/>
        <v>-1196.46</v>
      </c>
      <c r="X412" s="158">
        <f t="shared" si="73"/>
        <v>-1173</v>
      </c>
      <c r="Y412" s="158">
        <f t="shared" si="78"/>
        <v>-23.46</v>
      </c>
      <c r="Z412" s="158">
        <v>65163.5</v>
      </c>
      <c r="AA412" s="158">
        <f t="shared" si="74"/>
        <v>-3963.5</v>
      </c>
      <c r="AB412" s="167">
        <f>IF(O412="返货",Z412/(1+N412),IF(O412="返现",Z412,IF(O412="折扣",Z412*N412,IF(O412="无",Z412))))</f>
        <v>63885.7843137255</v>
      </c>
      <c r="AC412" s="168">
        <f t="shared" si="75"/>
        <v>1277.71568627451</v>
      </c>
      <c r="AD412" s="158">
        <f t="shared" si="79"/>
        <v>63878.3031671519</v>
      </c>
      <c r="AE412" s="159">
        <v>0.1077</v>
      </c>
      <c r="AF412" s="158">
        <f t="shared" si="70"/>
        <v>6879.69325110226</v>
      </c>
      <c r="AG412" s="158">
        <v>5313.52431372549</v>
      </c>
      <c r="AH412" s="175"/>
      <c r="AI412" s="175"/>
      <c r="AJ412" s="157">
        <v>0.02</v>
      </c>
      <c r="AK412" s="177">
        <v>0.02</v>
      </c>
      <c r="AM412" s="152"/>
    </row>
    <row r="413" s="140" customFormat="1" ht="15" hidden="1" customHeight="1" spans="1:39">
      <c r="A413" s="140">
        <v>2017</v>
      </c>
      <c r="B413" s="140" t="s">
        <v>38</v>
      </c>
      <c r="C413" s="140" t="s">
        <v>88</v>
      </c>
      <c r="D413" s="140" t="s">
        <v>128</v>
      </c>
      <c r="E413" s="140" t="s">
        <v>277</v>
      </c>
      <c r="F413" s="140" t="s">
        <v>600</v>
      </c>
      <c r="G413" s="140" t="s">
        <v>600</v>
      </c>
      <c r="H413" s="140" t="s">
        <v>600</v>
      </c>
      <c r="I413" s="184" t="s">
        <v>204</v>
      </c>
      <c r="J413" s="140" t="s">
        <v>577</v>
      </c>
      <c r="K413" s="140" t="s">
        <v>578</v>
      </c>
      <c r="L413" s="140" t="s">
        <v>405</v>
      </c>
      <c r="M413" s="140" t="s">
        <v>46</v>
      </c>
      <c r="N413" s="157">
        <v>0.04</v>
      </c>
      <c r="O413" s="156" t="s">
        <v>51</v>
      </c>
      <c r="P413" s="156"/>
      <c r="Q413" s="158">
        <v>0</v>
      </c>
      <c r="R413" s="158">
        <v>0</v>
      </c>
      <c r="S413" s="158">
        <v>9616</v>
      </c>
      <c r="T413" s="158">
        <f t="shared" si="72"/>
        <v>384.64</v>
      </c>
      <c r="U413" s="158">
        <f t="shared" si="76"/>
        <v>10000.64</v>
      </c>
      <c r="V413" s="158">
        <v>10000</v>
      </c>
      <c r="W413" s="158">
        <f t="shared" si="77"/>
        <v>0.639999999999418</v>
      </c>
      <c r="X413" s="158">
        <f t="shared" si="73"/>
        <v>0.615384615384056</v>
      </c>
      <c r="Y413" s="158">
        <f t="shared" si="78"/>
        <v>0.0246153846153623</v>
      </c>
      <c r="Z413" s="158">
        <v>10000</v>
      </c>
      <c r="AA413" s="158">
        <f t="shared" si="74"/>
        <v>0</v>
      </c>
      <c r="AB413" s="167">
        <f>IF(O413="返货",Z413/(1+N413),IF(O413="返现",Z413,IF(O413="折扣",Z413*N413,IF(O413="无",Z413))))</f>
        <v>9615.38461538462</v>
      </c>
      <c r="AC413" s="168">
        <f t="shared" si="75"/>
        <v>384.615384615385</v>
      </c>
      <c r="AD413" s="158">
        <f t="shared" si="79"/>
        <v>9802.77351080772</v>
      </c>
      <c r="AE413" s="159">
        <v>0.1077</v>
      </c>
      <c r="AF413" s="158">
        <f t="shared" si="70"/>
        <v>1055.75870711399</v>
      </c>
      <c r="AG413" s="158">
        <v>692.384615384615</v>
      </c>
      <c r="AH413" s="175"/>
      <c r="AI413" s="175"/>
      <c r="AJ413" s="157">
        <v>0.04</v>
      </c>
      <c r="AK413" s="177">
        <v>0.04</v>
      </c>
      <c r="AM413" s="152"/>
    </row>
    <row r="414" s="140" customFormat="1" ht="15" hidden="1" customHeight="1" spans="1:39">
      <c r="A414" s="140">
        <v>2017</v>
      </c>
      <c r="B414" s="140" t="s">
        <v>38</v>
      </c>
      <c r="C414" s="140" t="s">
        <v>88</v>
      </c>
      <c r="D414" s="140" t="s">
        <v>128</v>
      </c>
      <c r="E414" s="140" t="s">
        <v>277</v>
      </c>
      <c r="F414" s="140" t="s">
        <v>511</v>
      </c>
      <c r="G414" s="140" t="s">
        <v>511</v>
      </c>
      <c r="H414" s="140" t="s">
        <v>511</v>
      </c>
      <c r="I414" s="184" t="s">
        <v>204</v>
      </c>
      <c r="J414" s="140" t="s">
        <v>577</v>
      </c>
      <c r="K414" s="140" t="s">
        <v>578</v>
      </c>
      <c r="L414" s="140" t="s">
        <v>511</v>
      </c>
      <c r="M414" s="140" t="s">
        <v>46</v>
      </c>
      <c r="N414" s="157">
        <v>0.02</v>
      </c>
      <c r="O414" s="156" t="s">
        <v>51</v>
      </c>
      <c r="P414" s="156"/>
      <c r="Q414" s="158">
        <v>41711.17</v>
      </c>
      <c r="R414" s="158">
        <v>0</v>
      </c>
      <c r="S414" s="158">
        <v>175714.21</v>
      </c>
      <c r="T414" s="158">
        <f t="shared" si="72"/>
        <v>3514.2842</v>
      </c>
      <c r="U414" s="158">
        <f t="shared" si="76"/>
        <v>179228.4942</v>
      </c>
      <c r="V414" s="158">
        <v>192520</v>
      </c>
      <c r="W414" s="158">
        <f t="shared" si="77"/>
        <v>-13291.5058</v>
      </c>
      <c r="X414" s="158">
        <f t="shared" si="73"/>
        <v>-13030.8880392157</v>
      </c>
      <c r="Y414" s="158">
        <f t="shared" si="78"/>
        <v>-260.617760784315</v>
      </c>
      <c r="Z414" s="158">
        <v>220939.66</v>
      </c>
      <c r="AA414" s="158">
        <f t="shared" si="74"/>
        <v>13291.51</v>
      </c>
      <c r="AB414" s="167">
        <f>IF(O414="返货",(Z414-Q414)/(1+N414),IF(O414="返现",(Z414-Q414),IF(O414="折扣",(Z414-Q414)*N414,IF(O414="无",(Z414-Q414)))))</f>
        <v>175714.205882353</v>
      </c>
      <c r="AC414" s="168">
        <f t="shared" si="75"/>
        <v>45225.4541176471</v>
      </c>
      <c r="AD414" s="158">
        <f t="shared" si="79"/>
        <v>216582.144653486</v>
      </c>
      <c r="AE414" s="159">
        <v>0.1077</v>
      </c>
      <c r="AF414" s="158">
        <f t="shared" si="70"/>
        <v>23325.8969791805</v>
      </c>
      <c r="AG414" s="158">
        <v>19463.0511859216</v>
      </c>
      <c r="AH414" s="175"/>
      <c r="AI414" s="175"/>
      <c r="AJ414" s="156" t="s">
        <v>173</v>
      </c>
      <c r="AK414" s="140" t="s">
        <v>173</v>
      </c>
      <c r="AM414" s="152"/>
    </row>
    <row r="415" s="140" customFormat="1" ht="15" hidden="1" customHeight="1" spans="1:39">
      <c r="A415" s="140">
        <v>2017</v>
      </c>
      <c r="B415" s="140" t="s">
        <v>38</v>
      </c>
      <c r="C415" s="140" t="s">
        <v>88</v>
      </c>
      <c r="D415" s="140" t="s">
        <v>128</v>
      </c>
      <c r="E415" s="140" t="s">
        <v>277</v>
      </c>
      <c r="F415" s="140" t="s">
        <v>601</v>
      </c>
      <c r="G415" s="140" t="s">
        <v>601</v>
      </c>
      <c r="H415" s="140" t="s">
        <v>601</v>
      </c>
      <c r="I415" s="184" t="s">
        <v>204</v>
      </c>
      <c r="J415" s="140" t="s">
        <v>577</v>
      </c>
      <c r="K415" s="140" t="s">
        <v>578</v>
      </c>
      <c r="L415" s="140" t="s">
        <v>601</v>
      </c>
      <c r="M415" s="140" t="s">
        <v>46</v>
      </c>
      <c r="N415" s="157">
        <v>0.02</v>
      </c>
      <c r="O415" s="156" t="s">
        <v>51</v>
      </c>
      <c r="P415" s="156"/>
      <c r="Q415" s="158">
        <v>0</v>
      </c>
      <c r="R415" s="158">
        <v>0</v>
      </c>
      <c r="S415" s="158">
        <v>19619.61</v>
      </c>
      <c r="T415" s="158">
        <f t="shared" si="72"/>
        <v>392.3922</v>
      </c>
      <c r="U415" s="158">
        <f t="shared" si="76"/>
        <v>20012.0022</v>
      </c>
      <c r="V415" s="158">
        <v>20400</v>
      </c>
      <c r="W415" s="158">
        <f t="shared" si="77"/>
        <v>-387.997800000001</v>
      </c>
      <c r="X415" s="158">
        <f t="shared" si="73"/>
        <v>-380.390000000001</v>
      </c>
      <c r="Y415" s="158">
        <f t="shared" si="78"/>
        <v>-7.60780000000005</v>
      </c>
      <c r="Z415" s="158">
        <v>20012</v>
      </c>
      <c r="AA415" s="158">
        <f t="shared" si="74"/>
        <v>388</v>
      </c>
      <c r="AB415" s="167">
        <f>IF(O415="返货",Z415/(1+N415),IF(O415="返现",Z415,IF(O415="折扣",Z415*N415,IF(O415="无",Z415))))</f>
        <v>19619.6078431373</v>
      </c>
      <c r="AC415" s="168">
        <f t="shared" si="75"/>
        <v>392.392156862745</v>
      </c>
      <c r="AD415" s="158">
        <f t="shared" si="79"/>
        <v>19617.3103498284</v>
      </c>
      <c r="AE415" s="159">
        <v>0.1077</v>
      </c>
      <c r="AF415" s="158">
        <f t="shared" si="70"/>
        <v>2112.78432467652</v>
      </c>
      <c r="AG415" s="158">
        <v>1762.90024313726</v>
      </c>
      <c r="AH415" s="175"/>
      <c r="AI415" s="175"/>
      <c r="AJ415" s="156" t="s">
        <v>173</v>
      </c>
      <c r="AK415" s="177">
        <v>0.02</v>
      </c>
      <c r="AM415" s="152"/>
    </row>
    <row r="416" s="140" customFormat="1" ht="15" hidden="1" customHeight="1" spans="1:39">
      <c r="A416" s="140">
        <v>2017</v>
      </c>
      <c r="B416" s="140" t="s">
        <v>38</v>
      </c>
      <c r="C416" s="140" t="s">
        <v>88</v>
      </c>
      <c r="D416" s="140" t="s">
        <v>128</v>
      </c>
      <c r="E416" s="140" t="s">
        <v>277</v>
      </c>
      <c r="F416" s="140" t="s">
        <v>602</v>
      </c>
      <c r="G416" s="140" t="s">
        <v>602</v>
      </c>
      <c r="H416" s="140" t="s">
        <v>602</v>
      </c>
      <c r="I416" s="184" t="s">
        <v>204</v>
      </c>
      <c r="J416" s="140" t="s">
        <v>577</v>
      </c>
      <c r="K416" s="140" t="s">
        <v>578</v>
      </c>
      <c r="L416" s="140" t="s">
        <v>602</v>
      </c>
      <c r="M416" s="140" t="s">
        <v>46</v>
      </c>
      <c r="N416" s="157">
        <v>0.02</v>
      </c>
      <c r="O416" s="156" t="s">
        <v>51</v>
      </c>
      <c r="P416" s="156"/>
      <c r="Q416" s="158">
        <v>0</v>
      </c>
      <c r="R416" s="158">
        <v>0</v>
      </c>
      <c r="S416" s="158">
        <v>47647.06</v>
      </c>
      <c r="T416" s="158">
        <f t="shared" si="72"/>
        <v>952.9412</v>
      </c>
      <c r="U416" s="158">
        <f t="shared" si="76"/>
        <v>48600.0012</v>
      </c>
      <c r="V416" s="158">
        <v>51000</v>
      </c>
      <c r="W416" s="158">
        <f t="shared" si="77"/>
        <v>-2399.9988</v>
      </c>
      <c r="X416" s="158">
        <f t="shared" si="73"/>
        <v>-2352.94</v>
      </c>
      <c r="Y416" s="158">
        <f t="shared" si="78"/>
        <v>-47.0588000000002</v>
      </c>
      <c r="Z416" s="158">
        <v>48600</v>
      </c>
      <c r="AA416" s="158">
        <f t="shared" si="74"/>
        <v>2400</v>
      </c>
      <c r="AB416" s="167">
        <f>IF(O416="返货",Z416/(1+N416),IF(O416="返现",Z416,IF(O416="折扣",Z416*N416,IF(O416="无",Z416))))</f>
        <v>47647.0588235294</v>
      </c>
      <c r="AC416" s="168">
        <f t="shared" si="75"/>
        <v>952.941176470587</v>
      </c>
      <c r="AD416" s="158">
        <f t="shared" si="79"/>
        <v>47641.4792625255</v>
      </c>
      <c r="AE416" s="159">
        <v>0.1077</v>
      </c>
      <c r="AF416" s="158">
        <f t="shared" si="70"/>
        <v>5130.987316574</v>
      </c>
      <c r="AG416" s="158">
        <v>4281.27882352941</v>
      </c>
      <c r="AH416" s="175"/>
      <c r="AI416" s="175"/>
      <c r="AJ416" s="156" t="s">
        <v>173</v>
      </c>
      <c r="AK416" s="140" t="s">
        <v>173</v>
      </c>
      <c r="AM416" s="152"/>
    </row>
    <row r="417" s="140" customFormat="1" ht="15" hidden="1" customHeight="1" spans="1:39">
      <c r="A417" s="140">
        <v>2017</v>
      </c>
      <c r="B417" s="140" t="s">
        <v>38</v>
      </c>
      <c r="C417" s="140" t="s">
        <v>88</v>
      </c>
      <c r="D417" s="140" t="s">
        <v>128</v>
      </c>
      <c r="E417" s="140" t="s">
        <v>194</v>
      </c>
      <c r="F417" s="140" t="s">
        <v>595</v>
      </c>
      <c r="G417" s="140" t="s">
        <v>595</v>
      </c>
      <c r="H417" s="140" t="s">
        <v>595</v>
      </c>
      <c r="I417" s="184" t="s">
        <v>204</v>
      </c>
      <c r="J417" s="140" t="s">
        <v>577</v>
      </c>
      <c r="K417" s="140" t="s">
        <v>578</v>
      </c>
      <c r="L417" s="140" t="s">
        <v>596</v>
      </c>
      <c r="M417" s="140" t="s">
        <v>185</v>
      </c>
      <c r="N417" s="157">
        <v>0.12</v>
      </c>
      <c r="O417" s="156" t="s">
        <v>51</v>
      </c>
      <c r="P417" s="156"/>
      <c r="Q417" s="158">
        <v>0</v>
      </c>
      <c r="R417" s="158">
        <v>0</v>
      </c>
      <c r="S417" s="158">
        <v>23557.69</v>
      </c>
      <c r="T417" s="158">
        <f t="shared" si="72"/>
        <v>2826.9228</v>
      </c>
      <c r="U417" s="158">
        <f t="shared" si="76"/>
        <v>26384.6128</v>
      </c>
      <c r="V417" s="158">
        <v>0</v>
      </c>
      <c r="W417" s="158">
        <f t="shared" si="77"/>
        <v>26384.6128</v>
      </c>
      <c r="X417" s="158">
        <f t="shared" si="73"/>
        <v>23557.69</v>
      </c>
      <c r="Y417" s="158">
        <f t="shared" si="78"/>
        <v>2826.9228</v>
      </c>
      <c r="Z417" s="158">
        <v>24500</v>
      </c>
      <c r="AA417" s="158">
        <f t="shared" si="74"/>
        <v>-24500</v>
      </c>
      <c r="AB417" s="167">
        <f>IF(O417="返货",Z417/(1+N417),IF(O417="返现",Z417,IF(O417="折扣",Z417*N417,IF(O417="无",Z417))))</f>
        <v>21875</v>
      </c>
      <c r="AC417" s="168">
        <f t="shared" si="75"/>
        <v>2625</v>
      </c>
      <c r="AD417" s="158">
        <f t="shared" si="79"/>
        <v>24016.7951014789</v>
      </c>
      <c r="AE417" s="159">
        <v>0.3156</v>
      </c>
      <c r="AF417" s="158">
        <f t="shared" si="70"/>
        <v>7579.70053402675</v>
      </c>
      <c r="AG417" s="158">
        <v>5107.2</v>
      </c>
      <c r="AH417" s="175"/>
      <c r="AI417" s="175"/>
      <c r="AJ417" s="156" t="s">
        <v>117</v>
      </c>
      <c r="AK417" s="140" t="s">
        <v>117</v>
      </c>
      <c r="AM417" s="152"/>
    </row>
    <row r="418" s="140" customFormat="1" ht="15" hidden="1" customHeight="1" spans="1:39">
      <c r="A418" s="140">
        <v>2017</v>
      </c>
      <c r="B418" s="140" t="s">
        <v>252</v>
      </c>
      <c r="C418" s="140" t="s">
        <v>88</v>
      </c>
      <c r="D418" s="140" t="s">
        <v>128</v>
      </c>
      <c r="E418" s="140" t="s">
        <v>194</v>
      </c>
      <c r="F418" s="140" t="s">
        <v>603</v>
      </c>
      <c r="G418" s="140" t="s">
        <v>604</v>
      </c>
      <c r="H418" s="140" t="s">
        <v>604</v>
      </c>
      <c r="I418" s="184" t="s">
        <v>204</v>
      </c>
      <c r="J418" s="140" t="s">
        <v>605</v>
      </c>
      <c r="K418" s="140" t="s">
        <v>606</v>
      </c>
      <c r="L418" s="140" t="s">
        <v>603</v>
      </c>
      <c r="M418" s="140" t="s">
        <v>46</v>
      </c>
      <c r="N418" s="156">
        <v>0</v>
      </c>
      <c r="O418" s="156" t="s">
        <v>47</v>
      </c>
      <c r="P418" s="156"/>
      <c r="Q418" s="158">
        <v>0</v>
      </c>
      <c r="R418" s="158">
        <v>0</v>
      </c>
      <c r="S418" s="158">
        <v>150000</v>
      </c>
      <c r="T418" s="158">
        <f t="shared" si="72"/>
        <v>0</v>
      </c>
      <c r="U418" s="158">
        <f t="shared" si="76"/>
        <v>150000</v>
      </c>
      <c r="V418" s="158">
        <v>150000</v>
      </c>
      <c r="W418" s="158">
        <f t="shared" si="77"/>
        <v>0</v>
      </c>
      <c r="X418" s="158">
        <f t="shared" si="73"/>
        <v>0</v>
      </c>
      <c r="Y418" s="158">
        <f t="shared" si="78"/>
        <v>0</v>
      </c>
      <c r="Z418" s="158">
        <v>264603.9</v>
      </c>
      <c r="AA418" s="158">
        <f t="shared" si="74"/>
        <v>-114603.9</v>
      </c>
      <c r="AB418" s="167">
        <f>IF(O418="返货",Z418/(1+N418),IF(O418="返现",Z418,IF(O418="折扣",Z418*N418,IF(O418="无",Z418))))</f>
        <v>264603.9</v>
      </c>
      <c r="AC418" s="168">
        <f t="shared" si="75"/>
        <v>0</v>
      </c>
      <c r="AD418" s="158">
        <v>264603.9</v>
      </c>
      <c r="AE418" s="159">
        <v>0</v>
      </c>
      <c r="AF418" s="158">
        <f t="shared" si="70"/>
        <v>0</v>
      </c>
      <c r="AG418" s="158">
        <v>265.61225490196</v>
      </c>
      <c r="AH418" s="175"/>
      <c r="AI418" s="175"/>
      <c r="AJ418" s="176">
        <v>0</v>
      </c>
      <c r="AK418" s="140">
        <v>0</v>
      </c>
      <c r="AL418" s="140" t="s">
        <v>607</v>
      </c>
      <c r="AM418" s="152"/>
    </row>
    <row r="419" s="140" customFormat="1" ht="15" hidden="1" customHeight="1" spans="1:39">
      <c r="A419" s="140">
        <v>2017</v>
      </c>
      <c r="B419" s="140" t="s">
        <v>252</v>
      </c>
      <c r="C419" s="140" t="s">
        <v>88</v>
      </c>
      <c r="D419" s="140" t="s">
        <v>128</v>
      </c>
      <c r="E419" s="140" t="s">
        <v>194</v>
      </c>
      <c r="F419" s="140" t="s">
        <v>608</v>
      </c>
      <c r="G419" s="140" t="s">
        <v>609</v>
      </c>
      <c r="H419" s="140" t="s">
        <v>609</v>
      </c>
      <c r="I419" s="184" t="s">
        <v>204</v>
      </c>
      <c r="J419" s="140" t="s">
        <v>577</v>
      </c>
      <c r="K419" s="140" t="s">
        <v>578</v>
      </c>
      <c r="L419" s="140" t="s">
        <v>412</v>
      </c>
      <c r="M419" s="140" t="s">
        <v>185</v>
      </c>
      <c r="N419" s="156">
        <v>0</v>
      </c>
      <c r="O419" s="156" t="s">
        <v>47</v>
      </c>
      <c r="P419" s="156"/>
      <c r="Q419" s="158">
        <v>89796.84</v>
      </c>
      <c r="R419" s="158">
        <v>0</v>
      </c>
      <c r="S419" s="158">
        <v>107320</v>
      </c>
      <c r="T419" s="158">
        <f t="shared" si="72"/>
        <v>0</v>
      </c>
      <c r="U419" s="158">
        <f t="shared" si="76"/>
        <v>107320</v>
      </c>
      <c r="V419" s="158">
        <v>0</v>
      </c>
      <c r="W419" s="158">
        <f t="shared" si="77"/>
        <v>107320</v>
      </c>
      <c r="X419" s="158">
        <f t="shared" si="73"/>
        <v>107320</v>
      </c>
      <c r="Y419" s="158">
        <f t="shared" si="78"/>
        <v>0</v>
      </c>
      <c r="Z419" s="158">
        <v>197116.84</v>
      </c>
      <c r="AA419" s="158">
        <f t="shared" si="74"/>
        <v>-107320</v>
      </c>
      <c r="AB419" s="167">
        <f>IF(O419="返货",(Z419-Q419)/(1+N419),IF(O419="返现",(Z419-Q419),IF(O419="折扣",(Z419-Q419)*N419,IF(O419="无",(Z419-Q419)))))</f>
        <v>107320</v>
      </c>
      <c r="AC419" s="168">
        <f t="shared" si="75"/>
        <v>89796.84</v>
      </c>
      <c r="AD419" s="158">
        <f t="shared" ref="AD419:AD436" si="80">Z419*0.980277351080772</f>
        <v>193229.173768612</v>
      </c>
      <c r="AE419" s="159">
        <v>0.3156</v>
      </c>
      <c r="AF419" s="158">
        <f t="shared" si="70"/>
        <v>60983.1272413741</v>
      </c>
      <c r="AG419" s="158">
        <v>62210.074704</v>
      </c>
      <c r="AH419" s="175"/>
      <c r="AI419" s="175"/>
      <c r="AJ419" s="156" t="s">
        <v>47</v>
      </c>
      <c r="AK419" s="140" t="s">
        <v>47</v>
      </c>
      <c r="AM419" s="152"/>
    </row>
    <row r="420" s="140" customFormat="1" ht="15" hidden="1" customHeight="1" spans="1:39">
      <c r="A420" s="140">
        <v>2017</v>
      </c>
      <c r="B420" s="140" t="s">
        <v>252</v>
      </c>
      <c r="C420" s="140" t="s">
        <v>88</v>
      </c>
      <c r="D420" s="140" t="s">
        <v>128</v>
      </c>
      <c r="E420" s="140" t="s">
        <v>194</v>
      </c>
      <c r="F420" s="140" t="s">
        <v>608</v>
      </c>
      <c r="G420" s="140" t="s">
        <v>609</v>
      </c>
      <c r="H420" s="140" t="s">
        <v>609</v>
      </c>
      <c r="I420" s="184" t="s">
        <v>204</v>
      </c>
      <c r="J420" s="140" t="s">
        <v>577</v>
      </c>
      <c r="K420" s="140" t="s">
        <v>578</v>
      </c>
      <c r="L420" s="140" t="s">
        <v>412</v>
      </c>
      <c r="M420" s="140" t="s">
        <v>46</v>
      </c>
      <c r="N420" s="156">
        <v>0</v>
      </c>
      <c r="O420" s="156" t="s">
        <v>47</v>
      </c>
      <c r="P420" s="156"/>
      <c r="Q420" s="158">
        <v>122372.685</v>
      </c>
      <c r="R420" s="158">
        <v>0</v>
      </c>
      <c r="S420" s="158">
        <v>92680</v>
      </c>
      <c r="T420" s="158">
        <f t="shared" si="72"/>
        <v>0</v>
      </c>
      <c r="U420" s="158">
        <f t="shared" si="76"/>
        <v>92680</v>
      </c>
      <c r="V420" s="158">
        <v>200000</v>
      </c>
      <c r="W420" s="158">
        <f t="shared" si="77"/>
        <v>-107320</v>
      </c>
      <c r="X420" s="158">
        <f t="shared" si="73"/>
        <v>-107320</v>
      </c>
      <c r="Y420" s="158">
        <f t="shared" si="78"/>
        <v>0</v>
      </c>
      <c r="Z420" s="158">
        <v>215052.69</v>
      </c>
      <c r="AA420" s="158">
        <f t="shared" si="74"/>
        <v>107319.995</v>
      </c>
      <c r="AB420" s="167">
        <f>IF(O420="返货",(Z420-Q420)/(1+N420),IF(O420="返现",(Z420-Q420),IF(O420="折扣",(Z420-Q420)*N420,IF(O420="无",(Z420-Q420)))))</f>
        <v>92680.005</v>
      </c>
      <c r="AC420" s="168">
        <f t="shared" si="75"/>
        <v>122372.685</v>
      </c>
      <c r="AD420" s="158">
        <f t="shared" si="80"/>
        <v>210811.281295994</v>
      </c>
      <c r="AE420" s="159">
        <v>0.1077</v>
      </c>
      <c r="AF420" s="158">
        <f t="shared" si="70"/>
        <v>22704.3749955786</v>
      </c>
      <c r="AG420" s="158">
        <v>18944.4553012353</v>
      </c>
      <c r="AH420" s="175"/>
      <c r="AI420" s="175"/>
      <c r="AJ420" s="156" t="s">
        <v>47</v>
      </c>
      <c r="AK420" s="140" t="s">
        <v>47</v>
      </c>
      <c r="AM420" s="152"/>
    </row>
    <row r="421" s="140" customFormat="1" ht="15" hidden="1" customHeight="1" spans="1:39">
      <c r="A421" s="140">
        <v>2017</v>
      </c>
      <c r="B421" s="140" t="s">
        <v>38</v>
      </c>
      <c r="C421" s="140" t="s">
        <v>88</v>
      </c>
      <c r="D421" s="140" t="s">
        <v>128</v>
      </c>
      <c r="E421" s="140" t="s">
        <v>194</v>
      </c>
      <c r="F421" s="140" t="s">
        <v>610</v>
      </c>
      <c r="G421" s="140" t="s">
        <v>610</v>
      </c>
      <c r="H421" s="140" t="s">
        <v>610</v>
      </c>
      <c r="I421" s="184" t="s">
        <v>204</v>
      </c>
      <c r="J421" s="140" t="s">
        <v>577</v>
      </c>
      <c r="K421" s="140" t="s">
        <v>578</v>
      </c>
      <c r="L421" s="140" t="s">
        <v>610</v>
      </c>
      <c r="M421" s="140" t="s">
        <v>185</v>
      </c>
      <c r="N421" s="157">
        <v>0.08</v>
      </c>
      <c r="O421" s="156" t="s">
        <v>51</v>
      </c>
      <c r="P421" s="156"/>
      <c r="Q421" s="158">
        <v>0</v>
      </c>
      <c r="R421" s="158">
        <v>0</v>
      </c>
      <c r="S421" s="158">
        <v>223.14</v>
      </c>
      <c r="T421" s="158">
        <f t="shared" si="72"/>
        <v>17.8512</v>
      </c>
      <c r="U421" s="158">
        <f t="shared" si="76"/>
        <v>240.9912</v>
      </c>
      <c r="V421" s="158">
        <v>0</v>
      </c>
      <c r="W421" s="158">
        <f t="shared" si="77"/>
        <v>240.9912</v>
      </c>
      <c r="X421" s="158">
        <f t="shared" si="73"/>
        <v>223.14</v>
      </c>
      <c r="Y421" s="158">
        <f t="shared" si="78"/>
        <v>17.8512</v>
      </c>
      <c r="Z421" s="158">
        <v>227.6</v>
      </c>
      <c r="AA421" s="158">
        <f t="shared" si="74"/>
        <v>-227.6</v>
      </c>
      <c r="AB421" s="167">
        <f>IF(O421="返货",Z421/(1+N421),IF(O421="返现",Z421,IF(O421="折扣",Z421*N421,IF(O421="无",Z421))))</f>
        <v>210.740740740741</v>
      </c>
      <c r="AC421" s="168">
        <f t="shared" si="75"/>
        <v>16.8592592592593</v>
      </c>
      <c r="AD421" s="158">
        <f t="shared" si="80"/>
        <v>223.111125105984</v>
      </c>
      <c r="AE421" s="159">
        <v>0.3156</v>
      </c>
      <c r="AF421" s="158">
        <f t="shared" si="70"/>
        <v>70.4138710834485</v>
      </c>
      <c r="AG421" s="158">
        <v>54.9713007407407</v>
      </c>
      <c r="AH421" s="175"/>
      <c r="AI421" s="175"/>
      <c r="AJ421" s="156" t="s">
        <v>53</v>
      </c>
      <c r="AK421" s="140" t="s">
        <v>53</v>
      </c>
      <c r="AM421" s="152"/>
    </row>
    <row r="422" s="140" customFormat="1" ht="15" hidden="1" customHeight="1" spans="1:39">
      <c r="A422" s="140">
        <v>2017</v>
      </c>
      <c r="B422" s="140" t="s">
        <v>38</v>
      </c>
      <c r="C422" s="140" t="s">
        <v>88</v>
      </c>
      <c r="D422" s="140" t="s">
        <v>128</v>
      </c>
      <c r="E422" s="140" t="s">
        <v>194</v>
      </c>
      <c r="F422" s="140" t="s">
        <v>610</v>
      </c>
      <c r="G422" s="140" t="s">
        <v>610</v>
      </c>
      <c r="H422" s="140" t="s">
        <v>610</v>
      </c>
      <c r="I422" s="184" t="s">
        <v>204</v>
      </c>
      <c r="J422" s="140" t="s">
        <v>577</v>
      </c>
      <c r="K422" s="140" t="s">
        <v>578</v>
      </c>
      <c r="L422" s="140" t="s">
        <v>610</v>
      </c>
      <c r="M422" s="140" t="s">
        <v>46</v>
      </c>
      <c r="N422" s="157">
        <v>0.02</v>
      </c>
      <c r="O422" s="156" t="s">
        <v>51</v>
      </c>
      <c r="P422" s="156"/>
      <c r="Q422" s="158">
        <v>0</v>
      </c>
      <c r="R422" s="158">
        <v>0</v>
      </c>
      <c r="S422" s="158">
        <v>9776.86</v>
      </c>
      <c r="T422" s="158">
        <f t="shared" si="72"/>
        <v>195.5372</v>
      </c>
      <c r="U422" s="158">
        <f t="shared" si="76"/>
        <v>9972.3972</v>
      </c>
      <c r="V422" s="158">
        <v>10200</v>
      </c>
      <c r="W422" s="158">
        <f t="shared" si="77"/>
        <v>-227.602799999999</v>
      </c>
      <c r="X422" s="158">
        <f t="shared" si="73"/>
        <v>-223.139999999999</v>
      </c>
      <c r="Y422" s="158">
        <f t="shared" si="78"/>
        <v>-4.46279999999999</v>
      </c>
      <c r="Z422" s="158">
        <v>9972.4</v>
      </c>
      <c r="AA422" s="158">
        <f t="shared" si="74"/>
        <v>227.6</v>
      </c>
      <c r="AB422" s="167">
        <f>IF(O422="返货",Z422/(1+N422),IF(O422="返现",Z422,IF(O422="折扣",Z422*N422,IF(O422="无",Z422))))</f>
        <v>9776.86274509804</v>
      </c>
      <c r="AC422" s="168">
        <f t="shared" si="75"/>
        <v>195.537254901961</v>
      </c>
      <c r="AD422" s="158">
        <f t="shared" si="80"/>
        <v>9775.71785591789</v>
      </c>
      <c r="AE422" s="159">
        <v>0.1077</v>
      </c>
      <c r="AF422" s="158">
        <f t="shared" si="70"/>
        <v>1052.84481308236</v>
      </c>
      <c r="AG422" s="158">
        <v>878.490225098039</v>
      </c>
      <c r="AH422" s="175"/>
      <c r="AI422" s="175"/>
      <c r="AJ422" s="157">
        <v>0.02</v>
      </c>
      <c r="AK422" s="177">
        <v>0.02</v>
      </c>
      <c r="AM422" s="152"/>
    </row>
    <row r="423" s="140" customFormat="1" ht="15" hidden="1" customHeight="1" spans="1:39">
      <c r="A423" s="140">
        <v>2017</v>
      </c>
      <c r="B423" s="140" t="s">
        <v>38</v>
      </c>
      <c r="C423" s="140" t="s">
        <v>88</v>
      </c>
      <c r="D423" s="140" t="s">
        <v>128</v>
      </c>
      <c r="E423" s="140" t="s">
        <v>194</v>
      </c>
      <c r="F423" s="140" t="s">
        <v>511</v>
      </c>
      <c r="G423" s="140" t="s">
        <v>511</v>
      </c>
      <c r="H423" s="140" t="s">
        <v>511</v>
      </c>
      <c r="I423" s="184" t="s">
        <v>204</v>
      </c>
      <c r="J423" s="140" t="s">
        <v>577</v>
      </c>
      <c r="K423" s="140" t="s">
        <v>578</v>
      </c>
      <c r="L423" s="140" t="s">
        <v>511</v>
      </c>
      <c r="M423" s="140" t="s">
        <v>185</v>
      </c>
      <c r="N423" s="157">
        <v>0.08</v>
      </c>
      <c r="O423" s="156" t="s">
        <v>51</v>
      </c>
      <c r="P423" s="156"/>
      <c r="Q423" s="158">
        <v>0</v>
      </c>
      <c r="R423" s="158">
        <v>0</v>
      </c>
      <c r="S423" s="158">
        <v>5247.05</v>
      </c>
      <c r="T423" s="158">
        <f t="shared" si="72"/>
        <v>419.764</v>
      </c>
      <c r="U423" s="158">
        <f t="shared" si="76"/>
        <v>5666.814</v>
      </c>
      <c r="V423" s="158">
        <v>0</v>
      </c>
      <c r="W423" s="158">
        <f t="shared" si="77"/>
        <v>5666.814</v>
      </c>
      <c r="X423" s="158">
        <f t="shared" si="73"/>
        <v>5247.05</v>
      </c>
      <c r="Y423" s="158">
        <f t="shared" si="78"/>
        <v>419.764</v>
      </c>
      <c r="Z423" s="158">
        <v>5351.99</v>
      </c>
      <c r="AA423" s="158">
        <f t="shared" si="74"/>
        <v>-5351.99</v>
      </c>
      <c r="AB423" s="167">
        <f>IF(O423="返货",Z423/(1+N423),IF(O423="返现",Z423,IF(O423="折扣",Z423*N423,IF(O423="无",Z423))))</f>
        <v>4955.5462962963</v>
      </c>
      <c r="AC423" s="168">
        <f t="shared" si="75"/>
        <v>396.443703703704</v>
      </c>
      <c r="AD423" s="158">
        <f t="shared" si="80"/>
        <v>5246.43458021078</v>
      </c>
      <c r="AE423" s="159">
        <v>0.3156</v>
      </c>
      <c r="AF423" s="158">
        <f t="shared" si="70"/>
        <v>1655.77475351452</v>
      </c>
      <c r="AG423" s="158">
        <v>1292.6443402963</v>
      </c>
      <c r="AH423" s="175"/>
      <c r="AI423" s="175"/>
      <c r="AJ423" s="156" t="s">
        <v>53</v>
      </c>
      <c r="AK423" s="140" t="s">
        <v>53</v>
      </c>
      <c r="AM423" s="152"/>
    </row>
    <row r="424" s="140" customFormat="1" ht="15" hidden="1" customHeight="1" spans="1:39">
      <c r="A424" s="140">
        <v>2017</v>
      </c>
      <c r="B424" s="140" t="s">
        <v>38</v>
      </c>
      <c r="C424" s="140" t="s">
        <v>88</v>
      </c>
      <c r="D424" s="140" t="s">
        <v>128</v>
      </c>
      <c r="E424" s="140" t="s">
        <v>194</v>
      </c>
      <c r="F424" s="140" t="s">
        <v>594</v>
      </c>
      <c r="G424" s="140" t="s">
        <v>594</v>
      </c>
      <c r="H424" s="140" t="s">
        <v>594</v>
      </c>
      <c r="I424" s="184" t="s">
        <v>204</v>
      </c>
      <c r="J424" s="140" t="s">
        <v>577</v>
      </c>
      <c r="K424" s="140" t="s">
        <v>578</v>
      </c>
      <c r="L424" s="140" t="s">
        <v>594</v>
      </c>
      <c r="M424" s="140" t="s">
        <v>185</v>
      </c>
      <c r="N424" s="157">
        <v>0.08</v>
      </c>
      <c r="O424" s="156" t="s">
        <v>51</v>
      </c>
      <c r="P424" s="156"/>
      <c r="Q424" s="158">
        <v>0</v>
      </c>
      <c r="R424" s="158">
        <v>0</v>
      </c>
      <c r="S424" s="158">
        <v>5110.19</v>
      </c>
      <c r="T424" s="158">
        <f t="shared" si="72"/>
        <v>408.8152</v>
      </c>
      <c r="U424" s="158">
        <f t="shared" si="76"/>
        <v>5519.0052</v>
      </c>
      <c r="V424" s="158">
        <v>0</v>
      </c>
      <c r="W424" s="158">
        <f t="shared" si="77"/>
        <v>5519.0052</v>
      </c>
      <c r="X424" s="158">
        <f t="shared" si="73"/>
        <v>5110.19</v>
      </c>
      <c r="Y424" s="158">
        <f t="shared" si="78"/>
        <v>408.8152</v>
      </c>
      <c r="Z424" s="158">
        <v>5212.39</v>
      </c>
      <c r="AA424" s="158">
        <f t="shared" si="74"/>
        <v>-5212.39</v>
      </c>
      <c r="AB424" s="167">
        <f>IF(O424="返货",Z424/(1+N424),IF(O424="返现",Z424,IF(O424="折扣",Z424*N424,IF(O424="无",Z424))))</f>
        <v>4826.28703703704</v>
      </c>
      <c r="AC424" s="168">
        <f t="shared" si="75"/>
        <v>386.102962962963</v>
      </c>
      <c r="AD424" s="158">
        <f t="shared" si="80"/>
        <v>5109.58786199991</v>
      </c>
      <c r="AE424" s="159">
        <v>0.3156</v>
      </c>
      <c r="AF424" s="158">
        <f t="shared" si="70"/>
        <v>1612.58592924717</v>
      </c>
      <c r="AG424" s="158">
        <v>1258.92732103704</v>
      </c>
      <c r="AH424" s="175"/>
      <c r="AI424" s="175"/>
      <c r="AJ424" s="156" t="s">
        <v>53</v>
      </c>
      <c r="AK424" s="140" t="s">
        <v>53</v>
      </c>
      <c r="AM424" s="152"/>
    </row>
    <row r="425" s="140" customFormat="1" ht="15" hidden="1" customHeight="1" spans="1:39">
      <c r="A425" s="140">
        <v>2017</v>
      </c>
      <c r="B425" s="141" t="s">
        <v>38</v>
      </c>
      <c r="C425" s="140" t="s">
        <v>88</v>
      </c>
      <c r="D425" s="140" t="s">
        <v>128</v>
      </c>
      <c r="E425" s="140" t="s">
        <v>194</v>
      </c>
      <c r="F425" s="140" t="s">
        <v>611</v>
      </c>
      <c r="G425" s="140" t="s">
        <v>611</v>
      </c>
      <c r="H425" s="140" t="s">
        <v>611</v>
      </c>
      <c r="I425" s="184" t="s">
        <v>204</v>
      </c>
      <c r="J425" s="140" t="s">
        <v>577</v>
      </c>
      <c r="K425" s="140" t="s">
        <v>578</v>
      </c>
      <c r="L425" s="140" t="s">
        <v>612</v>
      </c>
      <c r="M425" s="140" t="s">
        <v>46</v>
      </c>
      <c r="N425" s="157">
        <v>0.02</v>
      </c>
      <c r="O425" s="156" t="s">
        <v>51</v>
      </c>
      <c r="P425" s="156"/>
      <c r="Q425" s="158">
        <v>82485.37297</v>
      </c>
      <c r="R425" s="158">
        <v>0</v>
      </c>
      <c r="S425" s="158">
        <v>1830265.94</v>
      </c>
      <c r="T425" s="158">
        <f t="shared" si="72"/>
        <v>36605.3188</v>
      </c>
      <c r="U425" s="158">
        <f t="shared" si="76"/>
        <v>1866871.2588</v>
      </c>
      <c r="V425" s="158">
        <v>20887000</v>
      </c>
      <c r="W425" s="158">
        <f t="shared" si="77"/>
        <v>-19020128.7412</v>
      </c>
      <c r="X425" s="158">
        <f t="shared" si="73"/>
        <v>-18647185.0403922</v>
      </c>
      <c r="Y425" s="158">
        <f t="shared" si="78"/>
        <v>-372943.700807843</v>
      </c>
      <c r="Z425" s="158">
        <v>2058342.2</v>
      </c>
      <c r="AA425" s="158">
        <f t="shared" si="74"/>
        <v>18911143.17297</v>
      </c>
      <c r="AB425" s="167">
        <f>IF(O425="返货",(Z425-Q425)/(1+N425),IF(O425="返现",(Z425-Q425),IF(O425="折扣",(Z425-Q425)*N425,IF(O425="无",(Z425-Q425)))))</f>
        <v>1937114.53630392</v>
      </c>
      <c r="AC425" s="168">
        <f t="shared" si="75"/>
        <v>121227.663696078</v>
      </c>
      <c r="AD425" s="158">
        <f t="shared" si="80"/>
        <v>2017746.23943377</v>
      </c>
      <c r="AE425" s="159">
        <v>0.1077</v>
      </c>
      <c r="AF425" s="158">
        <f t="shared" si="70"/>
        <v>217311.269987017</v>
      </c>
      <c r="AG425" s="158">
        <v>181323.803959608</v>
      </c>
      <c r="AH425" s="175"/>
      <c r="AI425" s="175"/>
      <c r="AJ425" s="156" t="s">
        <v>173</v>
      </c>
      <c r="AK425" s="140" t="s">
        <v>173</v>
      </c>
      <c r="AL425" s="140" t="s">
        <v>613</v>
      </c>
      <c r="AM425" s="152"/>
    </row>
    <row r="426" s="140" customFormat="1" ht="15" hidden="1" customHeight="1" spans="1:39">
      <c r="A426" s="140">
        <v>2017</v>
      </c>
      <c r="B426" s="141" t="s">
        <v>38</v>
      </c>
      <c r="C426" s="140" t="s">
        <v>88</v>
      </c>
      <c r="D426" s="140" t="s">
        <v>128</v>
      </c>
      <c r="E426" s="140" t="s">
        <v>194</v>
      </c>
      <c r="F426" s="140" t="s">
        <v>611</v>
      </c>
      <c r="G426" s="140" t="s">
        <v>611</v>
      </c>
      <c r="H426" s="140" t="s">
        <v>611</v>
      </c>
      <c r="I426" s="184" t="s">
        <v>204</v>
      </c>
      <c r="J426" s="140" t="s">
        <v>577</v>
      </c>
      <c r="K426" s="140" t="s">
        <v>578</v>
      </c>
      <c r="L426" s="140" t="s">
        <v>612</v>
      </c>
      <c r="M426" s="140" t="s">
        <v>185</v>
      </c>
      <c r="N426" s="157">
        <v>0.08</v>
      </c>
      <c r="O426" s="156" t="s">
        <v>51</v>
      </c>
      <c r="P426" s="156"/>
      <c r="Q426" s="158">
        <v>159239.12</v>
      </c>
      <c r="R426" s="158">
        <v>0</v>
      </c>
      <c r="S426" s="158">
        <v>17945890.13</v>
      </c>
      <c r="T426" s="158">
        <f t="shared" si="72"/>
        <v>1435671.2104</v>
      </c>
      <c r="U426" s="158">
        <f t="shared" si="76"/>
        <v>19381561.3404</v>
      </c>
      <c r="V426" s="158">
        <v>0</v>
      </c>
      <c r="W426" s="158">
        <f t="shared" si="77"/>
        <v>19381561.3404</v>
      </c>
      <c r="X426" s="158">
        <f t="shared" si="73"/>
        <v>17945890.13</v>
      </c>
      <c r="Y426" s="158">
        <f t="shared" si="78"/>
        <v>1435671.2104</v>
      </c>
      <c r="Z426" s="158">
        <v>19012642.28</v>
      </c>
      <c r="AA426" s="158">
        <f t="shared" si="74"/>
        <v>-18853403.16</v>
      </c>
      <c r="AB426" s="167">
        <f>IF(O426="返货",(Z426-Q426)/(1+N426),IF(O426="返现",(Z426-Q426),IF(O426="折扣",(Z426-Q426)*N426,IF(O426="无",(Z426-Q426)))))</f>
        <v>17456854.7777778</v>
      </c>
      <c r="AC426" s="168">
        <f t="shared" si="75"/>
        <v>1555787.50222223</v>
      </c>
      <c r="AD426" s="158">
        <f t="shared" si="80"/>
        <v>18637662.6112847</v>
      </c>
      <c r="AE426" s="159">
        <v>0.3156</v>
      </c>
      <c r="AF426" s="158">
        <f t="shared" si="70"/>
        <v>5882046.32012145</v>
      </c>
      <c r="AG426" s="158">
        <v>4592046.03097541</v>
      </c>
      <c r="AH426" s="175"/>
      <c r="AI426" s="175"/>
      <c r="AJ426" s="156" t="s">
        <v>614</v>
      </c>
      <c r="AK426" s="140" t="s">
        <v>614</v>
      </c>
      <c r="AM426" s="152"/>
    </row>
    <row r="427" s="140" customFormat="1" ht="15" hidden="1" customHeight="1" spans="1:39">
      <c r="A427" s="140">
        <v>2017</v>
      </c>
      <c r="B427" s="140" t="s">
        <v>38</v>
      </c>
      <c r="C427" s="140" t="s">
        <v>88</v>
      </c>
      <c r="D427" s="140" t="s">
        <v>128</v>
      </c>
      <c r="E427" s="140" t="s">
        <v>194</v>
      </c>
      <c r="F427" s="140" t="s">
        <v>601</v>
      </c>
      <c r="G427" s="140" t="s">
        <v>601</v>
      </c>
      <c r="H427" s="140" t="s">
        <v>601</v>
      </c>
      <c r="I427" s="184" t="s">
        <v>204</v>
      </c>
      <c r="J427" s="140" t="s">
        <v>577</v>
      </c>
      <c r="K427" s="140" t="s">
        <v>578</v>
      </c>
      <c r="L427" s="140" t="s">
        <v>601</v>
      </c>
      <c r="M427" s="140" t="s">
        <v>185</v>
      </c>
      <c r="N427" s="157">
        <v>0.08</v>
      </c>
      <c r="O427" s="156" t="s">
        <v>51</v>
      </c>
      <c r="P427" s="156"/>
      <c r="Q427" s="158">
        <v>0</v>
      </c>
      <c r="R427" s="158">
        <v>0</v>
      </c>
      <c r="S427" s="158">
        <v>380.39</v>
      </c>
      <c r="T427" s="158">
        <f t="shared" si="72"/>
        <v>30.4312</v>
      </c>
      <c r="U427" s="158">
        <f t="shared" si="76"/>
        <v>410.8212</v>
      </c>
      <c r="V427" s="158">
        <v>0</v>
      </c>
      <c r="W427" s="158">
        <f t="shared" si="77"/>
        <v>410.8212</v>
      </c>
      <c r="X427" s="158">
        <f t="shared" si="73"/>
        <v>380.39</v>
      </c>
      <c r="Y427" s="158">
        <f t="shared" si="78"/>
        <v>30.4312</v>
      </c>
      <c r="Z427" s="158">
        <v>388</v>
      </c>
      <c r="AA427" s="158">
        <f t="shared" si="74"/>
        <v>-388</v>
      </c>
      <c r="AB427" s="167">
        <f t="shared" ref="AB427:AB432" si="81">IF(O427="返货",Z427/(1+N427),IF(O427="返现",Z427,IF(O427="折扣",Z427*N427,IF(O427="无",Z427))))</f>
        <v>359.259259259259</v>
      </c>
      <c r="AC427" s="168">
        <f t="shared" si="75"/>
        <v>28.7407407407408</v>
      </c>
      <c r="AD427" s="158">
        <f t="shared" si="80"/>
        <v>380.34761221934</v>
      </c>
      <c r="AE427" s="159">
        <v>0.3156</v>
      </c>
      <c r="AF427" s="158">
        <f t="shared" si="70"/>
        <v>120.037706416424</v>
      </c>
      <c r="AG427" s="158">
        <v>93.7120592592592</v>
      </c>
      <c r="AH427" s="175"/>
      <c r="AI427" s="175"/>
      <c r="AJ427" s="156" t="s">
        <v>53</v>
      </c>
      <c r="AK427" s="140" t="s">
        <v>53</v>
      </c>
      <c r="AM427" s="152"/>
    </row>
    <row r="428" s="140" customFormat="1" ht="15" hidden="1" customHeight="1" spans="1:39">
      <c r="A428" s="140">
        <v>2017</v>
      </c>
      <c r="B428" s="140" t="s">
        <v>38</v>
      </c>
      <c r="C428" s="140" t="s">
        <v>88</v>
      </c>
      <c r="D428" s="140" t="s">
        <v>128</v>
      </c>
      <c r="E428" s="140" t="s">
        <v>194</v>
      </c>
      <c r="F428" s="140" t="s">
        <v>602</v>
      </c>
      <c r="G428" s="140" t="s">
        <v>602</v>
      </c>
      <c r="H428" s="140" t="s">
        <v>602</v>
      </c>
      <c r="I428" s="184" t="s">
        <v>204</v>
      </c>
      <c r="J428" s="140" t="s">
        <v>577</v>
      </c>
      <c r="K428" s="140" t="s">
        <v>578</v>
      </c>
      <c r="L428" s="140" t="s">
        <v>602</v>
      </c>
      <c r="M428" s="140" t="s">
        <v>185</v>
      </c>
      <c r="N428" s="157">
        <v>0.08</v>
      </c>
      <c r="O428" s="156" t="s">
        <v>51</v>
      </c>
      <c r="P428" s="156"/>
      <c r="Q428" s="158">
        <v>0</v>
      </c>
      <c r="R428" s="158">
        <v>0</v>
      </c>
      <c r="S428" s="158">
        <v>2352.94</v>
      </c>
      <c r="T428" s="158">
        <f t="shared" si="72"/>
        <v>188.2352</v>
      </c>
      <c r="U428" s="158">
        <f t="shared" si="76"/>
        <v>2541.1752</v>
      </c>
      <c r="V428" s="158">
        <v>0</v>
      </c>
      <c r="W428" s="158">
        <f t="shared" si="77"/>
        <v>2541.1752</v>
      </c>
      <c r="X428" s="158">
        <f t="shared" si="73"/>
        <v>2352.94</v>
      </c>
      <c r="Y428" s="158">
        <f t="shared" si="78"/>
        <v>188.2352</v>
      </c>
      <c r="Z428" s="158">
        <v>2400</v>
      </c>
      <c r="AA428" s="158">
        <f t="shared" si="74"/>
        <v>-2400</v>
      </c>
      <c r="AB428" s="167">
        <f t="shared" si="81"/>
        <v>2222.22222222222</v>
      </c>
      <c r="AC428" s="168">
        <f t="shared" si="75"/>
        <v>177.777777777778</v>
      </c>
      <c r="AD428" s="158">
        <f t="shared" si="80"/>
        <v>2352.66564259385</v>
      </c>
      <c r="AE428" s="159">
        <v>0.3156</v>
      </c>
      <c r="AF428" s="158">
        <f t="shared" si="70"/>
        <v>742.50127680262</v>
      </c>
      <c r="AG428" s="158">
        <v>579.662222222222</v>
      </c>
      <c r="AH428" s="175"/>
      <c r="AI428" s="175"/>
      <c r="AJ428" s="156" t="s">
        <v>53</v>
      </c>
      <c r="AK428" s="140" t="s">
        <v>53</v>
      </c>
      <c r="AM428" s="152"/>
    </row>
    <row r="429" s="140" customFormat="1" ht="15" hidden="1" customHeight="1" spans="1:39">
      <c r="A429" s="140">
        <v>2017</v>
      </c>
      <c r="B429" s="140" t="s">
        <v>38</v>
      </c>
      <c r="C429" s="140" t="s">
        <v>88</v>
      </c>
      <c r="D429" s="140" t="s">
        <v>95</v>
      </c>
      <c r="E429" s="140" t="s">
        <v>194</v>
      </c>
      <c r="F429" s="140" t="s">
        <v>209</v>
      </c>
      <c r="G429" s="140" t="s">
        <v>209</v>
      </c>
      <c r="H429" s="140" t="s">
        <v>209</v>
      </c>
      <c r="I429" s="184" t="s">
        <v>204</v>
      </c>
      <c r="J429" s="140" t="s">
        <v>577</v>
      </c>
      <c r="K429" s="140" t="s">
        <v>578</v>
      </c>
      <c r="L429" s="140" t="s">
        <v>209</v>
      </c>
      <c r="M429" s="140" t="s">
        <v>185</v>
      </c>
      <c r="N429" s="157">
        <v>0.04</v>
      </c>
      <c r="O429" s="156" t="s">
        <v>51</v>
      </c>
      <c r="P429" s="156"/>
      <c r="Q429" s="158">
        <v>0</v>
      </c>
      <c r="R429" s="158">
        <v>0</v>
      </c>
      <c r="S429" s="158">
        <v>150962.77</v>
      </c>
      <c r="T429" s="158">
        <f t="shared" si="72"/>
        <v>6038.5108</v>
      </c>
      <c r="U429" s="158">
        <f t="shared" si="76"/>
        <v>157001.2808</v>
      </c>
      <c r="V429" s="158">
        <v>0</v>
      </c>
      <c r="W429" s="158">
        <f t="shared" si="77"/>
        <v>157001.2808</v>
      </c>
      <c r="X429" s="158">
        <f t="shared" si="73"/>
        <v>150962.77</v>
      </c>
      <c r="Y429" s="158">
        <f t="shared" si="78"/>
        <v>6038.51080000002</v>
      </c>
      <c r="Z429" s="158">
        <v>153982.03</v>
      </c>
      <c r="AA429" s="158">
        <f t="shared" si="74"/>
        <v>-153982.03</v>
      </c>
      <c r="AB429" s="167">
        <f t="shared" si="81"/>
        <v>148059.644230769</v>
      </c>
      <c r="AC429" s="168">
        <f t="shared" si="75"/>
        <v>5922.38576923078</v>
      </c>
      <c r="AD429" s="158">
        <f t="shared" si="80"/>
        <v>150945.09648244</v>
      </c>
      <c r="AE429" s="159">
        <v>0.3156</v>
      </c>
      <c r="AF429" s="158">
        <f t="shared" si="70"/>
        <v>47638.2724498581</v>
      </c>
      <c r="AG429" s="158">
        <v>45577.4731778039</v>
      </c>
      <c r="AH429" s="175"/>
      <c r="AI429" s="175"/>
      <c r="AJ429" s="156" t="s">
        <v>615</v>
      </c>
      <c r="AK429" s="140" t="s">
        <v>615</v>
      </c>
      <c r="AM429" s="152"/>
    </row>
    <row r="430" s="140" customFormat="1" ht="15" hidden="1" customHeight="1" spans="1:39">
      <c r="A430" s="140">
        <v>2017</v>
      </c>
      <c r="B430" s="140" t="s">
        <v>38</v>
      </c>
      <c r="C430" s="140" t="s">
        <v>88</v>
      </c>
      <c r="D430" s="140" t="s">
        <v>95</v>
      </c>
      <c r="E430" s="140" t="s">
        <v>194</v>
      </c>
      <c r="F430" s="140" t="s">
        <v>209</v>
      </c>
      <c r="G430" s="140" t="s">
        <v>209</v>
      </c>
      <c r="H430" s="140" t="s">
        <v>209</v>
      </c>
      <c r="I430" s="184" t="s">
        <v>204</v>
      </c>
      <c r="J430" s="140" t="s">
        <v>577</v>
      </c>
      <c r="K430" s="140" t="s">
        <v>578</v>
      </c>
      <c r="L430" s="140" t="s">
        <v>209</v>
      </c>
      <c r="M430" s="140" t="s">
        <v>46</v>
      </c>
      <c r="N430" s="157">
        <v>0.02</v>
      </c>
      <c r="O430" s="156" t="s">
        <v>51</v>
      </c>
      <c r="P430" s="156"/>
      <c r="Q430" s="158">
        <v>0</v>
      </c>
      <c r="R430" s="158">
        <v>0</v>
      </c>
      <c r="S430" s="158">
        <v>4882.35000000001</v>
      </c>
      <c r="T430" s="158">
        <f t="shared" si="72"/>
        <v>97.6470000000002</v>
      </c>
      <c r="U430" s="158">
        <f t="shared" si="76"/>
        <v>4979.99700000001</v>
      </c>
      <c r="V430" s="158">
        <v>224400</v>
      </c>
      <c r="W430" s="158">
        <f t="shared" si="77"/>
        <v>-219420.003</v>
      </c>
      <c r="X430" s="158">
        <f t="shared" si="73"/>
        <v>-215117.65</v>
      </c>
      <c r="Y430" s="158">
        <f t="shared" si="78"/>
        <v>-4302.353</v>
      </c>
      <c r="Z430" s="158">
        <v>4980</v>
      </c>
      <c r="AA430" s="158">
        <f t="shared" si="74"/>
        <v>219420</v>
      </c>
      <c r="AB430" s="167">
        <f t="shared" si="81"/>
        <v>4882.35294117647</v>
      </c>
      <c r="AC430" s="168">
        <f t="shared" si="75"/>
        <v>97.6470588235297</v>
      </c>
      <c r="AD430" s="158">
        <f t="shared" si="80"/>
        <v>4881.78120838224</v>
      </c>
      <c r="AE430" s="159">
        <v>0.1077</v>
      </c>
      <c r="AF430" s="158">
        <f t="shared" si="70"/>
        <v>525.767836142768</v>
      </c>
      <c r="AG430" s="158">
        <v>438.69894117647</v>
      </c>
      <c r="AH430" s="175"/>
      <c r="AI430" s="175"/>
      <c r="AJ430" s="156" t="s">
        <v>615</v>
      </c>
      <c r="AK430" s="140" t="s">
        <v>615</v>
      </c>
      <c r="AM430" s="152"/>
    </row>
    <row r="431" s="140" customFormat="1" ht="15" hidden="1" customHeight="1" spans="1:39">
      <c r="A431" s="140">
        <v>2017</v>
      </c>
      <c r="B431" s="140" t="s">
        <v>38</v>
      </c>
      <c r="C431" s="140" t="s">
        <v>110</v>
      </c>
      <c r="D431" s="140" t="s">
        <v>111</v>
      </c>
      <c r="E431" s="140" t="s">
        <v>112</v>
      </c>
      <c r="F431" s="140" t="s">
        <v>113</v>
      </c>
      <c r="G431" s="140" t="s">
        <v>113</v>
      </c>
      <c r="H431" s="140" t="s">
        <v>113</v>
      </c>
      <c r="I431" s="184" t="s">
        <v>204</v>
      </c>
      <c r="J431" s="140" t="s">
        <v>577</v>
      </c>
      <c r="K431" s="140" t="s">
        <v>578</v>
      </c>
      <c r="L431" s="140" t="s">
        <v>114</v>
      </c>
      <c r="M431" s="140" t="s">
        <v>185</v>
      </c>
      <c r="N431" s="157">
        <v>0.08</v>
      </c>
      <c r="O431" s="156" t="s">
        <v>51</v>
      </c>
      <c r="P431" s="156"/>
      <c r="Q431" s="158">
        <v>0</v>
      </c>
      <c r="R431" s="158">
        <v>0</v>
      </c>
      <c r="S431" s="158">
        <v>73860.49</v>
      </c>
      <c r="T431" s="158">
        <f t="shared" si="72"/>
        <v>5908.8392</v>
      </c>
      <c r="U431" s="158">
        <f t="shared" si="76"/>
        <v>79769.3292</v>
      </c>
      <c r="V431" s="158">
        <v>0</v>
      </c>
      <c r="W431" s="158">
        <f t="shared" si="77"/>
        <v>79769.3292</v>
      </c>
      <c r="X431" s="158">
        <f t="shared" si="73"/>
        <v>73860.49</v>
      </c>
      <c r="Y431" s="158">
        <f t="shared" si="78"/>
        <v>5908.8392</v>
      </c>
      <c r="Z431" s="158">
        <v>73860.49</v>
      </c>
      <c r="AA431" s="158">
        <f t="shared" si="74"/>
        <v>-73860.49</v>
      </c>
      <c r="AB431" s="167">
        <f t="shared" si="81"/>
        <v>68389.3425925926</v>
      </c>
      <c r="AC431" s="168">
        <f t="shared" si="75"/>
        <v>5471.14740740741</v>
      </c>
      <c r="AD431" s="158">
        <f t="shared" si="80"/>
        <v>72403.7654867278</v>
      </c>
      <c r="AE431" s="159">
        <v>0.3156</v>
      </c>
      <c r="AF431" s="158">
        <f t="shared" ref="AF431:AF494" si="82">AD431*AE431</f>
        <v>22850.6283876113</v>
      </c>
      <c r="AG431" s="158">
        <v>17839.2232365926</v>
      </c>
      <c r="AH431" s="175"/>
      <c r="AI431" s="175"/>
      <c r="AJ431" s="156" t="s">
        <v>53</v>
      </c>
      <c r="AK431" s="140" t="s">
        <v>53</v>
      </c>
      <c r="AM431" s="152"/>
    </row>
    <row r="432" s="140" customFormat="1" ht="15" hidden="1" customHeight="1" spans="1:39">
      <c r="A432" s="140">
        <v>2017</v>
      </c>
      <c r="B432" s="140" t="s">
        <v>38</v>
      </c>
      <c r="C432" s="140" t="s">
        <v>110</v>
      </c>
      <c r="D432" s="140" t="s">
        <v>111</v>
      </c>
      <c r="E432" s="140" t="s">
        <v>112</v>
      </c>
      <c r="F432" s="140" t="s">
        <v>113</v>
      </c>
      <c r="G432" s="140" t="s">
        <v>113</v>
      </c>
      <c r="H432" s="140" t="s">
        <v>113</v>
      </c>
      <c r="I432" s="184" t="s">
        <v>204</v>
      </c>
      <c r="J432" s="140" t="s">
        <v>577</v>
      </c>
      <c r="K432" s="140" t="s">
        <v>578</v>
      </c>
      <c r="L432" s="140" t="s">
        <v>114</v>
      </c>
      <c r="M432" s="140" t="s">
        <v>46</v>
      </c>
      <c r="N432" s="157">
        <v>0.02</v>
      </c>
      <c r="O432" s="156" t="s">
        <v>51</v>
      </c>
      <c r="P432" s="156"/>
      <c r="Q432" s="158">
        <v>0</v>
      </c>
      <c r="R432" s="158">
        <v>0</v>
      </c>
      <c r="S432" s="158">
        <v>296139.51</v>
      </c>
      <c r="T432" s="158">
        <f t="shared" si="72"/>
        <v>5922.7902</v>
      </c>
      <c r="U432" s="158">
        <f t="shared" si="76"/>
        <v>302062.3002</v>
      </c>
      <c r="V432" s="158">
        <v>374582.34</v>
      </c>
      <c r="W432" s="158">
        <f t="shared" si="77"/>
        <v>-72520.0398</v>
      </c>
      <c r="X432" s="158">
        <f t="shared" si="73"/>
        <v>-71098.0782352941</v>
      </c>
      <c r="Y432" s="158">
        <f t="shared" si="78"/>
        <v>-1421.96156470588</v>
      </c>
      <c r="Z432" s="158">
        <v>300721.85</v>
      </c>
      <c r="AA432" s="158">
        <f t="shared" si="74"/>
        <v>73860.49</v>
      </c>
      <c r="AB432" s="167">
        <f t="shared" si="81"/>
        <v>294825.343137255</v>
      </c>
      <c r="AC432" s="168">
        <f t="shared" si="75"/>
        <v>5896.5068627451</v>
      </c>
      <c r="AD432" s="158">
        <f t="shared" si="80"/>
        <v>294790.818530109</v>
      </c>
      <c r="AE432" s="159">
        <v>0.1077</v>
      </c>
      <c r="AF432" s="158">
        <f t="shared" si="82"/>
        <v>31748.9711556928</v>
      </c>
      <c r="AG432" s="158">
        <v>26491.2363822549</v>
      </c>
      <c r="AH432" s="175"/>
      <c r="AI432" s="175"/>
      <c r="AJ432" s="157">
        <v>0.02</v>
      </c>
      <c r="AK432" s="177">
        <v>0.02</v>
      </c>
      <c r="AM432" s="152"/>
    </row>
    <row r="433" s="140" customFormat="1" ht="15" hidden="1" customHeight="1" spans="1:39">
      <c r="A433" s="140">
        <v>2017</v>
      </c>
      <c r="B433" s="140" t="s">
        <v>38</v>
      </c>
      <c r="C433" s="140" t="s">
        <v>110</v>
      </c>
      <c r="D433" s="140" t="s">
        <v>111</v>
      </c>
      <c r="E433" s="140" t="s">
        <v>112</v>
      </c>
      <c r="F433" s="140" t="s">
        <v>147</v>
      </c>
      <c r="G433" s="140" t="s">
        <v>147</v>
      </c>
      <c r="H433" s="140" t="s">
        <v>147</v>
      </c>
      <c r="I433" s="184" t="s">
        <v>204</v>
      </c>
      <c r="J433" s="140" t="s">
        <v>577</v>
      </c>
      <c r="K433" s="140" t="s">
        <v>578</v>
      </c>
      <c r="L433" s="140" t="s">
        <v>148</v>
      </c>
      <c r="M433" s="140" t="s">
        <v>46</v>
      </c>
      <c r="N433" s="157">
        <v>0.02</v>
      </c>
      <c r="O433" s="156" t="s">
        <v>51</v>
      </c>
      <c r="P433" s="156"/>
      <c r="Q433" s="158">
        <v>551.83</v>
      </c>
      <c r="R433" s="158">
        <v>0</v>
      </c>
      <c r="S433" s="158">
        <v>237486.45</v>
      </c>
      <c r="T433" s="158">
        <f t="shared" si="72"/>
        <v>4749.729</v>
      </c>
      <c r="U433" s="158">
        <f t="shared" si="76"/>
        <v>242236.179</v>
      </c>
      <c r="V433" s="158">
        <v>295952.08</v>
      </c>
      <c r="W433" s="158">
        <f t="shared" si="77"/>
        <v>-53715.901</v>
      </c>
      <c r="X433" s="158">
        <f t="shared" si="73"/>
        <v>-52662.6480392157</v>
      </c>
      <c r="Y433" s="158">
        <f t="shared" si="78"/>
        <v>-1053.25296078432</v>
      </c>
      <c r="Z433" s="158">
        <v>242788.01</v>
      </c>
      <c r="AA433" s="158">
        <f t="shared" si="74"/>
        <v>53715.9</v>
      </c>
      <c r="AB433" s="167">
        <f>IF(O433="返货",(Z433-Q433)/(1+N433),IF(O433="返现",(Z433-Q433),IF(O433="折扣",(Z433-Q433)*N433,IF(O433="无",(Z433-Q433)))))</f>
        <v>237486.450980392</v>
      </c>
      <c r="AC433" s="168">
        <f t="shared" si="75"/>
        <v>5301.55901960784</v>
      </c>
      <c r="AD433" s="158">
        <f t="shared" si="80"/>
        <v>237999.587316972</v>
      </c>
      <c r="AE433" s="159">
        <v>0.1077</v>
      </c>
      <c r="AF433" s="158">
        <f t="shared" si="82"/>
        <v>25632.5555540379</v>
      </c>
      <c r="AG433" s="158">
        <v>21387.7194613137</v>
      </c>
      <c r="AH433" s="175"/>
      <c r="AI433" s="175"/>
      <c r="AJ433" s="156" t="s">
        <v>173</v>
      </c>
      <c r="AK433" s="140" t="s">
        <v>173</v>
      </c>
      <c r="AM433" s="152"/>
    </row>
    <row r="434" s="140" customFormat="1" ht="15" hidden="1" customHeight="1" spans="1:39">
      <c r="A434" s="140">
        <v>2017</v>
      </c>
      <c r="B434" s="140" t="s">
        <v>38</v>
      </c>
      <c r="C434" s="140" t="s">
        <v>110</v>
      </c>
      <c r="D434" s="140" t="s">
        <v>111</v>
      </c>
      <c r="E434" s="140" t="s">
        <v>112</v>
      </c>
      <c r="F434" s="140" t="s">
        <v>147</v>
      </c>
      <c r="G434" s="140" t="s">
        <v>147</v>
      </c>
      <c r="H434" s="140" t="s">
        <v>147</v>
      </c>
      <c r="I434" s="184" t="s">
        <v>204</v>
      </c>
      <c r="J434" s="140" t="s">
        <v>577</v>
      </c>
      <c r="K434" s="140" t="s">
        <v>578</v>
      </c>
      <c r="L434" s="140" t="s">
        <v>148</v>
      </c>
      <c r="M434" s="140" t="s">
        <v>185</v>
      </c>
      <c r="N434" s="157">
        <v>0.04</v>
      </c>
      <c r="O434" s="156" t="s">
        <v>51</v>
      </c>
      <c r="P434" s="156"/>
      <c r="Q434" s="158">
        <v>6619.42</v>
      </c>
      <c r="R434" s="158">
        <v>0</v>
      </c>
      <c r="S434" s="158">
        <v>52662.65</v>
      </c>
      <c r="T434" s="158">
        <f t="shared" si="72"/>
        <v>2106.506</v>
      </c>
      <c r="U434" s="158">
        <f t="shared" si="76"/>
        <v>54769.156</v>
      </c>
      <c r="V434" s="158">
        <v>0</v>
      </c>
      <c r="W434" s="158">
        <f t="shared" si="77"/>
        <v>54769.156</v>
      </c>
      <c r="X434" s="158">
        <f t="shared" si="73"/>
        <v>52662.65</v>
      </c>
      <c r="Y434" s="158">
        <f t="shared" si="78"/>
        <v>2106.506</v>
      </c>
      <c r="Z434" s="158">
        <v>60335.32</v>
      </c>
      <c r="AA434" s="158">
        <f t="shared" si="74"/>
        <v>-53715.9</v>
      </c>
      <c r="AB434" s="167">
        <f>IF(O434="返货",(Z434-Q434)/(1+N434),IF(O434="返现",(Z434-Q434),IF(O434="折扣",(Z434-Q434)*N434,IF(O434="无",(Z434-Q434)))))</f>
        <v>51649.9038461538</v>
      </c>
      <c r="AC434" s="168">
        <f t="shared" si="75"/>
        <v>8685.41615384616</v>
      </c>
      <c r="AD434" s="158">
        <f t="shared" si="80"/>
        <v>59145.3476662107</v>
      </c>
      <c r="AE434" s="159">
        <v>0.3156</v>
      </c>
      <c r="AF434" s="158">
        <f t="shared" si="82"/>
        <v>18666.2717234561</v>
      </c>
      <c r="AG434" s="158">
        <v>16721.2377612308</v>
      </c>
      <c r="AH434" s="175"/>
      <c r="AI434" s="175"/>
      <c r="AJ434" s="156" t="s">
        <v>186</v>
      </c>
      <c r="AK434" s="140" t="s">
        <v>186</v>
      </c>
      <c r="AM434" s="152"/>
    </row>
    <row r="435" s="140" customFormat="1" ht="15" hidden="1" customHeight="1" spans="1:39">
      <c r="A435" s="140">
        <v>2017</v>
      </c>
      <c r="B435" s="140" t="s">
        <v>199</v>
      </c>
      <c r="C435" s="140" t="s">
        <v>110</v>
      </c>
      <c r="D435" s="140" t="s">
        <v>111</v>
      </c>
      <c r="E435" s="140" t="s">
        <v>281</v>
      </c>
      <c r="F435" s="140" t="s">
        <v>616</v>
      </c>
      <c r="G435" s="140" t="s">
        <v>617</v>
      </c>
      <c r="H435" s="140" t="s">
        <v>617</v>
      </c>
      <c r="I435" s="184" t="s">
        <v>204</v>
      </c>
      <c r="J435" s="140" t="s">
        <v>577</v>
      </c>
      <c r="K435" s="140" t="s">
        <v>578</v>
      </c>
      <c r="L435" s="140" t="s">
        <v>616</v>
      </c>
      <c r="M435" s="140" t="s">
        <v>185</v>
      </c>
      <c r="N435" s="157">
        <v>0.1</v>
      </c>
      <c r="O435" s="156" t="s">
        <v>51</v>
      </c>
      <c r="P435" s="156"/>
      <c r="Q435" s="158">
        <v>0</v>
      </c>
      <c r="R435" s="158">
        <v>0</v>
      </c>
      <c r="S435" s="158">
        <v>183066.88</v>
      </c>
      <c r="T435" s="158">
        <f t="shared" si="72"/>
        <v>18306.688</v>
      </c>
      <c r="U435" s="158">
        <f t="shared" si="76"/>
        <v>201373.568</v>
      </c>
      <c r="V435" s="158">
        <v>0</v>
      </c>
      <c r="W435" s="158">
        <f t="shared" si="77"/>
        <v>201373.568</v>
      </c>
      <c r="X435" s="158">
        <f t="shared" si="73"/>
        <v>183066.88</v>
      </c>
      <c r="Y435" s="158">
        <f t="shared" si="78"/>
        <v>18306.688</v>
      </c>
      <c r="Z435" s="158">
        <v>194283.15</v>
      </c>
      <c r="AA435" s="158">
        <f t="shared" si="74"/>
        <v>-194283.15</v>
      </c>
      <c r="AB435" s="167">
        <f t="shared" ref="AB435:AB449" si="83">IF(O435="返货",Z435/(1+N435),IF(O435="返现",Z435,IF(O435="折扣",Z435*N435,IF(O435="无",Z435))))</f>
        <v>176621.045454545</v>
      </c>
      <c r="AC435" s="168">
        <f t="shared" si="75"/>
        <v>17662.1045454546</v>
      </c>
      <c r="AD435" s="158">
        <f t="shared" si="80"/>
        <v>190451.371641628</v>
      </c>
      <c r="AE435" s="159">
        <v>0.3156</v>
      </c>
      <c r="AF435" s="158">
        <f t="shared" si="82"/>
        <v>60106.4528900979</v>
      </c>
      <c r="AG435" s="158">
        <v>43653.6575945454</v>
      </c>
      <c r="AH435" s="175"/>
      <c r="AI435" s="175"/>
      <c r="AJ435" s="156" t="s">
        <v>69</v>
      </c>
      <c r="AK435" s="140" t="s">
        <v>69</v>
      </c>
      <c r="AM435" s="152"/>
    </row>
    <row r="436" s="140" customFormat="1" ht="15" hidden="1" customHeight="1" spans="1:39">
      <c r="A436" s="140">
        <v>2017</v>
      </c>
      <c r="B436" s="140" t="s">
        <v>199</v>
      </c>
      <c r="C436" s="140" t="s">
        <v>110</v>
      </c>
      <c r="D436" s="140" t="s">
        <v>111</v>
      </c>
      <c r="E436" s="140" t="s">
        <v>281</v>
      </c>
      <c r="F436" s="140" t="s">
        <v>616</v>
      </c>
      <c r="G436" s="140" t="s">
        <v>617</v>
      </c>
      <c r="H436" s="140" t="s">
        <v>617</v>
      </c>
      <c r="I436" s="184" t="s">
        <v>204</v>
      </c>
      <c r="J436" s="140" t="s">
        <v>577</v>
      </c>
      <c r="K436" s="140" t="s">
        <v>578</v>
      </c>
      <c r="L436" s="140" t="s">
        <v>616</v>
      </c>
      <c r="M436" s="140" t="s">
        <v>46</v>
      </c>
      <c r="N436" s="157">
        <v>0.03</v>
      </c>
      <c r="O436" s="156" t="s">
        <v>51</v>
      </c>
      <c r="P436" s="156"/>
      <c r="Q436" s="158">
        <v>0</v>
      </c>
      <c r="R436" s="158">
        <v>0</v>
      </c>
      <c r="S436" s="158">
        <v>367244.55</v>
      </c>
      <c r="T436" s="158">
        <f t="shared" si="72"/>
        <v>11017.3365</v>
      </c>
      <c r="U436" s="158">
        <f t="shared" si="76"/>
        <v>378261.8865</v>
      </c>
      <c r="V436" s="158">
        <v>769500</v>
      </c>
      <c r="W436" s="158">
        <f t="shared" si="77"/>
        <v>-391238.1135</v>
      </c>
      <c r="X436" s="158">
        <f t="shared" si="73"/>
        <v>-379842.828640777</v>
      </c>
      <c r="Y436" s="158">
        <f t="shared" si="78"/>
        <v>-11395.2848592233</v>
      </c>
      <c r="Z436" s="158">
        <v>378280.07</v>
      </c>
      <c r="AA436" s="158">
        <f t="shared" si="74"/>
        <v>391219.93</v>
      </c>
      <c r="AB436" s="167">
        <f t="shared" si="83"/>
        <v>367262.203883495</v>
      </c>
      <c r="AC436" s="168">
        <f t="shared" si="75"/>
        <v>11017.8661165049</v>
      </c>
      <c r="AD436" s="158">
        <f t="shared" si="80"/>
        <v>370819.384986249</v>
      </c>
      <c r="AE436" s="159">
        <v>0.1077</v>
      </c>
      <c r="AF436" s="158">
        <f t="shared" si="82"/>
        <v>39937.247763019</v>
      </c>
      <c r="AG436" s="158">
        <v>29722.8974224951</v>
      </c>
      <c r="AH436" s="175"/>
      <c r="AI436" s="175"/>
      <c r="AJ436" s="156" t="s">
        <v>189</v>
      </c>
      <c r="AK436" s="140" t="s">
        <v>189</v>
      </c>
      <c r="AM436" s="152"/>
    </row>
    <row r="437" s="140" customFormat="1" ht="15" hidden="1" customHeight="1" spans="1:39">
      <c r="A437" s="140">
        <v>2017</v>
      </c>
      <c r="B437" s="140" t="s">
        <v>252</v>
      </c>
      <c r="C437" s="140" t="s">
        <v>110</v>
      </c>
      <c r="D437" s="140" t="s">
        <v>111</v>
      </c>
      <c r="E437" s="140" t="s">
        <v>281</v>
      </c>
      <c r="F437" s="140" t="s">
        <v>618</v>
      </c>
      <c r="G437" s="140" t="s">
        <v>619</v>
      </c>
      <c r="H437" s="140" t="s">
        <v>619</v>
      </c>
      <c r="I437" s="184" t="s">
        <v>204</v>
      </c>
      <c r="J437" s="140" t="s">
        <v>605</v>
      </c>
      <c r="K437" s="140" t="s">
        <v>620</v>
      </c>
      <c r="L437" s="140" t="s">
        <v>618</v>
      </c>
      <c r="M437" s="140" t="s">
        <v>46</v>
      </c>
      <c r="N437" s="157">
        <v>0.02</v>
      </c>
      <c r="O437" s="156" t="s">
        <v>51</v>
      </c>
      <c r="P437" s="156"/>
      <c r="Q437" s="158">
        <v>0</v>
      </c>
      <c r="R437" s="158">
        <v>0</v>
      </c>
      <c r="S437" s="158">
        <v>30396.37</v>
      </c>
      <c r="T437" s="158">
        <f t="shared" si="72"/>
        <v>607.9274</v>
      </c>
      <c r="U437" s="158">
        <f t="shared" si="76"/>
        <v>31004.2974</v>
      </c>
      <c r="V437" s="158">
        <v>40600</v>
      </c>
      <c r="W437" s="158">
        <f t="shared" si="77"/>
        <v>-9595.7026</v>
      </c>
      <c r="X437" s="158">
        <f t="shared" si="73"/>
        <v>-9407.55156862745</v>
      </c>
      <c r="Y437" s="158">
        <f t="shared" si="78"/>
        <v>-188.151031372548</v>
      </c>
      <c r="Z437" s="158">
        <v>31004.3</v>
      </c>
      <c r="AA437" s="158">
        <f t="shared" si="74"/>
        <v>9595.7</v>
      </c>
      <c r="AB437" s="167">
        <f t="shared" si="83"/>
        <v>30396.3725490196</v>
      </c>
      <c r="AC437" s="168">
        <f t="shared" si="75"/>
        <v>607.927450980391</v>
      </c>
      <c r="AD437" s="158">
        <v>31004.3</v>
      </c>
      <c r="AE437" s="159">
        <v>0.07</v>
      </c>
      <c r="AF437" s="158">
        <f t="shared" si="82"/>
        <v>2170.301</v>
      </c>
      <c r="AG437" s="158">
        <v>1562.37354901961</v>
      </c>
      <c r="AH437" s="175"/>
      <c r="AI437" s="175"/>
      <c r="AJ437" s="156" t="s">
        <v>173</v>
      </c>
      <c r="AK437" s="140" t="s">
        <v>173</v>
      </c>
      <c r="AM437" s="152"/>
    </row>
    <row r="438" s="140" customFormat="1" ht="15" hidden="1" customHeight="1" spans="1:39">
      <c r="A438" s="140">
        <v>2017</v>
      </c>
      <c r="B438" s="140" t="s">
        <v>199</v>
      </c>
      <c r="C438" s="140" t="s">
        <v>110</v>
      </c>
      <c r="D438" s="140" t="s">
        <v>111</v>
      </c>
      <c r="E438" s="140" t="s">
        <v>281</v>
      </c>
      <c r="F438" s="140" t="s">
        <v>621</v>
      </c>
      <c r="G438" s="140" t="s">
        <v>622</v>
      </c>
      <c r="H438" s="140" t="s">
        <v>622</v>
      </c>
      <c r="I438" s="184" t="s">
        <v>204</v>
      </c>
      <c r="J438" s="140" t="s">
        <v>605</v>
      </c>
      <c r="K438" s="140" t="s">
        <v>620</v>
      </c>
      <c r="L438" s="140" t="s">
        <v>621</v>
      </c>
      <c r="M438" s="140" t="s">
        <v>46</v>
      </c>
      <c r="N438" s="157">
        <v>0.02</v>
      </c>
      <c r="O438" s="156" t="s">
        <v>51</v>
      </c>
      <c r="P438" s="156"/>
      <c r="Q438" s="158">
        <v>0</v>
      </c>
      <c r="R438" s="158">
        <v>0</v>
      </c>
      <c r="S438" s="158">
        <v>28134.02</v>
      </c>
      <c r="T438" s="158">
        <f t="shared" si="72"/>
        <v>562.6804</v>
      </c>
      <c r="U438" s="158">
        <f t="shared" si="76"/>
        <v>28696.7004</v>
      </c>
      <c r="V438" s="158">
        <v>0</v>
      </c>
      <c r="W438" s="158">
        <f t="shared" si="77"/>
        <v>28696.7004</v>
      </c>
      <c r="X438" s="158">
        <f t="shared" si="73"/>
        <v>28134.02</v>
      </c>
      <c r="Y438" s="158">
        <f t="shared" si="78"/>
        <v>562.680400000001</v>
      </c>
      <c r="Z438" s="158">
        <v>18198.2</v>
      </c>
      <c r="AA438" s="158">
        <f t="shared" si="74"/>
        <v>-18198.2</v>
      </c>
      <c r="AB438" s="167">
        <f t="shared" si="83"/>
        <v>17841.3725490196</v>
      </c>
      <c r="AC438" s="168">
        <f t="shared" si="75"/>
        <v>356.827450980392</v>
      </c>
      <c r="AD438" s="158">
        <v>18198.2</v>
      </c>
      <c r="AE438" s="159">
        <v>0.07</v>
      </c>
      <c r="AF438" s="158">
        <f t="shared" si="82"/>
        <v>1273.874</v>
      </c>
      <c r="AG438" s="158">
        <v>917.046549019608</v>
      </c>
      <c r="AH438" s="175"/>
      <c r="AI438" s="175"/>
      <c r="AJ438" s="156" t="s">
        <v>173</v>
      </c>
      <c r="AK438" s="140" t="s">
        <v>173</v>
      </c>
      <c r="AM438" s="152"/>
    </row>
    <row r="439" s="140" customFormat="1" ht="15" hidden="1" customHeight="1" spans="1:39">
      <c r="A439" s="140">
        <v>2017</v>
      </c>
      <c r="B439" s="140" t="s">
        <v>199</v>
      </c>
      <c r="C439" s="140" t="s">
        <v>110</v>
      </c>
      <c r="D439" s="140" t="s">
        <v>111</v>
      </c>
      <c r="E439" s="140" t="s">
        <v>281</v>
      </c>
      <c r="F439" s="140" t="s">
        <v>621</v>
      </c>
      <c r="G439" s="140" t="s">
        <v>622</v>
      </c>
      <c r="H439" s="140" t="s">
        <v>622</v>
      </c>
      <c r="I439" s="184" t="s">
        <v>204</v>
      </c>
      <c r="J439" s="140" t="s">
        <v>605</v>
      </c>
      <c r="K439" s="140" t="s">
        <v>620</v>
      </c>
      <c r="L439" s="140" t="s">
        <v>621</v>
      </c>
      <c r="M439" s="140" t="s">
        <v>185</v>
      </c>
      <c r="N439" s="157">
        <v>0.05</v>
      </c>
      <c r="O439" s="156" t="s">
        <v>51</v>
      </c>
      <c r="P439" s="156"/>
      <c r="Q439" s="158">
        <v>0</v>
      </c>
      <c r="R439" s="158">
        <v>0</v>
      </c>
      <c r="S439" s="158">
        <v>21865.98</v>
      </c>
      <c r="T439" s="158">
        <f t="shared" si="72"/>
        <v>1093.299</v>
      </c>
      <c r="U439" s="158">
        <f t="shared" si="76"/>
        <v>22959.279</v>
      </c>
      <c r="V439" s="158">
        <v>0</v>
      </c>
      <c r="W439" s="158">
        <f t="shared" si="77"/>
        <v>22959.279</v>
      </c>
      <c r="X439" s="158">
        <f t="shared" si="73"/>
        <v>21865.98</v>
      </c>
      <c r="Y439" s="158">
        <f t="shared" si="78"/>
        <v>1093.299</v>
      </c>
      <c r="Z439" s="158">
        <v>22303.3</v>
      </c>
      <c r="AA439" s="158">
        <f t="shared" si="74"/>
        <v>-22303.3</v>
      </c>
      <c r="AB439" s="167">
        <f t="shared" si="83"/>
        <v>21241.2380952381</v>
      </c>
      <c r="AC439" s="168">
        <f t="shared" si="75"/>
        <v>1062.0619047619</v>
      </c>
      <c r="AD439" s="158">
        <v>22303.3</v>
      </c>
      <c r="AE439" s="159">
        <v>0.2</v>
      </c>
      <c r="AF439" s="158">
        <f t="shared" si="82"/>
        <v>4460.66</v>
      </c>
      <c r="AG439" s="158">
        <v>3398.5980952381</v>
      </c>
      <c r="AH439" s="175"/>
      <c r="AI439" s="175"/>
      <c r="AJ439" s="156" t="s">
        <v>63</v>
      </c>
      <c r="AK439" s="140" t="s">
        <v>63</v>
      </c>
      <c r="AM439" s="152"/>
    </row>
    <row r="440" s="140" customFormat="1" ht="15" hidden="1" customHeight="1" spans="1:39">
      <c r="A440" s="140">
        <v>2017</v>
      </c>
      <c r="B440" s="140" t="s">
        <v>199</v>
      </c>
      <c r="C440" s="140" t="s">
        <v>110</v>
      </c>
      <c r="D440" s="140" t="s">
        <v>111</v>
      </c>
      <c r="E440" s="140" t="s">
        <v>281</v>
      </c>
      <c r="F440" s="140" t="s">
        <v>621</v>
      </c>
      <c r="G440" s="140" t="s">
        <v>622</v>
      </c>
      <c r="H440" s="140" t="s">
        <v>622</v>
      </c>
      <c r="I440" s="184" t="s">
        <v>204</v>
      </c>
      <c r="J440" s="140" t="s">
        <v>205</v>
      </c>
      <c r="K440" s="140" t="s">
        <v>206</v>
      </c>
      <c r="L440" s="140" t="s">
        <v>621</v>
      </c>
      <c r="M440" s="140" t="s">
        <v>46</v>
      </c>
      <c r="N440" s="157">
        <v>0.02</v>
      </c>
      <c r="O440" s="156" t="s">
        <v>51</v>
      </c>
      <c r="P440" s="156"/>
      <c r="Q440" s="158">
        <v>0</v>
      </c>
      <c r="R440" s="158">
        <v>0</v>
      </c>
      <c r="S440" s="158">
        <v>150000</v>
      </c>
      <c r="T440" s="158">
        <f t="shared" si="72"/>
        <v>3000</v>
      </c>
      <c r="U440" s="158">
        <f t="shared" si="76"/>
        <v>153000</v>
      </c>
      <c r="V440" s="158">
        <v>153000</v>
      </c>
      <c r="W440" s="158">
        <f t="shared" si="77"/>
        <v>0</v>
      </c>
      <c r="X440" s="158">
        <f t="shared" si="73"/>
        <v>0</v>
      </c>
      <c r="Y440" s="158">
        <f t="shared" si="78"/>
        <v>0</v>
      </c>
      <c r="Z440" s="158">
        <v>112498.5</v>
      </c>
      <c r="AA440" s="158">
        <f t="shared" si="74"/>
        <v>40501.5</v>
      </c>
      <c r="AB440" s="167">
        <f t="shared" si="83"/>
        <v>110292.647058824</v>
      </c>
      <c r="AC440" s="168">
        <f t="shared" si="75"/>
        <v>2205.85294117648</v>
      </c>
      <c r="AD440" s="158">
        <v>112498.5</v>
      </c>
      <c r="AE440" s="159">
        <v>0.07</v>
      </c>
      <c r="AF440" s="158">
        <f t="shared" si="82"/>
        <v>7874.895</v>
      </c>
      <c r="AG440" s="158">
        <v>5669.04205882352</v>
      </c>
      <c r="AH440" s="175"/>
      <c r="AI440" s="175"/>
      <c r="AJ440" s="156" t="s">
        <v>173</v>
      </c>
      <c r="AK440" s="140" t="s">
        <v>173</v>
      </c>
      <c r="AM440" s="152"/>
    </row>
    <row r="441" s="140" customFormat="1" ht="15" hidden="1" customHeight="1" spans="1:39">
      <c r="A441" s="140">
        <v>2017</v>
      </c>
      <c r="B441" s="140" t="s">
        <v>199</v>
      </c>
      <c r="C441" s="140" t="s">
        <v>110</v>
      </c>
      <c r="D441" s="140" t="s">
        <v>111</v>
      </c>
      <c r="E441" s="140" t="s">
        <v>281</v>
      </c>
      <c r="F441" s="140" t="s">
        <v>623</v>
      </c>
      <c r="G441" s="140" t="s">
        <v>624</v>
      </c>
      <c r="H441" s="140" t="s">
        <v>624</v>
      </c>
      <c r="I441" s="184" t="s">
        <v>204</v>
      </c>
      <c r="J441" s="140" t="s">
        <v>577</v>
      </c>
      <c r="K441" s="140" t="s">
        <v>578</v>
      </c>
      <c r="L441" s="140" t="s">
        <v>623</v>
      </c>
      <c r="M441" s="140" t="s">
        <v>46</v>
      </c>
      <c r="N441" s="157">
        <v>0.02</v>
      </c>
      <c r="O441" s="156" t="s">
        <v>51</v>
      </c>
      <c r="P441" s="156"/>
      <c r="Q441" s="158">
        <v>0</v>
      </c>
      <c r="R441" s="158">
        <v>0</v>
      </c>
      <c r="S441" s="158">
        <v>28803.53</v>
      </c>
      <c r="T441" s="158">
        <f t="shared" si="72"/>
        <v>576.0706</v>
      </c>
      <c r="U441" s="158">
        <f t="shared" si="76"/>
        <v>29379.6006</v>
      </c>
      <c r="V441" s="158">
        <v>30600</v>
      </c>
      <c r="W441" s="158">
        <f t="shared" si="77"/>
        <v>-1220.3994</v>
      </c>
      <c r="X441" s="158">
        <f t="shared" si="73"/>
        <v>-1196.47</v>
      </c>
      <c r="Y441" s="158">
        <f t="shared" si="78"/>
        <v>-23.9294</v>
      </c>
      <c r="Z441" s="158">
        <v>29379.6</v>
      </c>
      <c r="AA441" s="158">
        <f t="shared" si="74"/>
        <v>1220.4</v>
      </c>
      <c r="AB441" s="167">
        <f t="shared" si="83"/>
        <v>28803.5294117647</v>
      </c>
      <c r="AC441" s="168">
        <f t="shared" si="75"/>
        <v>576.070588235296</v>
      </c>
      <c r="AD441" s="158">
        <f>Z441*0.980277351080772</f>
        <v>28800.1564638126</v>
      </c>
      <c r="AE441" s="159">
        <v>0.1077</v>
      </c>
      <c r="AF441" s="158">
        <f t="shared" si="82"/>
        <v>3101.77685115262</v>
      </c>
      <c r="AG441" s="158">
        <v>2588.1123317647</v>
      </c>
      <c r="AH441" s="175"/>
      <c r="AI441" s="175"/>
      <c r="AJ441" s="156" t="s">
        <v>173</v>
      </c>
      <c r="AK441" s="140" t="s">
        <v>173</v>
      </c>
      <c r="AM441" s="152"/>
    </row>
    <row r="442" s="140" customFormat="1" ht="15" hidden="1" customHeight="1" spans="1:39">
      <c r="A442" s="140">
        <v>2017</v>
      </c>
      <c r="B442" s="140" t="s">
        <v>199</v>
      </c>
      <c r="C442" s="140" t="s">
        <v>110</v>
      </c>
      <c r="D442" s="140" t="s">
        <v>111</v>
      </c>
      <c r="E442" s="140" t="s">
        <v>281</v>
      </c>
      <c r="F442" s="140" t="s">
        <v>623</v>
      </c>
      <c r="G442" s="140" t="s">
        <v>624</v>
      </c>
      <c r="H442" s="140" t="s">
        <v>624</v>
      </c>
      <c r="I442" s="184" t="s">
        <v>204</v>
      </c>
      <c r="J442" s="140" t="s">
        <v>577</v>
      </c>
      <c r="K442" s="140" t="s">
        <v>578</v>
      </c>
      <c r="L442" s="140" t="s">
        <v>623</v>
      </c>
      <c r="M442" s="140" t="s">
        <v>185</v>
      </c>
      <c r="N442" s="157">
        <v>0.08</v>
      </c>
      <c r="O442" s="156" t="s">
        <v>51</v>
      </c>
      <c r="P442" s="156"/>
      <c r="Q442" s="158">
        <v>0</v>
      </c>
      <c r="R442" s="158">
        <v>0</v>
      </c>
      <c r="S442" s="158">
        <v>1196.47</v>
      </c>
      <c r="T442" s="158">
        <f t="shared" si="72"/>
        <v>95.7176</v>
      </c>
      <c r="U442" s="158">
        <f t="shared" si="76"/>
        <v>1292.1876</v>
      </c>
      <c r="V442" s="158">
        <v>0</v>
      </c>
      <c r="W442" s="158">
        <f t="shared" si="77"/>
        <v>1292.1876</v>
      </c>
      <c r="X442" s="158">
        <f t="shared" si="73"/>
        <v>1196.47</v>
      </c>
      <c r="Y442" s="158">
        <f t="shared" si="78"/>
        <v>95.7176000000002</v>
      </c>
      <c r="Z442" s="158">
        <v>1220.4</v>
      </c>
      <c r="AA442" s="158">
        <f t="shared" si="74"/>
        <v>-1220.4</v>
      </c>
      <c r="AB442" s="167">
        <f t="shared" si="83"/>
        <v>1130</v>
      </c>
      <c r="AC442" s="168">
        <f t="shared" si="75"/>
        <v>90.4000000000001</v>
      </c>
      <c r="AD442" s="158">
        <f>Z442*0.980277351080772</f>
        <v>1196.33047925897</v>
      </c>
      <c r="AE442" s="159">
        <v>0.3156</v>
      </c>
      <c r="AF442" s="158">
        <f t="shared" si="82"/>
        <v>377.561899254132</v>
      </c>
      <c r="AG442" s="158">
        <v>294.75824</v>
      </c>
      <c r="AH442" s="175"/>
      <c r="AI442" s="175"/>
      <c r="AJ442" s="156" t="s">
        <v>53</v>
      </c>
      <c r="AK442" s="140" t="s">
        <v>53</v>
      </c>
      <c r="AM442" s="152"/>
    </row>
    <row r="443" s="140" customFormat="1" ht="15" hidden="1" customHeight="1" spans="1:39">
      <c r="A443" s="140">
        <v>2017</v>
      </c>
      <c r="B443" s="140" t="s">
        <v>38</v>
      </c>
      <c r="C443" s="140" t="s">
        <v>110</v>
      </c>
      <c r="D443" s="140" t="s">
        <v>111</v>
      </c>
      <c r="E443" s="140" t="s">
        <v>281</v>
      </c>
      <c r="F443" s="140" t="s">
        <v>625</v>
      </c>
      <c r="G443" s="140" t="s">
        <v>625</v>
      </c>
      <c r="H443" s="140" t="s">
        <v>625</v>
      </c>
      <c r="I443" s="184" t="s">
        <v>204</v>
      </c>
      <c r="J443" s="140" t="s">
        <v>626</v>
      </c>
      <c r="K443" s="140" t="s">
        <v>627</v>
      </c>
      <c r="L443" s="140" t="s">
        <v>625</v>
      </c>
      <c r="M443" s="140" t="s">
        <v>46</v>
      </c>
      <c r="N443" s="157">
        <v>0.02</v>
      </c>
      <c r="O443" s="156" t="s">
        <v>51</v>
      </c>
      <c r="P443" s="156"/>
      <c r="Q443" s="158">
        <v>0</v>
      </c>
      <c r="R443" s="158">
        <v>0</v>
      </c>
      <c r="S443" s="158">
        <v>78529.41</v>
      </c>
      <c r="T443" s="158">
        <f t="shared" si="72"/>
        <v>1570.5882</v>
      </c>
      <c r="U443" s="158">
        <f t="shared" si="76"/>
        <v>80099.9982</v>
      </c>
      <c r="V443" s="158">
        <v>132600</v>
      </c>
      <c r="W443" s="158">
        <f t="shared" si="77"/>
        <v>-52500.0018</v>
      </c>
      <c r="X443" s="158">
        <f t="shared" si="73"/>
        <v>-51470.59</v>
      </c>
      <c r="Y443" s="158">
        <f t="shared" si="78"/>
        <v>-1029.4118</v>
      </c>
      <c r="Z443" s="158">
        <v>131100</v>
      </c>
      <c r="AA443" s="158">
        <f t="shared" si="74"/>
        <v>1500</v>
      </c>
      <c r="AB443" s="167">
        <f t="shared" si="83"/>
        <v>128529.411764706</v>
      </c>
      <c r="AC443" s="168">
        <f t="shared" si="75"/>
        <v>2570.58823529413</v>
      </c>
      <c r="AD443" s="158">
        <f>Z443*0.905731236248844</f>
        <v>118741.365072223</v>
      </c>
      <c r="AE443" s="159">
        <v>0.07</v>
      </c>
      <c r="AF443" s="158">
        <f t="shared" si="82"/>
        <v>8311.89555505564</v>
      </c>
      <c r="AG443" s="158">
        <v>6606.41176470587</v>
      </c>
      <c r="AH443" s="175"/>
      <c r="AI443" s="175"/>
      <c r="AJ443" s="156" t="s">
        <v>173</v>
      </c>
      <c r="AK443" s="140" t="s">
        <v>173</v>
      </c>
      <c r="AM443" s="152"/>
    </row>
    <row r="444" s="140" customFormat="1" ht="15" hidden="1" customHeight="1" spans="1:39">
      <c r="A444" s="140">
        <v>2017</v>
      </c>
      <c r="B444" s="140" t="s">
        <v>199</v>
      </c>
      <c r="C444" s="140" t="s">
        <v>75</v>
      </c>
      <c r="D444" s="140" t="s">
        <v>518</v>
      </c>
      <c r="F444" s="152" t="s">
        <v>628</v>
      </c>
      <c r="G444" s="152" t="s">
        <v>629</v>
      </c>
      <c r="H444" s="152" t="s">
        <v>630</v>
      </c>
      <c r="I444" s="152" t="s">
        <v>204</v>
      </c>
      <c r="J444" s="140" t="s">
        <v>626</v>
      </c>
      <c r="K444" s="140" t="s">
        <v>627</v>
      </c>
      <c r="L444" s="140" t="s">
        <v>628</v>
      </c>
      <c r="M444" s="140" t="s">
        <v>185</v>
      </c>
      <c r="N444" s="157">
        <v>0.05</v>
      </c>
      <c r="O444" s="156" t="s">
        <v>51</v>
      </c>
      <c r="P444" s="156"/>
      <c r="Q444" s="158">
        <v>0</v>
      </c>
      <c r="R444" s="158">
        <v>0</v>
      </c>
      <c r="S444" s="158"/>
      <c r="T444" s="158">
        <f t="shared" si="72"/>
        <v>0</v>
      </c>
      <c r="U444" s="158">
        <f t="shared" si="76"/>
        <v>0</v>
      </c>
      <c r="V444" s="158">
        <v>0</v>
      </c>
      <c r="W444" s="158">
        <f t="shared" si="77"/>
        <v>0</v>
      </c>
      <c r="X444" s="158">
        <f t="shared" si="73"/>
        <v>0</v>
      </c>
      <c r="Y444" s="158">
        <f t="shared" si="78"/>
        <v>0</v>
      </c>
      <c r="Z444" s="158">
        <v>122453.03</v>
      </c>
      <c r="AA444" s="158">
        <f t="shared" si="74"/>
        <v>-122453.03</v>
      </c>
      <c r="AB444" s="167">
        <f t="shared" si="83"/>
        <v>116621.933333333</v>
      </c>
      <c r="AC444" s="168">
        <f t="shared" si="75"/>
        <v>5831.09666666666</v>
      </c>
      <c r="AD444" s="158">
        <f>Z444*0.734226585667168</f>
        <v>89908.2701214993</v>
      </c>
      <c r="AE444" s="159">
        <v>0.2</v>
      </c>
      <c r="AF444" s="158">
        <f t="shared" si="82"/>
        <v>17981.6540242999</v>
      </c>
      <c r="AG444" s="158">
        <v>24490.606</v>
      </c>
      <c r="AH444" s="175"/>
      <c r="AI444" s="175"/>
      <c r="AJ444" s="157">
        <v>0.05</v>
      </c>
      <c r="AM444" s="152" t="s">
        <v>208</v>
      </c>
    </row>
    <row r="445" s="140" customFormat="1" ht="15" hidden="1" customHeight="1" spans="1:39">
      <c r="A445" s="140">
        <v>2017</v>
      </c>
      <c r="B445" s="140" t="s">
        <v>38</v>
      </c>
      <c r="C445" s="140" t="s">
        <v>110</v>
      </c>
      <c r="D445" s="140" t="s">
        <v>111</v>
      </c>
      <c r="E445" s="140" t="s">
        <v>281</v>
      </c>
      <c r="F445" s="140" t="s">
        <v>625</v>
      </c>
      <c r="G445" s="140" t="s">
        <v>625</v>
      </c>
      <c r="H445" s="140" t="s">
        <v>625</v>
      </c>
      <c r="I445" s="184" t="s">
        <v>204</v>
      </c>
      <c r="J445" s="140" t="s">
        <v>577</v>
      </c>
      <c r="K445" s="140" t="s">
        <v>578</v>
      </c>
      <c r="L445" s="140" t="s">
        <v>625</v>
      </c>
      <c r="M445" s="140" t="s">
        <v>46</v>
      </c>
      <c r="N445" s="157">
        <v>0.02</v>
      </c>
      <c r="O445" s="156" t="s">
        <v>51</v>
      </c>
      <c r="P445" s="156"/>
      <c r="Q445" s="158">
        <v>0</v>
      </c>
      <c r="R445" s="158">
        <v>0</v>
      </c>
      <c r="S445" s="158">
        <v>50000</v>
      </c>
      <c r="T445" s="158">
        <f t="shared" si="72"/>
        <v>1000</v>
      </c>
      <c r="U445" s="158">
        <f t="shared" si="76"/>
        <v>51000</v>
      </c>
      <c r="V445" s="158">
        <v>0</v>
      </c>
      <c r="W445" s="158">
        <f t="shared" si="77"/>
        <v>51000</v>
      </c>
      <c r="X445" s="158">
        <f t="shared" si="73"/>
        <v>50000</v>
      </c>
      <c r="Y445" s="158">
        <f t="shared" si="78"/>
        <v>1000</v>
      </c>
      <c r="Z445" s="158">
        <v>0</v>
      </c>
      <c r="AA445" s="158">
        <f t="shared" si="74"/>
        <v>0</v>
      </c>
      <c r="AB445" s="167">
        <f t="shared" si="83"/>
        <v>0</v>
      </c>
      <c r="AC445" s="168">
        <f t="shared" si="75"/>
        <v>0</v>
      </c>
      <c r="AD445" s="158">
        <f t="shared" ref="AD445:AD455" si="84">Z445*0.980277351080772</f>
        <v>0</v>
      </c>
      <c r="AE445" s="159">
        <v>0.1077</v>
      </c>
      <c r="AF445" s="158">
        <f t="shared" si="82"/>
        <v>0</v>
      </c>
      <c r="AG445" s="158">
        <v>0</v>
      </c>
      <c r="AH445" s="175"/>
      <c r="AI445" s="175"/>
      <c r="AJ445" s="156" t="s">
        <v>631</v>
      </c>
      <c r="AK445" s="140" t="s">
        <v>631</v>
      </c>
      <c r="AM445" s="152"/>
    </row>
    <row r="446" s="140" customFormat="1" ht="15" hidden="1" customHeight="1" spans="1:39">
      <c r="A446" s="140">
        <v>2017</v>
      </c>
      <c r="B446" s="140" t="s">
        <v>38</v>
      </c>
      <c r="C446" s="140" t="s">
        <v>110</v>
      </c>
      <c r="D446" s="140" t="s">
        <v>111</v>
      </c>
      <c r="E446" s="140" t="s">
        <v>253</v>
      </c>
      <c r="F446" s="140" t="s">
        <v>632</v>
      </c>
      <c r="G446" s="140" t="s">
        <v>632</v>
      </c>
      <c r="H446" s="140" t="s">
        <v>632</v>
      </c>
      <c r="I446" s="184" t="s">
        <v>204</v>
      </c>
      <c r="J446" s="140" t="s">
        <v>577</v>
      </c>
      <c r="K446" s="140" t="s">
        <v>578</v>
      </c>
      <c r="L446" s="140" t="s">
        <v>633</v>
      </c>
      <c r="M446" s="140" t="s">
        <v>46</v>
      </c>
      <c r="N446" s="157">
        <v>0.05</v>
      </c>
      <c r="O446" s="156" t="s">
        <v>51</v>
      </c>
      <c r="P446" s="156"/>
      <c r="Q446" s="158">
        <v>0</v>
      </c>
      <c r="R446" s="158">
        <v>0</v>
      </c>
      <c r="S446" s="158">
        <v>361409.23</v>
      </c>
      <c r="T446" s="158">
        <f t="shared" si="72"/>
        <v>18070.4615</v>
      </c>
      <c r="U446" s="158">
        <f t="shared" si="76"/>
        <v>379479.6915</v>
      </c>
      <c r="V446" s="158">
        <v>370000</v>
      </c>
      <c r="W446" s="158">
        <f t="shared" si="77"/>
        <v>9479.69149999996</v>
      </c>
      <c r="X446" s="158">
        <f t="shared" si="73"/>
        <v>9028.27761904758</v>
      </c>
      <c r="Y446" s="158">
        <f t="shared" si="78"/>
        <v>451.413880952379</v>
      </c>
      <c r="Z446" s="158">
        <v>332168.49</v>
      </c>
      <c r="AA446" s="158">
        <f t="shared" si="74"/>
        <v>37831.51</v>
      </c>
      <c r="AB446" s="167">
        <f t="shared" si="83"/>
        <v>316350.942857143</v>
      </c>
      <c r="AC446" s="168">
        <f t="shared" si="75"/>
        <v>15817.5471428572</v>
      </c>
      <c r="AD446" s="158">
        <f t="shared" si="84"/>
        <v>325617.2474897</v>
      </c>
      <c r="AE446" s="159">
        <v>0.1077</v>
      </c>
      <c r="AF446" s="158">
        <f t="shared" si="82"/>
        <v>35068.9775546407</v>
      </c>
      <c r="AG446" s="158">
        <v>19956.9992301428</v>
      </c>
      <c r="AH446" s="175"/>
      <c r="AI446" s="175"/>
      <c r="AJ446" s="157">
        <v>0.05</v>
      </c>
      <c r="AK446" s="177">
        <v>0.05</v>
      </c>
      <c r="AM446" s="152"/>
    </row>
    <row r="447" s="140" customFormat="1" ht="15" hidden="1" customHeight="1" spans="1:39">
      <c r="A447" s="140">
        <v>2017</v>
      </c>
      <c r="B447" s="140" t="s">
        <v>38</v>
      </c>
      <c r="C447" s="140" t="s">
        <v>88</v>
      </c>
      <c r="D447" s="140" t="s">
        <v>89</v>
      </c>
      <c r="E447" s="140" t="s">
        <v>124</v>
      </c>
      <c r="F447" s="140" t="s">
        <v>634</v>
      </c>
      <c r="G447" s="140" t="s">
        <v>634</v>
      </c>
      <c r="H447" s="140" t="s">
        <v>634</v>
      </c>
      <c r="I447" s="184" t="s">
        <v>204</v>
      </c>
      <c r="J447" s="140" t="s">
        <v>577</v>
      </c>
      <c r="K447" s="140" t="s">
        <v>578</v>
      </c>
      <c r="L447" s="140" t="s">
        <v>634</v>
      </c>
      <c r="M447" s="140" t="s">
        <v>46</v>
      </c>
      <c r="N447" s="157">
        <v>0.02</v>
      </c>
      <c r="O447" s="156" t="s">
        <v>51</v>
      </c>
      <c r="P447" s="156"/>
      <c r="Q447" s="158">
        <v>0</v>
      </c>
      <c r="R447" s="158">
        <v>0</v>
      </c>
      <c r="S447" s="158">
        <v>10000</v>
      </c>
      <c r="T447" s="158">
        <f t="shared" si="72"/>
        <v>200</v>
      </c>
      <c r="U447" s="158">
        <f t="shared" si="76"/>
        <v>10200</v>
      </c>
      <c r="V447" s="158">
        <v>10200</v>
      </c>
      <c r="W447" s="158">
        <f t="shared" si="77"/>
        <v>0</v>
      </c>
      <c r="X447" s="158">
        <f t="shared" si="73"/>
        <v>0</v>
      </c>
      <c r="Y447" s="158">
        <f t="shared" si="78"/>
        <v>0</v>
      </c>
      <c r="Z447" s="158">
        <v>8799</v>
      </c>
      <c r="AA447" s="158">
        <f t="shared" si="74"/>
        <v>1401</v>
      </c>
      <c r="AB447" s="167">
        <f t="shared" si="83"/>
        <v>8626.47058823529</v>
      </c>
      <c r="AC447" s="168">
        <f t="shared" si="75"/>
        <v>172.529411764706</v>
      </c>
      <c r="AD447" s="158">
        <f t="shared" si="84"/>
        <v>8625.46041215971</v>
      </c>
      <c r="AE447" s="159">
        <v>0.1077</v>
      </c>
      <c r="AF447" s="158">
        <f t="shared" si="82"/>
        <v>928.962086389601</v>
      </c>
      <c r="AG447" s="158">
        <v>609.229223076922</v>
      </c>
      <c r="AH447" s="175"/>
      <c r="AI447" s="175"/>
      <c r="AJ447" s="157">
        <v>0.02</v>
      </c>
      <c r="AK447" s="177">
        <v>0.02</v>
      </c>
      <c r="AM447" s="152"/>
    </row>
    <row r="448" s="140" customFormat="1" ht="15" hidden="1" customHeight="1" spans="1:39">
      <c r="A448" s="140">
        <v>2017</v>
      </c>
      <c r="B448" s="140" t="s">
        <v>199</v>
      </c>
      <c r="C448" s="140" t="s">
        <v>88</v>
      </c>
      <c r="D448" s="140" t="s">
        <v>89</v>
      </c>
      <c r="E448" s="140" t="s">
        <v>277</v>
      </c>
      <c r="F448" s="140" t="s">
        <v>288</v>
      </c>
      <c r="G448" s="140" t="s">
        <v>289</v>
      </c>
      <c r="H448" s="140" t="s">
        <v>289</v>
      </c>
      <c r="I448" s="184" t="s">
        <v>204</v>
      </c>
      <c r="J448" s="140" t="s">
        <v>577</v>
      </c>
      <c r="K448" s="140" t="s">
        <v>578</v>
      </c>
      <c r="L448" s="140" t="s">
        <v>635</v>
      </c>
      <c r="M448" s="140" t="s">
        <v>46</v>
      </c>
      <c r="N448" s="157">
        <v>0.02</v>
      </c>
      <c r="O448" s="156" t="s">
        <v>51</v>
      </c>
      <c r="P448" s="156"/>
      <c r="Q448" s="158">
        <v>0</v>
      </c>
      <c r="R448" s="158">
        <v>0</v>
      </c>
      <c r="S448" s="158">
        <v>31072.35</v>
      </c>
      <c r="T448" s="158">
        <f t="shared" si="72"/>
        <v>621.447</v>
      </c>
      <c r="U448" s="158">
        <f t="shared" si="76"/>
        <v>31693.797</v>
      </c>
      <c r="V448" s="158">
        <v>44154</v>
      </c>
      <c r="W448" s="158">
        <f t="shared" si="77"/>
        <v>-12460.203</v>
      </c>
      <c r="X448" s="158">
        <f t="shared" si="73"/>
        <v>-12215.8852941176</v>
      </c>
      <c r="Y448" s="158">
        <f t="shared" si="78"/>
        <v>-244.317705882353</v>
      </c>
      <c r="Z448" s="158">
        <v>31693.8</v>
      </c>
      <c r="AA448" s="158">
        <f t="shared" si="74"/>
        <v>12460.2</v>
      </c>
      <c r="AB448" s="167">
        <f t="shared" si="83"/>
        <v>31072.3529411765</v>
      </c>
      <c r="AC448" s="168">
        <f t="shared" si="75"/>
        <v>621.447058823531</v>
      </c>
      <c r="AD448" s="158">
        <f t="shared" si="84"/>
        <v>31068.7143096838</v>
      </c>
      <c r="AE448" s="159">
        <v>0.1077</v>
      </c>
      <c r="AF448" s="158">
        <f t="shared" si="82"/>
        <v>3346.10053115294</v>
      </c>
      <c r="AG448" s="158">
        <v>2791.97520117647</v>
      </c>
      <c r="AH448" s="175"/>
      <c r="AI448" s="175"/>
      <c r="AJ448" s="156" t="s">
        <v>173</v>
      </c>
      <c r="AK448" s="140" t="s">
        <v>173</v>
      </c>
      <c r="AM448" s="152"/>
    </row>
    <row r="449" s="140" customFormat="1" ht="15" hidden="1" customHeight="1" spans="1:39">
      <c r="A449" s="140">
        <v>2017</v>
      </c>
      <c r="B449" s="140" t="s">
        <v>199</v>
      </c>
      <c r="C449" s="140" t="s">
        <v>88</v>
      </c>
      <c r="D449" s="140" t="s">
        <v>89</v>
      </c>
      <c r="E449" s="140" t="s">
        <v>194</v>
      </c>
      <c r="F449" s="140" t="s">
        <v>288</v>
      </c>
      <c r="G449" s="140" t="s">
        <v>289</v>
      </c>
      <c r="H449" s="140" t="s">
        <v>289</v>
      </c>
      <c r="I449" s="184" t="s">
        <v>204</v>
      </c>
      <c r="J449" s="140" t="s">
        <v>577</v>
      </c>
      <c r="K449" s="140" t="s">
        <v>578</v>
      </c>
      <c r="L449" s="140" t="s">
        <v>635</v>
      </c>
      <c r="M449" s="140" t="s">
        <v>185</v>
      </c>
      <c r="N449" s="157">
        <v>0.08</v>
      </c>
      <c r="O449" s="156" t="s">
        <v>51</v>
      </c>
      <c r="P449" s="156"/>
      <c r="Q449" s="158">
        <v>0</v>
      </c>
      <c r="R449" s="158">
        <v>0</v>
      </c>
      <c r="S449" s="158">
        <v>4844.52</v>
      </c>
      <c r="T449" s="158">
        <f t="shared" si="72"/>
        <v>387.5616</v>
      </c>
      <c r="U449" s="158">
        <f t="shared" si="76"/>
        <v>5232.0816</v>
      </c>
      <c r="V449" s="158">
        <v>0</v>
      </c>
      <c r="W449" s="158">
        <f t="shared" si="77"/>
        <v>5232.0816</v>
      </c>
      <c r="X449" s="158">
        <f t="shared" si="73"/>
        <v>4844.52</v>
      </c>
      <c r="Y449" s="158">
        <f t="shared" si="78"/>
        <v>387.5616</v>
      </c>
      <c r="Z449" s="158">
        <v>4941.41</v>
      </c>
      <c r="AA449" s="158">
        <f t="shared" si="74"/>
        <v>-4941.41</v>
      </c>
      <c r="AB449" s="167">
        <f t="shared" si="83"/>
        <v>4575.37962962963</v>
      </c>
      <c r="AC449" s="168">
        <f t="shared" si="75"/>
        <v>366.03037037037</v>
      </c>
      <c r="AD449" s="158">
        <f t="shared" si="84"/>
        <v>4843.95230540404</v>
      </c>
      <c r="AE449" s="159">
        <v>0.3156</v>
      </c>
      <c r="AF449" s="158">
        <f t="shared" si="82"/>
        <v>1528.75134758551</v>
      </c>
      <c r="AG449" s="158">
        <v>1369.45476523077</v>
      </c>
      <c r="AH449" s="175"/>
      <c r="AI449" s="175"/>
      <c r="AJ449" s="156" t="s">
        <v>614</v>
      </c>
      <c r="AK449" s="140" t="s">
        <v>614</v>
      </c>
      <c r="AM449" s="152"/>
    </row>
    <row r="450" s="140" customFormat="1" ht="15" hidden="1" customHeight="1" spans="1:39">
      <c r="A450" s="140">
        <v>2017</v>
      </c>
      <c r="B450" s="141" t="s">
        <v>38</v>
      </c>
      <c r="C450" s="140" t="s">
        <v>75</v>
      </c>
      <c r="D450" s="140" t="s">
        <v>76</v>
      </c>
      <c r="E450" s="140" t="s">
        <v>167</v>
      </c>
      <c r="F450" s="140" t="s">
        <v>636</v>
      </c>
      <c r="G450" s="140" t="s">
        <v>636</v>
      </c>
      <c r="H450" s="140" t="s">
        <v>636</v>
      </c>
      <c r="I450" s="184" t="s">
        <v>204</v>
      </c>
      <c r="J450" s="140" t="s">
        <v>577</v>
      </c>
      <c r="K450" s="140" t="s">
        <v>578</v>
      </c>
      <c r="L450" s="140" t="s">
        <v>636</v>
      </c>
      <c r="M450" s="140" t="s">
        <v>46</v>
      </c>
      <c r="N450" s="157">
        <v>0.02</v>
      </c>
      <c r="O450" s="156" t="s">
        <v>495</v>
      </c>
      <c r="P450" s="156"/>
      <c r="Q450" s="158">
        <v>10271.1</v>
      </c>
      <c r="R450" s="158">
        <v>0</v>
      </c>
      <c r="S450" s="158">
        <v>20000</v>
      </c>
      <c r="T450" s="158">
        <f t="shared" ref="T450:T513" si="85">S450*N450</f>
        <v>400</v>
      </c>
      <c r="U450" s="158">
        <f t="shared" si="76"/>
        <v>20400</v>
      </c>
      <c r="V450" s="158">
        <v>20600</v>
      </c>
      <c r="W450" s="158">
        <f t="shared" si="77"/>
        <v>-200</v>
      </c>
      <c r="X450" s="158">
        <f t="shared" ref="X450:X513" si="86">W450/(1+N450)</f>
        <v>-196.078431372549</v>
      </c>
      <c r="Y450" s="158">
        <f t="shared" si="78"/>
        <v>-3.92156862745099</v>
      </c>
      <c r="Z450" s="158">
        <v>30871.1</v>
      </c>
      <c r="AA450" s="158">
        <f t="shared" ref="AA450:AA513" si="87">Q450+V450-Z450</f>
        <v>0</v>
      </c>
      <c r="AB450" s="167">
        <f>IF(O450="返货",(Z450-Q450)/(1+N450),IF(O450="返现",(Z450-Q450),IF(O450="折扣",(Z450-Q450)*N450,IF(O450="无",(Z450-Q450)))))</f>
        <v>20600</v>
      </c>
      <c r="AC450" s="168">
        <f t="shared" ref="AC450:AC513" si="88">IF(O450="返现",Z450*N450,Z450-AB450)</f>
        <v>617.422</v>
      </c>
      <c r="AD450" s="158">
        <f t="shared" si="84"/>
        <v>30262.2401329496</v>
      </c>
      <c r="AE450" s="159">
        <v>0.1077</v>
      </c>
      <c r="AF450" s="158">
        <f t="shared" si="82"/>
        <v>3259.24326231867</v>
      </c>
      <c r="AG450" s="158">
        <v>2719.50178372549</v>
      </c>
      <c r="AH450" s="175"/>
      <c r="AI450" s="175"/>
      <c r="AJ450" s="157">
        <v>0.02</v>
      </c>
      <c r="AK450" s="177">
        <v>0.02</v>
      </c>
      <c r="AM450" s="152"/>
    </row>
    <row r="451" s="140" customFormat="1" ht="15" hidden="1" customHeight="1" spans="1:39">
      <c r="A451" s="140">
        <v>2017</v>
      </c>
      <c r="B451" s="140" t="s">
        <v>38</v>
      </c>
      <c r="C451" s="140" t="s">
        <v>75</v>
      </c>
      <c r="D451" s="140" t="s">
        <v>76</v>
      </c>
      <c r="E451" s="140" t="s">
        <v>167</v>
      </c>
      <c r="F451" s="140" t="s">
        <v>168</v>
      </c>
      <c r="G451" s="140" t="s">
        <v>168</v>
      </c>
      <c r="H451" s="140" t="s">
        <v>168</v>
      </c>
      <c r="I451" s="184" t="s">
        <v>204</v>
      </c>
      <c r="J451" s="140" t="s">
        <v>577</v>
      </c>
      <c r="K451" s="140" t="s">
        <v>578</v>
      </c>
      <c r="L451" s="140" t="s">
        <v>168</v>
      </c>
      <c r="M451" s="140" t="s">
        <v>46</v>
      </c>
      <c r="N451" s="157">
        <v>0.02</v>
      </c>
      <c r="O451" s="156" t="s">
        <v>51</v>
      </c>
      <c r="P451" s="156"/>
      <c r="Q451" s="158">
        <v>0</v>
      </c>
      <c r="R451" s="158">
        <v>0</v>
      </c>
      <c r="S451" s="158">
        <v>3055630.1</v>
      </c>
      <c r="T451" s="158">
        <f t="shared" si="85"/>
        <v>61112.602</v>
      </c>
      <c r="U451" s="158">
        <f t="shared" ref="U451:U514" si="89">R451+S451+T451</f>
        <v>3116742.702</v>
      </c>
      <c r="V451" s="158">
        <v>3534361.17</v>
      </c>
      <c r="W451" s="158">
        <f t="shared" ref="W451:W514" si="90">U451-V451</f>
        <v>-417618.468</v>
      </c>
      <c r="X451" s="158">
        <f t="shared" si="86"/>
        <v>-409429.870588235</v>
      </c>
      <c r="Y451" s="158">
        <f t="shared" ref="Y451:Y514" si="91">W451-X451</f>
        <v>-8188.59741176473</v>
      </c>
      <c r="Z451" s="158">
        <v>3188142.7</v>
      </c>
      <c r="AA451" s="158">
        <f t="shared" si="87"/>
        <v>346218.47</v>
      </c>
      <c r="AB451" s="167">
        <f>IF(O451="返货",Z451/(1+N451),IF(O451="返现",Z451,IF(O451="折扣",Z451*N451,IF(O451="无",Z451))))</f>
        <v>3125630.09803922</v>
      </c>
      <c r="AC451" s="168">
        <f t="shared" si="88"/>
        <v>62512.6019607843</v>
      </c>
      <c r="AD451" s="158">
        <f t="shared" si="84"/>
        <v>3125264.0808235</v>
      </c>
      <c r="AE451" s="159">
        <v>0.1077</v>
      </c>
      <c r="AF451" s="158">
        <f t="shared" si="82"/>
        <v>336590.941504691</v>
      </c>
      <c r="AG451" s="158">
        <v>280850.366829216</v>
      </c>
      <c r="AH451" s="175"/>
      <c r="AI451" s="175"/>
      <c r="AJ451" s="156" t="s">
        <v>173</v>
      </c>
      <c r="AK451" s="140" t="s">
        <v>173</v>
      </c>
      <c r="AM451" s="152"/>
    </row>
    <row r="452" s="140" customFormat="1" ht="15" hidden="1" customHeight="1" spans="1:39">
      <c r="A452" s="140">
        <v>2017</v>
      </c>
      <c r="B452" s="140" t="s">
        <v>38</v>
      </c>
      <c r="C452" s="140" t="s">
        <v>75</v>
      </c>
      <c r="D452" s="140" t="s">
        <v>76</v>
      </c>
      <c r="E452" s="140" t="s">
        <v>167</v>
      </c>
      <c r="F452" s="140" t="s">
        <v>168</v>
      </c>
      <c r="G452" s="140" t="s">
        <v>168</v>
      </c>
      <c r="H452" s="140" t="s">
        <v>168</v>
      </c>
      <c r="I452" s="184" t="s">
        <v>204</v>
      </c>
      <c r="J452" s="140" t="s">
        <v>577</v>
      </c>
      <c r="K452" s="140" t="s">
        <v>578</v>
      </c>
      <c r="L452" s="140" t="s">
        <v>168</v>
      </c>
      <c r="M452" s="140" t="s">
        <v>185</v>
      </c>
      <c r="N452" s="157">
        <v>0.08</v>
      </c>
      <c r="O452" s="156" t="s">
        <v>51</v>
      </c>
      <c r="P452" s="156"/>
      <c r="Q452" s="158">
        <v>0</v>
      </c>
      <c r="R452" s="158">
        <v>0</v>
      </c>
      <c r="S452" s="158">
        <v>150462.48</v>
      </c>
      <c r="T452" s="158">
        <f t="shared" si="85"/>
        <v>12036.9984</v>
      </c>
      <c r="U452" s="158">
        <f t="shared" si="89"/>
        <v>162499.4784</v>
      </c>
      <c r="V452" s="158">
        <v>0</v>
      </c>
      <c r="W452" s="158">
        <f t="shared" si="90"/>
        <v>162499.4784</v>
      </c>
      <c r="X452" s="158">
        <f t="shared" si="86"/>
        <v>150462.48</v>
      </c>
      <c r="Y452" s="158">
        <f t="shared" si="91"/>
        <v>12036.9984</v>
      </c>
      <c r="Z452" s="158">
        <v>82071.73</v>
      </c>
      <c r="AA452" s="158">
        <f t="shared" si="87"/>
        <v>-82071.73</v>
      </c>
      <c r="AB452" s="167">
        <f>IF(O452="返货",Z452/(1+N452),IF(O452="返现",Z452,IF(O452="折扣",Z452*N452,IF(O452="无",Z452))))</f>
        <v>75992.3425925926</v>
      </c>
      <c r="AC452" s="168">
        <f t="shared" si="88"/>
        <v>6079.38740740741</v>
      </c>
      <c r="AD452" s="158">
        <f t="shared" si="84"/>
        <v>80453.0580830163</v>
      </c>
      <c r="AE452" s="159">
        <v>0.3156</v>
      </c>
      <c r="AF452" s="158">
        <f t="shared" si="82"/>
        <v>25390.985131</v>
      </c>
      <c r="AG452" s="158">
        <v>19822.4505805926</v>
      </c>
      <c r="AH452" s="175"/>
      <c r="AI452" s="175"/>
      <c r="AJ452" s="156" t="s">
        <v>53</v>
      </c>
      <c r="AK452" s="140" t="s">
        <v>53</v>
      </c>
      <c r="AM452" s="152"/>
    </row>
    <row r="453" s="140" customFormat="1" ht="15" hidden="1" customHeight="1" spans="1:39">
      <c r="A453" s="140">
        <v>2017</v>
      </c>
      <c r="B453" s="140" t="s">
        <v>199</v>
      </c>
      <c r="C453" s="140" t="s">
        <v>75</v>
      </c>
      <c r="D453" s="140" t="s">
        <v>76</v>
      </c>
      <c r="E453" s="140" t="s">
        <v>167</v>
      </c>
      <c r="F453" s="140" t="s">
        <v>637</v>
      </c>
      <c r="G453" s="140" t="s">
        <v>638</v>
      </c>
      <c r="H453" s="140" t="s">
        <v>638</v>
      </c>
      <c r="I453" s="184" t="s">
        <v>204</v>
      </c>
      <c r="J453" s="140" t="s">
        <v>577</v>
      </c>
      <c r="K453" s="140" t="s">
        <v>578</v>
      </c>
      <c r="L453" s="140" t="s">
        <v>639</v>
      </c>
      <c r="M453" s="140" t="s">
        <v>46</v>
      </c>
      <c r="N453" s="157">
        <v>0.02</v>
      </c>
      <c r="O453" s="156" t="s">
        <v>51</v>
      </c>
      <c r="P453" s="156"/>
      <c r="Q453" s="158">
        <v>28728.39</v>
      </c>
      <c r="R453" s="158">
        <v>0</v>
      </c>
      <c r="S453" s="158">
        <v>5524126.73999999</v>
      </c>
      <c r="T453" s="158">
        <f t="shared" si="85"/>
        <v>110482.5348</v>
      </c>
      <c r="U453" s="158">
        <f t="shared" si="89"/>
        <v>5634609.27479999</v>
      </c>
      <c r="V453" s="158">
        <v>107132190.3</v>
      </c>
      <c r="W453" s="158">
        <f t="shared" si="90"/>
        <v>-101497581.0252</v>
      </c>
      <c r="X453" s="158">
        <f t="shared" si="86"/>
        <v>-99507432.3776471</v>
      </c>
      <c r="Y453" s="158">
        <f t="shared" si="91"/>
        <v>-1990148.64755294</v>
      </c>
      <c r="Z453" s="158">
        <v>2320450.6804</v>
      </c>
      <c r="AA453" s="158">
        <f t="shared" si="87"/>
        <v>104840468.0096</v>
      </c>
      <c r="AB453" s="167">
        <f>IF(O453="返货",(Z453-Q453)/(1+N453),IF(O453="返现",(Z453-Q453),IF(O453="折扣",(Z453-Q453)*N453,IF(O453="无",(Z453-Q453)))))</f>
        <v>2246786.55921569</v>
      </c>
      <c r="AC453" s="168">
        <f t="shared" si="88"/>
        <v>73664.1211843137</v>
      </c>
      <c r="AD453" s="158">
        <f t="shared" si="84"/>
        <v>2274685.24629609</v>
      </c>
      <c r="AE453" s="159">
        <v>0.1077</v>
      </c>
      <c r="AF453" s="158">
        <f t="shared" si="82"/>
        <v>244983.601026089</v>
      </c>
      <c r="AG453" s="158">
        <v>496604.203635666</v>
      </c>
      <c r="AH453" s="175"/>
      <c r="AI453" s="175"/>
      <c r="AJ453" s="156" t="s">
        <v>173</v>
      </c>
      <c r="AK453" s="140" t="s">
        <v>173</v>
      </c>
      <c r="AL453" s="140" t="s">
        <v>613</v>
      </c>
      <c r="AM453" s="152"/>
    </row>
    <row r="454" s="140" customFormat="1" ht="15" hidden="1" customHeight="1" spans="1:39">
      <c r="A454" s="140">
        <v>2017</v>
      </c>
      <c r="B454" s="140" t="s">
        <v>199</v>
      </c>
      <c r="C454" s="140" t="s">
        <v>75</v>
      </c>
      <c r="D454" s="140" t="s">
        <v>76</v>
      </c>
      <c r="E454" s="140" t="s">
        <v>167</v>
      </c>
      <c r="F454" s="140" t="s">
        <v>637</v>
      </c>
      <c r="G454" s="140" t="s">
        <v>638</v>
      </c>
      <c r="H454" s="140" t="s">
        <v>638</v>
      </c>
      <c r="I454" s="184" t="s">
        <v>204</v>
      </c>
      <c r="J454" s="140" t="s">
        <v>577</v>
      </c>
      <c r="K454" s="140" t="s">
        <v>578</v>
      </c>
      <c r="L454" s="140" t="s">
        <v>639</v>
      </c>
      <c r="M454" s="140" t="s">
        <v>185</v>
      </c>
      <c r="N454" s="157">
        <v>0.08</v>
      </c>
      <c r="O454" s="156" t="s">
        <v>51</v>
      </c>
      <c r="P454" s="156"/>
      <c r="Q454" s="158">
        <v>51005.09</v>
      </c>
      <c r="R454" s="158">
        <v>0</v>
      </c>
      <c r="S454" s="158">
        <v>92158913.13</v>
      </c>
      <c r="T454" s="158">
        <f t="shared" si="85"/>
        <v>7372713.0504</v>
      </c>
      <c r="U454" s="158">
        <f t="shared" si="89"/>
        <v>99531626.1804</v>
      </c>
      <c r="V454" s="158">
        <v>0</v>
      </c>
      <c r="W454" s="158">
        <f t="shared" si="90"/>
        <v>99531626.1804</v>
      </c>
      <c r="X454" s="158">
        <f t="shared" si="86"/>
        <v>92158913.13</v>
      </c>
      <c r="Y454" s="158">
        <f t="shared" si="91"/>
        <v>7372713.0504</v>
      </c>
      <c r="Z454" s="158">
        <v>30136454.6</v>
      </c>
      <c r="AA454" s="158">
        <f t="shared" si="87"/>
        <v>-30085449.51</v>
      </c>
      <c r="AB454" s="167">
        <f>IF(O454="返货",(Z454-Q454)/(1+N454),IF(O454="返现",(Z454-Q454),IF(O454="折扣",(Z454-Q454)*N454,IF(O454="无",(Z454-Q454)))))</f>
        <v>27856897.6944445</v>
      </c>
      <c r="AC454" s="168">
        <f t="shared" si="88"/>
        <v>2279556.90555556</v>
      </c>
      <c r="AD454" s="158">
        <f t="shared" si="84"/>
        <v>29542083.886254</v>
      </c>
      <c r="AE454" s="159">
        <v>0.3156</v>
      </c>
      <c r="AF454" s="158">
        <f t="shared" si="82"/>
        <v>9323481.67450175</v>
      </c>
      <c r="AG454" s="158">
        <v>23658435.1806154</v>
      </c>
      <c r="AH454" s="175"/>
      <c r="AI454" s="175"/>
      <c r="AJ454" s="156" t="s">
        <v>53</v>
      </c>
      <c r="AK454" s="140" t="s">
        <v>53</v>
      </c>
      <c r="AM454" s="152"/>
    </row>
    <row r="455" s="140" customFormat="1" ht="15" hidden="1" customHeight="1" spans="1:39">
      <c r="A455" s="140">
        <v>2017</v>
      </c>
      <c r="B455" s="140" t="s">
        <v>199</v>
      </c>
      <c r="C455" s="140" t="s">
        <v>75</v>
      </c>
      <c r="D455" s="140" t="s">
        <v>76</v>
      </c>
      <c r="E455" s="140" t="s">
        <v>167</v>
      </c>
      <c r="F455" s="140" t="s">
        <v>637</v>
      </c>
      <c r="G455" s="140" t="s">
        <v>638</v>
      </c>
      <c r="H455" s="140" t="s">
        <v>640</v>
      </c>
      <c r="I455" s="184" t="s">
        <v>204</v>
      </c>
      <c r="J455" s="140" t="s">
        <v>577</v>
      </c>
      <c r="K455" s="140" t="s">
        <v>578</v>
      </c>
      <c r="L455" s="140" t="s">
        <v>639</v>
      </c>
      <c r="M455" s="140" t="s">
        <v>597</v>
      </c>
      <c r="N455" s="157">
        <v>0.2732</v>
      </c>
      <c r="O455" s="156" t="s">
        <v>495</v>
      </c>
      <c r="P455" s="156"/>
      <c r="Q455" s="158">
        <v>0</v>
      </c>
      <c r="R455" s="158">
        <v>0</v>
      </c>
      <c r="S455" s="158">
        <v>4002125</v>
      </c>
      <c r="T455" s="158">
        <f t="shared" si="85"/>
        <v>1093380.55</v>
      </c>
      <c r="U455" s="158">
        <f t="shared" si="89"/>
        <v>5095505.55</v>
      </c>
      <c r="V455" s="158">
        <v>4002125</v>
      </c>
      <c r="W455" s="158">
        <f t="shared" si="90"/>
        <v>1093380.55</v>
      </c>
      <c r="X455" s="158">
        <f t="shared" si="86"/>
        <v>858765.747722274</v>
      </c>
      <c r="Y455" s="158">
        <f t="shared" si="91"/>
        <v>234614.802277725</v>
      </c>
      <c r="Z455" s="158">
        <v>4002125</v>
      </c>
      <c r="AA455" s="158">
        <f t="shared" si="87"/>
        <v>0</v>
      </c>
      <c r="AB455" s="167">
        <f>IF(O455="返货",Z455/(1+N455),IF(O455="返现",Z455,IF(O455="折扣",Z455*N455,IF(O455="无",Z455))))</f>
        <v>4002125</v>
      </c>
      <c r="AC455" s="168">
        <f t="shared" si="88"/>
        <v>1093380.55</v>
      </c>
      <c r="AD455" s="158">
        <f t="shared" si="84"/>
        <v>3923192.49369413</v>
      </c>
      <c r="AE455" s="159">
        <v>0.3534</v>
      </c>
      <c r="AF455" s="158">
        <f t="shared" si="82"/>
        <v>1386456.22727151</v>
      </c>
      <c r="AG455" s="158">
        <v>1117897.2712963</v>
      </c>
      <c r="AH455" s="175"/>
      <c r="AI455" s="175"/>
      <c r="AJ455" s="156" t="s">
        <v>53</v>
      </c>
      <c r="AK455" s="140" t="s">
        <v>53</v>
      </c>
      <c r="AM455" s="152"/>
    </row>
    <row r="456" s="140" customFormat="1" ht="15" hidden="1" customHeight="1" spans="1:39">
      <c r="A456" s="140">
        <v>2017</v>
      </c>
      <c r="B456" s="140" t="s">
        <v>199</v>
      </c>
      <c r="C456" s="140" t="s">
        <v>75</v>
      </c>
      <c r="D456" s="140" t="s">
        <v>76</v>
      </c>
      <c r="E456" s="140" t="s">
        <v>167</v>
      </c>
      <c r="F456" s="140" t="s">
        <v>628</v>
      </c>
      <c r="G456" s="140" t="s">
        <v>629</v>
      </c>
      <c r="H456" s="184" t="s">
        <v>630</v>
      </c>
      <c r="I456" s="184" t="s">
        <v>204</v>
      </c>
      <c r="J456" s="140" t="s">
        <v>626</v>
      </c>
      <c r="K456" s="140" t="s">
        <v>627</v>
      </c>
      <c r="L456" s="140" t="s">
        <v>628</v>
      </c>
      <c r="M456" s="140" t="s">
        <v>46</v>
      </c>
      <c r="N456" s="157">
        <v>0.02</v>
      </c>
      <c r="O456" s="156" t="s">
        <v>51</v>
      </c>
      <c r="P456" s="156"/>
      <c r="Q456" s="158">
        <v>0</v>
      </c>
      <c r="R456" s="158">
        <v>0</v>
      </c>
      <c r="S456" s="158">
        <v>935000</v>
      </c>
      <c r="T456" s="158">
        <f t="shared" si="85"/>
        <v>18700</v>
      </c>
      <c r="U456" s="158">
        <f t="shared" si="89"/>
        <v>953700</v>
      </c>
      <c r="V456" s="158">
        <v>755000</v>
      </c>
      <c r="W456" s="158">
        <f t="shared" si="90"/>
        <v>198700</v>
      </c>
      <c r="X456" s="158">
        <f t="shared" si="86"/>
        <v>194803.921568627</v>
      </c>
      <c r="Y456" s="158">
        <f t="shared" si="91"/>
        <v>3896.07843137256</v>
      </c>
      <c r="Z456" s="158">
        <v>570692.82</v>
      </c>
      <c r="AA456" s="158">
        <f t="shared" si="87"/>
        <v>184307.18</v>
      </c>
      <c r="AB456" s="167">
        <f>IF(O456="返货",Z456/(1+N456),IF(O456="返现",Z456,IF(O456="折扣",Z456*N456,IF(O456="无",Z456))))</f>
        <v>559502.764705882</v>
      </c>
      <c r="AC456" s="168">
        <f t="shared" si="88"/>
        <v>11190.0552941177</v>
      </c>
      <c r="AD456" s="158">
        <f>Z456*0.905731236248844</f>
        <v>516894.313376939</v>
      </c>
      <c r="AE456" s="159">
        <v>0.07</v>
      </c>
      <c r="AF456" s="158">
        <f t="shared" si="82"/>
        <v>36182.6019363857</v>
      </c>
      <c r="AG456" s="158">
        <v>28758.4421058823</v>
      </c>
      <c r="AH456" s="175"/>
      <c r="AI456" s="175"/>
      <c r="AJ456" s="156" t="s">
        <v>173</v>
      </c>
      <c r="AK456" s="140" t="s">
        <v>173</v>
      </c>
      <c r="AM456" s="152"/>
    </row>
    <row r="457" s="140" customFormat="1" ht="15" hidden="1" customHeight="1" spans="1:39">
      <c r="A457" s="140">
        <v>2017</v>
      </c>
      <c r="B457" s="140" t="s">
        <v>199</v>
      </c>
      <c r="C457" s="140" t="s">
        <v>75</v>
      </c>
      <c r="D457" s="140" t="s">
        <v>76</v>
      </c>
      <c r="E457" s="140" t="s">
        <v>167</v>
      </c>
      <c r="F457" s="140" t="s">
        <v>628</v>
      </c>
      <c r="G457" s="140" t="s">
        <v>629</v>
      </c>
      <c r="H457" s="184" t="s">
        <v>630</v>
      </c>
      <c r="I457" s="184" t="s">
        <v>204</v>
      </c>
      <c r="J457" s="140" t="s">
        <v>605</v>
      </c>
      <c r="K457" s="140" t="s">
        <v>641</v>
      </c>
      <c r="L457" s="140" t="s">
        <v>628</v>
      </c>
      <c r="M457" s="140" t="s">
        <v>46</v>
      </c>
      <c r="N457" s="157">
        <v>0.02</v>
      </c>
      <c r="O457" s="156" t="s">
        <v>51</v>
      </c>
      <c r="P457" s="156"/>
      <c r="Q457" s="158">
        <v>0</v>
      </c>
      <c r="R457" s="158">
        <v>0</v>
      </c>
      <c r="S457" s="158">
        <v>240000</v>
      </c>
      <c r="T457" s="158">
        <f t="shared" si="85"/>
        <v>4800</v>
      </c>
      <c r="U457" s="158">
        <f t="shared" si="89"/>
        <v>244800</v>
      </c>
      <c r="V457" s="158">
        <v>330000</v>
      </c>
      <c r="W457" s="158">
        <f t="shared" si="90"/>
        <v>-85200</v>
      </c>
      <c r="X457" s="158">
        <f t="shared" si="86"/>
        <v>-83529.4117647059</v>
      </c>
      <c r="Y457" s="158">
        <f t="shared" si="91"/>
        <v>-1670.58823529413</v>
      </c>
      <c r="Z457" s="158">
        <v>202688.75</v>
      </c>
      <c r="AA457" s="158">
        <f t="shared" si="87"/>
        <v>127311.25</v>
      </c>
      <c r="AB457" s="167">
        <f>IF(O457="返货",Z457/(1+N457),IF(O457="返现",Z457,IF(O457="折扣",Z457*N457,IF(O457="无",Z457))))</f>
        <v>198714.460784314</v>
      </c>
      <c r="AC457" s="168">
        <f t="shared" si="88"/>
        <v>3974.28921568627</v>
      </c>
      <c r="AD457" s="158">
        <v>202688.75</v>
      </c>
      <c r="AE457" s="159">
        <v>0.07</v>
      </c>
      <c r="AF457" s="158">
        <f t="shared" si="82"/>
        <v>14188.2125</v>
      </c>
      <c r="AG457" s="158">
        <v>10213.9232843137</v>
      </c>
      <c r="AH457" s="175"/>
      <c r="AI457" s="175"/>
      <c r="AJ457" s="156" t="s">
        <v>173</v>
      </c>
      <c r="AK457" s="140" t="s">
        <v>173</v>
      </c>
      <c r="AM457" s="152"/>
    </row>
    <row r="458" s="140" customFormat="1" ht="15" hidden="1" customHeight="1" spans="1:39">
      <c r="A458" s="140">
        <v>2017</v>
      </c>
      <c r="B458" s="140" t="s">
        <v>38</v>
      </c>
      <c r="C458" s="140" t="s">
        <v>75</v>
      </c>
      <c r="D458" s="140" t="s">
        <v>76</v>
      </c>
      <c r="E458" s="140" t="s">
        <v>296</v>
      </c>
      <c r="F458" s="140" t="s">
        <v>273</v>
      </c>
      <c r="G458" s="140" t="s">
        <v>273</v>
      </c>
      <c r="H458" s="140" t="s">
        <v>273</v>
      </c>
      <c r="I458" s="184" t="s">
        <v>204</v>
      </c>
      <c r="J458" s="140" t="s">
        <v>577</v>
      </c>
      <c r="K458" s="140" t="s">
        <v>578</v>
      </c>
      <c r="L458" s="140" t="s">
        <v>642</v>
      </c>
      <c r="M458" s="140" t="s">
        <v>46</v>
      </c>
      <c r="N458" s="157">
        <v>0.05</v>
      </c>
      <c r="O458" s="156" t="s">
        <v>51</v>
      </c>
      <c r="P458" s="156"/>
      <c r="Q458" s="158">
        <v>10000</v>
      </c>
      <c r="R458" s="158">
        <v>0</v>
      </c>
      <c r="S458" s="158">
        <v>140000</v>
      </c>
      <c r="T458" s="158">
        <f t="shared" si="85"/>
        <v>7000</v>
      </c>
      <c r="U458" s="158">
        <f t="shared" si="89"/>
        <v>147000</v>
      </c>
      <c r="V458" s="158">
        <v>119204</v>
      </c>
      <c r="W458" s="158">
        <f t="shared" si="90"/>
        <v>27796</v>
      </c>
      <c r="X458" s="158">
        <f t="shared" si="86"/>
        <v>26472.380952381</v>
      </c>
      <c r="Y458" s="158">
        <f t="shared" si="91"/>
        <v>1323.61904761905</v>
      </c>
      <c r="Z458" s="158">
        <v>205730.61</v>
      </c>
      <c r="AA458" s="158">
        <f t="shared" si="87"/>
        <v>-76526.61</v>
      </c>
      <c r="AB458" s="167">
        <f>IF(O458="返货",(Z458-Q458)/(1+N458),IF(O458="返现",(Z458-Q458),IF(O458="折扣",(Z458-Q458)*N458,IF(O458="无",(Z458-Q458)))))</f>
        <v>186410.104761905</v>
      </c>
      <c r="AC458" s="168">
        <f t="shared" si="88"/>
        <v>19320.5052380952</v>
      </c>
      <c r="AD458" s="158">
        <f t="shared" ref="AD458:AD475" si="92">Z458*0.980277351080772</f>
        <v>201673.057407031</v>
      </c>
      <c r="AE458" s="159">
        <v>0.1077</v>
      </c>
      <c r="AF458" s="158">
        <f t="shared" si="82"/>
        <v>21720.1882827373</v>
      </c>
      <c r="AG458" s="158">
        <v>12360.4909827143</v>
      </c>
      <c r="AH458" s="175"/>
      <c r="AI458" s="175"/>
      <c r="AJ458" s="157">
        <v>0.05</v>
      </c>
      <c r="AK458" s="177">
        <v>0.05</v>
      </c>
      <c r="AL458" s="140" t="s">
        <v>591</v>
      </c>
      <c r="AM458" s="152"/>
    </row>
    <row r="459" s="140" customFormat="1" ht="15" hidden="1" customHeight="1" spans="1:39">
      <c r="A459" s="140">
        <v>2017</v>
      </c>
      <c r="B459" s="140" t="s">
        <v>38</v>
      </c>
      <c r="C459" s="140" t="s">
        <v>75</v>
      </c>
      <c r="D459" s="140" t="s">
        <v>76</v>
      </c>
      <c r="E459" s="140" t="s">
        <v>296</v>
      </c>
      <c r="F459" s="140" t="s">
        <v>643</v>
      </c>
      <c r="G459" s="140" t="s">
        <v>643</v>
      </c>
      <c r="H459" s="140" t="s">
        <v>643</v>
      </c>
      <c r="I459" s="184" t="s">
        <v>204</v>
      </c>
      <c r="J459" s="140" t="s">
        <v>577</v>
      </c>
      <c r="K459" s="140" t="s">
        <v>578</v>
      </c>
      <c r="L459" s="140" t="s">
        <v>644</v>
      </c>
      <c r="M459" s="140" t="s">
        <v>185</v>
      </c>
      <c r="N459" s="157">
        <v>0.2</v>
      </c>
      <c r="O459" s="156" t="s">
        <v>51</v>
      </c>
      <c r="P459" s="156"/>
      <c r="Q459" s="158">
        <v>0</v>
      </c>
      <c r="R459" s="158">
        <v>0</v>
      </c>
      <c r="S459" s="158">
        <v>51313.79</v>
      </c>
      <c r="T459" s="158">
        <f t="shared" si="85"/>
        <v>10262.758</v>
      </c>
      <c r="U459" s="158">
        <f t="shared" si="89"/>
        <v>61576.548</v>
      </c>
      <c r="V459" s="158">
        <v>0</v>
      </c>
      <c r="W459" s="158">
        <f t="shared" si="90"/>
        <v>61576.548</v>
      </c>
      <c r="X459" s="158">
        <f t="shared" si="86"/>
        <v>51313.79</v>
      </c>
      <c r="Y459" s="158">
        <f t="shared" si="91"/>
        <v>10262.758</v>
      </c>
      <c r="Z459" s="158">
        <v>64013.31</v>
      </c>
      <c r="AA459" s="158">
        <f t="shared" si="87"/>
        <v>-64013.31</v>
      </c>
      <c r="AB459" s="167">
        <f>IF(O459="返货",Z459/(1+N459),IF(O459="返现",Z459,IF(O459="折扣",Z459*N459,IF(O459="无",Z459))))</f>
        <v>53344.425</v>
      </c>
      <c r="AC459" s="168">
        <f t="shared" si="88"/>
        <v>10668.885</v>
      </c>
      <c r="AD459" s="158">
        <f t="shared" si="92"/>
        <v>62750.7979607123</v>
      </c>
      <c r="AE459" s="159">
        <v>0.3156</v>
      </c>
      <c r="AF459" s="158">
        <f t="shared" si="82"/>
        <v>19804.1518364008</v>
      </c>
      <c r="AG459" s="158">
        <v>9533.715636</v>
      </c>
      <c r="AH459" s="175"/>
      <c r="AI459" s="175"/>
      <c r="AJ459" s="156" t="s">
        <v>645</v>
      </c>
      <c r="AK459" s="140" t="s">
        <v>645</v>
      </c>
      <c r="AM459" s="152"/>
    </row>
    <row r="460" s="140" customFormat="1" ht="15" hidden="1" customHeight="1" spans="1:39">
      <c r="A460" s="140">
        <v>2017</v>
      </c>
      <c r="B460" s="140" t="s">
        <v>38</v>
      </c>
      <c r="C460" s="140" t="s">
        <v>75</v>
      </c>
      <c r="D460" s="140" t="s">
        <v>76</v>
      </c>
      <c r="E460" s="140" t="s">
        <v>296</v>
      </c>
      <c r="F460" s="140" t="s">
        <v>643</v>
      </c>
      <c r="G460" s="140" t="s">
        <v>643</v>
      </c>
      <c r="H460" s="140" t="s">
        <v>643</v>
      </c>
      <c r="I460" s="184" t="s">
        <v>204</v>
      </c>
      <c r="J460" s="140" t="s">
        <v>577</v>
      </c>
      <c r="K460" s="140" t="s">
        <v>578</v>
      </c>
      <c r="L460" s="140" t="s">
        <v>644</v>
      </c>
      <c r="M460" s="140" t="s">
        <v>46</v>
      </c>
      <c r="N460" s="157">
        <v>0.07</v>
      </c>
      <c r="O460" s="156" t="s">
        <v>51</v>
      </c>
      <c r="P460" s="156"/>
      <c r="Q460" s="158">
        <v>20500</v>
      </c>
      <c r="R460" s="158">
        <v>0</v>
      </c>
      <c r="S460" s="158">
        <v>283786.02</v>
      </c>
      <c r="T460" s="158">
        <f t="shared" si="85"/>
        <v>19865.0214</v>
      </c>
      <c r="U460" s="158">
        <f t="shared" si="89"/>
        <v>303651.0414</v>
      </c>
      <c r="V460" s="158">
        <v>410175.59</v>
      </c>
      <c r="W460" s="158">
        <f t="shared" si="90"/>
        <v>-106524.5486</v>
      </c>
      <c r="X460" s="158">
        <f t="shared" si="86"/>
        <v>-99555.6528971962</v>
      </c>
      <c r="Y460" s="158">
        <f t="shared" si="91"/>
        <v>-6968.89570280374</v>
      </c>
      <c r="Z460" s="158">
        <v>321762.09</v>
      </c>
      <c r="AA460" s="158">
        <f t="shared" si="87"/>
        <v>108913.5</v>
      </c>
      <c r="AB460" s="167">
        <f>IF(O460="返货",(Z460-Q460)/(1+N460),IF(O460="返现",(Z460-Q460),IF(O460="折扣",(Z460-Q460)*N460,IF(O460="无",(Z460-Q460)))))</f>
        <v>281553.355140187</v>
      </c>
      <c r="AC460" s="168">
        <f t="shared" si="88"/>
        <v>40208.7348598131</v>
      </c>
      <c r="AD460" s="158">
        <f t="shared" si="92"/>
        <v>315416.089263413</v>
      </c>
      <c r="AE460" s="159">
        <v>0.1077</v>
      </c>
      <c r="AF460" s="158">
        <f t="shared" si="82"/>
        <v>33970.3128136696</v>
      </c>
      <c r="AG460" s="158">
        <v>13603.9207378598</v>
      </c>
      <c r="AH460" s="175"/>
      <c r="AI460" s="175"/>
      <c r="AJ460" s="157">
        <v>0.07</v>
      </c>
      <c r="AK460" s="177">
        <v>0.07</v>
      </c>
      <c r="AL460" s="140" t="s">
        <v>591</v>
      </c>
      <c r="AM460" s="152"/>
    </row>
    <row r="461" s="140" customFormat="1" ht="15" hidden="1" customHeight="1" spans="1:39">
      <c r="A461" s="140">
        <v>2017</v>
      </c>
      <c r="B461" s="140" t="s">
        <v>38</v>
      </c>
      <c r="C461" s="140" t="s">
        <v>75</v>
      </c>
      <c r="D461" s="140" t="s">
        <v>76</v>
      </c>
      <c r="E461" s="140" t="s">
        <v>296</v>
      </c>
      <c r="F461" s="140" t="s">
        <v>575</v>
      </c>
      <c r="G461" s="140" t="s">
        <v>575</v>
      </c>
      <c r="H461" s="140" t="s">
        <v>575</v>
      </c>
      <c r="I461" s="184" t="s">
        <v>204</v>
      </c>
      <c r="J461" s="140" t="s">
        <v>577</v>
      </c>
      <c r="K461" s="140" t="s">
        <v>578</v>
      </c>
      <c r="L461" s="140" t="s">
        <v>579</v>
      </c>
      <c r="M461" s="140" t="s">
        <v>46</v>
      </c>
      <c r="N461" s="157">
        <v>0.05</v>
      </c>
      <c r="O461" s="156" t="s">
        <v>495</v>
      </c>
      <c r="P461" s="156"/>
      <c r="Q461" s="158">
        <v>0</v>
      </c>
      <c r="R461" s="158">
        <v>0</v>
      </c>
      <c r="S461" s="158">
        <v>5000</v>
      </c>
      <c r="T461" s="158">
        <f t="shared" si="85"/>
        <v>250</v>
      </c>
      <c r="U461" s="158">
        <f t="shared" si="89"/>
        <v>5250</v>
      </c>
      <c r="V461" s="158">
        <v>0</v>
      </c>
      <c r="W461" s="158">
        <f t="shared" si="90"/>
        <v>5250</v>
      </c>
      <c r="X461" s="158">
        <f t="shared" si="86"/>
        <v>5000</v>
      </c>
      <c r="Y461" s="158">
        <f t="shared" si="91"/>
        <v>250</v>
      </c>
      <c r="Z461" s="158">
        <v>0</v>
      </c>
      <c r="AA461" s="158">
        <f t="shared" si="87"/>
        <v>0</v>
      </c>
      <c r="AB461" s="167">
        <f>IF(O461="返货",Z461/(1+N461),IF(O461="返现",Z461,IF(O461="折扣",Z461*N461,IF(O461="无",Z461))))</f>
        <v>0</v>
      </c>
      <c r="AC461" s="168">
        <f t="shared" si="88"/>
        <v>0</v>
      </c>
      <c r="AD461" s="158">
        <f t="shared" si="92"/>
        <v>0</v>
      </c>
      <c r="AE461" s="159">
        <v>0.1077</v>
      </c>
      <c r="AF461" s="158">
        <f t="shared" si="82"/>
        <v>0</v>
      </c>
      <c r="AG461" s="158">
        <v>0</v>
      </c>
      <c r="AH461" s="175"/>
      <c r="AI461" s="175"/>
      <c r="AJ461" s="157">
        <v>0.05</v>
      </c>
      <c r="AK461" s="177">
        <v>0.05</v>
      </c>
      <c r="AM461" s="152"/>
    </row>
    <row r="462" s="140" customFormat="1" ht="15" hidden="1" customHeight="1" spans="1:39">
      <c r="A462" s="140">
        <v>2017</v>
      </c>
      <c r="B462" s="140" t="s">
        <v>38</v>
      </c>
      <c r="C462" s="140" t="s">
        <v>75</v>
      </c>
      <c r="D462" s="140" t="s">
        <v>76</v>
      </c>
      <c r="E462" s="140" t="s">
        <v>296</v>
      </c>
      <c r="F462" s="140" t="s">
        <v>587</v>
      </c>
      <c r="G462" s="140" t="s">
        <v>587</v>
      </c>
      <c r="H462" s="140" t="s">
        <v>587</v>
      </c>
      <c r="I462" s="184" t="s">
        <v>204</v>
      </c>
      <c r="J462" s="140" t="s">
        <v>577</v>
      </c>
      <c r="K462" s="140" t="s">
        <v>578</v>
      </c>
      <c r="L462" s="140" t="s">
        <v>589</v>
      </c>
      <c r="M462" s="140" t="s">
        <v>46</v>
      </c>
      <c r="N462" s="157">
        <v>0.05</v>
      </c>
      <c r="O462" s="156" t="s">
        <v>51</v>
      </c>
      <c r="P462" s="156"/>
      <c r="Q462" s="158">
        <v>0</v>
      </c>
      <c r="R462" s="158">
        <v>0</v>
      </c>
      <c r="S462" s="158">
        <v>67500</v>
      </c>
      <c r="T462" s="158">
        <f t="shared" si="85"/>
        <v>3375</v>
      </c>
      <c r="U462" s="158">
        <f t="shared" si="89"/>
        <v>70875</v>
      </c>
      <c r="V462" s="158">
        <v>0</v>
      </c>
      <c r="W462" s="158">
        <f t="shared" si="90"/>
        <v>70875</v>
      </c>
      <c r="X462" s="158">
        <f t="shared" si="86"/>
        <v>67500</v>
      </c>
      <c r="Y462" s="158">
        <f t="shared" si="91"/>
        <v>3375</v>
      </c>
      <c r="Z462" s="158">
        <v>0</v>
      </c>
      <c r="AA462" s="158">
        <f t="shared" si="87"/>
        <v>0</v>
      </c>
      <c r="AB462" s="167">
        <f>IF(O462="返货",Z462/(1+N462),IF(O462="返现",Z462,IF(O462="折扣",Z462*N462,IF(O462="无",Z462))))</f>
        <v>0</v>
      </c>
      <c r="AC462" s="168">
        <f t="shared" si="88"/>
        <v>0</v>
      </c>
      <c r="AD462" s="158">
        <f t="shared" si="92"/>
        <v>0</v>
      </c>
      <c r="AE462" s="159">
        <v>0.1077</v>
      </c>
      <c r="AF462" s="158">
        <f t="shared" si="82"/>
        <v>0</v>
      </c>
      <c r="AG462" s="158">
        <v>0</v>
      </c>
      <c r="AH462" s="175"/>
      <c r="AI462" s="175"/>
      <c r="AJ462" s="157">
        <v>0.05</v>
      </c>
      <c r="AK462" s="177">
        <v>0.05</v>
      </c>
      <c r="AM462" s="152"/>
    </row>
    <row r="463" s="140" customFormat="1" ht="15" hidden="1" customHeight="1" spans="1:39">
      <c r="A463" s="140">
        <v>2017</v>
      </c>
      <c r="B463" s="140" t="s">
        <v>38</v>
      </c>
      <c r="C463" s="140" t="s">
        <v>75</v>
      </c>
      <c r="D463" s="140" t="s">
        <v>76</v>
      </c>
      <c r="E463" s="140" t="s">
        <v>296</v>
      </c>
      <c r="F463" s="140" t="s">
        <v>205</v>
      </c>
      <c r="G463" s="140" t="s">
        <v>205</v>
      </c>
      <c r="H463" s="140" t="s">
        <v>205</v>
      </c>
      <c r="I463" s="184" t="s">
        <v>204</v>
      </c>
      <c r="J463" s="140" t="s">
        <v>577</v>
      </c>
      <c r="K463" s="140" t="s">
        <v>578</v>
      </c>
      <c r="L463" s="140" t="s">
        <v>646</v>
      </c>
      <c r="M463" s="140" t="s">
        <v>185</v>
      </c>
      <c r="N463" s="157">
        <v>0.2</v>
      </c>
      <c r="O463" s="156" t="s">
        <v>495</v>
      </c>
      <c r="P463" s="156"/>
      <c r="Q463" s="158">
        <v>2000</v>
      </c>
      <c r="R463" s="158">
        <v>0</v>
      </c>
      <c r="S463" s="158">
        <v>1131779.55</v>
      </c>
      <c r="T463" s="158">
        <f t="shared" si="85"/>
        <v>226355.91</v>
      </c>
      <c r="U463" s="158">
        <f t="shared" si="89"/>
        <v>1358135.46</v>
      </c>
      <c r="V463" s="158">
        <v>0</v>
      </c>
      <c r="W463" s="158">
        <f t="shared" si="90"/>
        <v>1358135.46</v>
      </c>
      <c r="X463" s="158">
        <f t="shared" si="86"/>
        <v>1131779.55</v>
      </c>
      <c r="Y463" s="158">
        <f t="shared" si="91"/>
        <v>226355.91</v>
      </c>
      <c r="Z463" s="158">
        <v>1131779.54</v>
      </c>
      <c r="AA463" s="158">
        <f t="shared" si="87"/>
        <v>-1129779.54</v>
      </c>
      <c r="AB463" s="167">
        <f>IF(O463="返货",(Z463-Q463)/(1+N463),IF(O463="返现",(Z463-Q463),IF(O463="折扣",(Z463-Q463)*N463,IF(O463="无",(Z463-Q463)))))</f>
        <v>1129779.54</v>
      </c>
      <c r="AC463" s="168">
        <f t="shared" si="88"/>
        <v>226355.908</v>
      </c>
      <c r="AD463" s="158">
        <f t="shared" si="92"/>
        <v>1109457.84947861</v>
      </c>
      <c r="AE463" s="159">
        <v>0.3156</v>
      </c>
      <c r="AF463" s="158">
        <f t="shared" si="82"/>
        <v>350144.897295451</v>
      </c>
      <c r="AG463" s="158">
        <v>168559.699490667</v>
      </c>
      <c r="AH463" s="175"/>
      <c r="AI463" s="175"/>
      <c r="AJ463" s="157">
        <v>0.2</v>
      </c>
      <c r="AK463" s="177">
        <v>0.2</v>
      </c>
      <c r="AL463" s="140" t="s">
        <v>591</v>
      </c>
      <c r="AM463" s="152"/>
    </row>
    <row r="464" s="140" customFormat="1" ht="15" hidden="1" customHeight="1" spans="1:39">
      <c r="A464" s="140">
        <v>2017</v>
      </c>
      <c r="B464" s="140" t="s">
        <v>38</v>
      </c>
      <c r="C464" s="140" t="s">
        <v>75</v>
      </c>
      <c r="D464" s="140" t="s">
        <v>76</v>
      </c>
      <c r="E464" s="140" t="s">
        <v>296</v>
      </c>
      <c r="F464" s="140" t="s">
        <v>205</v>
      </c>
      <c r="G464" s="140" t="s">
        <v>205</v>
      </c>
      <c r="H464" s="140" t="s">
        <v>205</v>
      </c>
      <c r="I464" s="184" t="s">
        <v>204</v>
      </c>
      <c r="J464" s="140" t="s">
        <v>577</v>
      </c>
      <c r="K464" s="140" t="s">
        <v>578</v>
      </c>
      <c r="L464" s="140" t="s">
        <v>646</v>
      </c>
      <c r="M464" s="140" t="s">
        <v>46</v>
      </c>
      <c r="N464" s="157">
        <v>0.07</v>
      </c>
      <c r="O464" s="156" t="s">
        <v>51</v>
      </c>
      <c r="P464" s="156"/>
      <c r="Q464" s="158">
        <v>75514.7076</v>
      </c>
      <c r="R464" s="158">
        <v>0</v>
      </c>
      <c r="S464" s="158">
        <v>2270962.41</v>
      </c>
      <c r="T464" s="158">
        <f t="shared" si="85"/>
        <v>158967.3687</v>
      </c>
      <c r="U464" s="158">
        <f t="shared" si="89"/>
        <v>2429929.7787</v>
      </c>
      <c r="V464" s="158">
        <v>7341965.29</v>
      </c>
      <c r="W464" s="158">
        <f t="shared" si="90"/>
        <v>-4912035.5113</v>
      </c>
      <c r="X464" s="158">
        <f t="shared" si="86"/>
        <v>-4590687.39373832</v>
      </c>
      <c r="Y464" s="158">
        <f t="shared" si="91"/>
        <v>-321348.117561682</v>
      </c>
      <c r="Z464" s="158">
        <v>5200962.41</v>
      </c>
      <c r="AA464" s="158">
        <f t="shared" si="87"/>
        <v>2216517.5876</v>
      </c>
      <c r="AB464" s="167">
        <f>IF(O464="返货",(Z464-Q464)/(1+N464),IF(O464="返现",(Z464-Q464),IF(O464="折扣",(Z464-Q464)*N464,IF(O464="无",(Z464-Q464)))))</f>
        <v>4790138.03962617</v>
      </c>
      <c r="AC464" s="168">
        <f t="shared" si="88"/>
        <v>410824.370373832</v>
      </c>
      <c r="AD464" s="158">
        <f t="shared" si="92"/>
        <v>5098385.65434547</v>
      </c>
      <c r="AE464" s="159">
        <v>0.1077</v>
      </c>
      <c r="AF464" s="158">
        <f t="shared" si="82"/>
        <v>549096.134973007</v>
      </c>
      <c r="AG464" s="158">
        <v>219893.77426728</v>
      </c>
      <c r="AH464" s="175"/>
      <c r="AI464" s="175"/>
      <c r="AJ464" s="157">
        <v>0.07</v>
      </c>
      <c r="AK464" s="177">
        <v>0.07</v>
      </c>
      <c r="AL464" s="140" t="s">
        <v>591</v>
      </c>
      <c r="AM464" s="152"/>
    </row>
    <row r="465" s="140" customFormat="1" ht="15" hidden="1" customHeight="1" spans="1:39">
      <c r="A465" s="140">
        <v>2017</v>
      </c>
      <c r="B465" s="140" t="s">
        <v>38</v>
      </c>
      <c r="C465" s="140" t="s">
        <v>75</v>
      </c>
      <c r="D465" s="140" t="s">
        <v>76</v>
      </c>
      <c r="E465" s="140" t="s">
        <v>296</v>
      </c>
      <c r="F465" s="140" t="s">
        <v>205</v>
      </c>
      <c r="G465" s="140" t="s">
        <v>647</v>
      </c>
      <c r="H465" s="140" t="s">
        <v>647</v>
      </c>
      <c r="I465" s="184" t="s">
        <v>204</v>
      </c>
      <c r="J465" s="140" t="s">
        <v>577</v>
      </c>
      <c r="K465" s="140" t="s">
        <v>578</v>
      </c>
      <c r="L465" s="140" t="s">
        <v>646</v>
      </c>
      <c r="M465" s="140" t="s">
        <v>597</v>
      </c>
      <c r="N465" s="157">
        <v>0</v>
      </c>
      <c r="O465" s="156" t="s">
        <v>47</v>
      </c>
      <c r="P465" s="156"/>
      <c r="Q465" s="158">
        <v>0</v>
      </c>
      <c r="R465" s="158">
        <v>0</v>
      </c>
      <c r="S465" s="158">
        <v>612810</v>
      </c>
      <c r="T465" s="158">
        <f t="shared" si="85"/>
        <v>0</v>
      </c>
      <c r="U465" s="158">
        <f t="shared" si="89"/>
        <v>612810</v>
      </c>
      <c r="V465" s="158">
        <v>369210</v>
      </c>
      <c r="W465" s="158">
        <f t="shared" si="90"/>
        <v>243600</v>
      </c>
      <c r="X465" s="158">
        <f t="shared" si="86"/>
        <v>243600</v>
      </c>
      <c r="Y465" s="158">
        <f t="shared" si="91"/>
        <v>0</v>
      </c>
      <c r="Z465" s="158">
        <v>369210</v>
      </c>
      <c r="AA465" s="158">
        <f t="shared" si="87"/>
        <v>0</v>
      </c>
      <c r="AB465" s="167">
        <f>IF(O465="返货",Z465/(1+N465),IF(O465="返现",Z465,IF(O465="折扣",Z465*N465,IF(O465="无",Z465))))</f>
        <v>369210</v>
      </c>
      <c r="AC465" s="168">
        <f t="shared" si="88"/>
        <v>0</v>
      </c>
      <c r="AD465" s="158">
        <f t="shared" si="92"/>
        <v>361928.200792532</v>
      </c>
      <c r="AE465" s="159">
        <v>0.3534</v>
      </c>
      <c r="AF465" s="158">
        <f t="shared" si="82"/>
        <v>127905.426160081</v>
      </c>
      <c r="AG465" s="158">
        <v>130478.814</v>
      </c>
      <c r="AH465" s="175"/>
      <c r="AI465" s="175"/>
      <c r="AJ465" s="156" t="s">
        <v>648</v>
      </c>
      <c r="AK465" s="140" t="s">
        <v>648</v>
      </c>
      <c r="AM465" s="152"/>
    </row>
    <row r="466" s="140" customFormat="1" ht="15" hidden="1" customHeight="1" spans="1:39">
      <c r="A466" s="140">
        <v>2017</v>
      </c>
      <c r="B466" s="140" t="s">
        <v>38</v>
      </c>
      <c r="C466" s="140" t="s">
        <v>75</v>
      </c>
      <c r="D466" s="140" t="s">
        <v>76</v>
      </c>
      <c r="E466" s="140" t="s">
        <v>296</v>
      </c>
      <c r="F466" s="140" t="s">
        <v>205</v>
      </c>
      <c r="G466" s="140" t="s">
        <v>647</v>
      </c>
      <c r="H466" s="140" t="s">
        <v>647</v>
      </c>
      <c r="I466" s="184" t="s">
        <v>204</v>
      </c>
      <c r="J466" s="140" t="s">
        <v>577</v>
      </c>
      <c r="K466" s="140" t="s">
        <v>578</v>
      </c>
      <c r="L466" s="140" t="s">
        <v>646</v>
      </c>
      <c r="M466" s="140" t="s">
        <v>46</v>
      </c>
      <c r="N466" s="157">
        <v>0.04</v>
      </c>
      <c r="O466" s="156" t="s">
        <v>495</v>
      </c>
      <c r="P466" s="156"/>
      <c r="Q466" s="158">
        <v>0</v>
      </c>
      <c r="R466" s="158">
        <v>0</v>
      </c>
      <c r="S466" s="158">
        <v>2940000</v>
      </c>
      <c r="T466" s="158">
        <f t="shared" si="85"/>
        <v>117600</v>
      </c>
      <c r="U466" s="158">
        <f t="shared" si="89"/>
        <v>3057600</v>
      </c>
      <c r="V466" s="158">
        <v>0</v>
      </c>
      <c r="W466" s="158">
        <f t="shared" si="90"/>
        <v>3057600</v>
      </c>
      <c r="X466" s="158">
        <f t="shared" si="86"/>
        <v>2940000</v>
      </c>
      <c r="Y466" s="158">
        <f t="shared" si="91"/>
        <v>117600</v>
      </c>
      <c r="Z466" s="158">
        <v>0</v>
      </c>
      <c r="AA466" s="158">
        <f t="shared" si="87"/>
        <v>0</v>
      </c>
      <c r="AB466" s="167">
        <f>IF(O466="返货",Z466/(1+N466),IF(O466="返现",Z466,IF(O466="折扣",Z466*N466,IF(O466="无",Z466))))</f>
        <v>0</v>
      </c>
      <c r="AC466" s="168">
        <f t="shared" si="88"/>
        <v>0</v>
      </c>
      <c r="AD466" s="158">
        <f t="shared" si="92"/>
        <v>0</v>
      </c>
      <c r="AE466" s="159">
        <v>0.1077</v>
      </c>
      <c r="AF466" s="158">
        <f t="shared" si="82"/>
        <v>0</v>
      </c>
      <c r="AG466" s="158">
        <v>0</v>
      </c>
      <c r="AH466" s="175"/>
      <c r="AI466" s="175"/>
      <c r="AJ466" s="157">
        <v>0.04</v>
      </c>
      <c r="AK466" s="177">
        <v>0.04</v>
      </c>
      <c r="AM466" s="152"/>
    </row>
    <row r="467" s="140" customFormat="1" ht="15" hidden="1" customHeight="1" spans="1:39">
      <c r="A467" s="140">
        <v>2017</v>
      </c>
      <c r="B467" s="140" t="s">
        <v>38</v>
      </c>
      <c r="C467" s="140" t="s">
        <v>75</v>
      </c>
      <c r="D467" s="140" t="s">
        <v>76</v>
      </c>
      <c r="E467" s="140" t="s">
        <v>296</v>
      </c>
      <c r="F467" s="140" t="s">
        <v>205</v>
      </c>
      <c r="G467" s="140" t="s">
        <v>647</v>
      </c>
      <c r="H467" s="140" t="s">
        <v>647</v>
      </c>
      <c r="I467" s="184" t="s">
        <v>204</v>
      </c>
      <c r="J467" s="140" t="s">
        <v>577</v>
      </c>
      <c r="K467" s="140" t="s">
        <v>578</v>
      </c>
      <c r="L467" s="140" t="s">
        <v>646</v>
      </c>
      <c r="M467" s="140" t="s">
        <v>160</v>
      </c>
      <c r="N467" s="157">
        <v>0.04</v>
      </c>
      <c r="O467" s="156" t="s">
        <v>495</v>
      </c>
      <c r="P467" s="156"/>
      <c r="Q467" s="158">
        <v>0</v>
      </c>
      <c r="R467" s="158">
        <v>0</v>
      </c>
      <c r="S467" s="158">
        <v>250000</v>
      </c>
      <c r="T467" s="158">
        <f t="shared" si="85"/>
        <v>10000</v>
      </c>
      <c r="U467" s="158">
        <f t="shared" si="89"/>
        <v>260000</v>
      </c>
      <c r="V467" s="158">
        <v>493600</v>
      </c>
      <c r="W467" s="158">
        <f t="shared" si="90"/>
        <v>-233600</v>
      </c>
      <c r="X467" s="158">
        <f t="shared" si="86"/>
        <v>-224615.384615385</v>
      </c>
      <c r="Y467" s="158">
        <f t="shared" si="91"/>
        <v>-8984.6153846154</v>
      </c>
      <c r="Z467" s="158">
        <v>493600</v>
      </c>
      <c r="AA467" s="158">
        <f t="shared" si="87"/>
        <v>0</v>
      </c>
      <c r="AB467" s="167">
        <f>IF(O467="返货",Z467/(1+N467),IF(O467="返现",Z467,IF(O467="折扣",Z467*N467,IF(O467="无",Z467))))</f>
        <v>493600</v>
      </c>
      <c r="AC467" s="168">
        <f t="shared" si="88"/>
        <v>19744</v>
      </c>
      <c r="AD467" s="158">
        <f t="shared" si="92"/>
        <v>483864.900493469</v>
      </c>
      <c r="AE467" s="159">
        <v>0.1077</v>
      </c>
      <c r="AF467" s="158">
        <f t="shared" si="82"/>
        <v>52112.2497831466</v>
      </c>
      <c r="AG467" s="158">
        <v>34176.1046153846</v>
      </c>
      <c r="AH467" s="175"/>
      <c r="AI467" s="175"/>
      <c r="AJ467" s="157">
        <v>0.04</v>
      </c>
      <c r="AK467" s="177">
        <v>0.04</v>
      </c>
      <c r="AM467" s="152"/>
    </row>
    <row r="468" s="140" customFormat="1" ht="15" hidden="1" customHeight="1" spans="1:39">
      <c r="A468" s="140">
        <v>2017</v>
      </c>
      <c r="B468" s="140" t="s">
        <v>38</v>
      </c>
      <c r="C468" s="140" t="s">
        <v>75</v>
      </c>
      <c r="D468" s="140" t="s">
        <v>76</v>
      </c>
      <c r="E468" s="140" t="s">
        <v>649</v>
      </c>
      <c r="F468" s="140" t="s">
        <v>538</v>
      </c>
      <c r="G468" s="140" t="s">
        <v>538</v>
      </c>
      <c r="H468" s="140" t="s">
        <v>538</v>
      </c>
      <c r="I468" s="184" t="s">
        <v>204</v>
      </c>
      <c r="J468" s="140" t="s">
        <v>577</v>
      </c>
      <c r="K468" s="140" t="s">
        <v>578</v>
      </c>
      <c r="L468" s="140" t="s">
        <v>539</v>
      </c>
      <c r="M468" s="140" t="s">
        <v>46</v>
      </c>
      <c r="N468" s="157">
        <v>0.02</v>
      </c>
      <c r="O468" s="156" t="s">
        <v>51</v>
      </c>
      <c r="P468" s="156"/>
      <c r="Q468" s="158">
        <v>105789.6</v>
      </c>
      <c r="R468" s="158">
        <v>0</v>
      </c>
      <c r="S468" s="158">
        <v>46464059.82</v>
      </c>
      <c r="T468" s="158">
        <f t="shared" si="85"/>
        <v>929281.1964</v>
      </c>
      <c r="U468" s="158">
        <f t="shared" si="89"/>
        <v>47393341.0164</v>
      </c>
      <c r="V468" s="158">
        <v>76227179.57</v>
      </c>
      <c r="W468" s="158">
        <f t="shared" si="90"/>
        <v>-28833838.5536</v>
      </c>
      <c r="X468" s="158">
        <f t="shared" si="86"/>
        <v>-28268469.1701961</v>
      </c>
      <c r="Y468" s="158">
        <f t="shared" si="91"/>
        <v>-565369.383403923</v>
      </c>
      <c r="Z468" s="158">
        <v>47499240.75</v>
      </c>
      <c r="AA468" s="158">
        <f t="shared" si="87"/>
        <v>28833728.42</v>
      </c>
      <c r="AB468" s="167">
        <f>IF(O468="返货",(Z468-Q468)/(1+N468),IF(O468="返现",(Z468-Q468),IF(O468="折扣",(Z468-Q468)*N468,IF(O468="无",(Z468-Q468)))))</f>
        <v>46464167.7941176</v>
      </c>
      <c r="AC468" s="168">
        <f t="shared" si="88"/>
        <v>1035072.95588236</v>
      </c>
      <c r="AD468" s="158">
        <f t="shared" si="92"/>
        <v>46562429.9007579</v>
      </c>
      <c r="AE468" s="159">
        <v>0.1077</v>
      </c>
      <c r="AF468" s="158">
        <f t="shared" si="82"/>
        <v>5014773.70031162</v>
      </c>
      <c r="AG468" s="158">
        <v>4184310.5670103</v>
      </c>
      <c r="AH468" s="175"/>
      <c r="AI468" s="175"/>
      <c r="AJ468" s="156" t="s">
        <v>173</v>
      </c>
      <c r="AK468" s="140" t="s">
        <v>173</v>
      </c>
      <c r="AL468" s="140" t="s">
        <v>613</v>
      </c>
      <c r="AM468" s="152"/>
    </row>
    <row r="469" s="140" customFormat="1" ht="15" hidden="1" customHeight="1" spans="1:39">
      <c r="A469" s="140">
        <v>2017</v>
      </c>
      <c r="B469" s="140" t="s">
        <v>38</v>
      </c>
      <c r="C469" s="140" t="s">
        <v>75</v>
      </c>
      <c r="D469" s="140" t="s">
        <v>76</v>
      </c>
      <c r="E469" s="140" t="s">
        <v>649</v>
      </c>
      <c r="F469" s="140" t="s">
        <v>538</v>
      </c>
      <c r="G469" s="140" t="s">
        <v>538</v>
      </c>
      <c r="H469" s="140" t="s">
        <v>538</v>
      </c>
      <c r="I469" s="184" t="s">
        <v>204</v>
      </c>
      <c r="J469" s="140" t="s">
        <v>577</v>
      </c>
      <c r="K469" s="140" t="s">
        <v>578</v>
      </c>
      <c r="L469" s="140" t="s">
        <v>539</v>
      </c>
      <c r="M469" s="140" t="s">
        <v>185</v>
      </c>
      <c r="N469" s="157">
        <v>0.08</v>
      </c>
      <c r="O469" s="156" t="s">
        <v>51</v>
      </c>
      <c r="P469" s="156"/>
      <c r="Q469" s="158">
        <v>75694.24</v>
      </c>
      <c r="R469" s="158">
        <v>0</v>
      </c>
      <c r="S469" s="158">
        <v>25533590.12</v>
      </c>
      <c r="T469" s="158">
        <f t="shared" si="85"/>
        <v>2042687.2096</v>
      </c>
      <c r="U469" s="158">
        <f t="shared" si="89"/>
        <v>27576277.3296</v>
      </c>
      <c r="V469" s="158">
        <v>0</v>
      </c>
      <c r="W469" s="158">
        <f t="shared" si="90"/>
        <v>27576277.3296</v>
      </c>
      <c r="X469" s="158">
        <f t="shared" si="86"/>
        <v>25533590.12</v>
      </c>
      <c r="Y469" s="158">
        <f t="shared" si="91"/>
        <v>2042687.2096</v>
      </c>
      <c r="Z469" s="158">
        <v>28840237.21</v>
      </c>
      <c r="AA469" s="158">
        <f t="shared" si="87"/>
        <v>-28764542.97</v>
      </c>
      <c r="AB469" s="167">
        <f>IF(O469="返货",(Z469-Q469)/(1+N469),IF(O469="返现",(Z469-Q469),IF(O469="折扣",(Z469-Q469)*N469,IF(O469="无",(Z469-Q469)))))</f>
        <v>26633836.0833333</v>
      </c>
      <c r="AC469" s="168">
        <f t="shared" si="88"/>
        <v>2206401.12666667</v>
      </c>
      <c r="AD469" s="158">
        <f t="shared" si="92"/>
        <v>28271431.3367599</v>
      </c>
      <c r="AE469" s="159">
        <v>0.3156</v>
      </c>
      <c r="AF469" s="158">
        <f t="shared" si="82"/>
        <v>8922463.72988143</v>
      </c>
      <c r="AG469" s="158">
        <v>6965664.99606859</v>
      </c>
      <c r="AH469" s="175"/>
      <c r="AI469" s="175"/>
      <c r="AJ469" s="156" t="s">
        <v>53</v>
      </c>
      <c r="AK469" s="140" t="s">
        <v>53</v>
      </c>
      <c r="AM469" s="152"/>
    </row>
    <row r="470" s="140" customFormat="1" ht="15" hidden="1" customHeight="1" spans="1:39">
      <c r="A470" s="140">
        <v>2017</v>
      </c>
      <c r="B470" s="140" t="s">
        <v>38</v>
      </c>
      <c r="C470" s="140" t="s">
        <v>75</v>
      </c>
      <c r="D470" s="140" t="s">
        <v>76</v>
      </c>
      <c r="E470" s="140" t="s">
        <v>649</v>
      </c>
      <c r="F470" s="140" t="s">
        <v>538</v>
      </c>
      <c r="G470" s="140" t="s">
        <v>538</v>
      </c>
      <c r="H470" s="140" t="s">
        <v>538</v>
      </c>
      <c r="I470" s="184" t="s">
        <v>204</v>
      </c>
      <c r="J470" s="140" t="s">
        <v>577</v>
      </c>
      <c r="K470" s="140" t="s">
        <v>578</v>
      </c>
      <c r="L470" s="140" t="s">
        <v>539</v>
      </c>
      <c r="M470" s="140" t="s">
        <v>597</v>
      </c>
      <c r="N470" s="157">
        <v>0.08</v>
      </c>
      <c r="O470" s="156" t="s">
        <v>51</v>
      </c>
      <c r="P470" s="156"/>
      <c r="Q470" s="158">
        <v>0</v>
      </c>
      <c r="R470" s="158">
        <v>0</v>
      </c>
      <c r="S470" s="158">
        <v>246868.9</v>
      </c>
      <c r="T470" s="158">
        <f t="shared" si="85"/>
        <v>19749.512</v>
      </c>
      <c r="U470" s="158">
        <f t="shared" si="89"/>
        <v>266618.412</v>
      </c>
      <c r="V470" s="158">
        <v>252424.46</v>
      </c>
      <c r="W470" s="158">
        <f t="shared" si="90"/>
        <v>14193.952</v>
      </c>
      <c r="X470" s="158">
        <f t="shared" si="86"/>
        <v>13142.5481481482</v>
      </c>
      <c r="Y470" s="158">
        <f t="shared" si="91"/>
        <v>1051.40385185185</v>
      </c>
      <c r="Z470" s="158">
        <v>252424.46</v>
      </c>
      <c r="AA470" s="158">
        <f t="shared" si="87"/>
        <v>0</v>
      </c>
      <c r="AB470" s="167">
        <f>IF(O470="返货",Z470/(1+N470),IF(O470="返现",Z470,IF(O470="折扣",Z470*N470,IF(O470="无",Z470))))</f>
        <v>233726.351851852</v>
      </c>
      <c r="AC470" s="168">
        <f t="shared" si="88"/>
        <v>18698.1081481482</v>
      </c>
      <c r="AD470" s="158">
        <f t="shared" si="92"/>
        <v>247445.980996794</v>
      </c>
      <c r="AE470" s="159">
        <v>0.3534</v>
      </c>
      <c r="AF470" s="158">
        <f t="shared" si="82"/>
        <v>87447.4096842671</v>
      </c>
      <c r="AG470" s="158">
        <v>70508.6960158518</v>
      </c>
      <c r="AH470" s="175"/>
      <c r="AI470" s="175"/>
      <c r="AJ470" s="156" t="s">
        <v>53</v>
      </c>
      <c r="AK470" s="140" t="s">
        <v>53</v>
      </c>
      <c r="AM470" s="152"/>
    </row>
    <row r="471" s="140" customFormat="1" ht="15" hidden="1" customHeight="1" spans="1:39">
      <c r="A471" s="140">
        <v>2017</v>
      </c>
      <c r="B471" s="140" t="s">
        <v>38</v>
      </c>
      <c r="C471" s="140" t="s">
        <v>75</v>
      </c>
      <c r="D471" s="140" t="s">
        <v>76</v>
      </c>
      <c r="E471" s="140" t="s">
        <v>649</v>
      </c>
      <c r="F471" s="140" t="s">
        <v>538</v>
      </c>
      <c r="G471" s="140" t="s">
        <v>538</v>
      </c>
      <c r="H471" s="140" t="s">
        <v>538</v>
      </c>
      <c r="I471" s="184" t="s">
        <v>204</v>
      </c>
      <c r="J471" s="140" t="s">
        <v>577</v>
      </c>
      <c r="K471" s="140" t="s">
        <v>578</v>
      </c>
      <c r="L471" s="140" t="s">
        <v>539</v>
      </c>
      <c r="M471" s="140" t="s">
        <v>160</v>
      </c>
      <c r="N471" s="156">
        <v>0</v>
      </c>
      <c r="O471" s="156" t="s">
        <v>47</v>
      </c>
      <c r="P471" s="156"/>
      <c r="Q471" s="158">
        <v>0</v>
      </c>
      <c r="R471" s="158">
        <v>0</v>
      </c>
      <c r="S471" s="158">
        <v>2110500</v>
      </c>
      <c r="T471" s="158">
        <f t="shared" si="85"/>
        <v>0</v>
      </c>
      <c r="U471" s="158">
        <f t="shared" si="89"/>
        <v>2110500</v>
      </c>
      <c r="V471" s="158">
        <v>1877419.36</v>
      </c>
      <c r="W471" s="158">
        <f t="shared" si="90"/>
        <v>233080.64</v>
      </c>
      <c r="X471" s="158">
        <f t="shared" si="86"/>
        <v>233080.64</v>
      </c>
      <c r="Y471" s="158">
        <f t="shared" si="91"/>
        <v>0</v>
      </c>
      <c r="Z471" s="158">
        <v>1877419.36</v>
      </c>
      <c r="AA471" s="158">
        <f t="shared" si="87"/>
        <v>0</v>
      </c>
      <c r="AB471" s="167">
        <f>IF(O471="返货",Z471/(1+N471),IF(O471="返现",Z471,IF(O471="折扣",Z471*N471,IF(O471="无",Z471))))</f>
        <v>1877419.36</v>
      </c>
      <c r="AC471" s="168">
        <f t="shared" si="88"/>
        <v>0</v>
      </c>
      <c r="AD471" s="158">
        <f t="shared" si="92"/>
        <v>1840391.67708856</v>
      </c>
      <c r="AE471" s="159">
        <v>0.1077</v>
      </c>
      <c r="AF471" s="158">
        <f t="shared" si="82"/>
        <v>198210.183622438</v>
      </c>
      <c r="AG471" s="158">
        <v>202198.065072</v>
      </c>
      <c r="AH471" s="175"/>
      <c r="AI471" s="175"/>
      <c r="AJ471" s="156" t="s">
        <v>47</v>
      </c>
      <c r="AK471" s="140" t="s">
        <v>47</v>
      </c>
      <c r="AM471" s="152"/>
    </row>
    <row r="472" s="140" customFormat="1" ht="15" hidden="1" customHeight="1" spans="1:39">
      <c r="A472" s="140">
        <v>2017</v>
      </c>
      <c r="B472" s="140" t="s">
        <v>38</v>
      </c>
      <c r="C472" s="140" t="s">
        <v>75</v>
      </c>
      <c r="D472" s="140" t="s">
        <v>76</v>
      </c>
      <c r="E472" s="140" t="s">
        <v>649</v>
      </c>
      <c r="F472" s="140" t="s">
        <v>650</v>
      </c>
      <c r="G472" s="140" t="s">
        <v>650</v>
      </c>
      <c r="H472" s="140" t="s">
        <v>650</v>
      </c>
      <c r="I472" s="184" t="s">
        <v>204</v>
      </c>
      <c r="J472" s="140" t="s">
        <v>577</v>
      </c>
      <c r="K472" s="140" t="s">
        <v>578</v>
      </c>
      <c r="L472" s="140" t="s">
        <v>650</v>
      </c>
      <c r="M472" s="140" t="s">
        <v>46</v>
      </c>
      <c r="N472" s="157">
        <v>0.02</v>
      </c>
      <c r="O472" s="156" t="s">
        <v>51</v>
      </c>
      <c r="P472" s="156"/>
      <c r="Q472" s="158">
        <v>5321.91</v>
      </c>
      <c r="R472" s="158">
        <v>0</v>
      </c>
      <c r="S472" s="158">
        <v>20000</v>
      </c>
      <c r="T472" s="158">
        <f t="shared" si="85"/>
        <v>400</v>
      </c>
      <c r="U472" s="158">
        <f t="shared" si="89"/>
        <v>20400</v>
      </c>
      <c r="V472" s="158">
        <v>22400</v>
      </c>
      <c r="W472" s="158">
        <f t="shared" si="90"/>
        <v>-2000</v>
      </c>
      <c r="X472" s="158">
        <f t="shared" si="86"/>
        <v>-1960.78431372549</v>
      </c>
      <c r="Y472" s="158">
        <f t="shared" si="91"/>
        <v>-39.2156862745098</v>
      </c>
      <c r="Z472" s="158">
        <v>26121.91</v>
      </c>
      <c r="AA472" s="158">
        <f t="shared" si="87"/>
        <v>1600</v>
      </c>
      <c r="AB472" s="167">
        <f>IF(O472="返货",(Z472-Q472)/(1+N472),IF(O472="返现",(Z472-Q472),IF(O472="折扣",(Z472-Q472)*N472,IF(O472="无",(Z472-Q472)))))</f>
        <v>20392.1568627451</v>
      </c>
      <c r="AC472" s="168">
        <f t="shared" si="88"/>
        <v>5729.7531372549</v>
      </c>
      <c r="AD472" s="158">
        <f t="shared" si="92"/>
        <v>25606.7167399703</v>
      </c>
      <c r="AE472" s="159">
        <v>0.1077</v>
      </c>
      <c r="AF472" s="158">
        <f t="shared" si="82"/>
        <v>2757.8433928948</v>
      </c>
      <c r="AG472" s="158">
        <v>2301.13539327451</v>
      </c>
      <c r="AH472" s="175"/>
      <c r="AI472" s="175"/>
      <c r="AJ472" s="156" t="s">
        <v>173</v>
      </c>
      <c r="AK472" s="140" t="s">
        <v>173</v>
      </c>
      <c r="AM472" s="152"/>
    </row>
    <row r="473" s="140" customFormat="1" ht="15" hidden="1" customHeight="1" spans="1:39">
      <c r="A473" s="140">
        <v>2017</v>
      </c>
      <c r="B473" s="140" t="s">
        <v>38</v>
      </c>
      <c r="C473" s="140" t="s">
        <v>75</v>
      </c>
      <c r="D473" s="140" t="s">
        <v>76</v>
      </c>
      <c r="E473" s="140" t="s">
        <v>315</v>
      </c>
      <c r="F473" s="140" t="s">
        <v>651</v>
      </c>
      <c r="G473" s="140" t="s">
        <v>651</v>
      </c>
      <c r="H473" s="140" t="s">
        <v>651</v>
      </c>
      <c r="I473" s="184" t="s">
        <v>204</v>
      </c>
      <c r="J473" s="140" t="s">
        <v>577</v>
      </c>
      <c r="K473" s="140" t="s">
        <v>578</v>
      </c>
      <c r="L473" s="140" t="s">
        <v>651</v>
      </c>
      <c r="M473" s="140" t="s">
        <v>46</v>
      </c>
      <c r="N473" s="156">
        <v>0.05</v>
      </c>
      <c r="O473" s="156" t="s">
        <v>51</v>
      </c>
      <c r="P473" s="156"/>
      <c r="Q473" s="158">
        <v>0</v>
      </c>
      <c r="R473" s="158">
        <v>0</v>
      </c>
      <c r="S473" s="158">
        <v>572307.68</v>
      </c>
      <c r="T473" s="158">
        <f t="shared" si="85"/>
        <v>28615.384</v>
      </c>
      <c r="U473" s="158">
        <f t="shared" si="89"/>
        <v>600923.064</v>
      </c>
      <c r="V473" s="158">
        <v>702341.62</v>
      </c>
      <c r="W473" s="158">
        <f t="shared" si="90"/>
        <v>-101418.556</v>
      </c>
      <c r="X473" s="158">
        <f t="shared" si="86"/>
        <v>-96589.1009523809</v>
      </c>
      <c r="Y473" s="158">
        <f t="shared" si="91"/>
        <v>-4829.45504761905</v>
      </c>
      <c r="Z473" s="158">
        <v>600923.06</v>
      </c>
      <c r="AA473" s="158">
        <f t="shared" si="87"/>
        <v>101418.56</v>
      </c>
      <c r="AB473" s="167">
        <f>IF(O473="返货",Z473/(1+N473),IF(O473="返现",Z473,IF(O473="折扣",Z473*N473,IF(O473="无",Z473))))</f>
        <v>572307.676190476</v>
      </c>
      <c r="AC473" s="168">
        <f t="shared" si="88"/>
        <v>28615.3838095239</v>
      </c>
      <c r="AD473" s="158">
        <f t="shared" si="92"/>
        <v>589071.265460152</v>
      </c>
      <c r="AE473" s="159">
        <v>0.1077</v>
      </c>
      <c r="AF473" s="158">
        <f t="shared" si="82"/>
        <v>63442.9752900584</v>
      </c>
      <c r="AG473" s="158">
        <v>36104.0297524761</v>
      </c>
      <c r="AH473" s="175"/>
      <c r="AI473" s="175"/>
      <c r="AJ473" s="156" t="s">
        <v>63</v>
      </c>
      <c r="AK473" s="177">
        <v>0.05</v>
      </c>
      <c r="AM473" s="152"/>
    </row>
    <row r="474" s="140" customFormat="1" ht="15" hidden="1" customHeight="1" spans="1:39">
      <c r="A474" s="140">
        <v>2017</v>
      </c>
      <c r="B474" s="140" t="s">
        <v>38</v>
      </c>
      <c r="C474" s="140" t="s">
        <v>75</v>
      </c>
      <c r="D474" s="140" t="s">
        <v>76</v>
      </c>
      <c r="E474" s="140" t="s">
        <v>315</v>
      </c>
      <c r="F474" s="140" t="s">
        <v>652</v>
      </c>
      <c r="G474" s="140" t="s">
        <v>652</v>
      </c>
      <c r="H474" s="140" t="s">
        <v>652</v>
      </c>
      <c r="I474" s="184" t="s">
        <v>204</v>
      </c>
      <c r="J474" s="140" t="s">
        <v>577</v>
      </c>
      <c r="K474" s="140" t="s">
        <v>578</v>
      </c>
      <c r="L474" s="140" t="s">
        <v>652</v>
      </c>
      <c r="M474" s="140" t="s">
        <v>46</v>
      </c>
      <c r="N474" s="157">
        <v>0.02</v>
      </c>
      <c r="O474" s="156" t="s">
        <v>51</v>
      </c>
      <c r="P474" s="156"/>
      <c r="Q474" s="158">
        <v>0</v>
      </c>
      <c r="R474" s="158">
        <v>0</v>
      </c>
      <c r="S474" s="158">
        <v>32849.61</v>
      </c>
      <c r="T474" s="158">
        <f t="shared" si="85"/>
        <v>656.9922</v>
      </c>
      <c r="U474" s="158">
        <f t="shared" si="89"/>
        <v>33506.6022</v>
      </c>
      <c r="V474" s="158">
        <v>35700</v>
      </c>
      <c r="W474" s="158">
        <f t="shared" si="90"/>
        <v>-2193.3978</v>
      </c>
      <c r="X474" s="158">
        <f t="shared" si="86"/>
        <v>-2150.39</v>
      </c>
      <c r="Y474" s="158">
        <f t="shared" si="91"/>
        <v>-43.0077999999999</v>
      </c>
      <c r="Z474" s="158">
        <v>33505.99</v>
      </c>
      <c r="AA474" s="158">
        <f t="shared" si="87"/>
        <v>2194.01</v>
      </c>
      <c r="AB474" s="167">
        <f>IF(O474="返货",Z474/(1+N474),IF(O474="返现",Z474,IF(O474="折扣",Z474*N474,IF(O474="无",Z474))))</f>
        <v>32849.0098039216</v>
      </c>
      <c r="AC474" s="168">
        <f t="shared" si="88"/>
        <v>656.980196078432</v>
      </c>
      <c r="AD474" s="158">
        <f t="shared" si="92"/>
        <v>32845.1631225388</v>
      </c>
      <c r="AE474" s="159">
        <v>0.1077</v>
      </c>
      <c r="AF474" s="158">
        <f t="shared" si="82"/>
        <v>3537.42406829743</v>
      </c>
      <c r="AG474" s="158">
        <v>2951.61492692157</v>
      </c>
      <c r="AH474" s="175"/>
      <c r="AI474" s="175"/>
      <c r="AJ474" s="157">
        <v>0.02</v>
      </c>
      <c r="AK474" s="177">
        <v>0.02</v>
      </c>
      <c r="AM474" s="152"/>
    </row>
    <row r="475" s="140" customFormat="1" ht="15" hidden="1" customHeight="1" spans="1:39">
      <c r="A475" s="140">
        <v>2017</v>
      </c>
      <c r="B475" s="140" t="s">
        <v>38</v>
      </c>
      <c r="C475" s="140" t="s">
        <v>75</v>
      </c>
      <c r="D475" s="140" t="s">
        <v>76</v>
      </c>
      <c r="E475" s="140" t="s">
        <v>315</v>
      </c>
      <c r="F475" s="140" t="s">
        <v>653</v>
      </c>
      <c r="G475" s="140" t="s">
        <v>653</v>
      </c>
      <c r="H475" s="140" t="s">
        <v>653</v>
      </c>
      <c r="I475" s="184" t="s">
        <v>204</v>
      </c>
      <c r="J475" s="140" t="s">
        <v>577</v>
      </c>
      <c r="K475" s="140" t="s">
        <v>578</v>
      </c>
      <c r="L475" s="140" t="s">
        <v>654</v>
      </c>
      <c r="M475" s="140" t="s">
        <v>46</v>
      </c>
      <c r="N475" s="157">
        <v>0.02</v>
      </c>
      <c r="O475" s="156" t="s">
        <v>51</v>
      </c>
      <c r="P475" s="156"/>
      <c r="Q475" s="158">
        <v>8389.41</v>
      </c>
      <c r="R475" s="158">
        <v>0</v>
      </c>
      <c r="S475" s="158">
        <v>45857.96</v>
      </c>
      <c r="T475" s="158">
        <f t="shared" si="85"/>
        <v>917.1592</v>
      </c>
      <c r="U475" s="158">
        <f t="shared" si="89"/>
        <v>46775.1192</v>
      </c>
      <c r="V475" s="158">
        <v>71400</v>
      </c>
      <c r="W475" s="158">
        <f t="shared" si="90"/>
        <v>-24624.8808</v>
      </c>
      <c r="X475" s="158">
        <f t="shared" si="86"/>
        <v>-24142.04</v>
      </c>
      <c r="Y475" s="158">
        <f t="shared" si="91"/>
        <v>-482.840800000002</v>
      </c>
      <c r="Z475" s="158">
        <v>55167.31</v>
      </c>
      <c r="AA475" s="158">
        <f t="shared" si="87"/>
        <v>24622.1</v>
      </c>
      <c r="AB475" s="167">
        <f>IF(O475="返货",(Z475-Q475)/(1+N475),IF(O475="返现",(Z475-Q475),IF(O475="折扣",(Z475-Q475)*N475,IF(O475="无",(Z475-Q475)))))</f>
        <v>45860.6862745098</v>
      </c>
      <c r="AC475" s="168">
        <f t="shared" si="88"/>
        <v>9306.6237254902</v>
      </c>
      <c r="AD475" s="158">
        <f t="shared" si="92"/>
        <v>54079.2645130518</v>
      </c>
      <c r="AE475" s="159">
        <v>0.1077</v>
      </c>
      <c r="AF475" s="158">
        <f t="shared" si="82"/>
        <v>5824.33678805568</v>
      </c>
      <c r="AG475" s="158">
        <v>4859.80732621569</v>
      </c>
      <c r="AH475" s="175"/>
      <c r="AI475" s="175"/>
      <c r="AJ475" s="156" t="s">
        <v>173</v>
      </c>
      <c r="AK475" s="177">
        <v>0.02</v>
      </c>
      <c r="AM475" s="152"/>
    </row>
    <row r="476" s="140" customFormat="1" ht="15" hidden="1" customHeight="1" spans="1:39">
      <c r="A476" s="140">
        <v>2017</v>
      </c>
      <c r="B476" s="140" t="s">
        <v>252</v>
      </c>
      <c r="C476" s="140" t="s">
        <v>75</v>
      </c>
      <c r="D476" s="140" t="s">
        <v>76</v>
      </c>
      <c r="E476" s="140" t="s">
        <v>315</v>
      </c>
      <c r="F476" s="140" t="s">
        <v>519</v>
      </c>
      <c r="G476" s="140" t="s">
        <v>520</v>
      </c>
      <c r="H476" s="152" t="s">
        <v>521</v>
      </c>
      <c r="I476" s="184" t="s">
        <v>204</v>
      </c>
      <c r="J476" s="140" t="s">
        <v>205</v>
      </c>
      <c r="K476" s="140" t="s">
        <v>206</v>
      </c>
      <c r="L476" s="140" t="s">
        <v>655</v>
      </c>
      <c r="M476" s="140" t="s">
        <v>46</v>
      </c>
      <c r="N476" s="157">
        <v>0.02</v>
      </c>
      <c r="O476" s="156" t="s">
        <v>51</v>
      </c>
      <c r="P476" s="156"/>
      <c r="Q476" s="158">
        <v>0</v>
      </c>
      <c r="R476" s="158">
        <v>0</v>
      </c>
      <c r="S476" s="158">
        <v>650000</v>
      </c>
      <c r="T476" s="158">
        <f t="shared" si="85"/>
        <v>13000</v>
      </c>
      <c r="U476" s="158">
        <f t="shared" si="89"/>
        <v>663000</v>
      </c>
      <c r="V476" s="158">
        <v>1241936</v>
      </c>
      <c r="W476" s="158">
        <f t="shared" si="90"/>
        <v>-578936</v>
      </c>
      <c r="X476" s="158">
        <f t="shared" si="86"/>
        <v>-567584.31372549</v>
      </c>
      <c r="Y476" s="158">
        <f t="shared" si="91"/>
        <v>-11351.6862745098</v>
      </c>
      <c r="Z476" s="158">
        <v>1050319.04</v>
      </c>
      <c r="AA476" s="158">
        <f t="shared" si="87"/>
        <v>191616.96</v>
      </c>
      <c r="AB476" s="167">
        <f>IF(O476="返货",Z476/(1+N476),IF(O476="返现",Z476,IF(O476="折扣",Z476*N476,IF(O476="无",Z476))))</f>
        <v>1029724.54901961</v>
      </c>
      <c r="AC476" s="168">
        <f t="shared" si="88"/>
        <v>20594.4909803922</v>
      </c>
      <c r="AD476" s="158">
        <v>1050319.04</v>
      </c>
      <c r="AE476" s="159">
        <v>0.07</v>
      </c>
      <c r="AF476" s="158">
        <f t="shared" si="82"/>
        <v>73522.3328</v>
      </c>
      <c r="AG476" s="158">
        <v>52927.8418196078</v>
      </c>
      <c r="AH476" s="175"/>
      <c r="AI476" s="175"/>
      <c r="AJ476" s="156" t="s">
        <v>173</v>
      </c>
      <c r="AK476" s="140" t="s">
        <v>173</v>
      </c>
      <c r="AM476" s="152"/>
    </row>
    <row r="477" s="140" customFormat="1" ht="15" hidden="1" customHeight="1" spans="1:39">
      <c r="A477" s="140">
        <v>2017</v>
      </c>
      <c r="B477" s="140" t="s">
        <v>199</v>
      </c>
      <c r="C477" s="140" t="s">
        <v>75</v>
      </c>
      <c r="D477" s="140" t="s">
        <v>76</v>
      </c>
      <c r="E477" s="140" t="s">
        <v>315</v>
      </c>
      <c r="F477" s="140" t="s">
        <v>547</v>
      </c>
      <c r="G477" s="140" t="s">
        <v>548</v>
      </c>
      <c r="H477" s="184" t="s">
        <v>549</v>
      </c>
      <c r="I477" s="184" t="s">
        <v>204</v>
      </c>
      <c r="J477" s="140" t="s">
        <v>205</v>
      </c>
      <c r="K477" s="140" t="s">
        <v>206</v>
      </c>
      <c r="L477" s="140" t="s">
        <v>547</v>
      </c>
      <c r="M477" s="140" t="s">
        <v>46</v>
      </c>
      <c r="N477" s="157">
        <v>0.02</v>
      </c>
      <c r="O477" s="156" t="s">
        <v>51</v>
      </c>
      <c r="P477" s="156"/>
      <c r="Q477" s="158">
        <v>0</v>
      </c>
      <c r="R477" s="158">
        <v>0</v>
      </c>
      <c r="S477" s="158">
        <v>614363.51</v>
      </c>
      <c r="T477" s="158">
        <f t="shared" si="85"/>
        <v>12287.2702</v>
      </c>
      <c r="U477" s="158">
        <f t="shared" si="89"/>
        <v>626650.7802</v>
      </c>
      <c r="V477" s="158">
        <v>626650.78</v>
      </c>
      <c r="W477" s="158">
        <f t="shared" si="90"/>
        <v>0.00020000000949949</v>
      </c>
      <c r="X477" s="158">
        <f t="shared" si="86"/>
        <v>0.000196078440685775</v>
      </c>
      <c r="Y477" s="158">
        <f t="shared" si="91"/>
        <v>3.92156881371549e-6</v>
      </c>
      <c r="Z477" s="158">
        <v>452484.28</v>
      </c>
      <c r="AA477" s="158">
        <f t="shared" si="87"/>
        <v>174166.5</v>
      </c>
      <c r="AB477" s="167">
        <f>IF(O477="返货",Z477/(1+N477),IF(O477="返现",Z477,IF(O477="折扣",Z477*N477,IF(O477="无",Z477))))</f>
        <v>443612.039215686</v>
      </c>
      <c r="AC477" s="168">
        <f t="shared" si="88"/>
        <v>8872.24078431376</v>
      </c>
      <c r="AD477" s="158">
        <v>452484.28</v>
      </c>
      <c r="AE477" s="159">
        <v>0.07</v>
      </c>
      <c r="AF477" s="158">
        <f t="shared" si="82"/>
        <v>31673.8996</v>
      </c>
      <c r="AG477" s="158">
        <v>22801.6588156862</v>
      </c>
      <c r="AH477" s="175"/>
      <c r="AI477" s="175"/>
      <c r="AJ477" s="156" t="s">
        <v>173</v>
      </c>
      <c r="AK477" s="140" t="s">
        <v>173</v>
      </c>
      <c r="AM477" s="152"/>
    </row>
    <row r="478" s="140" customFormat="1" ht="15" hidden="1" customHeight="1" spans="1:39">
      <c r="A478" s="140">
        <v>2017</v>
      </c>
      <c r="B478" s="140" t="s">
        <v>38</v>
      </c>
      <c r="C478" s="140" t="s">
        <v>75</v>
      </c>
      <c r="D478" s="140" t="s">
        <v>76</v>
      </c>
      <c r="E478" s="140" t="s">
        <v>150</v>
      </c>
      <c r="F478" s="140" t="s">
        <v>626</v>
      </c>
      <c r="G478" s="140" t="s">
        <v>626</v>
      </c>
      <c r="H478" s="140" t="s">
        <v>626</v>
      </c>
      <c r="I478" s="184" t="s">
        <v>204</v>
      </c>
      <c r="J478" s="140" t="s">
        <v>577</v>
      </c>
      <c r="K478" s="140" t="s">
        <v>578</v>
      </c>
      <c r="L478" s="140" t="s">
        <v>656</v>
      </c>
      <c r="M478" s="140" t="s">
        <v>185</v>
      </c>
      <c r="N478" s="157">
        <v>0.2</v>
      </c>
      <c r="O478" s="156" t="s">
        <v>51</v>
      </c>
      <c r="P478" s="156"/>
      <c r="Q478" s="158">
        <v>0</v>
      </c>
      <c r="R478" s="158">
        <v>0</v>
      </c>
      <c r="S478" s="158">
        <v>204474.41</v>
      </c>
      <c r="T478" s="158">
        <f t="shared" si="85"/>
        <v>40894.882</v>
      </c>
      <c r="U478" s="158">
        <f t="shared" si="89"/>
        <v>245369.292</v>
      </c>
      <c r="V478" s="158">
        <v>0</v>
      </c>
      <c r="W478" s="158">
        <f t="shared" si="90"/>
        <v>245369.292</v>
      </c>
      <c r="X478" s="158">
        <f t="shared" si="86"/>
        <v>204474.41</v>
      </c>
      <c r="Y478" s="158">
        <f t="shared" si="91"/>
        <v>40894.882</v>
      </c>
      <c r="Z478" s="158">
        <v>261113.62</v>
      </c>
      <c r="AA478" s="158">
        <f t="shared" si="87"/>
        <v>-261113.62</v>
      </c>
      <c r="AB478" s="167">
        <f>IF(O478="返货",Z478/(1+N478),IF(O478="返现",Z478,IF(O478="折扣",Z478*N478,IF(O478="无",Z478))))</f>
        <v>217594.683333333</v>
      </c>
      <c r="AC478" s="168">
        <f t="shared" si="88"/>
        <v>43518.9366666666</v>
      </c>
      <c r="AD478" s="158">
        <f t="shared" ref="AD478:AD489" si="93">Z478*0.980277351080772</f>
        <v>255963.767744711</v>
      </c>
      <c r="AE478" s="159">
        <v>0.3156</v>
      </c>
      <c r="AF478" s="158">
        <f t="shared" si="82"/>
        <v>80782.1651002309</v>
      </c>
      <c r="AG478" s="158">
        <v>35416.9218053333</v>
      </c>
      <c r="AH478" s="175"/>
      <c r="AI478" s="175"/>
      <c r="AJ478" s="156" t="s">
        <v>645</v>
      </c>
      <c r="AK478" s="140" t="s">
        <v>645</v>
      </c>
      <c r="AM478" s="152"/>
    </row>
    <row r="479" s="140" customFormat="1" ht="15" hidden="1" customHeight="1" spans="1:39">
      <c r="A479" s="140">
        <v>2017</v>
      </c>
      <c r="B479" s="140" t="s">
        <v>38</v>
      </c>
      <c r="C479" s="140" t="s">
        <v>75</v>
      </c>
      <c r="D479" s="140" t="s">
        <v>76</v>
      </c>
      <c r="E479" s="140" t="s">
        <v>150</v>
      </c>
      <c r="F479" s="140" t="s">
        <v>626</v>
      </c>
      <c r="G479" s="140" t="s">
        <v>626</v>
      </c>
      <c r="H479" s="140" t="s">
        <v>626</v>
      </c>
      <c r="I479" s="184" t="s">
        <v>204</v>
      </c>
      <c r="J479" s="140" t="s">
        <v>577</v>
      </c>
      <c r="K479" s="140" t="s">
        <v>578</v>
      </c>
      <c r="L479" s="140" t="s">
        <v>656</v>
      </c>
      <c r="M479" s="140" t="s">
        <v>46</v>
      </c>
      <c r="N479" s="157">
        <v>0.07</v>
      </c>
      <c r="O479" s="156" t="s">
        <v>51</v>
      </c>
      <c r="P479" s="156"/>
      <c r="Q479" s="158">
        <v>0</v>
      </c>
      <c r="R479" s="158">
        <v>0</v>
      </c>
      <c r="S479" s="158">
        <v>4426831.91</v>
      </c>
      <c r="T479" s="158">
        <f t="shared" si="85"/>
        <v>309878.2337</v>
      </c>
      <c r="U479" s="158">
        <f t="shared" si="89"/>
        <v>4736710.1437</v>
      </c>
      <c r="V479" s="158">
        <v>5279164.41</v>
      </c>
      <c r="W479" s="158">
        <f t="shared" si="90"/>
        <v>-542454.2663</v>
      </c>
      <c r="X479" s="158">
        <f t="shared" si="86"/>
        <v>-506966.604018692</v>
      </c>
      <c r="Y479" s="158">
        <f t="shared" si="91"/>
        <v>-35487.6622813084</v>
      </c>
      <c r="Z479" s="158">
        <v>4741417.71</v>
      </c>
      <c r="AA479" s="158">
        <f t="shared" si="87"/>
        <v>537746.7</v>
      </c>
      <c r="AB479" s="167">
        <f>IF(O479="返货",Z479/(1+N479),IF(O479="返现",Z479,IF(O479="折扣",Z479*N479,IF(O479="无",Z479))))</f>
        <v>4431231.5046729</v>
      </c>
      <c r="AC479" s="168">
        <f t="shared" si="88"/>
        <v>310186.205327103</v>
      </c>
      <c r="AD479" s="158">
        <f t="shared" si="93"/>
        <v>4647904.39312626</v>
      </c>
      <c r="AE479" s="159">
        <v>0.1077</v>
      </c>
      <c r="AF479" s="158">
        <f t="shared" si="82"/>
        <v>500579.303139698</v>
      </c>
      <c r="AG479" s="158">
        <v>199355.172039897</v>
      </c>
      <c r="AH479" s="175"/>
      <c r="AI479" s="175"/>
      <c r="AJ479" s="156" t="s">
        <v>509</v>
      </c>
      <c r="AK479" s="140" t="s">
        <v>509</v>
      </c>
      <c r="AM479" s="152"/>
    </row>
    <row r="480" s="140" customFormat="1" ht="15" hidden="1" customHeight="1" spans="1:39">
      <c r="A480" s="140">
        <v>2017</v>
      </c>
      <c r="B480" s="140" t="s">
        <v>38</v>
      </c>
      <c r="C480" s="140" t="s">
        <v>75</v>
      </c>
      <c r="D480" s="140" t="s">
        <v>76</v>
      </c>
      <c r="E480" s="140" t="s">
        <v>150</v>
      </c>
      <c r="F480" s="140" t="s">
        <v>657</v>
      </c>
      <c r="G480" s="140" t="s">
        <v>657</v>
      </c>
      <c r="H480" s="140" t="s">
        <v>657</v>
      </c>
      <c r="I480" s="184" t="s">
        <v>204</v>
      </c>
      <c r="J480" s="140" t="s">
        <v>577</v>
      </c>
      <c r="K480" s="140" t="s">
        <v>578</v>
      </c>
      <c r="L480" s="140" t="s">
        <v>657</v>
      </c>
      <c r="M480" s="140" t="s">
        <v>46</v>
      </c>
      <c r="N480" s="157">
        <v>0.02</v>
      </c>
      <c r="O480" s="156" t="s">
        <v>51</v>
      </c>
      <c r="P480" s="156"/>
      <c r="Q480" s="158">
        <v>489233.99</v>
      </c>
      <c r="R480" s="158">
        <v>0</v>
      </c>
      <c r="S480" s="158">
        <v>8798299.73</v>
      </c>
      <c r="T480" s="158">
        <f t="shared" si="85"/>
        <v>175965.9946</v>
      </c>
      <c r="U480" s="158">
        <f t="shared" si="89"/>
        <v>8974265.7246</v>
      </c>
      <c r="V480" s="158">
        <v>9563000</v>
      </c>
      <c r="W480" s="158">
        <f t="shared" si="90"/>
        <v>-588734.2754</v>
      </c>
      <c r="X480" s="158">
        <f t="shared" si="86"/>
        <v>-577190.466078431</v>
      </c>
      <c r="Y480" s="158">
        <f t="shared" si="91"/>
        <v>-11543.8093215686</v>
      </c>
      <c r="Z480" s="158">
        <v>9463497.21</v>
      </c>
      <c r="AA480" s="158">
        <f t="shared" si="87"/>
        <v>588736.779999999</v>
      </c>
      <c r="AB480" s="167">
        <f>IF(O480="返货",(Z480-Q480)/(1+N480),IF(O480="返现",(Z480-Q480),IF(O480="折扣",(Z480-Q480)*N480,IF(O480="无",(Z480-Q480)))))</f>
        <v>8798297.2745098</v>
      </c>
      <c r="AC480" s="168">
        <f t="shared" si="88"/>
        <v>665199.935490197</v>
      </c>
      <c r="AD480" s="158">
        <f t="shared" si="93"/>
        <v>9276851.97697908</v>
      </c>
      <c r="AE480" s="159">
        <v>0.1077</v>
      </c>
      <c r="AF480" s="158">
        <f t="shared" si="82"/>
        <v>999116.957920647</v>
      </c>
      <c r="AG480" s="158">
        <v>833659.880693472</v>
      </c>
      <c r="AH480" s="175"/>
      <c r="AI480" s="175"/>
      <c r="AJ480" s="156" t="s">
        <v>173</v>
      </c>
      <c r="AK480" s="140" t="s">
        <v>173</v>
      </c>
      <c r="AL480" s="140" t="s">
        <v>613</v>
      </c>
      <c r="AM480" s="152"/>
    </row>
    <row r="481" s="140" customFormat="1" ht="15" hidden="1" customHeight="1" spans="1:39">
      <c r="A481" s="140">
        <v>2017</v>
      </c>
      <c r="B481" s="140" t="s">
        <v>38</v>
      </c>
      <c r="C481" s="140" t="s">
        <v>75</v>
      </c>
      <c r="D481" s="140" t="s">
        <v>76</v>
      </c>
      <c r="E481" s="140" t="s">
        <v>150</v>
      </c>
      <c r="F481" s="140" t="s">
        <v>657</v>
      </c>
      <c r="G481" s="140" t="s">
        <v>657</v>
      </c>
      <c r="H481" s="140" t="s">
        <v>657</v>
      </c>
      <c r="I481" s="184" t="s">
        <v>204</v>
      </c>
      <c r="J481" s="140" t="s">
        <v>577</v>
      </c>
      <c r="K481" s="140" t="s">
        <v>578</v>
      </c>
      <c r="L481" s="140" t="s">
        <v>657</v>
      </c>
      <c r="M481" s="140" t="s">
        <v>185</v>
      </c>
      <c r="N481" s="157">
        <v>0.08</v>
      </c>
      <c r="O481" s="156" t="s">
        <v>51</v>
      </c>
      <c r="P481" s="156"/>
      <c r="Q481" s="158">
        <v>184577.1288</v>
      </c>
      <c r="R481" s="158">
        <v>0</v>
      </c>
      <c r="S481" s="158">
        <v>423476.23</v>
      </c>
      <c r="T481" s="158">
        <f t="shared" si="85"/>
        <v>33878.0984</v>
      </c>
      <c r="U481" s="158">
        <f t="shared" si="89"/>
        <v>457354.3284</v>
      </c>
      <c r="V481" s="158">
        <v>0</v>
      </c>
      <c r="W481" s="158">
        <f t="shared" si="90"/>
        <v>457354.3284</v>
      </c>
      <c r="X481" s="158">
        <f t="shared" si="86"/>
        <v>423476.23</v>
      </c>
      <c r="Y481" s="158">
        <f t="shared" si="91"/>
        <v>33878.0984</v>
      </c>
      <c r="Z481" s="158">
        <v>617363.17</v>
      </c>
      <c r="AA481" s="158">
        <f t="shared" si="87"/>
        <v>-432786.0412</v>
      </c>
      <c r="AB481" s="167">
        <f>IF(O481="返货",(Z481-Q481)/(1+N481),IF(O481="返现",(Z481-Q481),IF(O481="折扣",(Z481-Q481)*N481,IF(O481="无",(Z481-Q481)))))</f>
        <v>400727.815925926</v>
      </c>
      <c r="AC481" s="168">
        <f t="shared" si="88"/>
        <v>216635.354074074</v>
      </c>
      <c r="AD481" s="158">
        <f t="shared" si="93"/>
        <v>605187.132942428</v>
      </c>
      <c r="AE481" s="159">
        <v>0.3156</v>
      </c>
      <c r="AF481" s="158">
        <f t="shared" si="82"/>
        <v>190997.05915663</v>
      </c>
      <c r="AG481" s="158">
        <v>149109.211266815</v>
      </c>
      <c r="AH481" s="175"/>
      <c r="AI481" s="175"/>
      <c r="AJ481" s="156" t="s">
        <v>53</v>
      </c>
      <c r="AK481" s="140" t="s">
        <v>53</v>
      </c>
      <c r="AM481" s="152"/>
    </row>
    <row r="482" s="140" customFormat="1" ht="15" hidden="1" customHeight="1" spans="1:39">
      <c r="A482" s="140">
        <v>2017</v>
      </c>
      <c r="B482" s="140" t="s">
        <v>252</v>
      </c>
      <c r="C482" s="140" t="s">
        <v>75</v>
      </c>
      <c r="D482" s="140" t="s">
        <v>76</v>
      </c>
      <c r="E482" s="140" t="s">
        <v>150</v>
      </c>
      <c r="F482" s="140" t="s">
        <v>658</v>
      </c>
      <c r="G482" s="140" t="s">
        <v>659</v>
      </c>
      <c r="H482" s="140" t="s">
        <v>660</v>
      </c>
      <c r="I482" s="184" t="s">
        <v>204</v>
      </c>
      <c r="J482" s="140" t="s">
        <v>577</v>
      </c>
      <c r="K482" s="140" t="s">
        <v>578</v>
      </c>
      <c r="L482" s="140" t="s">
        <v>658</v>
      </c>
      <c r="M482" s="140" t="s">
        <v>46</v>
      </c>
      <c r="N482" s="157">
        <v>0.02</v>
      </c>
      <c r="O482" s="156" t="s">
        <v>51</v>
      </c>
      <c r="P482" s="156"/>
      <c r="Q482" s="158">
        <v>139980.356</v>
      </c>
      <c r="R482" s="158">
        <v>0</v>
      </c>
      <c r="S482" s="158">
        <v>3200000</v>
      </c>
      <c r="T482" s="158">
        <f t="shared" si="85"/>
        <v>64000</v>
      </c>
      <c r="U482" s="158">
        <f t="shared" si="89"/>
        <v>3264000</v>
      </c>
      <c r="V482" s="158">
        <v>3250000</v>
      </c>
      <c r="W482" s="158">
        <f t="shared" si="90"/>
        <v>14000</v>
      </c>
      <c r="X482" s="158">
        <f t="shared" si="86"/>
        <v>13725.4901960784</v>
      </c>
      <c r="Y482" s="158">
        <f t="shared" si="91"/>
        <v>274.509803921568</v>
      </c>
      <c r="Z482" s="158">
        <v>3247091.48</v>
      </c>
      <c r="AA482" s="158">
        <f t="shared" si="87"/>
        <v>142888.876</v>
      </c>
      <c r="AB482" s="167">
        <f>IF(O482="返货",(Z482-Q482)/(1+N482),IF(O482="返现",(Z482-Q482),IF(O482="折扣",(Z482-Q482)*N482,IF(O482="无",(Z482-Q482)))))</f>
        <v>3046187.37647059</v>
      </c>
      <c r="AC482" s="168">
        <f t="shared" si="88"/>
        <v>200904.103529412</v>
      </c>
      <c r="AD482" s="158">
        <f t="shared" si="93"/>
        <v>3183050.23473134</v>
      </c>
      <c r="AE482" s="159">
        <v>0.1077</v>
      </c>
      <c r="AF482" s="158">
        <f t="shared" si="82"/>
        <v>342814.510280566</v>
      </c>
      <c r="AG482" s="158">
        <v>286043.292003843</v>
      </c>
      <c r="AH482" s="175"/>
      <c r="AI482" s="175"/>
      <c r="AJ482" s="156" t="s">
        <v>173</v>
      </c>
      <c r="AK482" s="140" t="s">
        <v>173</v>
      </c>
      <c r="AM482" s="152"/>
    </row>
    <row r="483" s="140" customFormat="1" ht="15" hidden="1" customHeight="1" spans="1:39">
      <c r="A483" s="140">
        <v>2017</v>
      </c>
      <c r="B483" s="140" t="s">
        <v>252</v>
      </c>
      <c r="C483" s="140" t="s">
        <v>75</v>
      </c>
      <c r="D483" s="140" t="s">
        <v>76</v>
      </c>
      <c r="E483" s="140" t="s">
        <v>150</v>
      </c>
      <c r="F483" s="140" t="s">
        <v>658</v>
      </c>
      <c r="G483" s="140" t="s">
        <v>659</v>
      </c>
      <c r="H483" s="140" t="s">
        <v>660</v>
      </c>
      <c r="I483" s="184" t="s">
        <v>204</v>
      </c>
      <c r="J483" s="140" t="s">
        <v>577</v>
      </c>
      <c r="K483" s="140" t="s">
        <v>578</v>
      </c>
      <c r="L483" s="140" t="s">
        <v>658</v>
      </c>
      <c r="M483" s="140" t="s">
        <v>160</v>
      </c>
      <c r="N483" s="157">
        <v>0</v>
      </c>
      <c r="O483" s="156" t="s">
        <v>47</v>
      </c>
      <c r="P483" s="156"/>
      <c r="Q483" s="158">
        <v>0</v>
      </c>
      <c r="R483" s="158">
        <v>0</v>
      </c>
      <c r="S483" s="158">
        <v>550000</v>
      </c>
      <c r="T483" s="158">
        <f t="shared" si="85"/>
        <v>0</v>
      </c>
      <c r="U483" s="158">
        <f t="shared" si="89"/>
        <v>550000</v>
      </c>
      <c r="V483" s="158">
        <v>550000</v>
      </c>
      <c r="W483" s="158">
        <f t="shared" si="90"/>
        <v>0</v>
      </c>
      <c r="X483" s="158">
        <f t="shared" si="86"/>
        <v>0</v>
      </c>
      <c r="Y483" s="158">
        <f t="shared" si="91"/>
        <v>0</v>
      </c>
      <c r="Z483" s="158">
        <v>550000</v>
      </c>
      <c r="AA483" s="158">
        <f t="shared" si="87"/>
        <v>0</v>
      </c>
      <c r="AB483" s="167">
        <f>IF(O483="返货",Z483/(1+N483),IF(O483="返现",Z483,IF(O483="折扣",Z483*N483,IF(O483="无",Z483))))</f>
        <v>550000</v>
      </c>
      <c r="AC483" s="168">
        <f t="shared" si="88"/>
        <v>0</v>
      </c>
      <c r="AD483" s="158">
        <f t="shared" si="93"/>
        <v>539152.543094425</v>
      </c>
      <c r="AE483" s="159">
        <v>0.1077</v>
      </c>
      <c r="AF483" s="158">
        <f t="shared" si="82"/>
        <v>58066.7288912695</v>
      </c>
      <c r="AG483" s="158">
        <v>59235</v>
      </c>
      <c r="AH483" s="175"/>
      <c r="AI483" s="175"/>
      <c r="AJ483" s="156" t="s">
        <v>648</v>
      </c>
      <c r="AK483" s="140" t="s">
        <v>648</v>
      </c>
      <c r="AM483" s="152"/>
    </row>
    <row r="484" s="140" customFormat="1" ht="15" hidden="1" customHeight="1" spans="1:39">
      <c r="A484" s="140">
        <v>2017</v>
      </c>
      <c r="B484" s="140" t="s">
        <v>38</v>
      </c>
      <c r="C484" s="140" t="s">
        <v>75</v>
      </c>
      <c r="D484" s="140" t="s">
        <v>76</v>
      </c>
      <c r="E484" s="140" t="s">
        <v>150</v>
      </c>
      <c r="F484" s="140" t="s">
        <v>661</v>
      </c>
      <c r="G484" s="140" t="s">
        <v>661</v>
      </c>
      <c r="H484" s="140" t="s">
        <v>661</v>
      </c>
      <c r="I484" s="184" t="s">
        <v>204</v>
      </c>
      <c r="J484" s="140" t="s">
        <v>577</v>
      </c>
      <c r="K484" s="140" t="s">
        <v>578</v>
      </c>
      <c r="L484" s="140" t="s">
        <v>662</v>
      </c>
      <c r="M484" s="140" t="s">
        <v>46</v>
      </c>
      <c r="N484" s="157">
        <v>0.02</v>
      </c>
      <c r="O484" s="156" t="s">
        <v>51</v>
      </c>
      <c r="P484" s="156"/>
      <c r="Q484" s="158">
        <v>0</v>
      </c>
      <c r="R484" s="158">
        <v>0</v>
      </c>
      <c r="S484" s="158">
        <v>70000</v>
      </c>
      <c r="T484" s="158">
        <f t="shared" si="85"/>
        <v>1400</v>
      </c>
      <c r="U484" s="158">
        <f t="shared" si="89"/>
        <v>71400</v>
      </c>
      <c r="V484" s="158">
        <v>0</v>
      </c>
      <c r="W484" s="158">
        <f t="shared" si="90"/>
        <v>71400</v>
      </c>
      <c r="X484" s="158">
        <f t="shared" si="86"/>
        <v>70000</v>
      </c>
      <c r="Y484" s="158">
        <f t="shared" si="91"/>
        <v>1400</v>
      </c>
      <c r="Z484" s="158">
        <v>0</v>
      </c>
      <c r="AA484" s="158">
        <f t="shared" si="87"/>
        <v>0</v>
      </c>
      <c r="AB484" s="167">
        <f>IF(O484="返货",Z484/(1+N484),IF(O484="返现",Z484,IF(O484="折扣",Z484*N484,IF(O484="无",Z484))))</f>
        <v>0</v>
      </c>
      <c r="AC484" s="168">
        <f t="shared" si="88"/>
        <v>0</v>
      </c>
      <c r="AD484" s="158">
        <f t="shared" si="93"/>
        <v>0</v>
      </c>
      <c r="AE484" s="159">
        <v>0.1077</v>
      </c>
      <c r="AF484" s="158">
        <f t="shared" si="82"/>
        <v>0</v>
      </c>
      <c r="AG484" s="158">
        <v>0</v>
      </c>
      <c r="AH484" s="175"/>
      <c r="AI484" s="175"/>
      <c r="AJ484" s="156" t="s">
        <v>173</v>
      </c>
      <c r="AK484" s="140" t="s">
        <v>173</v>
      </c>
      <c r="AM484" s="152"/>
    </row>
    <row r="485" s="140" customFormat="1" ht="15" hidden="1" customHeight="1" spans="1:39">
      <c r="A485" s="140">
        <v>2017</v>
      </c>
      <c r="B485" s="140" t="s">
        <v>38</v>
      </c>
      <c r="C485" s="140" t="s">
        <v>75</v>
      </c>
      <c r="D485" s="140" t="s">
        <v>76</v>
      </c>
      <c r="E485" s="140" t="s">
        <v>150</v>
      </c>
      <c r="F485" s="140" t="s">
        <v>263</v>
      </c>
      <c r="G485" s="140" t="s">
        <v>263</v>
      </c>
      <c r="H485" s="140" t="s">
        <v>263</v>
      </c>
      <c r="I485" s="184" t="s">
        <v>204</v>
      </c>
      <c r="J485" s="140" t="s">
        <v>577</v>
      </c>
      <c r="K485" s="140" t="s">
        <v>578</v>
      </c>
      <c r="L485" s="140" t="s">
        <v>663</v>
      </c>
      <c r="M485" s="140" t="s">
        <v>185</v>
      </c>
      <c r="N485" s="157">
        <v>0.15</v>
      </c>
      <c r="O485" s="156" t="s">
        <v>51</v>
      </c>
      <c r="P485" s="156"/>
      <c r="Q485" s="158">
        <v>0</v>
      </c>
      <c r="R485" s="158">
        <v>0</v>
      </c>
      <c r="S485" s="158">
        <v>249764.49</v>
      </c>
      <c r="T485" s="158">
        <f t="shared" si="85"/>
        <v>37464.6735</v>
      </c>
      <c r="U485" s="158">
        <f t="shared" si="89"/>
        <v>287229.1635</v>
      </c>
      <c r="V485" s="158">
        <v>0</v>
      </c>
      <c r="W485" s="158">
        <f t="shared" si="90"/>
        <v>287229.1635</v>
      </c>
      <c r="X485" s="158">
        <f t="shared" si="86"/>
        <v>249764.49</v>
      </c>
      <c r="Y485" s="158">
        <f t="shared" si="91"/>
        <v>37464.6735</v>
      </c>
      <c r="Z485" s="158">
        <v>249764.49</v>
      </c>
      <c r="AA485" s="158">
        <f t="shared" si="87"/>
        <v>-249764.49</v>
      </c>
      <c r="AB485" s="167">
        <f>IF(O485="返货",Z485/(1+N485),IF(O485="返现",Z485,IF(O485="折扣",Z485*N485,IF(O485="无",Z485))))</f>
        <v>217186.513043478</v>
      </c>
      <c r="AC485" s="168">
        <f t="shared" si="88"/>
        <v>32577.9769565217</v>
      </c>
      <c r="AD485" s="158">
        <f t="shared" si="93"/>
        <v>244838.47265124</v>
      </c>
      <c r="AE485" s="159">
        <v>0.3156</v>
      </c>
      <c r="AF485" s="158">
        <f t="shared" si="82"/>
        <v>77271.0219687313</v>
      </c>
      <c r="AG485" s="158">
        <v>46247.6960874783</v>
      </c>
      <c r="AH485" s="175"/>
      <c r="AI485" s="175"/>
      <c r="AJ485" s="156" t="s">
        <v>664</v>
      </c>
      <c r="AK485" s="140" t="s">
        <v>664</v>
      </c>
      <c r="AM485" s="152"/>
    </row>
    <row r="486" s="140" customFormat="1" ht="15" hidden="1" customHeight="1" spans="1:39">
      <c r="A486" s="140">
        <v>2017</v>
      </c>
      <c r="B486" s="140" t="s">
        <v>38</v>
      </c>
      <c r="C486" s="140" t="s">
        <v>75</v>
      </c>
      <c r="D486" s="140" t="s">
        <v>76</v>
      </c>
      <c r="E486" s="140" t="s">
        <v>150</v>
      </c>
      <c r="F486" s="140" t="s">
        <v>263</v>
      </c>
      <c r="G486" s="140" t="s">
        <v>263</v>
      </c>
      <c r="H486" s="140" t="s">
        <v>263</v>
      </c>
      <c r="I486" s="184" t="s">
        <v>204</v>
      </c>
      <c r="J486" s="140" t="s">
        <v>577</v>
      </c>
      <c r="K486" s="140" t="s">
        <v>578</v>
      </c>
      <c r="L486" s="140" t="s">
        <v>663</v>
      </c>
      <c r="M486" s="140" t="s">
        <v>46</v>
      </c>
      <c r="N486" s="156">
        <v>0.05</v>
      </c>
      <c r="O486" s="156" t="s">
        <v>51</v>
      </c>
      <c r="P486" s="156"/>
      <c r="Q486" s="158">
        <v>0</v>
      </c>
      <c r="R486" s="158">
        <v>0</v>
      </c>
      <c r="S486" s="158">
        <v>3475094.99</v>
      </c>
      <c r="T486" s="158">
        <f t="shared" si="85"/>
        <v>173754.7495</v>
      </c>
      <c r="U486" s="158">
        <f t="shared" si="89"/>
        <v>3648849.7395</v>
      </c>
      <c r="V486" s="158">
        <v>3952543.24</v>
      </c>
      <c r="W486" s="158">
        <f t="shared" si="90"/>
        <v>-303693.5005</v>
      </c>
      <c r="X486" s="158">
        <f t="shared" si="86"/>
        <v>-289231.905238095</v>
      </c>
      <c r="Y486" s="158">
        <f t="shared" si="91"/>
        <v>-14461.5952619048</v>
      </c>
      <c r="Z486" s="158">
        <v>3628585.71</v>
      </c>
      <c r="AA486" s="158">
        <f t="shared" si="87"/>
        <v>323957.53</v>
      </c>
      <c r="AB486" s="167">
        <f>IF(O486="返货",Z486/(1+N486),IF(O486="返现",Z486,IF(O486="折扣",Z486*N486,IF(O486="无",Z486))))</f>
        <v>3455795.91428571</v>
      </c>
      <c r="AC486" s="168">
        <f t="shared" si="88"/>
        <v>172789.795714286</v>
      </c>
      <c r="AD486" s="158">
        <f t="shared" si="93"/>
        <v>3557020.38796834</v>
      </c>
      <c r="AE486" s="159">
        <v>0.1077</v>
      </c>
      <c r="AF486" s="158">
        <f t="shared" si="82"/>
        <v>383091.09578419</v>
      </c>
      <c r="AG486" s="158">
        <v>218008.885252714</v>
      </c>
      <c r="AH486" s="175"/>
      <c r="AI486" s="175"/>
      <c r="AJ486" s="156" t="s">
        <v>63</v>
      </c>
      <c r="AK486" s="140" t="s">
        <v>63</v>
      </c>
      <c r="AM486" s="152"/>
    </row>
    <row r="487" s="140" customFormat="1" ht="15" hidden="1" customHeight="1" spans="1:39">
      <c r="A487" s="140">
        <v>2017</v>
      </c>
      <c r="B487" s="140" t="s">
        <v>38</v>
      </c>
      <c r="C487" s="140" t="s">
        <v>75</v>
      </c>
      <c r="D487" s="140" t="s">
        <v>76</v>
      </c>
      <c r="E487" s="140" t="s">
        <v>150</v>
      </c>
      <c r="F487" s="140" t="s">
        <v>665</v>
      </c>
      <c r="G487" s="140" t="s">
        <v>665</v>
      </c>
      <c r="H487" s="140" t="s">
        <v>665</v>
      </c>
      <c r="I487" s="184" t="s">
        <v>204</v>
      </c>
      <c r="J487" s="140" t="s">
        <v>577</v>
      </c>
      <c r="K487" s="140" t="s">
        <v>578</v>
      </c>
      <c r="L487" s="140" t="s">
        <v>666</v>
      </c>
      <c r="M487" s="140" t="s">
        <v>185</v>
      </c>
      <c r="N487" s="157">
        <v>0.15</v>
      </c>
      <c r="O487" s="156" t="s">
        <v>495</v>
      </c>
      <c r="P487" s="156"/>
      <c r="Q487" s="158">
        <v>37586</v>
      </c>
      <c r="R487" s="158">
        <v>0</v>
      </c>
      <c r="S487" s="158">
        <v>583881.76</v>
      </c>
      <c r="T487" s="158">
        <f t="shared" si="85"/>
        <v>87582.264</v>
      </c>
      <c r="U487" s="158">
        <f t="shared" si="89"/>
        <v>671464.024</v>
      </c>
      <c r="V487" s="158">
        <v>0</v>
      </c>
      <c r="W487" s="158">
        <f t="shared" si="90"/>
        <v>671464.024</v>
      </c>
      <c r="X487" s="158">
        <f t="shared" si="86"/>
        <v>583881.76</v>
      </c>
      <c r="Y487" s="158">
        <f t="shared" si="91"/>
        <v>87582.264</v>
      </c>
      <c r="Z487" s="158">
        <v>583881.76</v>
      </c>
      <c r="AA487" s="158">
        <f t="shared" si="87"/>
        <v>-546295.76</v>
      </c>
      <c r="AB487" s="167">
        <f>IF(O487="返货",(Z487-Q487)/(1+N487),IF(O487="返现",(Z487-Q487),IF(O487="折扣",(Z487-Q487)*N487,IF(O487="无",(Z487-Q487)))))</f>
        <v>546295.76</v>
      </c>
      <c r="AC487" s="168">
        <f t="shared" si="88"/>
        <v>87582.264</v>
      </c>
      <c r="AD487" s="158">
        <f t="shared" si="93"/>
        <v>572366.065037179</v>
      </c>
      <c r="AE487" s="159">
        <v>0.3156</v>
      </c>
      <c r="AF487" s="158">
        <f t="shared" si="82"/>
        <v>180638.730125734</v>
      </c>
      <c r="AG487" s="158">
        <v>108114.593021217</v>
      </c>
      <c r="AH487" s="175"/>
      <c r="AI487" s="175"/>
      <c r="AJ487" s="156" t="s">
        <v>664</v>
      </c>
      <c r="AK487" s="140" t="s">
        <v>664</v>
      </c>
      <c r="AL487" s="140" t="s">
        <v>591</v>
      </c>
      <c r="AM487" s="152"/>
    </row>
    <row r="488" s="140" customFormat="1" ht="15" hidden="1" customHeight="1" spans="1:39">
      <c r="A488" s="140">
        <v>2017</v>
      </c>
      <c r="B488" s="140" t="s">
        <v>38</v>
      </c>
      <c r="C488" s="140" t="s">
        <v>75</v>
      </c>
      <c r="D488" s="140" t="s">
        <v>76</v>
      </c>
      <c r="E488" s="140" t="s">
        <v>150</v>
      </c>
      <c r="F488" s="140" t="s">
        <v>665</v>
      </c>
      <c r="G488" s="140" t="s">
        <v>665</v>
      </c>
      <c r="H488" s="140" t="s">
        <v>665</v>
      </c>
      <c r="I488" s="184" t="s">
        <v>204</v>
      </c>
      <c r="J488" s="140" t="s">
        <v>577</v>
      </c>
      <c r="K488" s="140" t="s">
        <v>578</v>
      </c>
      <c r="L488" s="140" t="s">
        <v>666</v>
      </c>
      <c r="M488" s="140" t="s">
        <v>46</v>
      </c>
      <c r="N488" s="157">
        <v>0.05</v>
      </c>
      <c r="O488" s="156" t="s">
        <v>495</v>
      </c>
      <c r="P488" s="156" t="s">
        <v>667</v>
      </c>
      <c r="Q488" s="158">
        <v>0</v>
      </c>
      <c r="R488" s="158">
        <v>0</v>
      </c>
      <c r="S488" s="158">
        <v>2937534.9</v>
      </c>
      <c r="T488" s="158">
        <f t="shared" si="85"/>
        <v>146876.745</v>
      </c>
      <c r="U488" s="158">
        <f t="shared" si="89"/>
        <v>3084411.645</v>
      </c>
      <c r="V488" s="158">
        <v>3324784</v>
      </c>
      <c r="W488" s="158">
        <f t="shared" si="90"/>
        <v>-240372.355</v>
      </c>
      <c r="X488" s="158">
        <f t="shared" si="86"/>
        <v>-228926.052380952</v>
      </c>
      <c r="Y488" s="158">
        <f t="shared" si="91"/>
        <v>-11446.3026190476</v>
      </c>
      <c r="Z488" s="158">
        <f>2927734.9-Z1173</f>
        <v>2767234.9</v>
      </c>
      <c r="AA488" s="158">
        <f t="shared" si="87"/>
        <v>557549.1</v>
      </c>
      <c r="AB488" s="167">
        <f>IF(O488="返货",Z488/(1+N488),IF(O488="返现",(Z488-124508.94),IF(O488="折扣",Z488*N488,IF(O488="无",Z488))))</f>
        <v>2642725.96</v>
      </c>
      <c r="AC488" s="168">
        <f t="shared" si="88"/>
        <v>138361.745</v>
      </c>
      <c r="AD488" s="158">
        <f t="shared" si="93"/>
        <v>2712657.69759026</v>
      </c>
      <c r="AE488" s="159">
        <v>0.1077</v>
      </c>
      <c r="AF488" s="158">
        <f t="shared" si="82"/>
        <v>292153.234030472</v>
      </c>
      <c r="AG488" s="158">
        <v>175901.101110952</v>
      </c>
      <c r="AH488" s="175"/>
      <c r="AI488" s="175"/>
      <c r="AJ488" s="156" t="s">
        <v>63</v>
      </c>
      <c r="AK488" s="140" t="s">
        <v>63</v>
      </c>
      <c r="AM488" s="152"/>
    </row>
    <row r="489" s="140" customFormat="1" ht="15" hidden="1" customHeight="1" spans="1:39">
      <c r="A489" s="140">
        <v>2017</v>
      </c>
      <c r="B489" s="140" t="s">
        <v>38</v>
      </c>
      <c r="C489" s="140" t="s">
        <v>75</v>
      </c>
      <c r="D489" s="140" t="s">
        <v>76</v>
      </c>
      <c r="E489" s="140" t="s">
        <v>150</v>
      </c>
      <c r="F489" s="140" t="s">
        <v>665</v>
      </c>
      <c r="G489" s="140" t="s">
        <v>665</v>
      </c>
      <c r="H489" s="140" t="s">
        <v>665</v>
      </c>
      <c r="I489" s="184" t="s">
        <v>204</v>
      </c>
      <c r="J489" s="140" t="s">
        <v>577</v>
      </c>
      <c r="K489" s="140" t="s">
        <v>578</v>
      </c>
      <c r="L489" s="140" t="s">
        <v>666</v>
      </c>
      <c r="M489" s="140" t="s">
        <v>160</v>
      </c>
      <c r="N489" s="157">
        <v>0</v>
      </c>
      <c r="O489" s="156" t="s">
        <v>47</v>
      </c>
      <c r="P489" s="156"/>
      <c r="Q489" s="158">
        <v>0</v>
      </c>
      <c r="R489" s="158">
        <v>0</v>
      </c>
      <c r="S489" s="158">
        <v>530000</v>
      </c>
      <c r="T489" s="158">
        <f t="shared" si="85"/>
        <v>0</v>
      </c>
      <c r="U489" s="158">
        <f t="shared" si="89"/>
        <v>530000</v>
      </c>
      <c r="V489" s="158">
        <v>550000</v>
      </c>
      <c r="W489" s="158">
        <f t="shared" si="90"/>
        <v>-20000</v>
      </c>
      <c r="X489" s="158">
        <f t="shared" si="86"/>
        <v>-20000</v>
      </c>
      <c r="Y489" s="158">
        <f t="shared" si="91"/>
        <v>0</v>
      </c>
      <c r="Z489" s="158">
        <v>550000</v>
      </c>
      <c r="AA489" s="158">
        <f t="shared" si="87"/>
        <v>0</v>
      </c>
      <c r="AB489" s="167">
        <f>IF(O489="返货",Z489/(1+N489),IF(O489="返现",Z489,IF(O489="折扣",Z489*N489,IF(O489="无",Z489))))</f>
        <v>550000</v>
      </c>
      <c r="AC489" s="168">
        <f t="shared" si="88"/>
        <v>0</v>
      </c>
      <c r="AD489" s="158">
        <f t="shared" si="93"/>
        <v>539152.543094425</v>
      </c>
      <c r="AE489" s="159">
        <v>0.1077</v>
      </c>
      <c r="AF489" s="158">
        <f t="shared" si="82"/>
        <v>58066.7288912695</v>
      </c>
      <c r="AG489" s="158">
        <v>59235</v>
      </c>
      <c r="AH489" s="175"/>
      <c r="AI489" s="175"/>
      <c r="AJ489" s="156" t="s">
        <v>648</v>
      </c>
      <c r="AK489" s="140" t="s">
        <v>648</v>
      </c>
      <c r="AM489" s="152"/>
    </row>
    <row r="490" s="140" customFormat="1" ht="15" hidden="1" customHeight="1" spans="1:39">
      <c r="A490" s="140">
        <v>2017</v>
      </c>
      <c r="B490" s="140" t="s">
        <v>38</v>
      </c>
      <c r="C490" s="140" t="s">
        <v>75</v>
      </c>
      <c r="D490" s="140" t="s">
        <v>76</v>
      </c>
      <c r="E490" s="140" t="s">
        <v>77</v>
      </c>
      <c r="F490" s="140" t="s">
        <v>303</v>
      </c>
      <c r="G490" s="140" t="s">
        <v>303</v>
      </c>
      <c r="H490" s="140" t="s">
        <v>303</v>
      </c>
      <c r="I490" s="184" t="s">
        <v>204</v>
      </c>
      <c r="J490" s="140" t="s">
        <v>205</v>
      </c>
      <c r="K490" s="140" t="s">
        <v>206</v>
      </c>
      <c r="L490" s="140" t="s">
        <v>303</v>
      </c>
      <c r="M490" s="140" t="s">
        <v>46</v>
      </c>
      <c r="N490" s="157">
        <v>0.02</v>
      </c>
      <c r="O490" s="156" t="s">
        <v>51</v>
      </c>
      <c r="P490" s="156"/>
      <c r="Q490" s="158">
        <v>0</v>
      </c>
      <c r="R490" s="158">
        <v>0</v>
      </c>
      <c r="S490" s="158">
        <v>360000</v>
      </c>
      <c r="T490" s="158">
        <f t="shared" si="85"/>
        <v>7200</v>
      </c>
      <c r="U490" s="158">
        <f t="shared" si="89"/>
        <v>367200</v>
      </c>
      <c r="V490" s="158">
        <v>310000</v>
      </c>
      <c r="W490" s="158">
        <f t="shared" si="90"/>
        <v>57200</v>
      </c>
      <c r="X490" s="158">
        <f t="shared" si="86"/>
        <v>56078.431372549</v>
      </c>
      <c r="Y490" s="158">
        <f t="shared" si="91"/>
        <v>1121.56862745098</v>
      </c>
      <c r="Z490" s="158">
        <v>276959.12</v>
      </c>
      <c r="AA490" s="158">
        <f t="shared" si="87"/>
        <v>33040.88</v>
      </c>
      <c r="AB490" s="167">
        <f>IF(O490="返货",Z490/(1+N490),IF(O490="返现",Z490,IF(O490="折扣",Z490*N490,IF(O490="无",Z490))))</f>
        <v>271528.549019608</v>
      </c>
      <c r="AC490" s="168">
        <f t="shared" si="88"/>
        <v>5430.57098039216</v>
      </c>
      <c r="AD490" s="158">
        <v>276959.12</v>
      </c>
      <c r="AE490" s="159">
        <v>0.07</v>
      </c>
      <c r="AF490" s="158">
        <f t="shared" si="82"/>
        <v>19387.1384</v>
      </c>
      <c r="AG490" s="158">
        <v>13956.5674196078</v>
      </c>
      <c r="AH490" s="175"/>
      <c r="AI490" s="175"/>
      <c r="AJ490" s="157">
        <v>0.02</v>
      </c>
      <c r="AK490" s="177">
        <v>0.02</v>
      </c>
      <c r="AM490" s="152"/>
    </row>
    <row r="491" s="140" customFormat="1" ht="15" hidden="1" customHeight="1" spans="1:39">
      <c r="A491" s="140">
        <v>2017</v>
      </c>
      <c r="B491" s="140" t="s">
        <v>38</v>
      </c>
      <c r="C491" s="140" t="s">
        <v>75</v>
      </c>
      <c r="D491" s="140" t="s">
        <v>76</v>
      </c>
      <c r="E491" s="140" t="s">
        <v>77</v>
      </c>
      <c r="F491" s="140" t="s">
        <v>78</v>
      </c>
      <c r="G491" s="140" t="s">
        <v>78</v>
      </c>
      <c r="H491" s="140" t="s">
        <v>78</v>
      </c>
      <c r="I491" s="184" t="s">
        <v>204</v>
      </c>
      <c r="J491" s="140" t="s">
        <v>577</v>
      </c>
      <c r="K491" s="140" t="s">
        <v>578</v>
      </c>
      <c r="L491" s="140" t="s">
        <v>79</v>
      </c>
      <c r="M491" s="140" t="s">
        <v>160</v>
      </c>
      <c r="N491" s="157">
        <v>0.02</v>
      </c>
      <c r="O491" s="156" t="s">
        <v>51</v>
      </c>
      <c r="P491" s="156"/>
      <c r="Q491" s="158">
        <v>0</v>
      </c>
      <c r="R491" s="158">
        <v>0</v>
      </c>
      <c r="S491" s="158">
        <v>50000</v>
      </c>
      <c r="T491" s="158">
        <f t="shared" si="85"/>
        <v>1000</v>
      </c>
      <c r="U491" s="158">
        <f t="shared" si="89"/>
        <v>51000</v>
      </c>
      <c r="V491" s="158">
        <v>50000</v>
      </c>
      <c r="W491" s="158">
        <f t="shared" si="90"/>
        <v>1000</v>
      </c>
      <c r="X491" s="158">
        <f t="shared" si="86"/>
        <v>980.392156862745</v>
      </c>
      <c r="Y491" s="158">
        <f t="shared" si="91"/>
        <v>19.6078431372549</v>
      </c>
      <c r="Z491" s="158">
        <v>50000</v>
      </c>
      <c r="AA491" s="158">
        <f t="shared" si="87"/>
        <v>0</v>
      </c>
      <c r="AB491" s="167">
        <f>IF(O491="返货",Z491/(1+N491),IF(O491="返现",Z491,IF(O491="折扣",Z491*N491,IF(O491="无",Z491))))</f>
        <v>49019.6078431373</v>
      </c>
      <c r="AC491" s="168">
        <f t="shared" si="88"/>
        <v>980.392156862748</v>
      </c>
      <c r="AD491" s="158">
        <f>Z491*0.980277351080772</f>
        <v>49013.8675540386</v>
      </c>
      <c r="AE491" s="159">
        <v>0.1077</v>
      </c>
      <c r="AF491" s="158">
        <f t="shared" si="82"/>
        <v>5278.79353556996</v>
      </c>
      <c r="AG491" s="158">
        <v>4404.60784313725</v>
      </c>
      <c r="AH491" s="175"/>
      <c r="AI491" s="175"/>
      <c r="AJ491" s="156" t="s">
        <v>173</v>
      </c>
      <c r="AK491" s="140" t="s">
        <v>173</v>
      </c>
      <c r="AM491" s="152"/>
    </row>
    <row r="492" s="140" customFormat="1" ht="15" hidden="1" customHeight="1" spans="1:39">
      <c r="A492" s="140">
        <v>2017</v>
      </c>
      <c r="B492" s="140" t="s">
        <v>38</v>
      </c>
      <c r="C492" s="140" t="s">
        <v>75</v>
      </c>
      <c r="D492" s="140" t="s">
        <v>76</v>
      </c>
      <c r="E492" s="140" t="s">
        <v>77</v>
      </c>
      <c r="F492" s="140" t="s">
        <v>78</v>
      </c>
      <c r="G492" s="140" t="s">
        <v>78</v>
      </c>
      <c r="H492" s="140" t="s">
        <v>78</v>
      </c>
      <c r="I492" s="184" t="s">
        <v>204</v>
      </c>
      <c r="J492" s="140" t="s">
        <v>577</v>
      </c>
      <c r="K492" s="140" t="s">
        <v>578</v>
      </c>
      <c r="L492" s="140" t="s">
        <v>79</v>
      </c>
      <c r="M492" s="140" t="s">
        <v>46</v>
      </c>
      <c r="N492" s="157">
        <v>0.02</v>
      </c>
      <c r="O492" s="156" t="s">
        <v>51</v>
      </c>
      <c r="P492" s="156"/>
      <c r="Q492" s="158">
        <v>59961.45</v>
      </c>
      <c r="R492" s="158">
        <v>0</v>
      </c>
      <c r="S492" s="158">
        <v>827563.72</v>
      </c>
      <c r="T492" s="158">
        <f t="shared" si="85"/>
        <v>16551.2744</v>
      </c>
      <c r="U492" s="158">
        <f t="shared" si="89"/>
        <v>844114.9944</v>
      </c>
      <c r="V492" s="158">
        <v>978036.35</v>
      </c>
      <c r="W492" s="158">
        <f t="shared" si="90"/>
        <v>-133921.3556</v>
      </c>
      <c r="X492" s="158">
        <f t="shared" si="86"/>
        <v>-131295.446666667</v>
      </c>
      <c r="Y492" s="158">
        <f t="shared" si="91"/>
        <v>-2625.90893333332</v>
      </c>
      <c r="Z492" s="158">
        <v>904120.02</v>
      </c>
      <c r="AA492" s="158">
        <f t="shared" si="87"/>
        <v>133877.78</v>
      </c>
      <c r="AB492" s="167">
        <f>IF(O492="返货",(Z492-Q492)/(1+N492),IF(O492="返现",(Z492-Q492),IF(O492="折扣",(Z492-Q492)*N492,IF(O492="无",(Z492-Q492)))))</f>
        <v>827606.441176471</v>
      </c>
      <c r="AC492" s="168">
        <f t="shared" si="88"/>
        <v>76513.5788235294</v>
      </c>
      <c r="AD492" s="158">
        <f>Z492*0.980277351080772</f>
        <v>886288.378264695</v>
      </c>
      <c r="AE492" s="159">
        <v>0.1077</v>
      </c>
      <c r="AF492" s="158">
        <f t="shared" si="82"/>
        <v>95453.2583391076</v>
      </c>
      <c r="AG492" s="158">
        <v>79645.8826245882</v>
      </c>
      <c r="AH492" s="175"/>
      <c r="AI492" s="175"/>
      <c r="AJ492" s="157">
        <v>0.02</v>
      </c>
      <c r="AK492" s="177">
        <v>0.02</v>
      </c>
      <c r="AL492" s="140" t="s">
        <v>613</v>
      </c>
      <c r="AM492" s="152"/>
    </row>
    <row r="493" s="140" customFormat="1" ht="15" hidden="1" customHeight="1" spans="1:39">
      <c r="A493" s="140">
        <v>2017</v>
      </c>
      <c r="B493" s="140" t="s">
        <v>38</v>
      </c>
      <c r="C493" s="140" t="s">
        <v>75</v>
      </c>
      <c r="D493" s="140" t="s">
        <v>76</v>
      </c>
      <c r="E493" s="140" t="s">
        <v>77</v>
      </c>
      <c r="F493" s="140" t="s">
        <v>78</v>
      </c>
      <c r="G493" s="140" t="s">
        <v>78</v>
      </c>
      <c r="H493" s="140" t="s">
        <v>78</v>
      </c>
      <c r="I493" s="184" t="s">
        <v>204</v>
      </c>
      <c r="J493" s="140" t="s">
        <v>577</v>
      </c>
      <c r="K493" s="140" t="s">
        <v>578</v>
      </c>
      <c r="L493" s="140" t="s">
        <v>79</v>
      </c>
      <c r="M493" s="140" t="s">
        <v>185</v>
      </c>
      <c r="N493" s="157">
        <v>0.08</v>
      </c>
      <c r="O493" s="156" t="s">
        <v>51</v>
      </c>
      <c r="P493" s="156"/>
      <c r="Q493" s="158">
        <v>63212.3044</v>
      </c>
      <c r="R493" s="158">
        <v>0</v>
      </c>
      <c r="S493" s="158">
        <v>124000.44</v>
      </c>
      <c r="T493" s="158">
        <f t="shared" si="85"/>
        <v>9920.0352</v>
      </c>
      <c r="U493" s="158">
        <f t="shared" si="89"/>
        <v>133920.4752</v>
      </c>
      <c r="V493" s="158">
        <v>0</v>
      </c>
      <c r="W493" s="158">
        <f t="shared" si="90"/>
        <v>133920.4752</v>
      </c>
      <c r="X493" s="158">
        <f t="shared" si="86"/>
        <v>124000.44</v>
      </c>
      <c r="Y493" s="158">
        <f t="shared" si="91"/>
        <v>9920.03520000001</v>
      </c>
      <c r="Z493" s="158">
        <v>197132.78</v>
      </c>
      <c r="AA493" s="158">
        <f t="shared" si="87"/>
        <v>-133920.4756</v>
      </c>
      <c r="AB493" s="167">
        <f>IF(O493="返货",(Z493-Q493)/(1+N493),IF(O493="返现",(Z493-Q493),IF(O493="折扣",(Z493-Q493)*N493,IF(O493="无",(Z493-Q493)))))</f>
        <v>124000.44037037</v>
      </c>
      <c r="AC493" s="168">
        <f t="shared" si="88"/>
        <v>73132.3396296296</v>
      </c>
      <c r="AD493" s="158">
        <f>Z493*0.980277351080772</f>
        <v>193244.799389589</v>
      </c>
      <c r="AE493" s="159">
        <v>0.3156</v>
      </c>
      <c r="AF493" s="158">
        <f t="shared" si="82"/>
        <v>60988.0586873542</v>
      </c>
      <c r="AG493" s="158">
        <v>47612.6772198518</v>
      </c>
      <c r="AH493" s="175"/>
      <c r="AI493" s="175"/>
      <c r="AJ493" s="157">
        <v>0.08</v>
      </c>
      <c r="AK493" s="177">
        <v>0.08</v>
      </c>
      <c r="AM493" s="152"/>
    </row>
    <row r="494" s="140" customFormat="1" ht="15" hidden="1" customHeight="1" spans="1:39">
      <c r="A494" s="140">
        <v>2017</v>
      </c>
      <c r="B494" s="140" t="s">
        <v>38</v>
      </c>
      <c r="C494" s="140" t="s">
        <v>75</v>
      </c>
      <c r="D494" s="140" t="s">
        <v>76</v>
      </c>
      <c r="E494" s="140" t="s">
        <v>257</v>
      </c>
      <c r="F494" s="140" t="s">
        <v>652</v>
      </c>
      <c r="G494" s="140" t="s">
        <v>652</v>
      </c>
      <c r="H494" s="140" t="s">
        <v>652</v>
      </c>
      <c r="I494" s="184" t="s">
        <v>204</v>
      </c>
      <c r="J494" s="140" t="s">
        <v>577</v>
      </c>
      <c r="K494" s="140" t="s">
        <v>578</v>
      </c>
      <c r="L494" s="140" t="s">
        <v>652</v>
      </c>
      <c r="M494" s="140" t="s">
        <v>185</v>
      </c>
      <c r="N494" s="157">
        <v>0.04</v>
      </c>
      <c r="O494" s="156" t="s">
        <v>51</v>
      </c>
      <c r="P494" s="156"/>
      <c r="Q494" s="158">
        <v>0</v>
      </c>
      <c r="R494" s="158">
        <v>0</v>
      </c>
      <c r="S494" s="158">
        <v>2150.39</v>
      </c>
      <c r="T494" s="158">
        <f t="shared" si="85"/>
        <v>86.0156</v>
      </c>
      <c r="U494" s="158">
        <f t="shared" si="89"/>
        <v>2236.4056</v>
      </c>
      <c r="V494" s="158">
        <v>0</v>
      </c>
      <c r="W494" s="158">
        <f t="shared" si="90"/>
        <v>2236.4056</v>
      </c>
      <c r="X494" s="158">
        <f t="shared" si="86"/>
        <v>2150.39</v>
      </c>
      <c r="Y494" s="158">
        <f t="shared" si="91"/>
        <v>86.0156000000002</v>
      </c>
      <c r="Z494" s="158">
        <v>2194.01</v>
      </c>
      <c r="AA494" s="158">
        <f t="shared" si="87"/>
        <v>-2194.01</v>
      </c>
      <c r="AB494" s="167">
        <f>IF(O494="返货",Z494/(1+N494),IF(O494="返现",Z494,IF(O494="折扣",Z494*N494,IF(O494="无",Z494))))</f>
        <v>2109.625</v>
      </c>
      <c r="AC494" s="168">
        <f t="shared" si="88"/>
        <v>84.3850000000002</v>
      </c>
      <c r="AD494" s="158">
        <f>Z494*0.980277351080772</f>
        <v>2150.73831104472</v>
      </c>
      <c r="AE494" s="159">
        <v>0.3156</v>
      </c>
      <c r="AF494" s="158">
        <f t="shared" si="82"/>
        <v>678.773010965715</v>
      </c>
      <c r="AG494" s="158">
        <v>608.044556</v>
      </c>
      <c r="AH494" s="175"/>
      <c r="AI494" s="175"/>
      <c r="AJ494" s="157">
        <v>0.04</v>
      </c>
      <c r="AK494" s="177">
        <v>0.04</v>
      </c>
      <c r="AM494" s="152"/>
    </row>
    <row r="495" s="140" customFormat="1" ht="15" hidden="1" customHeight="1" spans="1:39">
      <c r="A495" s="140">
        <v>2017</v>
      </c>
      <c r="B495" s="140" t="s">
        <v>252</v>
      </c>
      <c r="C495" s="140" t="s">
        <v>75</v>
      </c>
      <c r="D495" s="140" t="s">
        <v>76</v>
      </c>
      <c r="E495" s="140" t="s">
        <v>257</v>
      </c>
      <c r="F495" s="140" t="s">
        <v>668</v>
      </c>
      <c r="G495" s="140" t="s">
        <v>669</v>
      </c>
      <c r="H495" s="140" t="s">
        <v>670</v>
      </c>
      <c r="I495" s="184" t="s">
        <v>204</v>
      </c>
      <c r="J495" s="140" t="s">
        <v>577</v>
      </c>
      <c r="K495" s="140" t="s">
        <v>578</v>
      </c>
      <c r="L495" s="140" t="s">
        <v>668</v>
      </c>
      <c r="M495" s="140" t="s">
        <v>46</v>
      </c>
      <c r="N495" s="157">
        <v>0.02</v>
      </c>
      <c r="O495" s="156" t="s">
        <v>51</v>
      </c>
      <c r="P495" s="156"/>
      <c r="Q495" s="158">
        <v>212257.634</v>
      </c>
      <c r="R495" s="158">
        <v>0</v>
      </c>
      <c r="S495" s="158">
        <v>20462124.31</v>
      </c>
      <c r="T495" s="158">
        <f t="shared" si="85"/>
        <v>409242.4862</v>
      </c>
      <c r="U495" s="158">
        <f t="shared" si="89"/>
        <v>20871366.7962</v>
      </c>
      <c r="V495" s="158">
        <v>27939064.97</v>
      </c>
      <c r="W495" s="158">
        <f t="shared" si="90"/>
        <v>-7067698.1738</v>
      </c>
      <c r="X495" s="158">
        <f t="shared" si="86"/>
        <v>-6929115.85666667</v>
      </c>
      <c r="Y495" s="158">
        <f t="shared" si="91"/>
        <v>-138582.317133334</v>
      </c>
      <c r="Z495" s="158">
        <v>21083620.44</v>
      </c>
      <c r="AA495" s="158">
        <f t="shared" si="87"/>
        <v>7067702.164</v>
      </c>
      <c r="AB495" s="167">
        <f>IF(O495="返货",(Z495-Q495)/(1+N495),IF(O495="返现",(Z495-Q495),IF(O495="折扣",(Z495-Q495)*N495,IF(O495="无",(Z495-Q495)))))</f>
        <v>20462120.3980392</v>
      </c>
      <c r="AC495" s="168">
        <f t="shared" si="88"/>
        <v>621500.041960783</v>
      </c>
      <c r="AD495" s="158">
        <f>Z495*0.980277351080772</f>
        <v>20667795.5961156</v>
      </c>
      <c r="AE495" s="159">
        <v>0.1077</v>
      </c>
      <c r="AF495" s="158">
        <f t="shared" ref="AF495:AF558" si="94">AD495*AE495</f>
        <v>2225921.58570165</v>
      </c>
      <c r="AG495" s="158">
        <v>1857301.59903506</v>
      </c>
      <c r="AH495" s="175"/>
      <c r="AI495" s="175"/>
      <c r="AJ495" s="156" t="s">
        <v>173</v>
      </c>
      <c r="AK495" s="140" t="s">
        <v>173</v>
      </c>
      <c r="AL495" s="140" t="s">
        <v>613</v>
      </c>
      <c r="AM495" s="152"/>
    </row>
    <row r="496" s="140" customFormat="1" ht="15" hidden="1" customHeight="1" spans="1:39">
      <c r="A496" s="140">
        <v>2017</v>
      </c>
      <c r="B496" s="140" t="s">
        <v>38</v>
      </c>
      <c r="C496" s="140" t="s">
        <v>75</v>
      </c>
      <c r="D496" s="140" t="s">
        <v>76</v>
      </c>
      <c r="E496" s="140" t="s">
        <v>175</v>
      </c>
      <c r="F496" s="140" t="s">
        <v>671</v>
      </c>
      <c r="G496" s="140" t="s">
        <v>671</v>
      </c>
      <c r="H496" s="140" t="s">
        <v>671</v>
      </c>
      <c r="I496" s="184" t="s">
        <v>204</v>
      </c>
      <c r="J496" s="140" t="s">
        <v>626</v>
      </c>
      <c r="K496" s="140" t="s">
        <v>627</v>
      </c>
      <c r="L496" s="140" t="s">
        <v>671</v>
      </c>
      <c r="M496" s="140" t="s">
        <v>46</v>
      </c>
      <c r="N496" s="157">
        <v>0.03</v>
      </c>
      <c r="O496" s="156" t="s">
        <v>51</v>
      </c>
      <c r="P496" s="156"/>
      <c r="Q496" s="158">
        <v>0</v>
      </c>
      <c r="R496" s="158">
        <v>0</v>
      </c>
      <c r="S496" s="158">
        <v>100000</v>
      </c>
      <c r="T496" s="158">
        <f t="shared" si="85"/>
        <v>3000</v>
      </c>
      <c r="U496" s="158">
        <f t="shared" si="89"/>
        <v>103000</v>
      </c>
      <c r="V496" s="158">
        <v>103000</v>
      </c>
      <c r="W496" s="158">
        <f t="shared" si="90"/>
        <v>0</v>
      </c>
      <c r="X496" s="158">
        <f t="shared" si="86"/>
        <v>0</v>
      </c>
      <c r="Y496" s="158">
        <f t="shared" si="91"/>
        <v>0</v>
      </c>
      <c r="Z496" s="158">
        <v>59277.92</v>
      </c>
      <c r="AA496" s="158">
        <f t="shared" si="87"/>
        <v>43722.08</v>
      </c>
      <c r="AB496" s="167">
        <f t="shared" ref="AB496:AB504" si="95">IF(O496="返货",Z496/(1+N496),IF(O496="返现",Z496,IF(O496="折扣",Z496*N496,IF(O496="无",Z496))))</f>
        <v>57551.3786407767</v>
      </c>
      <c r="AC496" s="168">
        <f t="shared" si="88"/>
        <v>1726.5413592233</v>
      </c>
      <c r="AD496" s="158">
        <f>Z496*0.905731236248844</f>
        <v>53689.8637638601</v>
      </c>
      <c r="AE496" s="159">
        <v>0.07</v>
      </c>
      <c r="AF496" s="158">
        <f t="shared" si="94"/>
        <v>3758.29046347021</v>
      </c>
      <c r="AG496" s="158">
        <v>2422.9130407767</v>
      </c>
      <c r="AH496" s="175"/>
      <c r="AI496" s="175"/>
      <c r="AJ496" s="156" t="s">
        <v>189</v>
      </c>
      <c r="AK496" s="140" t="s">
        <v>189</v>
      </c>
      <c r="AM496" s="152"/>
    </row>
    <row r="497" s="140" customFormat="1" ht="15" hidden="1" customHeight="1" spans="1:39">
      <c r="A497" s="140">
        <v>2017</v>
      </c>
      <c r="B497" s="140" t="s">
        <v>38</v>
      </c>
      <c r="C497" s="140" t="s">
        <v>75</v>
      </c>
      <c r="D497" s="140" t="s">
        <v>76</v>
      </c>
      <c r="E497" s="140" t="s">
        <v>175</v>
      </c>
      <c r="F497" s="140" t="s">
        <v>672</v>
      </c>
      <c r="G497" s="140" t="s">
        <v>672</v>
      </c>
      <c r="H497" s="140" t="s">
        <v>672</v>
      </c>
      <c r="I497" s="184" t="s">
        <v>204</v>
      </c>
      <c r="J497" s="140" t="s">
        <v>577</v>
      </c>
      <c r="K497" s="140" t="s">
        <v>578</v>
      </c>
      <c r="L497" s="140" t="s">
        <v>672</v>
      </c>
      <c r="M497" s="140" t="s">
        <v>46</v>
      </c>
      <c r="N497" s="157">
        <v>0.02</v>
      </c>
      <c r="O497" s="156" t="s">
        <v>51</v>
      </c>
      <c r="P497" s="156"/>
      <c r="Q497" s="158">
        <v>0</v>
      </c>
      <c r="R497" s="158">
        <v>0</v>
      </c>
      <c r="S497" s="158">
        <v>132.200000000001</v>
      </c>
      <c r="T497" s="158">
        <f t="shared" si="85"/>
        <v>2.64400000000002</v>
      </c>
      <c r="U497" s="158">
        <f t="shared" si="89"/>
        <v>134.844000000001</v>
      </c>
      <c r="V497" s="158">
        <v>10000</v>
      </c>
      <c r="W497" s="158">
        <f t="shared" si="90"/>
        <v>-9865.156</v>
      </c>
      <c r="X497" s="158">
        <f t="shared" si="86"/>
        <v>-9671.72156862745</v>
      </c>
      <c r="Y497" s="158">
        <f t="shared" si="91"/>
        <v>-193.434431372549</v>
      </c>
      <c r="Z497" s="158">
        <v>132.2</v>
      </c>
      <c r="AA497" s="158">
        <f t="shared" si="87"/>
        <v>9867.8</v>
      </c>
      <c r="AB497" s="167">
        <f t="shared" si="95"/>
        <v>129.607843137255</v>
      </c>
      <c r="AC497" s="168">
        <f t="shared" si="88"/>
        <v>2.5921568627451</v>
      </c>
      <c r="AD497" s="158">
        <f t="shared" ref="AD497:AD528" si="96">Z497*0.980277351080772</f>
        <v>129.592665812878</v>
      </c>
      <c r="AE497" s="159">
        <v>0.1077</v>
      </c>
      <c r="AF497" s="158">
        <f t="shared" si="94"/>
        <v>13.957130108047</v>
      </c>
      <c r="AG497" s="158">
        <v>11.6457831372549</v>
      </c>
      <c r="AH497" s="175"/>
      <c r="AI497" s="175"/>
      <c r="AJ497" s="156" t="s">
        <v>173</v>
      </c>
      <c r="AK497" s="140" t="s">
        <v>173</v>
      </c>
      <c r="AM497" s="152"/>
    </row>
    <row r="498" s="140" customFormat="1" ht="15" hidden="1" customHeight="1" spans="1:39">
      <c r="A498" s="140">
        <v>2017</v>
      </c>
      <c r="B498" s="140" t="s">
        <v>38</v>
      </c>
      <c r="C498" s="140" t="s">
        <v>75</v>
      </c>
      <c r="D498" s="140" t="s">
        <v>76</v>
      </c>
      <c r="E498" s="140" t="s">
        <v>175</v>
      </c>
      <c r="F498" s="140" t="s">
        <v>672</v>
      </c>
      <c r="G498" s="140" t="s">
        <v>672</v>
      </c>
      <c r="H498" s="140" t="s">
        <v>672</v>
      </c>
      <c r="I498" s="184" t="s">
        <v>204</v>
      </c>
      <c r="J498" s="140" t="s">
        <v>577</v>
      </c>
      <c r="K498" s="140" t="s">
        <v>578</v>
      </c>
      <c r="L498" s="140" t="s">
        <v>672</v>
      </c>
      <c r="M498" s="140" t="s">
        <v>185</v>
      </c>
      <c r="N498" s="157">
        <v>0.08</v>
      </c>
      <c r="O498" s="156" t="s">
        <v>51</v>
      </c>
      <c r="P498" s="156"/>
      <c r="Q498" s="158">
        <v>0</v>
      </c>
      <c r="R498" s="158">
        <v>0</v>
      </c>
      <c r="S498" s="158">
        <v>622.51</v>
      </c>
      <c r="T498" s="158">
        <f t="shared" si="85"/>
        <v>49.8008</v>
      </c>
      <c r="U498" s="158">
        <f t="shared" si="89"/>
        <v>672.3108</v>
      </c>
      <c r="V498" s="158">
        <v>0</v>
      </c>
      <c r="W498" s="158">
        <f t="shared" si="90"/>
        <v>672.3108</v>
      </c>
      <c r="X498" s="158">
        <f t="shared" si="86"/>
        <v>622.51</v>
      </c>
      <c r="Y498" s="158">
        <f t="shared" si="91"/>
        <v>49.8008000000001</v>
      </c>
      <c r="Z498" s="158">
        <v>622.51</v>
      </c>
      <c r="AA498" s="158">
        <f t="shared" si="87"/>
        <v>-622.51</v>
      </c>
      <c r="AB498" s="167">
        <f t="shared" si="95"/>
        <v>576.398148148148</v>
      </c>
      <c r="AC498" s="168">
        <f t="shared" si="88"/>
        <v>46.1118518518518</v>
      </c>
      <c r="AD498" s="158">
        <f t="shared" si="96"/>
        <v>610.232453821291</v>
      </c>
      <c r="AE498" s="159">
        <v>0.3156</v>
      </c>
      <c r="AF498" s="158">
        <f t="shared" si="94"/>
        <v>192.589362426</v>
      </c>
      <c r="AG498" s="158">
        <v>150.352304148148</v>
      </c>
      <c r="AH498" s="175"/>
      <c r="AI498" s="175"/>
      <c r="AJ498" s="156" t="s">
        <v>53</v>
      </c>
      <c r="AK498" s="140" t="s">
        <v>53</v>
      </c>
      <c r="AM498" s="152"/>
    </row>
    <row r="499" s="140" customFormat="1" ht="15" hidden="1" customHeight="1" spans="1:39">
      <c r="A499" s="140">
        <v>2017</v>
      </c>
      <c r="B499" s="140" t="s">
        <v>38</v>
      </c>
      <c r="C499" s="140" t="s">
        <v>75</v>
      </c>
      <c r="D499" s="140" t="s">
        <v>76</v>
      </c>
      <c r="E499" s="140" t="s">
        <v>304</v>
      </c>
      <c r="F499" s="140" t="s">
        <v>673</v>
      </c>
      <c r="G499" s="140" t="s">
        <v>673</v>
      </c>
      <c r="H499" s="140" t="s">
        <v>673</v>
      </c>
      <c r="I499" s="184" t="s">
        <v>204</v>
      </c>
      <c r="J499" s="140" t="s">
        <v>577</v>
      </c>
      <c r="K499" s="140" t="s">
        <v>578</v>
      </c>
      <c r="L499" s="140" t="s">
        <v>673</v>
      </c>
      <c r="M499" s="140" t="s">
        <v>46</v>
      </c>
      <c r="N499" s="157">
        <v>0.02</v>
      </c>
      <c r="O499" s="156" t="s">
        <v>51</v>
      </c>
      <c r="P499" s="156"/>
      <c r="Q499" s="158">
        <v>0</v>
      </c>
      <c r="R499" s="158">
        <v>0</v>
      </c>
      <c r="S499" s="158">
        <v>10169.02</v>
      </c>
      <c r="T499" s="158">
        <f t="shared" si="85"/>
        <v>203.3804</v>
      </c>
      <c r="U499" s="158">
        <f t="shared" si="89"/>
        <v>10372.4004</v>
      </c>
      <c r="V499" s="158">
        <v>20400</v>
      </c>
      <c r="W499" s="158">
        <f t="shared" si="90"/>
        <v>-10027.5996</v>
      </c>
      <c r="X499" s="158">
        <f t="shared" si="86"/>
        <v>-9830.98</v>
      </c>
      <c r="Y499" s="158">
        <f t="shared" si="91"/>
        <v>-196.6196</v>
      </c>
      <c r="Z499" s="158">
        <v>10372.4</v>
      </c>
      <c r="AA499" s="158">
        <f t="shared" si="87"/>
        <v>10027.6</v>
      </c>
      <c r="AB499" s="167">
        <f t="shared" si="95"/>
        <v>10169.0196078431</v>
      </c>
      <c r="AC499" s="168">
        <f t="shared" si="88"/>
        <v>203.380392156863</v>
      </c>
      <c r="AD499" s="158">
        <f t="shared" si="96"/>
        <v>10167.8287963502</v>
      </c>
      <c r="AE499" s="159">
        <v>0.1077</v>
      </c>
      <c r="AF499" s="158">
        <f t="shared" si="94"/>
        <v>1095.07516136692</v>
      </c>
      <c r="AG499" s="158">
        <v>913.727087843137</v>
      </c>
      <c r="AH499" s="175"/>
      <c r="AI499" s="175"/>
      <c r="AJ499" s="156" t="s">
        <v>173</v>
      </c>
      <c r="AK499" s="140" t="s">
        <v>173</v>
      </c>
      <c r="AM499" s="152"/>
    </row>
    <row r="500" s="140" customFormat="1" ht="15" hidden="1" customHeight="1" spans="1:39">
      <c r="A500" s="140">
        <v>2017</v>
      </c>
      <c r="B500" s="140" t="s">
        <v>38</v>
      </c>
      <c r="C500" s="140" t="s">
        <v>75</v>
      </c>
      <c r="D500" s="140" t="s">
        <v>76</v>
      </c>
      <c r="E500" s="140" t="s">
        <v>304</v>
      </c>
      <c r="F500" s="140" t="s">
        <v>673</v>
      </c>
      <c r="G500" s="140" t="s">
        <v>673</v>
      </c>
      <c r="H500" s="140" t="s">
        <v>673</v>
      </c>
      <c r="I500" s="184" t="s">
        <v>204</v>
      </c>
      <c r="J500" s="140" t="s">
        <v>577</v>
      </c>
      <c r="K500" s="140" t="s">
        <v>578</v>
      </c>
      <c r="L500" s="140" t="s">
        <v>673</v>
      </c>
      <c r="M500" s="140" t="s">
        <v>185</v>
      </c>
      <c r="N500" s="157">
        <v>0.08</v>
      </c>
      <c r="O500" s="156" t="s">
        <v>51</v>
      </c>
      <c r="P500" s="156"/>
      <c r="Q500" s="158">
        <v>0</v>
      </c>
      <c r="R500" s="158">
        <v>0</v>
      </c>
      <c r="S500" s="158">
        <v>441.18</v>
      </c>
      <c r="T500" s="158">
        <f t="shared" si="85"/>
        <v>35.2944</v>
      </c>
      <c r="U500" s="158">
        <f t="shared" si="89"/>
        <v>476.4744</v>
      </c>
      <c r="V500" s="158">
        <v>0</v>
      </c>
      <c r="W500" s="158">
        <f t="shared" si="90"/>
        <v>476.4744</v>
      </c>
      <c r="X500" s="158">
        <f t="shared" si="86"/>
        <v>441.18</v>
      </c>
      <c r="Y500" s="158">
        <f t="shared" si="91"/>
        <v>35.2944000000001</v>
      </c>
      <c r="Z500" s="158">
        <v>450</v>
      </c>
      <c r="AA500" s="158">
        <f t="shared" si="87"/>
        <v>-450</v>
      </c>
      <c r="AB500" s="167">
        <f t="shared" si="95"/>
        <v>416.666666666667</v>
      </c>
      <c r="AC500" s="168">
        <f t="shared" si="88"/>
        <v>33.3333333333334</v>
      </c>
      <c r="AD500" s="158">
        <f t="shared" si="96"/>
        <v>441.124807986347</v>
      </c>
      <c r="AE500" s="159">
        <v>0.3156</v>
      </c>
      <c r="AF500" s="158">
        <f t="shared" si="94"/>
        <v>139.218989400491</v>
      </c>
      <c r="AG500" s="158">
        <v>108.686666666667</v>
      </c>
      <c r="AH500" s="175"/>
      <c r="AI500" s="175"/>
      <c r="AJ500" s="156" t="s">
        <v>53</v>
      </c>
      <c r="AK500" s="140" t="s">
        <v>53</v>
      </c>
      <c r="AM500" s="152"/>
    </row>
    <row r="501" s="140" customFormat="1" ht="15" hidden="1" customHeight="1" spans="1:39">
      <c r="A501" s="140">
        <v>2017</v>
      </c>
      <c r="B501" s="140" t="s">
        <v>38</v>
      </c>
      <c r="C501" s="140" t="s">
        <v>75</v>
      </c>
      <c r="D501" s="140" t="s">
        <v>76</v>
      </c>
      <c r="E501" s="140" t="s">
        <v>304</v>
      </c>
      <c r="F501" s="140" t="s">
        <v>651</v>
      </c>
      <c r="G501" s="140" t="s">
        <v>651</v>
      </c>
      <c r="H501" s="140" t="s">
        <v>651</v>
      </c>
      <c r="I501" s="184" t="s">
        <v>204</v>
      </c>
      <c r="J501" s="140" t="s">
        <v>577</v>
      </c>
      <c r="K501" s="140" t="s">
        <v>578</v>
      </c>
      <c r="L501" s="140" t="s">
        <v>651</v>
      </c>
      <c r="M501" s="140" t="s">
        <v>185</v>
      </c>
      <c r="N501" s="157">
        <v>0.15</v>
      </c>
      <c r="O501" s="156" t="s">
        <v>51</v>
      </c>
      <c r="P501" s="156"/>
      <c r="Q501" s="158">
        <v>0</v>
      </c>
      <c r="R501" s="158">
        <v>0</v>
      </c>
      <c r="S501" s="158">
        <v>87692.32</v>
      </c>
      <c r="T501" s="158">
        <f t="shared" si="85"/>
        <v>13153.848</v>
      </c>
      <c r="U501" s="158">
        <f t="shared" si="89"/>
        <v>100846.168</v>
      </c>
      <c r="V501" s="158">
        <v>0</v>
      </c>
      <c r="W501" s="158">
        <f t="shared" si="90"/>
        <v>100846.168</v>
      </c>
      <c r="X501" s="158">
        <f t="shared" si="86"/>
        <v>87692.32</v>
      </c>
      <c r="Y501" s="158">
        <f t="shared" si="91"/>
        <v>13153.848</v>
      </c>
      <c r="Z501" s="158">
        <v>101418.56</v>
      </c>
      <c r="AA501" s="158">
        <f t="shared" si="87"/>
        <v>-101418.56</v>
      </c>
      <c r="AB501" s="167">
        <f t="shared" si="95"/>
        <v>88190.052173913</v>
      </c>
      <c r="AC501" s="168">
        <f t="shared" si="88"/>
        <v>13228.5078260869</v>
      </c>
      <c r="AD501" s="158">
        <f t="shared" si="96"/>
        <v>99418.3173472263</v>
      </c>
      <c r="AE501" s="159">
        <v>0.3156</v>
      </c>
      <c r="AF501" s="158">
        <f t="shared" si="94"/>
        <v>31376.4209547846</v>
      </c>
      <c r="AG501" s="158">
        <v>18779.1897099131</v>
      </c>
      <c r="AH501" s="175"/>
      <c r="AI501" s="175"/>
      <c r="AJ501" s="156" t="s">
        <v>664</v>
      </c>
      <c r="AK501" s="140" t="s">
        <v>664</v>
      </c>
      <c r="AM501" s="152"/>
    </row>
    <row r="502" s="140" customFormat="1" ht="15" hidden="1" customHeight="1" spans="1:39">
      <c r="A502" s="140">
        <v>2017</v>
      </c>
      <c r="B502" s="140" t="s">
        <v>38</v>
      </c>
      <c r="C502" s="140" t="s">
        <v>75</v>
      </c>
      <c r="D502" s="140" t="s">
        <v>76</v>
      </c>
      <c r="E502" s="140" t="s">
        <v>304</v>
      </c>
      <c r="F502" s="140" t="s">
        <v>674</v>
      </c>
      <c r="G502" s="140" t="s">
        <v>674</v>
      </c>
      <c r="H502" s="140" t="s">
        <v>674</v>
      </c>
      <c r="I502" s="184" t="s">
        <v>204</v>
      </c>
      <c r="J502" s="140" t="s">
        <v>577</v>
      </c>
      <c r="K502" s="140" t="s">
        <v>578</v>
      </c>
      <c r="L502" s="140" t="s">
        <v>674</v>
      </c>
      <c r="M502" s="140" t="s">
        <v>46</v>
      </c>
      <c r="N502" s="157">
        <v>0.02</v>
      </c>
      <c r="O502" s="156" t="s">
        <v>51</v>
      </c>
      <c r="P502" s="156" t="s">
        <v>440</v>
      </c>
      <c r="Q502" s="158">
        <v>0</v>
      </c>
      <c r="R502" s="158">
        <v>0</v>
      </c>
      <c r="S502" s="158">
        <v>2000000</v>
      </c>
      <c r="T502" s="158">
        <f t="shared" si="85"/>
        <v>40000</v>
      </c>
      <c r="U502" s="158">
        <f t="shared" si="89"/>
        <v>2040000</v>
      </c>
      <c r="V502" s="158">
        <v>2080000</v>
      </c>
      <c r="W502" s="158">
        <f t="shared" si="90"/>
        <v>-40000</v>
      </c>
      <c r="X502" s="158">
        <f t="shared" si="86"/>
        <v>-39215.6862745098</v>
      </c>
      <c r="Y502" s="158">
        <f t="shared" si="91"/>
        <v>-784.313725490196</v>
      </c>
      <c r="Z502" s="158">
        <v>1632000</v>
      </c>
      <c r="AA502" s="158">
        <f t="shared" si="87"/>
        <v>448000</v>
      </c>
      <c r="AB502" s="167">
        <f t="shared" si="95"/>
        <v>1600000</v>
      </c>
      <c r="AC502" s="168">
        <f t="shared" si="88"/>
        <v>32000</v>
      </c>
      <c r="AD502" s="158">
        <f t="shared" si="96"/>
        <v>1599812.63696382</v>
      </c>
      <c r="AE502" s="159">
        <v>0.1077</v>
      </c>
      <c r="AF502" s="158">
        <f t="shared" si="94"/>
        <v>172299.821001003</v>
      </c>
      <c r="AG502" s="158">
        <v>182316.144488235</v>
      </c>
      <c r="AH502" s="175"/>
      <c r="AI502" s="175"/>
      <c r="AJ502" s="156" t="s">
        <v>173</v>
      </c>
      <c r="AK502" s="140" t="s">
        <v>173</v>
      </c>
      <c r="AM502" s="152"/>
    </row>
    <row r="503" s="140" customFormat="1" ht="15" hidden="1" customHeight="1" spans="1:39">
      <c r="A503" s="140">
        <v>2017</v>
      </c>
      <c r="B503" s="140" t="s">
        <v>38</v>
      </c>
      <c r="C503" s="140" t="s">
        <v>75</v>
      </c>
      <c r="D503" s="140" t="s">
        <v>76</v>
      </c>
      <c r="E503" s="140" t="s">
        <v>304</v>
      </c>
      <c r="F503" s="140" t="s">
        <v>674</v>
      </c>
      <c r="G503" s="140" t="s">
        <v>674</v>
      </c>
      <c r="H503" s="140" t="s">
        <v>674</v>
      </c>
      <c r="I503" s="184" t="s">
        <v>204</v>
      </c>
      <c r="J503" s="140" t="s">
        <v>577</v>
      </c>
      <c r="K503" s="140" t="s">
        <v>578</v>
      </c>
      <c r="L503" s="140" t="s">
        <v>674</v>
      </c>
      <c r="M503" s="140" t="s">
        <v>160</v>
      </c>
      <c r="N503" s="157">
        <v>0.04</v>
      </c>
      <c r="O503" s="156" t="s">
        <v>51</v>
      </c>
      <c r="P503" s="156"/>
      <c r="Q503" s="158">
        <v>0</v>
      </c>
      <c r="R503" s="158">
        <v>0</v>
      </c>
      <c r="S503" s="158">
        <v>800000</v>
      </c>
      <c r="T503" s="158">
        <f t="shared" si="85"/>
        <v>32000</v>
      </c>
      <c r="U503" s="158">
        <f t="shared" si="89"/>
        <v>832000</v>
      </c>
      <c r="V503" s="158">
        <v>800000</v>
      </c>
      <c r="W503" s="158">
        <f t="shared" si="90"/>
        <v>32000</v>
      </c>
      <c r="X503" s="158">
        <f t="shared" si="86"/>
        <v>30769.2307692308</v>
      </c>
      <c r="Y503" s="158">
        <f t="shared" si="91"/>
        <v>1230.76923076923</v>
      </c>
      <c r="Z503" s="158">
        <v>800000</v>
      </c>
      <c r="AA503" s="158">
        <f t="shared" si="87"/>
        <v>0</v>
      </c>
      <c r="AB503" s="167">
        <f t="shared" si="95"/>
        <v>769230.769230769</v>
      </c>
      <c r="AC503" s="168">
        <f t="shared" si="88"/>
        <v>30769.2307692308</v>
      </c>
      <c r="AD503" s="158">
        <f t="shared" si="96"/>
        <v>784221.880864618</v>
      </c>
      <c r="AE503" s="159">
        <v>0.1077</v>
      </c>
      <c r="AF503" s="158">
        <f t="shared" si="94"/>
        <v>84460.6965691193</v>
      </c>
      <c r="AG503" s="158">
        <v>55390.7692307692</v>
      </c>
      <c r="AH503" s="175"/>
      <c r="AI503" s="175"/>
      <c r="AJ503" s="156" t="s">
        <v>186</v>
      </c>
      <c r="AK503" s="140" t="s">
        <v>186</v>
      </c>
      <c r="AM503" s="152"/>
    </row>
    <row r="504" s="140" customFormat="1" ht="15" hidden="1" customHeight="1" spans="1:39">
      <c r="A504" s="140">
        <v>2017</v>
      </c>
      <c r="B504" s="140" t="s">
        <v>252</v>
      </c>
      <c r="C504" s="140" t="s">
        <v>75</v>
      </c>
      <c r="D504" s="140" t="s">
        <v>76</v>
      </c>
      <c r="E504" s="140" t="s">
        <v>304</v>
      </c>
      <c r="F504" s="140" t="s">
        <v>309</v>
      </c>
      <c r="G504" s="140" t="s">
        <v>310</v>
      </c>
      <c r="H504" s="140" t="s">
        <v>311</v>
      </c>
      <c r="I504" s="184" t="s">
        <v>204</v>
      </c>
      <c r="J504" s="140" t="s">
        <v>577</v>
      </c>
      <c r="K504" s="140" t="s">
        <v>578</v>
      </c>
      <c r="L504" s="140" t="s">
        <v>309</v>
      </c>
      <c r="M504" s="140" t="s">
        <v>185</v>
      </c>
      <c r="N504" s="157">
        <v>0.14</v>
      </c>
      <c r="O504" s="156" t="s">
        <v>51</v>
      </c>
      <c r="P504" s="156"/>
      <c r="Q504" s="158">
        <v>0</v>
      </c>
      <c r="R504" s="158">
        <v>0</v>
      </c>
      <c r="S504" s="158">
        <v>3094.97</v>
      </c>
      <c r="T504" s="158">
        <f t="shared" si="85"/>
        <v>433.2958</v>
      </c>
      <c r="U504" s="158">
        <f t="shared" si="89"/>
        <v>3528.2658</v>
      </c>
      <c r="V504" s="158">
        <v>0</v>
      </c>
      <c r="W504" s="158">
        <f t="shared" si="90"/>
        <v>3528.2658</v>
      </c>
      <c r="X504" s="158">
        <f t="shared" si="86"/>
        <v>3094.97</v>
      </c>
      <c r="Y504" s="158">
        <f t="shared" si="91"/>
        <v>433.2958</v>
      </c>
      <c r="Z504" s="158">
        <v>3576.01</v>
      </c>
      <c r="AA504" s="158">
        <f t="shared" si="87"/>
        <v>-3576.01</v>
      </c>
      <c r="AB504" s="167">
        <f t="shared" si="95"/>
        <v>3136.85087719298</v>
      </c>
      <c r="AC504" s="168">
        <f t="shared" si="88"/>
        <v>439.159122807018</v>
      </c>
      <c r="AD504" s="158">
        <f t="shared" si="96"/>
        <v>3505.48161023835</v>
      </c>
      <c r="AE504" s="159">
        <v>0.3156</v>
      </c>
      <c r="AF504" s="158">
        <f t="shared" si="94"/>
        <v>1106.32999619122</v>
      </c>
      <c r="AG504" s="158">
        <v>689.429633192982</v>
      </c>
      <c r="AH504" s="175"/>
      <c r="AI504" s="175"/>
      <c r="AJ504" s="156" t="s">
        <v>675</v>
      </c>
      <c r="AK504" s="140" t="s">
        <v>675</v>
      </c>
      <c r="AM504" s="152"/>
    </row>
    <row r="505" s="140" customFormat="1" ht="15" hidden="1" customHeight="1" spans="1:39">
      <c r="A505" s="140">
        <v>2017</v>
      </c>
      <c r="B505" s="140" t="s">
        <v>252</v>
      </c>
      <c r="C505" s="140" t="s">
        <v>75</v>
      </c>
      <c r="D505" s="140" t="s">
        <v>76</v>
      </c>
      <c r="E505" s="140" t="s">
        <v>304</v>
      </c>
      <c r="F505" s="140" t="s">
        <v>309</v>
      </c>
      <c r="G505" s="140" t="s">
        <v>310</v>
      </c>
      <c r="H505" s="140" t="s">
        <v>311</v>
      </c>
      <c r="I505" s="184" t="s">
        <v>204</v>
      </c>
      <c r="J505" s="140" t="s">
        <v>577</v>
      </c>
      <c r="K505" s="140" t="s">
        <v>578</v>
      </c>
      <c r="L505" s="140" t="s">
        <v>309</v>
      </c>
      <c r="M505" s="140" t="s">
        <v>46</v>
      </c>
      <c r="N505" s="157">
        <v>0.04</v>
      </c>
      <c r="O505" s="156" t="s">
        <v>51</v>
      </c>
      <c r="P505" s="156"/>
      <c r="Q505" s="158">
        <v>60146.26</v>
      </c>
      <c r="R505" s="158">
        <v>0</v>
      </c>
      <c r="S505" s="158">
        <v>576905.03</v>
      </c>
      <c r="T505" s="158">
        <f t="shared" si="85"/>
        <v>23076.2012</v>
      </c>
      <c r="U505" s="158">
        <f t="shared" si="89"/>
        <v>599981.2312</v>
      </c>
      <c r="V505" s="158">
        <v>603543.6</v>
      </c>
      <c r="W505" s="158">
        <f t="shared" si="90"/>
        <v>-3562.36879999994</v>
      </c>
      <c r="X505" s="158">
        <f t="shared" si="86"/>
        <v>-3425.35461538456</v>
      </c>
      <c r="Y505" s="158">
        <f t="shared" si="91"/>
        <v>-137.014184615382</v>
      </c>
      <c r="Z505" s="158">
        <v>660113.85</v>
      </c>
      <c r="AA505" s="158">
        <f t="shared" si="87"/>
        <v>3576.01000000001</v>
      </c>
      <c r="AB505" s="167">
        <f>IF(O505="返货",(Z505-Q505)/(1+N505),IF(O505="返现",(Z505-Q505),IF(O505="折扣",(Z505-Q505)*N505,IF(O505="无",(Z505-Q505)))))</f>
        <v>576891.913461538</v>
      </c>
      <c r="AC505" s="168">
        <f t="shared" si="88"/>
        <v>83221.9365384616</v>
      </c>
      <c r="AD505" s="158">
        <f t="shared" si="96"/>
        <v>647094.65628973</v>
      </c>
      <c r="AE505" s="159">
        <v>0.1077</v>
      </c>
      <c r="AF505" s="158">
        <f t="shared" si="94"/>
        <v>69692.0944824039</v>
      </c>
      <c r="AG505" s="158">
        <v>45705.2674142308</v>
      </c>
      <c r="AH505" s="175"/>
      <c r="AI505" s="175"/>
      <c r="AJ505" s="156" t="s">
        <v>186</v>
      </c>
      <c r="AK505" s="140" t="s">
        <v>186</v>
      </c>
      <c r="AM505" s="152"/>
    </row>
    <row r="506" s="140" customFormat="1" ht="15" hidden="1" customHeight="1" spans="1:39">
      <c r="A506" s="140">
        <v>2017</v>
      </c>
      <c r="B506" s="140" t="s">
        <v>38</v>
      </c>
      <c r="C506" s="140" t="s">
        <v>75</v>
      </c>
      <c r="D506" s="140" t="s">
        <v>76</v>
      </c>
      <c r="E506" s="140" t="s">
        <v>304</v>
      </c>
      <c r="F506" s="140" t="s">
        <v>676</v>
      </c>
      <c r="G506" s="140" t="s">
        <v>676</v>
      </c>
      <c r="H506" s="140" t="s">
        <v>676</v>
      </c>
      <c r="I506" s="184" t="s">
        <v>204</v>
      </c>
      <c r="J506" s="140" t="s">
        <v>577</v>
      </c>
      <c r="K506" s="140" t="s">
        <v>578</v>
      </c>
      <c r="L506" s="140" t="s">
        <v>676</v>
      </c>
      <c r="M506" s="140" t="s">
        <v>46</v>
      </c>
      <c r="N506" s="157">
        <v>0.02</v>
      </c>
      <c r="O506" s="156" t="s">
        <v>51</v>
      </c>
      <c r="P506" s="156"/>
      <c r="Q506" s="158">
        <v>233471.31</v>
      </c>
      <c r="R506" s="158">
        <v>0</v>
      </c>
      <c r="S506" s="158">
        <v>6016974.23</v>
      </c>
      <c r="T506" s="158">
        <f t="shared" si="85"/>
        <v>120339.4846</v>
      </c>
      <c r="U506" s="158">
        <f t="shared" si="89"/>
        <v>6137313.7146</v>
      </c>
      <c r="V506" s="158">
        <v>8819672.55</v>
      </c>
      <c r="W506" s="158">
        <f t="shared" si="90"/>
        <v>-2682358.8354</v>
      </c>
      <c r="X506" s="158">
        <f t="shared" si="86"/>
        <v>-2629763.56411765</v>
      </c>
      <c r="Y506" s="158">
        <f t="shared" si="91"/>
        <v>-52595.271282353</v>
      </c>
      <c r="Z506" s="158">
        <v>6421785.01</v>
      </c>
      <c r="AA506" s="158">
        <f t="shared" si="87"/>
        <v>2631358.85</v>
      </c>
      <c r="AB506" s="167">
        <f>IF(O506="返货",(Z506-Q506)/(1+N506),IF(O506="返现",(Z506-Q506),IF(O506="折扣",(Z506-Q506)*N506,IF(O506="无",(Z506-Q506)))))</f>
        <v>6066974.21568627</v>
      </c>
      <c r="AC506" s="168">
        <f t="shared" si="88"/>
        <v>354810.794313725</v>
      </c>
      <c r="AD506" s="158">
        <f t="shared" si="96"/>
        <v>6295130.39881301</v>
      </c>
      <c r="AE506" s="159">
        <v>0.1077</v>
      </c>
      <c r="AF506" s="158">
        <f t="shared" si="94"/>
        <v>677985.543952161</v>
      </c>
      <c r="AG506" s="158">
        <v>565708.892439745</v>
      </c>
      <c r="AH506" s="175"/>
      <c r="AI506" s="175"/>
      <c r="AJ506" s="156" t="s">
        <v>173</v>
      </c>
      <c r="AK506" s="140" t="s">
        <v>173</v>
      </c>
      <c r="AM506" s="152"/>
    </row>
    <row r="507" s="140" customFormat="1" ht="15" hidden="1" customHeight="1" spans="1:39">
      <c r="A507" s="140">
        <v>2017</v>
      </c>
      <c r="B507" s="140" t="s">
        <v>38</v>
      </c>
      <c r="C507" s="140" t="s">
        <v>75</v>
      </c>
      <c r="D507" s="140" t="s">
        <v>76</v>
      </c>
      <c r="E507" s="140" t="s">
        <v>304</v>
      </c>
      <c r="F507" s="140" t="s">
        <v>676</v>
      </c>
      <c r="G507" s="140" t="s">
        <v>676</v>
      </c>
      <c r="H507" s="140" t="s">
        <v>676</v>
      </c>
      <c r="I507" s="184" t="s">
        <v>204</v>
      </c>
      <c r="J507" s="140" t="s">
        <v>577</v>
      </c>
      <c r="K507" s="140" t="s">
        <v>578</v>
      </c>
      <c r="L507" s="140" t="s">
        <v>676</v>
      </c>
      <c r="M507" s="140" t="s">
        <v>160</v>
      </c>
      <c r="N507" s="157">
        <v>0.02</v>
      </c>
      <c r="O507" s="156" t="s">
        <v>51</v>
      </c>
      <c r="P507" s="156"/>
      <c r="Q507" s="158">
        <v>0</v>
      </c>
      <c r="R507" s="158">
        <v>0</v>
      </c>
      <c r="S507" s="158">
        <v>50000</v>
      </c>
      <c r="T507" s="158">
        <f t="shared" si="85"/>
        <v>1000</v>
      </c>
      <c r="U507" s="158">
        <f t="shared" si="89"/>
        <v>51000</v>
      </c>
      <c r="V507" s="158">
        <v>50000</v>
      </c>
      <c r="W507" s="158">
        <f t="shared" si="90"/>
        <v>1000</v>
      </c>
      <c r="X507" s="158">
        <f t="shared" si="86"/>
        <v>980.392156862745</v>
      </c>
      <c r="Y507" s="158">
        <f t="shared" si="91"/>
        <v>19.6078431372549</v>
      </c>
      <c r="Z507" s="158">
        <v>50000</v>
      </c>
      <c r="AA507" s="158">
        <f t="shared" si="87"/>
        <v>0</v>
      </c>
      <c r="AB507" s="167">
        <f>IF(O507="返货",Z507/(1+N507),IF(O507="返现",Z507,IF(O507="折扣",Z507*N507,IF(O507="无",Z507))))</f>
        <v>49019.6078431373</v>
      </c>
      <c r="AC507" s="168">
        <f t="shared" si="88"/>
        <v>980.392156862748</v>
      </c>
      <c r="AD507" s="158">
        <f t="shared" si="96"/>
        <v>49013.8675540386</v>
      </c>
      <c r="AE507" s="159">
        <v>0.1077</v>
      </c>
      <c r="AF507" s="158">
        <f t="shared" si="94"/>
        <v>5278.79353556996</v>
      </c>
      <c r="AG507" s="158">
        <v>4404.60784313725</v>
      </c>
      <c r="AH507" s="175"/>
      <c r="AI507" s="175"/>
      <c r="AJ507" s="156" t="s">
        <v>173</v>
      </c>
      <c r="AK507" s="140" t="s">
        <v>173</v>
      </c>
      <c r="AM507" s="152"/>
    </row>
    <row r="508" s="140" customFormat="1" ht="15" hidden="1" customHeight="1" spans="1:39">
      <c r="A508" s="140">
        <v>2017</v>
      </c>
      <c r="B508" s="140" t="s">
        <v>38</v>
      </c>
      <c r="C508" s="140" t="s">
        <v>75</v>
      </c>
      <c r="D508" s="140" t="s">
        <v>76</v>
      </c>
      <c r="E508" s="140" t="s">
        <v>304</v>
      </c>
      <c r="F508" s="140" t="s">
        <v>676</v>
      </c>
      <c r="G508" s="140" t="s">
        <v>676</v>
      </c>
      <c r="H508" s="140" t="s">
        <v>676</v>
      </c>
      <c r="I508" s="184" t="s">
        <v>204</v>
      </c>
      <c r="J508" s="140" t="s">
        <v>577</v>
      </c>
      <c r="K508" s="140" t="s">
        <v>578</v>
      </c>
      <c r="L508" s="140" t="s">
        <v>676</v>
      </c>
      <c r="M508" s="140" t="s">
        <v>185</v>
      </c>
      <c r="N508" s="157">
        <v>0.08</v>
      </c>
      <c r="O508" s="156" t="s">
        <v>51</v>
      </c>
      <c r="P508" s="156"/>
      <c r="Q508" s="158">
        <v>0</v>
      </c>
      <c r="R508" s="158">
        <v>0</v>
      </c>
      <c r="S508" s="158">
        <v>2382775.02</v>
      </c>
      <c r="T508" s="158">
        <f t="shared" si="85"/>
        <v>190622.0016</v>
      </c>
      <c r="U508" s="158">
        <f t="shared" si="89"/>
        <v>2573397.0216</v>
      </c>
      <c r="V508" s="158">
        <v>0</v>
      </c>
      <c r="W508" s="158">
        <f t="shared" si="90"/>
        <v>2573397.0216</v>
      </c>
      <c r="X508" s="158">
        <f t="shared" si="86"/>
        <v>2382775.02</v>
      </c>
      <c r="Y508" s="158">
        <f t="shared" si="91"/>
        <v>190622.0016</v>
      </c>
      <c r="Z508" s="158">
        <v>2489303.07</v>
      </c>
      <c r="AA508" s="158">
        <f t="shared" si="87"/>
        <v>-2489303.07</v>
      </c>
      <c r="AB508" s="167">
        <f>IF(O508="返货",Z508/(1+N508),IF(O508="返现",Z508,IF(O508="折扣",Z508*N508,IF(O508="无",Z508))))</f>
        <v>2304910.25</v>
      </c>
      <c r="AC508" s="168">
        <f t="shared" si="88"/>
        <v>184392.82</v>
      </c>
      <c r="AD508" s="158">
        <f t="shared" si="96"/>
        <v>2440207.41949683</v>
      </c>
      <c r="AE508" s="159">
        <v>0.3156</v>
      </c>
      <c r="AF508" s="158">
        <f t="shared" si="94"/>
        <v>770129.461593201</v>
      </c>
      <c r="AG508" s="158">
        <v>601231.228892</v>
      </c>
      <c r="AH508" s="175"/>
      <c r="AI508" s="175"/>
      <c r="AJ508" s="156" t="s">
        <v>53</v>
      </c>
      <c r="AK508" s="140" t="s">
        <v>53</v>
      </c>
      <c r="AM508" s="152"/>
    </row>
    <row r="509" s="140" customFormat="1" ht="15" hidden="1" customHeight="1" spans="1:39">
      <c r="A509" s="140">
        <v>2017</v>
      </c>
      <c r="B509" s="140" t="s">
        <v>38</v>
      </c>
      <c r="C509" s="140" t="s">
        <v>75</v>
      </c>
      <c r="D509" s="140" t="s">
        <v>76</v>
      </c>
      <c r="E509" s="140" t="s">
        <v>225</v>
      </c>
      <c r="F509" s="140" t="s">
        <v>653</v>
      </c>
      <c r="G509" s="140" t="s">
        <v>653</v>
      </c>
      <c r="H509" s="140" t="s">
        <v>653</v>
      </c>
      <c r="I509" s="184" t="s">
        <v>204</v>
      </c>
      <c r="J509" s="140" t="s">
        <v>577</v>
      </c>
      <c r="K509" s="140" t="s">
        <v>578</v>
      </c>
      <c r="L509" s="140" t="s">
        <v>654</v>
      </c>
      <c r="M509" s="140" t="s">
        <v>185</v>
      </c>
      <c r="N509" s="157">
        <v>0.08</v>
      </c>
      <c r="O509" s="156" t="s">
        <v>51</v>
      </c>
      <c r="P509" s="156"/>
      <c r="Q509" s="158">
        <v>3541.5358</v>
      </c>
      <c r="R509" s="158">
        <v>0</v>
      </c>
      <c r="S509" s="158">
        <v>24142.04</v>
      </c>
      <c r="T509" s="158">
        <f t="shared" si="85"/>
        <v>1931.3632</v>
      </c>
      <c r="U509" s="158">
        <f t="shared" si="89"/>
        <v>26073.4032</v>
      </c>
      <c r="V509" s="158">
        <v>0</v>
      </c>
      <c r="W509" s="158">
        <f t="shared" si="90"/>
        <v>26073.4032</v>
      </c>
      <c r="X509" s="158">
        <f t="shared" si="86"/>
        <v>24142.04</v>
      </c>
      <c r="Y509" s="158">
        <f t="shared" si="91"/>
        <v>1931.3632</v>
      </c>
      <c r="Z509" s="158">
        <v>28166.42</v>
      </c>
      <c r="AA509" s="158">
        <f t="shared" si="87"/>
        <v>-24624.8842</v>
      </c>
      <c r="AB509" s="167">
        <f>IF(O509="返货",(Z509-Q509)/(1+N509),IF(O509="返现",(Z509-Q509),IF(O509="折扣",(Z509-Q509)*N509,IF(O509="无",(Z509-Q509)))))</f>
        <v>22800.8187037037</v>
      </c>
      <c r="AC509" s="168">
        <f t="shared" si="88"/>
        <v>5365.6012962963</v>
      </c>
      <c r="AD509" s="158">
        <f t="shared" si="96"/>
        <v>27610.9035870285</v>
      </c>
      <c r="AE509" s="159">
        <v>0.3156</v>
      </c>
      <c r="AF509" s="158">
        <f t="shared" si="94"/>
        <v>8714.00117206619</v>
      </c>
      <c r="AG509" s="158">
        <v>6802.92067051852</v>
      </c>
      <c r="AH509" s="175"/>
      <c r="AI509" s="175"/>
      <c r="AJ509" s="156" t="s">
        <v>53</v>
      </c>
      <c r="AK509" s="140" t="s">
        <v>53</v>
      </c>
      <c r="AM509" s="152"/>
    </row>
    <row r="510" s="140" customFormat="1" ht="15" hidden="1" customHeight="1" spans="1:39">
      <c r="A510" s="140">
        <v>2017</v>
      </c>
      <c r="B510" s="140" t="s">
        <v>252</v>
      </c>
      <c r="C510" s="140" t="s">
        <v>75</v>
      </c>
      <c r="D510" s="140" t="s">
        <v>76</v>
      </c>
      <c r="E510" s="140" t="s">
        <v>225</v>
      </c>
      <c r="F510" s="140" t="s">
        <v>668</v>
      </c>
      <c r="G510" s="140" t="s">
        <v>669</v>
      </c>
      <c r="H510" s="140" t="s">
        <v>670</v>
      </c>
      <c r="I510" s="184" t="s">
        <v>204</v>
      </c>
      <c r="J510" s="140" t="s">
        <v>577</v>
      </c>
      <c r="K510" s="140" t="s">
        <v>578</v>
      </c>
      <c r="L510" s="140" t="s">
        <v>668</v>
      </c>
      <c r="M510" s="140" t="s">
        <v>185</v>
      </c>
      <c r="N510" s="157">
        <v>0.08</v>
      </c>
      <c r="O510" s="156" t="s">
        <v>51</v>
      </c>
      <c r="P510" s="156"/>
      <c r="Q510" s="158">
        <v>128860.56</v>
      </c>
      <c r="R510" s="158">
        <v>0</v>
      </c>
      <c r="S510" s="158">
        <v>6499874.87</v>
      </c>
      <c r="T510" s="158">
        <f t="shared" si="85"/>
        <v>519989.9896</v>
      </c>
      <c r="U510" s="158">
        <f t="shared" si="89"/>
        <v>7019864.8596</v>
      </c>
      <c r="V510" s="158">
        <v>0</v>
      </c>
      <c r="W510" s="158">
        <f t="shared" si="90"/>
        <v>7019864.8596</v>
      </c>
      <c r="X510" s="158">
        <f t="shared" si="86"/>
        <v>6499874.87</v>
      </c>
      <c r="Y510" s="158">
        <f t="shared" si="91"/>
        <v>519989.9896</v>
      </c>
      <c r="Z510" s="158">
        <v>7143397.9</v>
      </c>
      <c r="AA510" s="158">
        <f t="shared" si="87"/>
        <v>-7014537.34</v>
      </c>
      <c r="AB510" s="167">
        <f>IF(O510="返货",(Z510-Q510)/(1+N510),IF(O510="返现",(Z510-Q510),IF(O510="折扣",(Z510-Q510)*N510,IF(O510="无",(Z510-Q510)))))</f>
        <v>6494941.98148148</v>
      </c>
      <c r="AC510" s="168">
        <f t="shared" si="88"/>
        <v>648455.918518519</v>
      </c>
      <c r="AD510" s="158">
        <f t="shared" si="96"/>
        <v>7002511.17112795</v>
      </c>
      <c r="AE510" s="159">
        <v>0.3156</v>
      </c>
      <c r="AF510" s="158">
        <f t="shared" si="94"/>
        <v>2209992.52560798</v>
      </c>
      <c r="AG510" s="158">
        <v>1725315.79205481</v>
      </c>
      <c r="AH510" s="175"/>
      <c r="AI510" s="175"/>
      <c r="AJ510" s="156" t="s">
        <v>53</v>
      </c>
      <c r="AK510" s="140" t="s">
        <v>53</v>
      </c>
      <c r="AM510" s="152"/>
    </row>
    <row r="511" s="140" customFormat="1" ht="15" hidden="1" customHeight="1" spans="1:39">
      <c r="A511" s="140">
        <v>2017</v>
      </c>
      <c r="B511" s="140" t="s">
        <v>38</v>
      </c>
      <c r="C511" s="140" t="s">
        <v>75</v>
      </c>
      <c r="D511" s="140" t="s">
        <v>76</v>
      </c>
      <c r="E511" s="140" t="s">
        <v>118</v>
      </c>
      <c r="F511" s="140" t="s">
        <v>677</v>
      </c>
      <c r="G511" s="140" t="s">
        <v>677</v>
      </c>
      <c r="H511" s="140" t="s">
        <v>677</v>
      </c>
      <c r="I511" s="184" t="s">
        <v>204</v>
      </c>
      <c r="J511" s="140" t="s">
        <v>577</v>
      </c>
      <c r="K511" s="140" t="s">
        <v>578</v>
      </c>
      <c r="L511" s="140" t="s">
        <v>678</v>
      </c>
      <c r="M511" s="140" t="s">
        <v>46</v>
      </c>
      <c r="N511" s="156">
        <v>0.05</v>
      </c>
      <c r="O511" s="156" t="s">
        <v>51</v>
      </c>
      <c r="P511" s="156"/>
      <c r="Q511" s="158">
        <v>0</v>
      </c>
      <c r="R511" s="158">
        <v>0</v>
      </c>
      <c r="S511" s="158">
        <v>19048</v>
      </c>
      <c r="T511" s="158">
        <f t="shared" si="85"/>
        <v>952.4</v>
      </c>
      <c r="U511" s="158">
        <f t="shared" si="89"/>
        <v>20000.4</v>
      </c>
      <c r="V511" s="158">
        <v>20000</v>
      </c>
      <c r="W511" s="158">
        <f t="shared" si="90"/>
        <v>0.400000000001455</v>
      </c>
      <c r="X511" s="158">
        <f t="shared" si="86"/>
        <v>0.380952380953767</v>
      </c>
      <c r="Y511" s="158">
        <f t="shared" si="91"/>
        <v>0.0190476190476884</v>
      </c>
      <c r="Z511" s="158">
        <v>20000</v>
      </c>
      <c r="AA511" s="158">
        <f t="shared" si="87"/>
        <v>0</v>
      </c>
      <c r="AB511" s="167">
        <f>IF(O511="返货",Z511/(1+N511),IF(O511="返现",Z511,IF(O511="折扣",Z511*N511,IF(O511="无",Z511))))</f>
        <v>19047.619047619</v>
      </c>
      <c r="AC511" s="168">
        <f t="shared" si="88"/>
        <v>952.380952380954</v>
      </c>
      <c r="AD511" s="158">
        <f t="shared" si="96"/>
        <v>19605.5470216154</v>
      </c>
      <c r="AE511" s="159">
        <v>0.1077</v>
      </c>
      <c r="AF511" s="158">
        <f t="shared" si="94"/>
        <v>2111.51741422798</v>
      </c>
      <c r="AG511" s="158">
        <v>1201.61904761905</v>
      </c>
      <c r="AH511" s="175"/>
      <c r="AI511" s="175"/>
      <c r="AJ511" s="156" t="s">
        <v>63</v>
      </c>
      <c r="AK511" s="140" t="s">
        <v>63</v>
      </c>
      <c r="AM511" s="152"/>
    </row>
    <row r="512" s="140" customFormat="1" ht="15" hidden="1" customHeight="1" spans="1:39">
      <c r="A512" s="140">
        <v>2017</v>
      </c>
      <c r="B512" s="140" t="s">
        <v>38</v>
      </c>
      <c r="C512" s="140" t="s">
        <v>75</v>
      </c>
      <c r="D512" s="140" t="s">
        <v>76</v>
      </c>
      <c r="E512" s="140" t="s">
        <v>118</v>
      </c>
      <c r="F512" s="140" t="s">
        <v>679</v>
      </c>
      <c r="G512" s="140" t="s">
        <v>679</v>
      </c>
      <c r="H512" s="140" t="s">
        <v>679</v>
      </c>
      <c r="I512" s="184" t="s">
        <v>204</v>
      </c>
      <c r="J512" s="140" t="s">
        <v>577</v>
      </c>
      <c r="K512" s="140" t="s">
        <v>578</v>
      </c>
      <c r="L512" s="140" t="s">
        <v>680</v>
      </c>
      <c r="M512" s="140" t="s">
        <v>46</v>
      </c>
      <c r="N512" s="156">
        <v>0.05</v>
      </c>
      <c r="O512" s="156" t="s">
        <v>51</v>
      </c>
      <c r="P512" s="156"/>
      <c r="Q512" s="158">
        <v>0</v>
      </c>
      <c r="R512" s="158">
        <v>0</v>
      </c>
      <c r="S512" s="158">
        <v>1892.5</v>
      </c>
      <c r="T512" s="158">
        <f t="shared" si="85"/>
        <v>94.625</v>
      </c>
      <c r="U512" s="158">
        <f t="shared" si="89"/>
        <v>1987.125</v>
      </c>
      <c r="V512" s="158">
        <v>0</v>
      </c>
      <c r="W512" s="158">
        <f t="shared" si="90"/>
        <v>1987.125</v>
      </c>
      <c r="X512" s="158">
        <f t="shared" si="86"/>
        <v>1892.5</v>
      </c>
      <c r="Y512" s="158">
        <f t="shared" si="91"/>
        <v>94.625</v>
      </c>
      <c r="Z512" s="158">
        <v>0</v>
      </c>
      <c r="AA512" s="158">
        <f t="shared" si="87"/>
        <v>0</v>
      </c>
      <c r="AB512" s="167">
        <f>IF(O512="返货",Z512/(1+N512),IF(O512="返现",Z512,IF(O512="折扣",Z512*N512,IF(O512="无",Z512))))</f>
        <v>0</v>
      </c>
      <c r="AC512" s="168">
        <f t="shared" si="88"/>
        <v>0</v>
      </c>
      <c r="AD512" s="158">
        <f t="shared" si="96"/>
        <v>0</v>
      </c>
      <c r="AE512" s="159">
        <v>0.1077</v>
      </c>
      <c r="AF512" s="158">
        <f t="shared" si="94"/>
        <v>0</v>
      </c>
      <c r="AG512" s="158">
        <v>0</v>
      </c>
      <c r="AH512" s="175"/>
      <c r="AI512" s="175"/>
      <c r="AJ512" s="156" t="s">
        <v>63</v>
      </c>
      <c r="AK512" s="140" t="s">
        <v>63</v>
      </c>
      <c r="AM512" s="152"/>
    </row>
    <row r="513" s="140" customFormat="1" ht="15" hidden="1" customHeight="1" spans="1:39">
      <c r="A513" s="140">
        <v>2017</v>
      </c>
      <c r="B513" s="140" t="s">
        <v>38</v>
      </c>
      <c r="C513" s="140" t="s">
        <v>75</v>
      </c>
      <c r="D513" s="140" t="s">
        <v>76</v>
      </c>
      <c r="E513" s="140" t="s">
        <v>118</v>
      </c>
      <c r="F513" s="140" t="s">
        <v>681</v>
      </c>
      <c r="G513" s="140" t="s">
        <v>681</v>
      </c>
      <c r="H513" s="140" t="s">
        <v>681</v>
      </c>
      <c r="I513" s="184" t="s">
        <v>204</v>
      </c>
      <c r="J513" s="140" t="s">
        <v>577</v>
      </c>
      <c r="K513" s="140" t="s">
        <v>578</v>
      </c>
      <c r="L513" s="140" t="s">
        <v>682</v>
      </c>
      <c r="M513" s="140" t="s">
        <v>46</v>
      </c>
      <c r="N513" s="156">
        <v>0.05</v>
      </c>
      <c r="O513" s="156" t="s">
        <v>51</v>
      </c>
      <c r="P513" s="156"/>
      <c r="Q513" s="158">
        <v>0</v>
      </c>
      <c r="R513" s="158">
        <v>0</v>
      </c>
      <c r="S513" s="158">
        <v>31436.42</v>
      </c>
      <c r="T513" s="158">
        <f t="shared" si="85"/>
        <v>1571.821</v>
      </c>
      <c r="U513" s="158">
        <f t="shared" si="89"/>
        <v>33008.241</v>
      </c>
      <c r="V513" s="158">
        <v>40701.01</v>
      </c>
      <c r="W513" s="158">
        <f t="shared" si="90"/>
        <v>-7692.76900000001</v>
      </c>
      <c r="X513" s="158">
        <f t="shared" si="86"/>
        <v>-7326.44666666667</v>
      </c>
      <c r="Y513" s="158">
        <f t="shared" si="91"/>
        <v>-366.322333333334</v>
      </c>
      <c r="Z513" s="158">
        <v>31436.42</v>
      </c>
      <c r="AA513" s="158">
        <f t="shared" si="87"/>
        <v>9264.59</v>
      </c>
      <c r="AB513" s="167">
        <f>IF(O513="返货",Z513/(1+N513),IF(O513="返现",Z513,IF(O513="折扣",Z513*N513,IF(O513="无",Z513))))</f>
        <v>29939.4476190476</v>
      </c>
      <c r="AC513" s="168">
        <f t="shared" si="88"/>
        <v>1496.97238095238</v>
      </c>
      <c r="AD513" s="158">
        <f t="shared" si="96"/>
        <v>30816.4105250626</v>
      </c>
      <c r="AE513" s="159">
        <v>0.1077</v>
      </c>
      <c r="AF513" s="158">
        <f t="shared" si="94"/>
        <v>3318.92741354924</v>
      </c>
      <c r="AG513" s="158">
        <v>1888.73005304762</v>
      </c>
      <c r="AH513" s="175"/>
      <c r="AI513" s="175"/>
      <c r="AJ513" s="156" t="s">
        <v>63</v>
      </c>
      <c r="AK513" s="140" t="s">
        <v>63</v>
      </c>
      <c r="AM513" s="152"/>
    </row>
    <row r="514" s="140" customFormat="1" ht="15" hidden="1" customHeight="1" spans="1:39">
      <c r="A514" s="140">
        <v>2017</v>
      </c>
      <c r="B514" s="140" t="s">
        <v>38</v>
      </c>
      <c r="C514" s="140" t="s">
        <v>75</v>
      </c>
      <c r="D514" s="140" t="s">
        <v>76</v>
      </c>
      <c r="E514" s="140" t="s">
        <v>118</v>
      </c>
      <c r="F514" s="140" t="s">
        <v>683</v>
      </c>
      <c r="G514" s="140" t="s">
        <v>683</v>
      </c>
      <c r="H514" s="140" t="s">
        <v>683</v>
      </c>
      <c r="I514" s="184" t="s">
        <v>204</v>
      </c>
      <c r="J514" s="140" t="s">
        <v>577</v>
      </c>
      <c r="K514" s="140" t="s">
        <v>578</v>
      </c>
      <c r="L514" s="140" t="s">
        <v>684</v>
      </c>
      <c r="M514" s="140" t="s">
        <v>46</v>
      </c>
      <c r="N514" s="156">
        <v>0.05</v>
      </c>
      <c r="O514" s="156" t="s">
        <v>51</v>
      </c>
      <c r="P514" s="156"/>
      <c r="Q514" s="158">
        <v>0</v>
      </c>
      <c r="R514" s="158">
        <v>0</v>
      </c>
      <c r="S514" s="158">
        <v>10000</v>
      </c>
      <c r="T514" s="158">
        <f t="shared" ref="T514:T577" si="97">S514*N514</f>
        <v>500</v>
      </c>
      <c r="U514" s="158">
        <f t="shared" si="89"/>
        <v>10500</v>
      </c>
      <c r="V514" s="158">
        <v>10000</v>
      </c>
      <c r="W514" s="158">
        <f t="shared" si="90"/>
        <v>500</v>
      </c>
      <c r="X514" s="158">
        <f t="shared" ref="X514:X577" si="98">W514/(1+N514)</f>
        <v>476.190476190476</v>
      </c>
      <c r="Y514" s="158">
        <f t="shared" si="91"/>
        <v>23.8095238095239</v>
      </c>
      <c r="Z514" s="158">
        <v>0</v>
      </c>
      <c r="AA514" s="158">
        <f t="shared" ref="AA514:AA577" si="99">Q514+V514-Z514</f>
        <v>10000</v>
      </c>
      <c r="AB514" s="167">
        <f>IF(O514="返货",Z514/(1+N514),IF(O514="返现",Z514,IF(O514="折扣",Z514*N514,IF(O514="无",Z514))))</f>
        <v>0</v>
      </c>
      <c r="AC514" s="168">
        <f t="shared" ref="AC514:AC577" si="100">IF(O514="返现",Z514*N514,Z514-AB514)</f>
        <v>0</v>
      </c>
      <c r="AD514" s="158">
        <f t="shared" si="96"/>
        <v>0</v>
      </c>
      <c r="AE514" s="159">
        <v>0.1077</v>
      </c>
      <c r="AF514" s="158">
        <f t="shared" si="94"/>
        <v>0</v>
      </c>
      <c r="AG514" s="158">
        <v>0</v>
      </c>
      <c r="AH514" s="175"/>
      <c r="AI514" s="175"/>
      <c r="AJ514" s="156" t="s">
        <v>63</v>
      </c>
      <c r="AK514" s="140" t="s">
        <v>63</v>
      </c>
      <c r="AM514" s="152"/>
    </row>
    <row r="515" s="140" customFormat="1" ht="15" hidden="1" customHeight="1" spans="1:39">
      <c r="A515" s="140">
        <v>2017</v>
      </c>
      <c r="B515" s="140" t="s">
        <v>38</v>
      </c>
      <c r="C515" s="140" t="s">
        <v>75</v>
      </c>
      <c r="D515" s="140" t="s">
        <v>76</v>
      </c>
      <c r="E515" s="140" t="s">
        <v>118</v>
      </c>
      <c r="F515" s="140" t="s">
        <v>685</v>
      </c>
      <c r="G515" s="140" t="s">
        <v>685</v>
      </c>
      <c r="H515" s="140" t="s">
        <v>685</v>
      </c>
      <c r="I515" s="184" t="s">
        <v>204</v>
      </c>
      <c r="J515" s="140" t="s">
        <v>577</v>
      </c>
      <c r="K515" s="140" t="s">
        <v>578</v>
      </c>
      <c r="L515" s="140" t="s">
        <v>686</v>
      </c>
      <c r="M515" s="140" t="s">
        <v>185</v>
      </c>
      <c r="N515" s="157">
        <v>0.15</v>
      </c>
      <c r="O515" s="156" t="s">
        <v>51</v>
      </c>
      <c r="P515" s="156"/>
      <c r="Q515" s="158">
        <v>3400</v>
      </c>
      <c r="R515" s="158">
        <v>0</v>
      </c>
      <c r="S515" s="158">
        <v>40816.25</v>
      </c>
      <c r="T515" s="158">
        <f t="shared" si="97"/>
        <v>6122.4375</v>
      </c>
      <c r="U515" s="158">
        <f t="shared" ref="U515:U578" si="101">R515+S515+T515</f>
        <v>46938.6875</v>
      </c>
      <c r="V515" s="158">
        <v>0</v>
      </c>
      <c r="W515" s="158">
        <f t="shared" ref="W515:W578" si="102">U515-V515</f>
        <v>46938.6875</v>
      </c>
      <c r="X515" s="158">
        <f t="shared" si="98"/>
        <v>40816.25</v>
      </c>
      <c r="Y515" s="158">
        <f t="shared" ref="Y515:Y578" si="103">W515-X515</f>
        <v>6122.4375</v>
      </c>
      <c r="Z515" s="158">
        <v>47989.56</v>
      </c>
      <c r="AA515" s="158">
        <f t="shared" si="99"/>
        <v>-44589.56</v>
      </c>
      <c r="AB515" s="167">
        <f>IF(O515="返货",(Z515-Q515)/(1+N515),IF(O515="返现",(Z515-Q515),IF(O515="折扣",(Z515-Q515)*N515,IF(O515="无",(Z515-Q515)))))</f>
        <v>38773.5304347826</v>
      </c>
      <c r="AC515" s="168">
        <f t="shared" si="100"/>
        <v>9216.02956521739</v>
      </c>
      <c r="AD515" s="158">
        <f t="shared" si="96"/>
        <v>47043.0787563318</v>
      </c>
      <c r="AE515" s="159">
        <v>0.3156</v>
      </c>
      <c r="AF515" s="158">
        <f t="shared" si="94"/>
        <v>14846.7956554983</v>
      </c>
      <c r="AG515" s="158">
        <v>2140.91836591304</v>
      </c>
      <c r="AH515" s="175"/>
      <c r="AI515" s="175"/>
      <c r="AJ515" s="156" t="s">
        <v>664</v>
      </c>
      <c r="AK515" s="140" t="s">
        <v>664</v>
      </c>
      <c r="AL515" s="140" t="s">
        <v>591</v>
      </c>
      <c r="AM515" s="152"/>
    </row>
    <row r="516" s="140" customFormat="1" ht="15" hidden="1" customHeight="1" spans="1:39">
      <c r="A516" s="140">
        <v>2017</v>
      </c>
      <c r="B516" s="140" t="s">
        <v>38</v>
      </c>
      <c r="C516" s="140" t="s">
        <v>75</v>
      </c>
      <c r="D516" s="140" t="s">
        <v>76</v>
      </c>
      <c r="E516" s="140" t="s">
        <v>118</v>
      </c>
      <c r="F516" s="140" t="s">
        <v>685</v>
      </c>
      <c r="G516" s="140" t="s">
        <v>685</v>
      </c>
      <c r="H516" s="140" t="s">
        <v>685</v>
      </c>
      <c r="I516" s="184" t="s">
        <v>204</v>
      </c>
      <c r="J516" s="140" t="s">
        <v>577</v>
      </c>
      <c r="K516" s="140" t="s">
        <v>578</v>
      </c>
      <c r="L516" s="140" t="s">
        <v>686</v>
      </c>
      <c r="M516" s="140" t="s">
        <v>46</v>
      </c>
      <c r="N516" s="156">
        <v>0.05</v>
      </c>
      <c r="O516" s="156" t="s">
        <v>51</v>
      </c>
      <c r="P516" s="156"/>
      <c r="Q516" s="158">
        <v>2000</v>
      </c>
      <c r="R516" s="158">
        <v>0</v>
      </c>
      <c r="S516" s="158">
        <v>53191.1</v>
      </c>
      <c r="T516" s="158">
        <f t="shared" si="97"/>
        <v>2659.555</v>
      </c>
      <c r="U516" s="158">
        <f t="shared" si="101"/>
        <v>55850.655</v>
      </c>
      <c r="V516" s="158">
        <v>346160.87</v>
      </c>
      <c r="W516" s="158">
        <f t="shared" si="102"/>
        <v>-290310.215</v>
      </c>
      <c r="X516" s="158">
        <f t="shared" si="98"/>
        <v>-276485.919047619</v>
      </c>
      <c r="Y516" s="158">
        <f t="shared" si="103"/>
        <v>-13824.295952381</v>
      </c>
      <c r="Z516" s="158">
        <v>271362.45</v>
      </c>
      <c r="AA516" s="158">
        <f t="shared" si="99"/>
        <v>76798.42</v>
      </c>
      <c r="AB516" s="167">
        <f>IF(O516="返货",(Z516-Q516)/(1+N516),IF(O516="返现",(Z516-Q516),IF(O516="折扣",(Z516-Q516)*N516,IF(O516="无",(Z516-Q516)))))</f>
        <v>256535.666666667</v>
      </c>
      <c r="AC516" s="168">
        <f t="shared" si="100"/>
        <v>14826.7833333334</v>
      </c>
      <c r="AD516" s="158">
        <f t="shared" si="96"/>
        <v>266010.463668788</v>
      </c>
      <c r="AE516" s="159">
        <v>0.1077</v>
      </c>
      <c r="AF516" s="158">
        <f t="shared" si="94"/>
        <v>28649.3269371285</v>
      </c>
      <c r="AG516" s="158">
        <v>3244.03828442857</v>
      </c>
      <c r="AH516" s="175"/>
      <c r="AI516" s="175"/>
      <c r="AJ516" s="156" t="s">
        <v>63</v>
      </c>
      <c r="AK516" s="140" t="s">
        <v>63</v>
      </c>
      <c r="AL516" s="140" t="s">
        <v>591</v>
      </c>
      <c r="AM516" s="152"/>
    </row>
    <row r="517" s="140" customFormat="1" ht="15" hidden="1" customHeight="1" spans="1:39">
      <c r="A517" s="140">
        <v>2017</v>
      </c>
      <c r="B517" s="140" t="s">
        <v>38</v>
      </c>
      <c r="C517" s="140" t="s">
        <v>75</v>
      </c>
      <c r="D517" s="140" t="s">
        <v>76</v>
      </c>
      <c r="E517" s="140" t="s">
        <v>118</v>
      </c>
      <c r="F517" s="140" t="s">
        <v>445</v>
      </c>
      <c r="G517" s="140" t="s">
        <v>445</v>
      </c>
      <c r="H517" s="140" t="s">
        <v>445</v>
      </c>
      <c r="I517" s="184" t="s">
        <v>204</v>
      </c>
      <c r="J517" s="140" t="s">
        <v>577</v>
      </c>
      <c r="K517" s="140" t="s">
        <v>578</v>
      </c>
      <c r="L517" s="140" t="s">
        <v>686</v>
      </c>
      <c r="M517" s="140" t="s">
        <v>46</v>
      </c>
      <c r="N517" s="156">
        <v>0.05</v>
      </c>
      <c r="O517" s="156" t="s">
        <v>51</v>
      </c>
      <c r="P517" s="156"/>
      <c r="Q517" s="158">
        <v>0</v>
      </c>
      <c r="R517" s="158">
        <v>0</v>
      </c>
      <c r="S517" s="158">
        <v>161045</v>
      </c>
      <c r="T517" s="158">
        <f t="shared" si="97"/>
        <v>8052.25</v>
      </c>
      <c r="U517" s="158">
        <f t="shared" si="101"/>
        <v>169097.25</v>
      </c>
      <c r="V517" s="158">
        <v>0</v>
      </c>
      <c r="W517" s="158">
        <f t="shared" si="102"/>
        <v>169097.25</v>
      </c>
      <c r="X517" s="158">
        <f t="shared" si="98"/>
        <v>161045</v>
      </c>
      <c r="Y517" s="158">
        <f t="shared" si="103"/>
        <v>8052.25</v>
      </c>
      <c r="Z517" s="158">
        <v>0</v>
      </c>
      <c r="AA517" s="158">
        <f t="shared" si="99"/>
        <v>0</v>
      </c>
      <c r="AB517" s="167">
        <f>IF(O517="返货",Z517/(1+N517),IF(O517="返现",Z517,IF(O517="折扣",Z517*N517,IF(O517="无",Z517))))</f>
        <v>0</v>
      </c>
      <c r="AC517" s="168">
        <f t="shared" si="100"/>
        <v>0</v>
      </c>
      <c r="AD517" s="158">
        <f t="shared" si="96"/>
        <v>0</v>
      </c>
      <c r="AE517" s="159">
        <v>0.1077</v>
      </c>
      <c r="AF517" s="158">
        <f t="shared" si="94"/>
        <v>0</v>
      </c>
      <c r="AG517" s="158">
        <v>0</v>
      </c>
      <c r="AH517" s="175"/>
      <c r="AI517" s="175"/>
      <c r="AJ517" s="156" t="s">
        <v>63</v>
      </c>
      <c r="AK517" s="140" t="s">
        <v>63</v>
      </c>
      <c r="AM517" s="152"/>
    </row>
    <row r="518" s="140" customFormat="1" ht="15" hidden="1" customHeight="1" spans="1:39">
      <c r="A518" s="140">
        <v>2017</v>
      </c>
      <c r="B518" s="140" t="s">
        <v>38</v>
      </c>
      <c r="C518" s="140" t="s">
        <v>75</v>
      </c>
      <c r="D518" s="140" t="s">
        <v>256</v>
      </c>
      <c r="E518" s="140" t="s">
        <v>167</v>
      </c>
      <c r="F518" s="140" t="s">
        <v>355</v>
      </c>
      <c r="G518" s="140" t="s">
        <v>355</v>
      </c>
      <c r="H518" s="140" t="s">
        <v>355</v>
      </c>
      <c r="I518" s="184" t="s">
        <v>204</v>
      </c>
      <c r="J518" s="140" t="s">
        <v>577</v>
      </c>
      <c r="K518" s="140" t="s">
        <v>578</v>
      </c>
      <c r="L518" s="140" t="s">
        <v>355</v>
      </c>
      <c r="M518" s="140" t="s">
        <v>46</v>
      </c>
      <c r="N518" s="157">
        <v>0.02</v>
      </c>
      <c r="O518" s="156" t="s">
        <v>51</v>
      </c>
      <c r="P518" s="156" t="s">
        <v>15</v>
      </c>
      <c r="Q518" s="158">
        <v>0</v>
      </c>
      <c r="R518" s="158">
        <v>0</v>
      </c>
      <c r="S518" s="158">
        <v>4997385.88</v>
      </c>
      <c r="T518" s="158">
        <f t="shared" si="97"/>
        <v>99947.7176</v>
      </c>
      <c r="U518" s="158">
        <f t="shared" si="101"/>
        <v>5097333.5976</v>
      </c>
      <c r="V518" s="158">
        <v>8767368.91</v>
      </c>
      <c r="W518" s="158">
        <f t="shared" si="102"/>
        <v>-3670035.3124</v>
      </c>
      <c r="X518" s="158">
        <f t="shared" si="98"/>
        <v>-3598073.83568627</v>
      </c>
      <c r="Y518" s="158">
        <f t="shared" si="103"/>
        <v>-71961.4767137254</v>
      </c>
      <c r="Z518" s="158">
        <v>5432806.98</v>
      </c>
      <c r="AA518" s="158">
        <f t="shared" si="99"/>
        <v>3334561.93</v>
      </c>
      <c r="AB518" s="167">
        <f>IF(O518="返货",(Z518-60000)/(1+N518),IF(O518="返现",Z518,IF(O518="折扣",Z518*N518,IF(O518="无",Z518))))</f>
        <v>5267457.82352941</v>
      </c>
      <c r="AC518" s="168">
        <f t="shared" si="100"/>
        <v>165349.156470588</v>
      </c>
      <c r="AD518" s="158">
        <f t="shared" si="96"/>
        <v>5325657.63528753</v>
      </c>
      <c r="AE518" s="159">
        <v>0.1077</v>
      </c>
      <c r="AF518" s="158">
        <f t="shared" si="94"/>
        <v>573573.327320467</v>
      </c>
      <c r="AG518" s="158">
        <v>478587.684687176</v>
      </c>
      <c r="AH518" s="175"/>
      <c r="AI518" s="175"/>
      <c r="AJ518" s="156" t="s">
        <v>173</v>
      </c>
      <c r="AK518" s="140" t="s">
        <v>173</v>
      </c>
      <c r="AM518" s="152"/>
    </row>
    <row r="519" s="140" customFormat="1" ht="15" hidden="1" customHeight="1" spans="1:39">
      <c r="A519" s="140">
        <v>2017</v>
      </c>
      <c r="B519" s="140" t="s">
        <v>38</v>
      </c>
      <c r="C519" s="140" t="s">
        <v>75</v>
      </c>
      <c r="D519" s="140" t="s">
        <v>256</v>
      </c>
      <c r="E519" s="140" t="s">
        <v>167</v>
      </c>
      <c r="F519" s="140" t="s">
        <v>355</v>
      </c>
      <c r="G519" s="140" t="s">
        <v>355</v>
      </c>
      <c r="H519" s="140" t="s">
        <v>355</v>
      </c>
      <c r="I519" s="184" t="s">
        <v>204</v>
      </c>
      <c r="J519" s="140" t="s">
        <v>577</v>
      </c>
      <c r="K519" s="140" t="s">
        <v>578</v>
      </c>
      <c r="L519" s="140" t="s">
        <v>355</v>
      </c>
      <c r="M519" s="140" t="s">
        <v>185</v>
      </c>
      <c r="N519" s="157">
        <v>0.08</v>
      </c>
      <c r="O519" s="156" t="s">
        <v>51</v>
      </c>
      <c r="P519" s="156"/>
      <c r="Q519" s="158">
        <v>0</v>
      </c>
      <c r="R519" s="158">
        <v>0</v>
      </c>
      <c r="S519" s="158">
        <v>3334561.93</v>
      </c>
      <c r="T519" s="158">
        <f t="shared" si="97"/>
        <v>266764.9544</v>
      </c>
      <c r="U519" s="158">
        <f t="shared" si="101"/>
        <v>3601326.8844</v>
      </c>
      <c r="V519" s="158">
        <v>0</v>
      </c>
      <c r="W519" s="158">
        <f t="shared" si="102"/>
        <v>3601326.8844</v>
      </c>
      <c r="X519" s="158">
        <f t="shared" si="98"/>
        <v>3334561.93</v>
      </c>
      <c r="Y519" s="158">
        <f t="shared" si="103"/>
        <v>266764.9544</v>
      </c>
      <c r="Z519" s="158">
        <v>3334561.93</v>
      </c>
      <c r="AA519" s="158">
        <f t="shared" si="99"/>
        <v>-3334561.93</v>
      </c>
      <c r="AB519" s="167">
        <f>IF(O519="返货",Z519/(1+N519),IF(O519="返现",Z519,IF(O519="折扣",Z519*N519,IF(O519="无",Z519))))</f>
        <v>3087557.34259259</v>
      </c>
      <c r="AC519" s="168">
        <f t="shared" si="100"/>
        <v>247004.587407408</v>
      </c>
      <c r="AD519" s="158">
        <f t="shared" si="96"/>
        <v>3268795.53575519</v>
      </c>
      <c r="AE519" s="159">
        <v>0.3156</v>
      </c>
      <c r="AF519" s="158">
        <f t="shared" si="94"/>
        <v>1031631.87108434</v>
      </c>
      <c r="AG519" s="158">
        <v>805383.157700592</v>
      </c>
      <c r="AH519" s="175"/>
      <c r="AI519" s="175"/>
      <c r="AJ519" s="156" t="s">
        <v>53</v>
      </c>
      <c r="AK519" s="140" t="s">
        <v>53</v>
      </c>
      <c r="AM519" s="152"/>
    </row>
    <row r="520" s="140" customFormat="1" ht="15" hidden="1" customHeight="1" spans="1:39">
      <c r="A520" s="140">
        <v>2017</v>
      </c>
      <c r="B520" s="140" t="s">
        <v>38</v>
      </c>
      <c r="C520" s="140" t="s">
        <v>75</v>
      </c>
      <c r="D520" s="140" t="s">
        <v>256</v>
      </c>
      <c r="E520" s="140" t="s">
        <v>167</v>
      </c>
      <c r="F520" s="140" t="s">
        <v>355</v>
      </c>
      <c r="G520" s="140" t="s">
        <v>355</v>
      </c>
      <c r="H520" s="140" t="s">
        <v>355</v>
      </c>
      <c r="I520" s="184" t="s">
        <v>204</v>
      </c>
      <c r="J520" s="140" t="s">
        <v>577</v>
      </c>
      <c r="K520" s="140" t="s">
        <v>578</v>
      </c>
      <c r="L520" s="140" t="s">
        <v>355</v>
      </c>
      <c r="M520" s="140" t="s">
        <v>160</v>
      </c>
      <c r="N520" s="156">
        <v>0</v>
      </c>
      <c r="O520" s="156" t="s">
        <v>47</v>
      </c>
      <c r="P520" s="156"/>
      <c r="Q520" s="158">
        <v>0</v>
      </c>
      <c r="R520" s="158">
        <v>0</v>
      </c>
      <c r="S520" s="158">
        <v>1151737.5</v>
      </c>
      <c r="T520" s="158">
        <f t="shared" si="97"/>
        <v>0</v>
      </c>
      <c r="U520" s="158">
        <f t="shared" si="101"/>
        <v>1151737.5</v>
      </c>
      <c r="V520" s="158">
        <v>413447.5</v>
      </c>
      <c r="W520" s="158">
        <f t="shared" si="102"/>
        <v>738290</v>
      </c>
      <c r="X520" s="158">
        <f t="shared" si="98"/>
        <v>738290</v>
      </c>
      <c r="Y520" s="158">
        <f t="shared" si="103"/>
        <v>0</v>
      </c>
      <c r="Z520" s="158">
        <v>413447.5</v>
      </c>
      <c r="AA520" s="158">
        <f t="shared" si="99"/>
        <v>0</v>
      </c>
      <c r="AB520" s="167">
        <f>IF(O520="返货",Z520/(1+N520),IF(O520="返现",Z520,IF(O520="折扣",Z520*N520,IF(O520="无",Z520))))</f>
        <v>413447.5</v>
      </c>
      <c r="AC520" s="168">
        <f t="shared" si="100"/>
        <v>0</v>
      </c>
      <c r="AD520" s="158">
        <f t="shared" si="96"/>
        <v>405293.220110967</v>
      </c>
      <c r="AE520" s="159">
        <v>0.1077</v>
      </c>
      <c r="AF520" s="158">
        <f t="shared" si="94"/>
        <v>43650.0798059512</v>
      </c>
      <c r="AG520" s="158">
        <v>44528.29575</v>
      </c>
      <c r="AH520" s="175"/>
      <c r="AI520" s="175"/>
      <c r="AJ520" s="156" t="s">
        <v>47</v>
      </c>
      <c r="AK520" s="140" t="s">
        <v>47</v>
      </c>
      <c r="AM520" s="152"/>
    </row>
    <row r="521" s="140" customFormat="1" ht="15" hidden="1" customHeight="1" spans="1:39">
      <c r="A521" s="140">
        <v>2017</v>
      </c>
      <c r="B521" s="140" t="s">
        <v>38</v>
      </c>
      <c r="C521" s="140" t="s">
        <v>75</v>
      </c>
      <c r="D521" s="140" t="s">
        <v>256</v>
      </c>
      <c r="E521" s="140" t="s">
        <v>649</v>
      </c>
      <c r="F521" s="140" t="s">
        <v>687</v>
      </c>
      <c r="G521" s="140" t="s">
        <v>687</v>
      </c>
      <c r="H521" s="140" t="s">
        <v>687</v>
      </c>
      <c r="I521" s="184" t="s">
        <v>204</v>
      </c>
      <c r="J521" s="140" t="s">
        <v>577</v>
      </c>
      <c r="K521" s="140" t="s">
        <v>578</v>
      </c>
      <c r="L521" s="140" t="s">
        <v>687</v>
      </c>
      <c r="M521" s="140" t="s">
        <v>46</v>
      </c>
      <c r="N521" s="157">
        <v>0.02</v>
      </c>
      <c r="O521" s="156" t="s">
        <v>51</v>
      </c>
      <c r="P521" s="156"/>
      <c r="Q521" s="158">
        <v>410093.96</v>
      </c>
      <c r="R521" s="158">
        <v>0</v>
      </c>
      <c r="S521" s="158">
        <v>248298.3</v>
      </c>
      <c r="T521" s="158">
        <f t="shared" si="97"/>
        <v>4965.966</v>
      </c>
      <c r="U521" s="158">
        <f t="shared" si="101"/>
        <v>253264.266</v>
      </c>
      <c r="V521" s="158">
        <v>259000</v>
      </c>
      <c r="W521" s="158">
        <f t="shared" si="102"/>
        <v>-5735.73400000003</v>
      </c>
      <c r="X521" s="158">
        <f t="shared" si="98"/>
        <v>-5623.26862745101</v>
      </c>
      <c r="Y521" s="158">
        <f t="shared" si="103"/>
        <v>-112.46537254902</v>
      </c>
      <c r="Z521" s="158">
        <v>665358.23</v>
      </c>
      <c r="AA521" s="158">
        <f t="shared" si="99"/>
        <v>3735.72999999998</v>
      </c>
      <c r="AB521" s="167">
        <f>IF(O521="返货",(Z521-Q521)/(1+N521),IF(O521="返现",(Z521-Q521),IF(O521="折扣",(Z521-Q521)*N521,IF(O521="无",(Z521-Q521)))))</f>
        <v>250259.088235294</v>
      </c>
      <c r="AC521" s="168">
        <f t="shared" si="100"/>
        <v>415099.141764706</v>
      </c>
      <c r="AD521" s="158">
        <f t="shared" si="96"/>
        <v>652235.603224191</v>
      </c>
      <c r="AE521" s="159">
        <v>0.1077</v>
      </c>
      <c r="AF521" s="158">
        <f t="shared" si="94"/>
        <v>70245.7744672454</v>
      </c>
      <c r="AG521" s="158">
        <v>58612.8415670785</v>
      </c>
      <c r="AH521" s="175"/>
      <c r="AI521" s="175"/>
      <c r="AJ521" s="156" t="s">
        <v>173</v>
      </c>
      <c r="AK521" s="140" t="s">
        <v>173</v>
      </c>
      <c r="AM521" s="152"/>
    </row>
    <row r="522" s="140" customFormat="1" ht="15" hidden="1" customHeight="1" spans="1:39">
      <c r="A522" s="140">
        <v>2017</v>
      </c>
      <c r="B522" s="140" t="s">
        <v>38</v>
      </c>
      <c r="C522" s="140" t="s">
        <v>75</v>
      </c>
      <c r="D522" s="140" t="s">
        <v>256</v>
      </c>
      <c r="E522" s="140" t="s">
        <v>649</v>
      </c>
      <c r="F522" s="140" t="s">
        <v>687</v>
      </c>
      <c r="G522" s="140" t="s">
        <v>687</v>
      </c>
      <c r="H522" s="140" t="s">
        <v>687</v>
      </c>
      <c r="I522" s="184" t="s">
        <v>204</v>
      </c>
      <c r="J522" s="140" t="s">
        <v>577</v>
      </c>
      <c r="K522" s="140" t="s">
        <v>578</v>
      </c>
      <c r="L522" s="140" t="s">
        <v>687</v>
      </c>
      <c r="M522" s="140" t="s">
        <v>185</v>
      </c>
      <c r="N522" s="157">
        <v>0.08</v>
      </c>
      <c r="O522" s="156" t="s">
        <v>51</v>
      </c>
      <c r="P522" s="156"/>
      <c r="Q522" s="158">
        <v>48593.4928</v>
      </c>
      <c r="R522" s="158">
        <v>0</v>
      </c>
      <c r="S522" s="158">
        <v>1701.7</v>
      </c>
      <c r="T522" s="158">
        <f t="shared" si="97"/>
        <v>136.136</v>
      </c>
      <c r="U522" s="158">
        <f t="shared" si="101"/>
        <v>1837.836</v>
      </c>
      <c r="V522" s="158">
        <v>0</v>
      </c>
      <c r="W522" s="158">
        <f t="shared" si="102"/>
        <v>1837.836</v>
      </c>
      <c r="X522" s="158">
        <f t="shared" si="98"/>
        <v>1701.7</v>
      </c>
      <c r="Y522" s="158">
        <f t="shared" si="103"/>
        <v>136.136</v>
      </c>
      <c r="Z522" s="158">
        <v>52329.22</v>
      </c>
      <c r="AA522" s="158">
        <f t="shared" si="99"/>
        <v>-3735.7272</v>
      </c>
      <c r="AB522" s="167">
        <f>IF(O522="返货",(Z522-Q522)/(1+N522),IF(O522="返现",(Z522-Q522),IF(O522="折扣",(Z522-Q522)*N522,IF(O522="无",(Z522-Q522)))))</f>
        <v>3459.00666666667</v>
      </c>
      <c r="AC522" s="168">
        <f t="shared" si="100"/>
        <v>48870.2133333333</v>
      </c>
      <c r="AD522" s="158">
        <f t="shared" si="96"/>
        <v>51297.149165723</v>
      </c>
      <c r="AE522" s="159">
        <v>0.3156</v>
      </c>
      <c r="AF522" s="158">
        <f t="shared" si="94"/>
        <v>16189.3802767022</v>
      </c>
      <c r="AG522" s="158">
        <v>12638.8633134815</v>
      </c>
      <c r="AH522" s="175"/>
      <c r="AI522" s="175"/>
      <c r="AJ522" s="156" t="s">
        <v>53</v>
      </c>
      <c r="AK522" s="140" t="s">
        <v>53</v>
      </c>
      <c r="AM522" s="152"/>
    </row>
    <row r="523" s="140" customFormat="1" ht="15" hidden="1" customHeight="1" spans="1:39">
      <c r="A523" s="140">
        <v>2017</v>
      </c>
      <c r="B523" s="140" t="s">
        <v>252</v>
      </c>
      <c r="C523" s="140" t="s">
        <v>75</v>
      </c>
      <c r="D523" s="140" t="s">
        <v>256</v>
      </c>
      <c r="E523" s="140" t="s">
        <v>649</v>
      </c>
      <c r="F523" s="140" t="s">
        <v>688</v>
      </c>
      <c r="G523" s="140" t="s">
        <v>689</v>
      </c>
      <c r="H523" s="140" t="s">
        <v>689</v>
      </c>
      <c r="I523" s="184" t="s">
        <v>204</v>
      </c>
      <c r="J523" s="140" t="s">
        <v>577</v>
      </c>
      <c r="K523" s="140" t="s">
        <v>578</v>
      </c>
      <c r="L523" s="140" t="s">
        <v>688</v>
      </c>
      <c r="M523" s="140" t="s">
        <v>46</v>
      </c>
      <c r="N523" s="157">
        <v>0.02</v>
      </c>
      <c r="O523" s="156" t="s">
        <v>51</v>
      </c>
      <c r="P523" s="156"/>
      <c r="Q523" s="158">
        <v>0</v>
      </c>
      <c r="R523" s="158">
        <v>0</v>
      </c>
      <c r="S523" s="158">
        <v>3704550.13</v>
      </c>
      <c r="T523" s="158">
        <f t="shared" si="97"/>
        <v>74091.0026</v>
      </c>
      <c r="U523" s="158">
        <f t="shared" si="101"/>
        <v>3778641.1326</v>
      </c>
      <c r="V523" s="158">
        <v>3750000</v>
      </c>
      <c r="W523" s="158">
        <f t="shared" si="102"/>
        <v>28641.1325999997</v>
      </c>
      <c r="X523" s="158">
        <f t="shared" si="98"/>
        <v>28079.5417647056</v>
      </c>
      <c r="Y523" s="158">
        <f t="shared" si="103"/>
        <v>561.590835294111</v>
      </c>
      <c r="Z523" s="158">
        <v>3704550.13</v>
      </c>
      <c r="AA523" s="158">
        <f t="shared" si="99"/>
        <v>45449.8700000001</v>
      </c>
      <c r="AB523" s="167">
        <f>IF(O523="返货",Z523/(1+N523),IF(O523="返现",Z523,IF(O523="折扣",Z523*N523,IF(O523="无",Z523))))</f>
        <v>3631911.89215686</v>
      </c>
      <c r="AC523" s="168">
        <f t="shared" si="100"/>
        <v>72638.2378431372</v>
      </c>
      <c r="AD523" s="158">
        <f t="shared" si="96"/>
        <v>3631486.58838233</v>
      </c>
      <c r="AE523" s="159">
        <v>0.1077</v>
      </c>
      <c r="AF523" s="158">
        <f t="shared" si="94"/>
        <v>391111.105568777</v>
      </c>
      <c r="AG523" s="158">
        <v>326341.811157863</v>
      </c>
      <c r="AH523" s="175"/>
      <c r="AI523" s="175"/>
      <c r="AJ523" s="156" t="s">
        <v>173</v>
      </c>
      <c r="AK523" s="140" t="s">
        <v>173</v>
      </c>
      <c r="AM523" s="152"/>
    </row>
    <row r="524" s="140" customFormat="1" ht="15" hidden="1" customHeight="1" spans="1:39">
      <c r="A524" s="140">
        <v>2017</v>
      </c>
      <c r="B524" s="140" t="s">
        <v>38</v>
      </c>
      <c r="C524" s="140" t="s">
        <v>75</v>
      </c>
      <c r="D524" s="140" t="s">
        <v>256</v>
      </c>
      <c r="E524" s="140" t="s">
        <v>315</v>
      </c>
      <c r="F524" s="140" t="s">
        <v>690</v>
      </c>
      <c r="G524" s="140" t="s">
        <v>690</v>
      </c>
      <c r="H524" s="140" t="s">
        <v>690</v>
      </c>
      <c r="I524" s="184" t="s">
        <v>204</v>
      </c>
      <c r="J524" s="140" t="s">
        <v>577</v>
      </c>
      <c r="K524" s="140" t="s">
        <v>578</v>
      </c>
      <c r="L524" s="140" t="s">
        <v>690</v>
      </c>
      <c r="M524" s="140" t="s">
        <v>46</v>
      </c>
      <c r="N524" s="157">
        <v>0.02</v>
      </c>
      <c r="O524" s="156" t="s">
        <v>51</v>
      </c>
      <c r="P524" s="156"/>
      <c r="Q524" s="158">
        <v>0</v>
      </c>
      <c r="R524" s="158">
        <v>0</v>
      </c>
      <c r="S524" s="158">
        <v>1281059.32</v>
      </c>
      <c r="T524" s="158">
        <f t="shared" si="97"/>
        <v>25621.1864</v>
      </c>
      <c r="U524" s="158">
        <f t="shared" si="101"/>
        <v>1306680.5064</v>
      </c>
      <c r="V524" s="158">
        <v>1428000</v>
      </c>
      <c r="W524" s="158">
        <f t="shared" si="102"/>
        <v>-121319.4936</v>
      </c>
      <c r="X524" s="158">
        <f t="shared" si="98"/>
        <v>-118940.68</v>
      </c>
      <c r="Y524" s="158">
        <f t="shared" si="103"/>
        <v>-2378.81359999999</v>
      </c>
      <c r="Z524" s="158">
        <v>1306680.51</v>
      </c>
      <c r="AA524" s="158">
        <f t="shared" si="99"/>
        <v>121319.49</v>
      </c>
      <c r="AB524" s="167">
        <f>IF(O524="返货",Z524/(1+N524),IF(O524="返现",Z524,IF(O524="折扣",Z524*N524,IF(O524="无",Z524))))</f>
        <v>1281059.32352941</v>
      </c>
      <c r="AC524" s="168">
        <f t="shared" si="100"/>
        <v>25621.1864705882</v>
      </c>
      <c r="AD524" s="158">
        <f t="shared" si="96"/>
        <v>1280909.30905167</v>
      </c>
      <c r="AE524" s="159">
        <v>0.1077</v>
      </c>
      <c r="AF524" s="158">
        <f t="shared" si="94"/>
        <v>137953.932584865</v>
      </c>
      <c r="AG524" s="158">
        <v>115108.304456412</v>
      </c>
      <c r="AH524" s="175"/>
      <c r="AI524" s="175"/>
      <c r="AJ524" s="156" t="s">
        <v>173</v>
      </c>
      <c r="AK524" s="140" t="s">
        <v>173</v>
      </c>
      <c r="AM524" s="152"/>
    </row>
    <row r="525" s="140" customFormat="1" ht="15" hidden="1" customHeight="1" spans="1:39">
      <c r="A525" s="140">
        <v>2017</v>
      </c>
      <c r="B525" s="140" t="s">
        <v>38</v>
      </c>
      <c r="C525" s="140" t="s">
        <v>75</v>
      </c>
      <c r="D525" s="140" t="s">
        <v>256</v>
      </c>
      <c r="E525" s="140" t="s">
        <v>315</v>
      </c>
      <c r="F525" s="140" t="s">
        <v>691</v>
      </c>
      <c r="G525" s="140" t="s">
        <v>691</v>
      </c>
      <c r="H525" s="140" t="s">
        <v>691</v>
      </c>
      <c r="I525" s="184" t="s">
        <v>204</v>
      </c>
      <c r="J525" s="140" t="s">
        <v>577</v>
      </c>
      <c r="K525" s="140" t="s">
        <v>578</v>
      </c>
      <c r="L525" s="140" t="s">
        <v>691</v>
      </c>
      <c r="M525" s="140" t="s">
        <v>46</v>
      </c>
      <c r="N525" s="157">
        <v>0.02</v>
      </c>
      <c r="O525" s="156" t="s">
        <v>51</v>
      </c>
      <c r="P525" s="156"/>
      <c r="Q525" s="158">
        <v>37927.44</v>
      </c>
      <c r="R525" s="158">
        <v>0</v>
      </c>
      <c r="S525" s="158">
        <v>429905.38</v>
      </c>
      <c r="T525" s="158">
        <f t="shared" si="97"/>
        <v>8598.1076</v>
      </c>
      <c r="U525" s="158">
        <f t="shared" si="101"/>
        <v>438503.4876</v>
      </c>
      <c r="V525" s="158">
        <v>448386.46</v>
      </c>
      <c r="W525" s="158">
        <f t="shared" si="102"/>
        <v>-9882.97240000003</v>
      </c>
      <c r="X525" s="158">
        <f t="shared" si="98"/>
        <v>-9689.18862745101</v>
      </c>
      <c r="Y525" s="158">
        <f t="shared" si="103"/>
        <v>-193.783772549021</v>
      </c>
      <c r="Z525" s="158">
        <v>487912.31</v>
      </c>
      <c r="AA525" s="158">
        <f t="shared" si="99"/>
        <v>-1598.40999999997</v>
      </c>
      <c r="AB525" s="167">
        <f>IF(O525="返货",(Z525-Q525)/(1+N525),IF(O525="返现",(Z525-Q525),IF(O525="折扣",(Z525-Q525)*N525,IF(O525="无",(Z525-Q525)))))</f>
        <v>441161.637254902</v>
      </c>
      <c r="AC525" s="168">
        <f t="shared" si="100"/>
        <v>46750.6727450981</v>
      </c>
      <c r="AD525" s="158">
        <f t="shared" si="96"/>
        <v>478289.3868065</v>
      </c>
      <c r="AE525" s="159">
        <v>0.1077</v>
      </c>
      <c r="AF525" s="158">
        <f t="shared" si="94"/>
        <v>51511.7669590601</v>
      </c>
      <c r="AG525" s="158">
        <v>42981.2477477843</v>
      </c>
      <c r="AH525" s="175"/>
      <c r="AI525" s="175"/>
      <c r="AJ525" s="157">
        <v>0.02</v>
      </c>
      <c r="AK525" s="140" t="s">
        <v>173</v>
      </c>
      <c r="AM525" s="152"/>
    </row>
    <row r="526" s="140" customFormat="1" ht="15" hidden="1" customHeight="1" spans="1:39">
      <c r="A526" s="140">
        <v>2017</v>
      </c>
      <c r="B526" s="140" t="s">
        <v>38</v>
      </c>
      <c r="C526" s="140" t="s">
        <v>75</v>
      </c>
      <c r="D526" s="140" t="s">
        <v>256</v>
      </c>
      <c r="E526" s="140" t="s">
        <v>315</v>
      </c>
      <c r="F526" s="140" t="s">
        <v>692</v>
      </c>
      <c r="G526" s="140" t="s">
        <v>692</v>
      </c>
      <c r="H526" s="140" t="s">
        <v>692</v>
      </c>
      <c r="I526" s="184" t="s">
        <v>204</v>
      </c>
      <c r="J526" s="140" t="s">
        <v>577</v>
      </c>
      <c r="K526" s="140" t="s">
        <v>578</v>
      </c>
      <c r="L526" s="140" t="s">
        <v>692</v>
      </c>
      <c r="M526" s="140" t="s">
        <v>46</v>
      </c>
      <c r="N526" s="157">
        <v>0.02</v>
      </c>
      <c r="O526" s="156" t="s">
        <v>51</v>
      </c>
      <c r="P526" s="156"/>
      <c r="Q526" s="158">
        <v>44808.0955</v>
      </c>
      <c r="R526" s="158">
        <v>0</v>
      </c>
      <c r="S526" s="158">
        <v>278298.39</v>
      </c>
      <c r="T526" s="158">
        <f t="shared" si="97"/>
        <v>5565.9678</v>
      </c>
      <c r="U526" s="158">
        <f t="shared" si="101"/>
        <v>283864.3578</v>
      </c>
      <c r="V526" s="158">
        <v>273981.39</v>
      </c>
      <c r="W526" s="158">
        <f t="shared" si="102"/>
        <v>9882.96779999998</v>
      </c>
      <c r="X526" s="158">
        <f t="shared" si="98"/>
        <v>9689.18411764704</v>
      </c>
      <c r="Y526" s="158">
        <f t="shared" si="103"/>
        <v>193.783682352941</v>
      </c>
      <c r="Z526" s="158">
        <v>328672.46</v>
      </c>
      <c r="AA526" s="158">
        <f t="shared" si="99"/>
        <v>-9882.97450000001</v>
      </c>
      <c r="AB526" s="167">
        <f>IF(O526="返货",(Z526-Q526)/(1+N526),IF(O526="返现",(Z526-Q526),IF(O526="折扣",(Z526-Q526)*N526,IF(O526="无",(Z526-Q526)))))</f>
        <v>278298.396568627</v>
      </c>
      <c r="AC526" s="168">
        <f t="shared" si="100"/>
        <v>50374.0634313726</v>
      </c>
      <c r="AD526" s="158">
        <f t="shared" si="96"/>
        <v>322190.168462001</v>
      </c>
      <c r="AE526" s="159">
        <v>0.1077</v>
      </c>
      <c r="AF526" s="158">
        <f t="shared" si="94"/>
        <v>34699.8811433575</v>
      </c>
      <c r="AG526" s="158">
        <v>28953.4659027843</v>
      </c>
      <c r="AH526" s="175"/>
      <c r="AI526" s="175"/>
      <c r="AJ526" s="157">
        <v>0.02</v>
      </c>
      <c r="AK526" s="177">
        <v>0.02</v>
      </c>
      <c r="AM526" s="152"/>
    </row>
    <row r="527" s="140" customFormat="1" ht="15" hidden="1" customHeight="1" spans="1:39">
      <c r="A527" s="140">
        <v>2017</v>
      </c>
      <c r="B527" s="140" t="s">
        <v>38</v>
      </c>
      <c r="C527" s="140" t="s">
        <v>75</v>
      </c>
      <c r="D527" s="140" t="s">
        <v>256</v>
      </c>
      <c r="E527" s="140" t="s">
        <v>150</v>
      </c>
      <c r="F527" s="140" t="s">
        <v>693</v>
      </c>
      <c r="G527" s="140" t="s">
        <v>693</v>
      </c>
      <c r="H527" s="140" t="s">
        <v>693</v>
      </c>
      <c r="I527" s="184" t="s">
        <v>204</v>
      </c>
      <c r="J527" s="140" t="s">
        <v>577</v>
      </c>
      <c r="K527" s="140" t="s">
        <v>578</v>
      </c>
      <c r="L527" s="140" t="s">
        <v>694</v>
      </c>
      <c r="M527" s="140" t="s">
        <v>46</v>
      </c>
      <c r="N527" s="157">
        <v>0.02</v>
      </c>
      <c r="O527" s="156" t="s">
        <v>51</v>
      </c>
      <c r="P527" s="156"/>
      <c r="Q527" s="158">
        <v>9668.02</v>
      </c>
      <c r="R527" s="158">
        <v>0</v>
      </c>
      <c r="S527" s="158">
        <v>19030</v>
      </c>
      <c r="T527" s="158">
        <f t="shared" si="97"/>
        <v>380.6</v>
      </c>
      <c r="U527" s="158">
        <f t="shared" si="101"/>
        <v>19410.6</v>
      </c>
      <c r="V527" s="158">
        <v>20000</v>
      </c>
      <c r="W527" s="158">
        <f t="shared" si="102"/>
        <v>-589.400000000001</v>
      </c>
      <c r="X527" s="158">
        <f t="shared" si="98"/>
        <v>-577.843137254903</v>
      </c>
      <c r="Y527" s="158">
        <f t="shared" si="103"/>
        <v>-11.5568627450981</v>
      </c>
      <c r="Z527" s="158">
        <v>28698.02</v>
      </c>
      <c r="AA527" s="158">
        <f t="shared" si="99"/>
        <v>970</v>
      </c>
      <c r="AB527" s="167">
        <f>IF(O527="返货",(Z527-Q527)/(1+N527),IF(O527="返现",(Z527-Q527),IF(O527="折扣",(Z527-Q527)*N527,IF(O527="无",(Z527-Q527)))))</f>
        <v>18656.862745098</v>
      </c>
      <c r="AC527" s="168">
        <f t="shared" si="100"/>
        <v>10041.157254902</v>
      </c>
      <c r="AD527" s="158">
        <f t="shared" si="96"/>
        <v>28132.019026863</v>
      </c>
      <c r="AE527" s="159">
        <v>0.1077</v>
      </c>
      <c r="AF527" s="158">
        <f t="shared" si="94"/>
        <v>3029.81844919315</v>
      </c>
      <c r="AG527" s="158">
        <v>2528.0704794902</v>
      </c>
      <c r="AH527" s="175"/>
      <c r="AI527" s="175"/>
      <c r="AJ527" s="156" t="s">
        <v>173</v>
      </c>
      <c r="AK527" s="140" t="s">
        <v>173</v>
      </c>
      <c r="AM527" s="152"/>
    </row>
    <row r="528" s="140" customFormat="1" ht="15" hidden="1" customHeight="1" spans="1:39">
      <c r="A528" s="140">
        <v>2017</v>
      </c>
      <c r="B528" s="140" t="s">
        <v>38</v>
      </c>
      <c r="C528" s="140" t="s">
        <v>75</v>
      </c>
      <c r="D528" s="140" t="s">
        <v>256</v>
      </c>
      <c r="E528" s="140" t="s">
        <v>150</v>
      </c>
      <c r="F528" s="140" t="s">
        <v>693</v>
      </c>
      <c r="G528" s="140" t="s">
        <v>693</v>
      </c>
      <c r="H528" s="140" t="s">
        <v>693</v>
      </c>
      <c r="I528" s="184" t="s">
        <v>204</v>
      </c>
      <c r="J528" s="140" t="s">
        <v>577</v>
      </c>
      <c r="K528" s="140" t="s">
        <v>578</v>
      </c>
      <c r="L528" s="140" t="s">
        <v>694</v>
      </c>
      <c r="M528" s="140" t="s">
        <v>185</v>
      </c>
      <c r="N528" s="157">
        <v>0.08</v>
      </c>
      <c r="O528" s="156" t="s">
        <v>51</v>
      </c>
      <c r="P528" s="156"/>
      <c r="Q528" s="158">
        <v>0</v>
      </c>
      <c r="R528" s="158">
        <v>0</v>
      </c>
      <c r="S528" s="158">
        <v>970</v>
      </c>
      <c r="T528" s="158">
        <f t="shared" si="97"/>
        <v>77.6</v>
      </c>
      <c r="U528" s="158">
        <f t="shared" si="101"/>
        <v>1047.6</v>
      </c>
      <c r="V528" s="158">
        <v>0</v>
      </c>
      <c r="W528" s="158">
        <f t="shared" si="102"/>
        <v>1047.6</v>
      </c>
      <c r="X528" s="158">
        <f t="shared" si="98"/>
        <v>970</v>
      </c>
      <c r="Y528" s="158">
        <f t="shared" si="103"/>
        <v>77.6</v>
      </c>
      <c r="Z528" s="158">
        <v>970</v>
      </c>
      <c r="AA528" s="158">
        <f t="shared" si="99"/>
        <v>-970</v>
      </c>
      <c r="AB528" s="167">
        <f t="shared" ref="AB528:AB533" si="104">IF(O528="返货",Z528/(1+N528),IF(O528="返现",Z528,IF(O528="折扣",Z528*N528,IF(O528="无",Z528))))</f>
        <v>898.148148148148</v>
      </c>
      <c r="AC528" s="168">
        <f t="shared" si="100"/>
        <v>71.851851851852</v>
      </c>
      <c r="AD528" s="158">
        <f t="shared" si="96"/>
        <v>950.869030548349</v>
      </c>
      <c r="AE528" s="159">
        <v>0.3156</v>
      </c>
      <c r="AF528" s="158">
        <f t="shared" si="94"/>
        <v>300.094266041059</v>
      </c>
      <c r="AG528" s="158">
        <v>234.280148148148</v>
      </c>
      <c r="AH528" s="175"/>
      <c r="AI528" s="175"/>
      <c r="AJ528" s="156" t="s">
        <v>53</v>
      </c>
      <c r="AK528" s="140" t="s">
        <v>53</v>
      </c>
      <c r="AM528" s="152"/>
    </row>
    <row r="529" s="140" customFormat="1" ht="15" hidden="1" customHeight="1" spans="1:39">
      <c r="A529" s="140">
        <v>2017</v>
      </c>
      <c r="B529" s="140" t="s">
        <v>38</v>
      </c>
      <c r="C529" s="140" t="s">
        <v>75</v>
      </c>
      <c r="D529" s="140" t="s">
        <v>256</v>
      </c>
      <c r="E529" s="140" t="s">
        <v>257</v>
      </c>
      <c r="F529" s="140" t="s">
        <v>690</v>
      </c>
      <c r="G529" s="140" t="s">
        <v>690</v>
      </c>
      <c r="H529" s="140" t="s">
        <v>690</v>
      </c>
      <c r="I529" s="184" t="s">
        <v>204</v>
      </c>
      <c r="J529" s="140" t="s">
        <v>577</v>
      </c>
      <c r="K529" s="140" t="s">
        <v>578</v>
      </c>
      <c r="L529" s="140" t="s">
        <v>690</v>
      </c>
      <c r="M529" s="140" t="s">
        <v>185</v>
      </c>
      <c r="N529" s="157">
        <v>0.04</v>
      </c>
      <c r="O529" s="156" t="s">
        <v>51</v>
      </c>
      <c r="P529" s="156"/>
      <c r="Q529" s="158">
        <v>0</v>
      </c>
      <c r="R529" s="158">
        <v>0</v>
      </c>
      <c r="S529" s="158">
        <v>29247.44</v>
      </c>
      <c r="T529" s="158">
        <f t="shared" si="97"/>
        <v>1169.8976</v>
      </c>
      <c r="U529" s="158">
        <f t="shared" si="101"/>
        <v>30417.3376</v>
      </c>
      <c r="V529" s="158">
        <v>0</v>
      </c>
      <c r="W529" s="158">
        <f t="shared" si="102"/>
        <v>30417.3376</v>
      </c>
      <c r="X529" s="158">
        <f t="shared" si="98"/>
        <v>29247.44</v>
      </c>
      <c r="Y529" s="158">
        <f t="shared" si="103"/>
        <v>1169.8976</v>
      </c>
      <c r="Z529" s="158">
        <v>29832.39</v>
      </c>
      <c r="AA529" s="158">
        <f t="shared" si="99"/>
        <v>-29832.39</v>
      </c>
      <c r="AB529" s="167">
        <f t="shared" si="104"/>
        <v>28684.9903846154</v>
      </c>
      <c r="AC529" s="168">
        <f t="shared" si="100"/>
        <v>1147.39961538462</v>
      </c>
      <c r="AD529" s="158">
        <f t="shared" ref="AD529:AD557" si="105">Z529*0.980277351080772</f>
        <v>29244.0162456085</v>
      </c>
      <c r="AE529" s="159">
        <v>0.3156</v>
      </c>
      <c r="AF529" s="158">
        <f t="shared" si="94"/>
        <v>9229.41152711405</v>
      </c>
      <c r="AG529" s="158">
        <v>8267.70266861538</v>
      </c>
      <c r="AH529" s="175"/>
      <c r="AI529" s="175"/>
      <c r="AJ529" s="157">
        <v>0.04</v>
      </c>
      <c r="AK529" s="177">
        <v>0.04</v>
      </c>
      <c r="AM529" s="152"/>
    </row>
    <row r="530" s="140" customFormat="1" ht="15" hidden="1" customHeight="1" spans="1:39">
      <c r="A530" s="140">
        <v>2017</v>
      </c>
      <c r="B530" s="140" t="s">
        <v>252</v>
      </c>
      <c r="C530" s="140" t="s">
        <v>75</v>
      </c>
      <c r="D530" s="140" t="s">
        <v>256</v>
      </c>
      <c r="E530" s="140" t="s">
        <v>257</v>
      </c>
      <c r="F530" s="140" t="s">
        <v>688</v>
      </c>
      <c r="G530" s="140" t="s">
        <v>689</v>
      </c>
      <c r="H530" s="140" t="s">
        <v>689</v>
      </c>
      <c r="I530" s="184" t="s">
        <v>204</v>
      </c>
      <c r="J530" s="140" t="s">
        <v>577</v>
      </c>
      <c r="K530" s="140" t="s">
        <v>578</v>
      </c>
      <c r="L530" s="140" t="s">
        <v>688</v>
      </c>
      <c r="M530" s="140" t="s">
        <v>185</v>
      </c>
      <c r="N530" s="157">
        <v>0.08</v>
      </c>
      <c r="O530" s="156" t="s">
        <v>51</v>
      </c>
      <c r="P530" s="156"/>
      <c r="Q530" s="158">
        <v>0</v>
      </c>
      <c r="R530" s="158">
        <v>0</v>
      </c>
      <c r="S530" s="158">
        <v>14000</v>
      </c>
      <c r="T530" s="158">
        <f t="shared" si="97"/>
        <v>1120</v>
      </c>
      <c r="U530" s="158">
        <f t="shared" si="101"/>
        <v>15120</v>
      </c>
      <c r="V530" s="158">
        <v>0</v>
      </c>
      <c r="W530" s="158">
        <f t="shared" si="102"/>
        <v>15120</v>
      </c>
      <c r="X530" s="158">
        <f t="shared" si="98"/>
        <v>14000</v>
      </c>
      <c r="Y530" s="158">
        <f t="shared" si="103"/>
        <v>1120</v>
      </c>
      <c r="Z530" s="158">
        <v>14000</v>
      </c>
      <c r="AA530" s="158">
        <f t="shared" si="99"/>
        <v>-14000</v>
      </c>
      <c r="AB530" s="167">
        <f t="shared" si="104"/>
        <v>12962.962962963</v>
      </c>
      <c r="AC530" s="168">
        <f t="shared" si="100"/>
        <v>1037.03703703704</v>
      </c>
      <c r="AD530" s="158">
        <f t="shared" si="105"/>
        <v>13723.8829151308</v>
      </c>
      <c r="AE530" s="159">
        <v>0.3156</v>
      </c>
      <c r="AF530" s="158">
        <f t="shared" si="94"/>
        <v>4331.25744801528</v>
      </c>
      <c r="AG530" s="158">
        <v>3381.36296296296</v>
      </c>
      <c r="AH530" s="175"/>
      <c r="AI530" s="175"/>
      <c r="AJ530" s="156" t="s">
        <v>53</v>
      </c>
      <c r="AK530" s="140" t="s">
        <v>53</v>
      </c>
      <c r="AM530" s="152"/>
    </row>
    <row r="531" s="140" customFormat="1" ht="15" hidden="1" customHeight="1" spans="1:39">
      <c r="A531" s="140">
        <v>2017</v>
      </c>
      <c r="B531" s="140" t="s">
        <v>38</v>
      </c>
      <c r="C531" s="140" t="s">
        <v>75</v>
      </c>
      <c r="D531" s="140" t="s">
        <v>256</v>
      </c>
      <c r="E531" s="140" t="s">
        <v>175</v>
      </c>
      <c r="F531" s="140" t="s">
        <v>695</v>
      </c>
      <c r="G531" s="140" t="s">
        <v>695</v>
      </c>
      <c r="H531" s="140" t="s">
        <v>695</v>
      </c>
      <c r="I531" s="184" t="s">
        <v>204</v>
      </c>
      <c r="J531" s="140" t="s">
        <v>577</v>
      </c>
      <c r="K531" s="140" t="s">
        <v>578</v>
      </c>
      <c r="L531" s="140" t="s">
        <v>695</v>
      </c>
      <c r="M531" s="140" t="s">
        <v>46</v>
      </c>
      <c r="N531" s="157">
        <v>0.04</v>
      </c>
      <c r="O531" s="156" t="s">
        <v>51</v>
      </c>
      <c r="P531" s="156"/>
      <c r="Q531" s="158">
        <v>0</v>
      </c>
      <c r="R531" s="158">
        <v>0</v>
      </c>
      <c r="S531" s="158">
        <v>15124.09</v>
      </c>
      <c r="T531" s="158">
        <f t="shared" si="97"/>
        <v>604.9636</v>
      </c>
      <c r="U531" s="158">
        <f t="shared" si="101"/>
        <v>15729.0536</v>
      </c>
      <c r="V531" s="158">
        <v>15426.57</v>
      </c>
      <c r="W531" s="158">
        <f t="shared" si="102"/>
        <v>302.4836</v>
      </c>
      <c r="X531" s="158">
        <f t="shared" si="98"/>
        <v>290.849615384615</v>
      </c>
      <c r="Y531" s="158">
        <f t="shared" si="103"/>
        <v>11.6339846153846</v>
      </c>
      <c r="Z531" s="158">
        <v>15426.57</v>
      </c>
      <c r="AA531" s="158">
        <f t="shared" si="99"/>
        <v>0</v>
      </c>
      <c r="AB531" s="167">
        <f t="shared" si="104"/>
        <v>14833.2403846154</v>
      </c>
      <c r="AC531" s="168">
        <f t="shared" si="100"/>
        <v>593.329615384617</v>
      </c>
      <c r="AD531" s="158">
        <f t="shared" si="105"/>
        <v>15122.3171758621</v>
      </c>
      <c r="AE531" s="159">
        <v>0.1077</v>
      </c>
      <c r="AF531" s="158">
        <f t="shared" si="94"/>
        <v>1628.67355984035</v>
      </c>
      <c r="AG531" s="158">
        <v>1068.11197361538</v>
      </c>
      <c r="AH531" s="175"/>
      <c r="AI531" s="175"/>
      <c r="AJ531" s="156" t="s">
        <v>186</v>
      </c>
      <c r="AK531" s="140" t="s">
        <v>186</v>
      </c>
      <c r="AM531" s="152"/>
    </row>
    <row r="532" s="140" customFormat="1" ht="15" hidden="1" customHeight="1" spans="1:39">
      <c r="A532" s="140">
        <v>2017</v>
      </c>
      <c r="B532" s="140" t="s">
        <v>199</v>
      </c>
      <c r="C532" s="140" t="s">
        <v>75</v>
      </c>
      <c r="D532" s="140" t="s">
        <v>256</v>
      </c>
      <c r="E532" s="140" t="s">
        <v>175</v>
      </c>
      <c r="F532" s="140" t="s">
        <v>696</v>
      </c>
      <c r="G532" s="140" t="s">
        <v>697</v>
      </c>
      <c r="H532" s="140" t="s">
        <v>698</v>
      </c>
      <c r="I532" s="184" t="s">
        <v>204</v>
      </c>
      <c r="J532" s="140" t="s">
        <v>577</v>
      </c>
      <c r="K532" s="140" t="s">
        <v>578</v>
      </c>
      <c r="L532" s="140" t="s">
        <v>696</v>
      </c>
      <c r="M532" s="140" t="s">
        <v>46</v>
      </c>
      <c r="N532" s="157">
        <v>0.02</v>
      </c>
      <c r="O532" s="156" t="s">
        <v>51</v>
      </c>
      <c r="P532" s="156"/>
      <c r="Q532" s="158">
        <v>0</v>
      </c>
      <c r="R532" s="158">
        <v>0</v>
      </c>
      <c r="S532" s="158">
        <v>96521.45</v>
      </c>
      <c r="T532" s="158">
        <f t="shared" si="97"/>
        <v>1930.429</v>
      </c>
      <c r="U532" s="158">
        <f t="shared" si="101"/>
        <v>98451.879</v>
      </c>
      <c r="V532" s="158">
        <v>112200</v>
      </c>
      <c r="W532" s="158">
        <f t="shared" si="102"/>
        <v>-13748.121</v>
      </c>
      <c r="X532" s="158">
        <f t="shared" si="98"/>
        <v>-13478.55</v>
      </c>
      <c r="Y532" s="158">
        <f t="shared" si="103"/>
        <v>-269.571</v>
      </c>
      <c r="Z532" s="158">
        <v>98451.88</v>
      </c>
      <c r="AA532" s="158">
        <f t="shared" si="99"/>
        <v>13748.12</v>
      </c>
      <c r="AB532" s="167">
        <f t="shared" si="104"/>
        <v>96521.4509803922</v>
      </c>
      <c r="AC532" s="168">
        <f t="shared" si="100"/>
        <v>1930.42901960785</v>
      </c>
      <c r="AD532" s="158">
        <f t="shared" si="105"/>
        <v>96510.148135322</v>
      </c>
      <c r="AE532" s="159">
        <v>0.1077</v>
      </c>
      <c r="AF532" s="158">
        <f t="shared" si="94"/>
        <v>10394.1429541742</v>
      </c>
      <c r="AG532" s="158">
        <v>8672.83845639215</v>
      </c>
      <c r="AH532" s="175"/>
      <c r="AI532" s="175"/>
      <c r="AJ532" s="156" t="s">
        <v>173</v>
      </c>
      <c r="AK532" s="140" t="s">
        <v>173</v>
      </c>
      <c r="AM532" s="152"/>
    </row>
    <row r="533" s="140" customFormat="1" ht="15" hidden="1" customHeight="1" spans="1:39">
      <c r="A533" s="140">
        <v>2017</v>
      </c>
      <c r="B533" s="140" t="s">
        <v>199</v>
      </c>
      <c r="C533" s="140" t="s">
        <v>75</v>
      </c>
      <c r="D533" s="140" t="s">
        <v>256</v>
      </c>
      <c r="E533" s="140" t="s">
        <v>175</v>
      </c>
      <c r="F533" s="140" t="s">
        <v>696</v>
      </c>
      <c r="G533" s="140" t="s">
        <v>697</v>
      </c>
      <c r="H533" s="140" t="s">
        <v>698</v>
      </c>
      <c r="I533" s="184" t="s">
        <v>204</v>
      </c>
      <c r="J533" s="140" t="s">
        <v>577</v>
      </c>
      <c r="K533" s="140" t="s">
        <v>578</v>
      </c>
      <c r="L533" s="140" t="s">
        <v>696</v>
      </c>
      <c r="M533" s="140" t="s">
        <v>185</v>
      </c>
      <c r="N533" s="157">
        <v>0.08</v>
      </c>
      <c r="O533" s="156" t="s">
        <v>51</v>
      </c>
      <c r="P533" s="156"/>
      <c r="Q533" s="158">
        <v>0</v>
      </c>
      <c r="R533" s="158">
        <v>0</v>
      </c>
      <c r="S533" s="158">
        <v>1570.1</v>
      </c>
      <c r="T533" s="158">
        <f t="shared" si="97"/>
        <v>125.608</v>
      </c>
      <c r="U533" s="158">
        <f t="shared" si="101"/>
        <v>1695.708</v>
      </c>
      <c r="V533" s="158">
        <v>0</v>
      </c>
      <c r="W533" s="158">
        <f t="shared" si="102"/>
        <v>1695.708</v>
      </c>
      <c r="X533" s="158">
        <f t="shared" si="98"/>
        <v>1570.1</v>
      </c>
      <c r="Y533" s="158">
        <f t="shared" si="103"/>
        <v>125.608</v>
      </c>
      <c r="Z533" s="158">
        <v>1601.5</v>
      </c>
      <c r="AA533" s="158">
        <f t="shared" si="99"/>
        <v>-1601.5</v>
      </c>
      <c r="AB533" s="167">
        <f t="shared" si="104"/>
        <v>1482.87037037037</v>
      </c>
      <c r="AC533" s="168">
        <f t="shared" si="100"/>
        <v>118.62962962963</v>
      </c>
      <c r="AD533" s="158">
        <f t="shared" si="105"/>
        <v>1569.91417775586</v>
      </c>
      <c r="AE533" s="159">
        <v>0.3156</v>
      </c>
      <c r="AF533" s="158">
        <f t="shared" si="94"/>
        <v>495.464914499748</v>
      </c>
      <c r="AG533" s="158">
        <v>386.80377037037</v>
      </c>
      <c r="AH533" s="175"/>
      <c r="AI533" s="175"/>
      <c r="AJ533" s="156" t="s">
        <v>53</v>
      </c>
      <c r="AK533" s="140" t="s">
        <v>53</v>
      </c>
      <c r="AM533" s="152"/>
    </row>
    <row r="534" s="140" customFormat="1" ht="15" hidden="1" customHeight="1" spans="1:39">
      <c r="A534" s="140">
        <v>2017</v>
      </c>
      <c r="B534" s="140" t="s">
        <v>38</v>
      </c>
      <c r="C534" s="140" t="s">
        <v>75</v>
      </c>
      <c r="D534" s="140" t="s">
        <v>256</v>
      </c>
      <c r="E534" s="140" t="s">
        <v>304</v>
      </c>
      <c r="F534" s="140" t="s">
        <v>145</v>
      </c>
      <c r="G534" s="140" t="s">
        <v>145</v>
      </c>
      <c r="H534" s="140" t="s">
        <v>145</v>
      </c>
      <c r="I534" s="184" t="s">
        <v>204</v>
      </c>
      <c r="J534" s="140" t="s">
        <v>577</v>
      </c>
      <c r="K534" s="140" t="s">
        <v>578</v>
      </c>
      <c r="L534" s="140" t="s">
        <v>145</v>
      </c>
      <c r="M534" s="140" t="s">
        <v>46</v>
      </c>
      <c r="N534" s="157">
        <v>0.02</v>
      </c>
      <c r="O534" s="156" t="s">
        <v>51</v>
      </c>
      <c r="P534" s="156"/>
      <c r="Q534" s="158">
        <v>11378.86624</v>
      </c>
      <c r="R534" s="158">
        <v>0</v>
      </c>
      <c r="S534" s="158">
        <v>230000</v>
      </c>
      <c r="T534" s="158">
        <f t="shared" si="97"/>
        <v>4600</v>
      </c>
      <c r="U534" s="158">
        <f t="shared" si="101"/>
        <v>234600</v>
      </c>
      <c r="V534" s="158">
        <v>337400</v>
      </c>
      <c r="W534" s="158">
        <f t="shared" si="102"/>
        <v>-102800</v>
      </c>
      <c r="X534" s="158">
        <f t="shared" si="98"/>
        <v>-100784.31372549</v>
      </c>
      <c r="Y534" s="158">
        <f t="shared" si="103"/>
        <v>-2015.6862745098</v>
      </c>
      <c r="Z534" s="158">
        <v>306257.03</v>
      </c>
      <c r="AA534" s="158">
        <f t="shared" si="99"/>
        <v>42521.83624</v>
      </c>
      <c r="AB534" s="167">
        <f>IF(O534="返货",(Z534-Q534)/(1+N534),IF(O534="返现",(Z534-Q534),IF(O534="折扣",(Z534-Q534)*N534,IF(O534="无",(Z534-Q534)))))</f>
        <v>289096.238980392</v>
      </c>
      <c r="AC534" s="168">
        <f t="shared" si="100"/>
        <v>17160.7910196079</v>
      </c>
      <c r="AD534" s="158">
        <f t="shared" si="105"/>
        <v>300216.830118265</v>
      </c>
      <c r="AE534" s="159">
        <v>0.1077</v>
      </c>
      <c r="AF534" s="158">
        <f t="shared" si="94"/>
        <v>32333.3526037371</v>
      </c>
      <c r="AG534" s="158">
        <v>26978.8423270784</v>
      </c>
      <c r="AH534" s="175"/>
      <c r="AI534" s="175"/>
      <c r="AJ534" s="156" t="s">
        <v>173</v>
      </c>
      <c r="AK534" s="140" t="s">
        <v>173</v>
      </c>
      <c r="AM534" s="152"/>
    </row>
    <row r="535" s="140" customFormat="1" ht="15" hidden="1" customHeight="1" spans="1:39">
      <c r="A535" s="140">
        <v>2017</v>
      </c>
      <c r="B535" s="140" t="s">
        <v>38</v>
      </c>
      <c r="C535" s="140" t="s">
        <v>75</v>
      </c>
      <c r="D535" s="140" t="s">
        <v>256</v>
      </c>
      <c r="E535" s="140" t="s">
        <v>304</v>
      </c>
      <c r="F535" s="140" t="s">
        <v>145</v>
      </c>
      <c r="G535" s="140" t="s">
        <v>145</v>
      </c>
      <c r="H535" s="140" t="s">
        <v>145</v>
      </c>
      <c r="I535" s="184" t="s">
        <v>204</v>
      </c>
      <c r="J535" s="140" t="s">
        <v>577</v>
      </c>
      <c r="K535" s="140" t="s">
        <v>578</v>
      </c>
      <c r="L535" s="140" t="s">
        <v>145</v>
      </c>
      <c r="M535" s="140" t="s">
        <v>185</v>
      </c>
      <c r="N535" s="157">
        <v>0.08</v>
      </c>
      <c r="O535" s="156" t="s">
        <v>51</v>
      </c>
      <c r="P535" s="156"/>
      <c r="Q535" s="158">
        <v>0</v>
      </c>
      <c r="R535" s="158">
        <v>0</v>
      </c>
      <c r="S535" s="158">
        <v>0</v>
      </c>
      <c r="T535" s="158">
        <f t="shared" si="97"/>
        <v>0</v>
      </c>
      <c r="U535" s="158">
        <f t="shared" si="101"/>
        <v>0</v>
      </c>
      <c r="V535" s="158">
        <v>0</v>
      </c>
      <c r="W535" s="158">
        <f t="shared" si="102"/>
        <v>0</v>
      </c>
      <c r="X535" s="158">
        <f t="shared" si="98"/>
        <v>0</v>
      </c>
      <c r="Y535" s="158">
        <f t="shared" si="103"/>
        <v>0</v>
      </c>
      <c r="Z535" s="158">
        <v>0</v>
      </c>
      <c r="AA535" s="158">
        <f t="shared" si="99"/>
        <v>0</v>
      </c>
      <c r="AB535" s="167">
        <f>IF(O535="返货",Z535/(1+N535),IF(O535="返现",Z535,IF(O535="折扣",Z535*N535,IF(O535="无",Z535))))</f>
        <v>0</v>
      </c>
      <c r="AC535" s="168">
        <f t="shared" si="100"/>
        <v>0</v>
      </c>
      <c r="AD535" s="158">
        <f t="shared" si="105"/>
        <v>0</v>
      </c>
      <c r="AE535" s="159">
        <v>0.3156</v>
      </c>
      <c r="AF535" s="158">
        <f t="shared" si="94"/>
        <v>0</v>
      </c>
      <c r="AG535" s="158">
        <v>0</v>
      </c>
      <c r="AH535" s="175"/>
      <c r="AI535" s="175"/>
      <c r="AJ535" s="156" t="s">
        <v>53</v>
      </c>
      <c r="AK535" s="140" t="s">
        <v>53</v>
      </c>
      <c r="AM535" s="152"/>
    </row>
    <row r="536" s="140" customFormat="1" ht="15" hidden="1" customHeight="1" spans="1:39">
      <c r="A536" s="140">
        <v>2017</v>
      </c>
      <c r="B536" s="140" t="s">
        <v>38</v>
      </c>
      <c r="C536" s="140" t="s">
        <v>75</v>
      </c>
      <c r="D536" s="140" t="s">
        <v>256</v>
      </c>
      <c r="E536" s="140" t="s">
        <v>118</v>
      </c>
      <c r="F536" s="140" t="s">
        <v>699</v>
      </c>
      <c r="G536" s="140" t="s">
        <v>699</v>
      </c>
      <c r="H536" s="140" t="s">
        <v>699</v>
      </c>
      <c r="I536" s="184" t="s">
        <v>204</v>
      </c>
      <c r="J536" s="140" t="s">
        <v>577</v>
      </c>
      <c r="K536" s="140" t="s">
        <v>578</v>
      </c>
      <c r="L536" s="140" t="s">
        <v>700</v>
      </c>
      <c r="M536" s="140" t="s">
        <v>46</v>
      </c>
      <c r="N536" s="157">
        <v>0.05</v>
      </c>
      <c r="O536" s="156" t="s">
        <v>51</v>
      </c>
      <c r="P536" s="156" t="s">
        <v>15</v>
      </c>
      <c r="Q536" s="158">
        <v>0</v>
      </c>
      <c r="R536" s="158">
        <v>0</v>
      </c>
      <c r="S536" s="158">
        <v>1220570.64</v>
      </c>
      <c r="T536" s="158">
        <f t="shared" si="97"/>
        <v>61028.532</v>
      </c>
      <c r="U536" s="158">
        <f t="shared" si="101"/>
        <v>1281599.172</v>
      </c>
      <c r="V536" s="158">
        <v>1342481.32</v>
      </c>
      <c r="W536" s="158">
        <f t="shared" si="102"/>
        <v>-60882.1480000003</v>
      </c>
      <c r="X536" s="158">
        <f t="shared" si="98"/>
        <v>-57982.9980952384</v>
      </c>
      <c r="Y536" s="158">
        <f t="shared" si="103"/>
        <v>-2899.14990476192</v>
      </c>
      <c r="Z536" s="158">
        <v>1220570.65</v>
      </c>
      <c r="AA536" s="158">
        <f t="shared" si="99"/>
        <v>121910.67</v>
      </c>
      <c r="AB536" s="167">
        <f>IF(O536="返货",(Z536-5268.09)/(1+N536),IF(O536="返现",Z536,IF(O536="折扣",Z536*N536,IF(O536="无",Z536))))</f>
        <v>1157431.00952381</v>
      </c>
      <c r="AC536" s="168">
        <f t="shared" si="100"/>
        <v>63139.6404761905</v>
      </c>
      <c r="AD536" s="158">
        <f t="shared" si="105"/>
        <v>1196497.76358894</v>
      </c>
      <c r="AE536" s="159">
        <v>0.1077</v>
      </c>
      <c r="AF536" s="158">
        <f t="shared" si="94"/>
        <v>128862.809138528</v>
      </c>
      <c r="AG536" s="158">
        <v>69322.568350238</v>
      </c>
      <c r="AH536" s="175"/>
      <c r="AI536" s="175"/>
      <c r="AJ536" s="157">
        <v>0.05</v>
      </c>
      <c r="AK536" s="140" t="s">
        <v>63</v>
      </c>
      <c r="AM536" s="152"/>
    </row>
    <row r="537" s="140" customFormat="1" ht="15" hidden="1" customHeight="1" spans="1:39">
      <c r="A537" s="140">
        <v>2017</v>
      </c>
      <c r="B537" s="140" t="s">
        <v>38</v>
      </c>
      <c r="C537" s="140" t="s">
        <v>75</v>
      </c>
      <c r="D537" s="140" t="s">
        <v>256</v>
      </c>
      <c r="E537" s="140" t="s">
        <v>118</v>
      </c>
      <c r="F537" s="140" t="s">
        <v>699</v>
      </c>
      <c r="G537" s="140" t="s">
        <v>699</v>
      </c>
      <c r="H537" s="140" t="s">
        <v>699</v>
      </c>
      <c r="I537" s="184" t="s">
        <v>204</v>
      </c>
      <c r="J537" s="140" t="s">
        <v>577</v>
      </c>
      <c r="K537" s="140" t="s">
        <v>578</v>
      </c>
      <c r="L537" s="140" t="s">
        <v>700</v>
      </c>
      <c r="M537" s="140" t="s">
        <v>185</v>
      </c>
      <c r="N537" s="157">
        <v>0.15</v>
      </c>
      <c r="O537" s="156" t="s">
        <v>495</v>
      </c>
      <c r="P537" s="156"/>
      <c r="Q537" s="158">
        <v>0</v>
      </c>
      <c r="R537" s="158">
        <v>0</v>
      </c>
      <c r="S537" s="158">
        <v>177328.53</v>
      </c>
      <c r="T537" s="158">
        <f t="shared" si="97"/>
        <v>26599.2795</v>
      </c>
      <c r="U537" s="158">
        <f t="shared" si="101"/>
        <v>203927.8095</v>
      </c>
      <c r="V537" s="158">
        <v>0</v>
      </c>
      <c r="W537" s="158">
        <f t="shared" si="102"/>
        <v>203927.8095</v>
      </c>
      <c r="X537" s="158">
        <f t="shared" si="98"/>
        <v>177328.53</v>
      </c>
      <c r="Y537" s="158">
        <f t="shared" si="103"/>
        <v>26599.2795</v>
      </c>
      <c r="Z537" s="158">
        <v>177328.55</v>
      </c>
      <c r="AA537" s="158">
        <f t="shared" si="99"/>
        <v>-177328.55</v>
      </c>
      <c r="AB537" s="167">
        <f>IF(O537="返货",Z537/(1+N537),IF(O537="返现",Z537,IF(O537="折扣",Z537*N537,IF(O537="无",Z537))))</f>
        <v>177328.55</v>
      </c>
      <c r="AC537" s="168">
        <f t="shared" si="100"/>
        <v>26599.2825</v>
      </c>
      <c r="AD537" s="158">
        <f t="shared" si="105"/>
        <v>173831.161264994</v>
      </c>
      <c r="AE537" s="159">
        <v>0.3156</v>
      </c>
      <c r="AF537" s="158">
        <f t="shared" si="94"/>
        <v>54861.1144952322</v>
      </c>
      <c r="AG537" s="158">
        <v>32835.0795104348</v>
      </c>
      <c r="AH537" s="175"/>
      <c r="AI537" s="175"/>
      <c r="AJ537" s="157">
        <v>0.15</v>
      </c>
      <c r="AK537" s="177">
        <v>0.15</v>
      </c>
      <c r="AM537" s="152"/>
    </row>
    <row r="538" s="140" customFormat="1" ht="15" hidden="1" customHeight="1" spans="1:39">
      <c r="A538" s="140">
        <v>2017</v>
      </c>
      <c r="B538" s="140" t="s">
        <v>38</v>
      </c>
      <c r="C538" s="140" t="s">
        <v>75</v>
      </c>
      <c r="D538" s="140" t="s">
        <v>256</v>
      </c>
      <c r="E538" s="140" t="s">
        <v>321</v>
      </c>
      <c r="F538" s="140" t="s">
        <v>701</v>
      </c>
      <c r="G538" s="140" t="s">
        <v>701</v>
      </c>
      <c r="H538" s="140" t="s">
        <v>701</v>
      </c>
      <c r="I538" s="184" t="s">
        <v>204</v>
      </c>
      <c r="J538" s="140" t="s">
        <v>577</v>
      </c>
      <c r="K538" s="140" t="s">
        <v>578</v>
      </c>
      <c r="L538" s="140" t="s">
        <v>702</v>
      </c>
      <c r="M538" s="140" t="s">
        <v>46</v>
      </c>
      <c r="N538" s="157">
        <v>0.02</v>
      </c>
      <c r="O538" s="156" t="s">
        <v>51</v>
      </c>
      <c r="P538" s="156"/>
      <c r="Q538" s="158">
        <v>169110.52</v>
      </c>
      <c r="R538" s="158">
        <v>0</v>
      </c>
      <c r="S538" s="158">
        <v>3361842.05</v>
      </c>
      <c r="T538" s="158">
        <f t="shared" si="97"/>
        <v>67236.841</v>
      </c>
      <c r="U538" s="158">
        <f t="shared" si="101"/>
        <v>3429078.891</v>
      </c>
      <c r="V538" s="158">
        <v>3863826.04</v>
      </c>
      <c r="W538" s="158">
        <f t="shared" si="102"/>
        <v>-434747.149</v>
      </c>
      <c r="X538" s="158">
        <f t="shared" si="98"/>
        <v>-426222.695098039</v>
      </c>
      <c r="Y538" s="158">
        <f t="shared" si="103"/>
        <v>-8524.45390196081</v>
      </c>
      <c r="Z538" s="158">
        <v>3598189.41</v>
      </c>
      <c r="AA538" s="158">
        <f t="shared" si="99"/>
        <v>434747.15</v>
      </c>
      <c r="AB538" s="167">
        <f>IF(O538="返货",(Z538-Q538)/(1+N538),IF(O538="返现",(Z538-Q538),IF(O538="折扣",(Z538-Q538)*N538,IF(O538="无",(Z538-Q538)))))</f>
        <v>3361842.04901961</v>
      </c>
      <c r="AC538" s="168">
        <f t="shared" si="100"/>
        <v>236347.360980392</v>
      </c>
      <c r="AD538" s="158">
        <f t="shared" si="105"/>
        <v>3527223.58352169</v>
      </c>
      <c r="AE538" s="159">
        <v>0.1077</v>
      </c>
      <c r="AF538" s="158">
        <f t="shared" si="94"/>
        <v>379881.979945286</v>
      </c>
      <c r="AG538" s="158">
        <v>316972.265927588</v>
      </c>
      <c r="AH538" s="175"/>
      <c r="AI538" s="175"/>
      <c r="AJ538" s="156" t="s">
        <v>173</v>
      </c>
      <c r="AK538" s="140" t="s">
        <v>173</v>
      </c>
      <c r="AM538" s="152"/>
    </row>
    <row r="539" s="140" customFormat="1" ht="15" hidden="1" customHeight="1" spans="1:39">
      <c r="A539" s="140">
        <v>2017</v>
      </c>
      <c r="B539" s="140" t="s">
        <v>38</v>
      </c>
      <c r="C539" s="140" t="s">
        <v>75</v>
      </c>
      <c r="D539" s="140" t="s">
        <v>256</v>
      </c>
      <c r="E539" s="140" t="s">
        <v>321</v>
      </c>
      <c r="F539" s="140" t="s">
        <v>701</v>
      </c>
      <c r="G539" s="140" t="s">
        <v>701</v>
      </c>
      <c r="H539" s="140" t="s">
        <v>701</v>
      </c>
      <c r="I539" s="184" t="s">
        <v>204</v>
      </c>
      <c r="J539" s="140" t="s">
        <v>577</v>
      </c>
      <c r="K539" s="140" t="s">
        <v>578</v>
      </c>
      <c r="L539" s="140" t="s">
        <v>702</v>
      </c>
      <c r="M539" s="140" t="s">
        <v>185</v>
      </c>
      <c r="N539" s="157">
        <v>0.08</v>
      </c>
      <c r="O539" s="156" t="s">
        <v>51</v>
      </c>
      <c r="P539" s="156"/>
      <c r="Q539" s="158">
        <v>134558.88</v>
      </c>
      <c r="R539" s="158">
        <v>0</v>
      </c>
      <c r="S539" s="158">
        <v>237940.33</v>
      </c>
      <c r="T539" s="158">
        <f t="shared" si="97"/>
        <v>19035.2264</v>
      </c>
      <c r="U539" s="158">
        <f t="shared" si="101"/>
        <v>256975.5564</v>
      </c>
      <c r="V539" s="158">
        <v>0</v>
      </c>
      <c r="W539" s="158">
        <f t="shared" si="102"/>
        <v>256975.5564</v>
      </c>
      <c r="X539" s="158">
        <f t="shared" si="98"/>
        <v>237940.33</v>
      </c>
      <c r="Y539" s="158">
        <f t="shared" si="103"/>
        <v>19035.2264</v>
      </c>
      <c r="Z539" s="158">
        <v>389197.18</v>
      </c>
      <c r="AA539" s="158">
        <f t="shared" si="99"/>
        <v>-254638.3</v>
      </c>
      <c r="AB539" s="167">
        <f>IF(O539="返货",(Z539-Q539)/(1+N539),IF(O539="返现",(Z539-Q539),IF(O539="折扣",(Z539-Q539)*N539,IF(O539="无",(Z539-Q539)))))</f>
        <v>235776.203703704</v>
      </c>
      <c r="AC539" s="168">
        <f t="shared" si="100"/>
        <v>153420.976296296</v>
      </c>
      <c r="AD539" s="158">
        <f t="shared" si="105"/>
        <v>381521.180658506</v>
      </c>
      <c r="AE539" s="159">
        <v>0.3156</v>
      </c>
      <c r="AF539" s="158">
        <f t="shared" si="94"/>
        <v>120408.084615825</v>
      </c>
      <c r="AG539" s="158">
        <v>94001.2092672592</v>
      </c>
      <c r="AH539" s="175"/>
      <c r="AI539" s="175"/>
      <c r="AJ539" s="156" t="s">
        <v>53</v>
      </c>
      <c r="AK539" s="140" t="s">
        <v>53</v>
      </c>
      <c r="AM539" s="152"/>
    </row>
    <row r="540" s="140" customFormat="1" ht="15" hidden="1" customHeight="1" spans="1:39">
      <c r="A540" s="140">
        <v>2017</v>
      </c>
      <c r="B540" s="140" t="s">
        <v>38</v>
      </c>
      <c r="C540" s="140" t="s">
        <v>75</v>
      </c>
      <c r="D540" s="140" t="s">
        <v>256</v>
      </c>
      <c r="E540" s="140" t="s">
        <v>321</v>
      </c>
      <c r="F540" s="140" t="s">
        <v>451</v>
      </c>
      <c r="G540" s="140" t="s">
        <v>451</v>
      </c>
      <c r="H540" s="140" t="s">
        <v>451</v>
      </c>
      <c r="I540" s="184" t="s">
        <v>204</v>
      </c>
      <c r="J540" s="140" t="s">
        <v>577</v>
      </c>
      <c r="K540" s="140" t="s">
        <v>578</v>
      </c>
      <c r="L540" s="140" t="s">
        <v>451</v>
      </c>
      <c r="M540" s="140" t="s">
        <v>46</v>
      </c>
      <c r="N540" s="157">
        <v>0.02</v>
      </c>
      <c r="O540" s="156" t="s">
        <v>51</v>
      </c>
      <c r="P540" s="156"/>
      <c r="Q540" s="158">
        <v>0</v>
      </c>
      <c r="R540" s="158">
        <v>0</v>
      </c>
      <c r="S540" s="158">
        <v>3130.88</v>
      </c>
      <c r="T540" s="158">
        <f t="shared" si="97"/>
        <v>62.6176</v>
      </c>
      <c r="U540" s="158">
        <f t="shared" si="101"/>
        <v>3193.4976</v>
      </c>
      <c r="V540" s="158">
        <v>10200</v>
      </c>
      <c r="W540" s="158">
        <f t="shared" si="102"/>
        <v>-7006.5024</v>
      </c>
      <c r="X540" s="158">
        <f t="shared" si="98"/>
        <v>-6869.12</v>
      </c>
      <c r="Y540" s="158">
        <f t="shared" si="103"/>
        <v>-137.3824</v>
      </c>
      <c r="Z540" s="158">
        <v>3193.5</v>
      </c>
      <c r="AA540" s="158">
        <f t="shared" si="99"/>
        <v>7006.5</v>
      </c>
      <c r="AB540" s="167">
        <f t="shared" ref="AB540:AB545" si="106">IF(O540="返货",Z540/(1+N540),IF(O540="返现",Z540,IF(O540="折扣",Z540*N540,IF(O540="无",Z540))))</f>
        <v>3130.88235294118</v>
      </c>
      <c r="AC540" s="168">
        <f t="shared" si="100"/>
        <v>62.6176470588234</v>
      </c>
      <c r="AD540" s="158">
        <f t="shared" si="105"/>
        <v>3130.51572067645</v>
      </c>
      <c r="AE540" s="159">
        <v>0.1077</v>
      </c>
      <c r="AF540" s="158">
        <f t="shared" si="94"/>
        <v>337.156543116853</v>
      </c>
      <c r="AG540" s="158">
        <v>281.322302941177</v>
      </c>
      <c r="AH540" s="175"/>
      <c r="AI540" s="175"/>
      <c r="AJ540" s="156" t="s">
        <v>173</v>
      </c>
      <c r="AK540" s="140" t="s">
        <v>173</v>
      </c>
      <c r="AM540" s="152"/>
    </row>
    <row r="541" s="140" customFormat="1" ht="15" hidden="1" customHeight="1" spans="1:39">
      <c r="A541" s="140">
        <v>2017</v>
      </c>
      <c r="B541" s="140" t="s">
        <v>38</v>
      </c>
      <c r="C541" s="140" t="s">
        <v>75</v>
      </c>
      <c r="D541" s="140" t="s">
        <v>256</v>
      </c>
      <c r="E541" s="140" t="s">
        <v>321</v>
      </c>
      <c r="F541" s="140" t="s">
        <v>451</v>
      </c>
      <c r="G541" s="140" t="s">
        <v>451</v>
      </c>
      <c r="H541" s="140" t="s">
        <v>451</v>
      </c>
      <c r="I541" s="184" t="s">
        <v>204</v>
      </c>
      <c r="J541" s="140" t="s">
        <v>577</v>
      </c>
      <c r="K541" s="140" t="s">
        <v>578</v>
      </c>
      <c r="L541" s="140" t="s">
        <v>451</v>
      </c>
      <c r="M541" s="140" t="s">
        <v>185</v>
      </c>
      <c r="N541" s="157">
        <v>0.08</v>
      </c>
      <c r="O541" s="156" t="s">
        <v>51</v>
      </c>
      <c r="P541" s="156"/>
      <c r="Q541" s="158">
        <v>0</v>
      </c>
      <c r="R541" s="158">
        <v>0</v>
      </c>
      <c r="S541" s="158">
        <v>682.71</v>
      </c>
      <c r="T541" s="158">
        <f t="shared" si="97"/>
        <v>54.6168</v>
      </c>
      <c r="U541" s="158">
        <f t="shared" si="101"/>
        <v>737.3268</v>
      </c>
      <c r="V541" s="158">
        <v>0</v>
      </c>
      <c r="W541" s="158">
        <f t="shared" si="102"/>
        <v>737.3268</v>
      </c>
      <c r="X541" s="158">
        <f t="shared" si="98"/>
        <v>682.71</v>
      </c>
      <c r="Y541" s="158">
        <f t="shared" si="103"/>
        <v>54.6168</v>
      </c>
      <c r="Z541" s="158">
        <v>696.36</v>
      </c>
      <c r="AA541" s="158">
        <f t="shared" si="99"/>
        <v>-696.36</v>
      </c>
      <c r="AB541" s="167">
        <f t="shared" si="106"/>
        <v>644.777777777778</v>
      </c>
      <c r="AC541" s="168">
        <f t="shared" si="100"/>
        <v>51.5822222222223</v>
      </c>
      <c r="AD541" s="158">
        <f t="shared" si="105"/>
        <v>682.625936198606</v>
      </c>
      <c r="AE541" s="159">
        <v>0.3156</v>
      </c>
      <c r="AF541" s="158">
        <f t="shared" si="94"/>
        <v>215.43674546428</v>
      </c>
      <c r="AG541" s="158">
        <v>168.188993777778</v>
      </c>
      <c r="AH541" s="175"/>
      <c r="AI541" s="175"/>
      <c r="AJ541" s="156" t="s">
        <v>53</v>
      </c>
      <c r="AK541" s="140" t="s">
        <v>53</v>
      </c>
      <c r="AM541" s="152"/>
    </row>
    <row r="542" s="140" customFormat="1" ht="15" customHeight="1" spans="1:39">
      <c r="A542" s="140">
        <v>2017</v>
      </c>
      <c r="B542" s="140" t="s">
        <v>38</v>
      </c>
      <c r="C542" s="140" t="s">
        <v>75</v>
      </c>
      <c r="D542" s="140" t="s">
        <v>256</v>
      </c>
      <c r="E542" s="140" t="s">
        <v>321</v>
      </c>
      <c r="F542" s="140" t="s">
        <v>323</v>
      </c>
      <c r="G542" s="140" t="s">
        <v>703</v>
      </c>
      <c r="H542" s="140" t="s">
        <v>703</v>
      </c>
      <c r="I542" s="184" t="s">
        <v>204</v>
      </c>
      <c r="J542" s="140" t="s">
        <v>577</v>
      </c>
      <c r="K542" s="140" t="s">
        <v>578</v>
      </c>
      <c r="L542" s="140" t="s">
        <v>323</v>
      </c>
      <c r="M542" s="140" t="s">
        <v>46</v>
      </c>
      <c r="N542" s="157">
        <v>0.02</v>
      </c>
      <c r="O542" s="156" t="s">
        <v>51</v>
      </c>
      <c r="P542" s="156"/>
      <c r="Q542" s="158">
        <v>0</v>
      </c>
      <c r="R542" s="158">
        <v>0</v>
      </c>
      <c r="S542" s="158">
        <v>323130.54</v>
      </c>
      <c r="T542" s="158">
        <f t="shared" si="97"/>
        <v>6462.6108</v>
      </c>
      <c r="U542" s="158">
        <f t="shared" si="101"/>
        <v>329593.1508</v>
      </c>
      <c r="V542" s="158">
        <v>357000</v>
      </c>
      <c r="W542" s="158">
        <f t="shared" si="102"/>
        <v>-27406.8492</v>
      </c>
      <c r="X542" s="158">
        <f t="shared" si="98"/>
        <v>-26869.46</v>
      </c>
      <c r="Y542" s="158">
        <f t="shared" si="103"/>
        <v>-537.389200000001</v>
      </c>
      <c r="Z542" s="158">
        <v>329593.15</v>
      </c>
      <c r="AA542" s="158">
        <f t="shared" si="99"/>
        <v>27406.85</v>
      </c>
      <c r="AB542" s="167">
        <f t="shared" si="106"/>
        <v>323130.539215686</v>
      </c>
      <c r="AC542" s="168">
        <f t="shared" si="100"/>
        <v>6462.61078431376</v>
      </c>
      <c r="AD542" s="158">
        <f t="shared" si="105"/>
        <v>323092.700016368</v>
      </c>
      <c r="AE542" s="159">
        <v>0.1077</v>
      </c>
      <c r="AF542" s="158">
        <f t="shared" si="94"/>
        <v>34797.0837917628</v>
      </c>
      <c r="AG542" s="158">
        <v>29034.5714706862</v>
      </c>
      <c r="AH542" s="175"/>
      <c r="AI542" s="175"/>
      <c r="AJ542" s="157">
        <v>0.02</v>
      </c>
      <c r="AK542" s="140" t="s">
        <v>173</v>
      </c>
      <c r="AM542" s="152"/>
    </row>
    <row r="543" s="140" customFormat="1" ht="15" customHeight="1" spans="1:39">
      <c r="A543" s="140">
        <v>2017</v>
      </c>
      <c r="B543" s="140" t="s">
        <v>38</v>
      </c>
      <c r="C543" s="140" t="s">
        <v>75</v>
      </c>
      <c r="D543" s="140" t="s">
        <v>256</v>
      </c>
      <c r="E543" s="140" t="s">
        <v>321</v>
      </c>
      <c r="F543" s="140" t="s">
        <v>323</v>
      </c>
      <c r="G543" s="140" t="s">
        <v>703</v>
      </c>
      <c r="H543" s="140" t="s">
        <v>703</v>
      </c>
      <c r="I543" s="184" t="s">
        <v>204</v>
      </c>
      <c r="J543" s="140" t="s">
        <v>577</v>
      </c>
      <c r="K543" s="140" t="s">
        <v>578</v>
      </c>
      <c r="L543" s="140" t="s">
        <v>323</v>
      </c>
      <c r="M543" s="140" t="s">
        <v>160</v>
      </c>
      <c r="N543" s="156">
        <v>0</v>
      </c>
      <c r="O543" s="156" t="s">
        <v>47</v>
      </c>
      <c r="P543" s="156"/>
      <c r="Q543" s="158">
        <v>0</v>
      </c>
      <c r="R543" s="158">
        <v>0</v>
      </c>
      <c r="S543" s="158">
        <v>50000</v>
      </c>
      <c r="T543" s="158">
        <f t="shared" si="97"/>
        <v>0</v>
      </c>
      <c r="U543" s="158">
        <f t="shared" si="101"/>
        <v>50000</v>
      </c>
      <c r="V543" s="158">
        <v>50000</v>
      </c>
      <c r="W543" s="158">
        <f t="shared" si="102"/>
        <v>0</v>
      </c>
      <c r="X543" s="158">
        <f t="shared" si="98"/>
        <v>0</v>
      </c>
      <c r="Y543" s="158">
        <f t="shared" si="103"/>
        <v>0</v>
      </c>
      <c r="Z543" s="158">
        <v>50000</v>
      </c>
      <c r="AA543" s="158">
        <f t="shared" si="99"/>
        <v>0</v>
      </c>
      <c r="AB543" s="167">
        <f t="shared" si="106"/>
        <v>50000</v>
      </c>
      <c r="AC543" s="168">
        <f t="shared" si="100"/>
        <v>0</v>
      </c>
      <c r="AD543" s="158">
        <f t="shared" si="105"/>
        <v>49013.8675540386</v>
      </c>
      <c r="AE543" s="159">
        <v>0.1077</v>
      </c>
      <c r="AF543" s="158">
        <f t="shared" si="94"/>
        <v>5278.79353556996</v>
      </c>
      <c r="AG543" s="158">
        <v>5385</v>
      </c>
      <c r="AH543" s="175"/>
      <c r="AI543" s="175"/>
      <c r="AJ543" s="157">
        <v>0</v>
      </c>
      <c r="AK543" s="140" t="s">
        <v>47</v>
      </c>
      <c r="AM543" s="152"/>
    </row>
    <row r="544" s="140" customFormat="1" ht="15" hidden="1" customHeight="1" spans="1:39">
      <c r="A544" s="140">
        <v>2017</v>
      </c>
      <c r="B544" s="140" t="s">
        <v>38</v>
      </c>
      <c r="C544" s="140" t="s">
        <v>39</v>
      </c>
      <c r="D544" s="140" t="s">
        <v>81</v>
      </c>
      <c r="E544" s="140" t="s">
        <v>48</v>
      </c>
      <c r="F544" s="140" t="s">
        <v>455</v>
      </c>
      <c r="G544" s="140" t="s">
        <v>455</v>
      </c>
      <c r="H544" s="140" t="s">
        <v>455</v>
      </c>
      <c r="I544" s="184" t="s">
        <v>204</v>
      </c>
      <c r="J544" s="140" t="s">
        <v>577</v>
      </c>
      <c r="K544" s="140" t="s">
        <v>578</v>
      </c>
      <c r="L544" s="140" t="s">
        <v>704</v>
      </c>
      <c r="M544" s="140" t="s">
        <v>185</v>
      </c>
      <c r="N544" s="157">
        <v>0.04</v>
      </c>
      <c r="O544" s="156" t="s">
        <v>51</v>
      </c>
      <c r="P544" s="156"/>
      <c r="Q544" s="158">
        <v>0</v>
      </c>
      <c r="R544" s="158">
        <v>0</v>
      </c>
      <c r="S544" s="158">
        <v>261145</v>
      </c>
      <c r="T544" s="158">
        <f t="shared" si="97"/>
        <v>10445.8</v>
      </c>
      <c r="U544" s="158">
        <f t="shared" si="101"/>
        <v>271590.8</v>
      </c>
      <c r="V544" s="158">
        <v>0</v>
      </c>
      <c r="W544" s="158">
        <f t="shared" si="102"/>
        <v>271590.8</v>
      </c>
      <c r="X544" s="158">
        <f t="shared" si="98"/>
        <v>261145</v>
      </c>
      <c r="Y544" s="158">
        <f t="shared" si="103"/>
        <v>10445.8</v>
      </c>
      <c r="Z544" s="158">
        <v>278709.58</v>
      </c>
      <c r="AA544" s="158">
        <f t="shared" si="99"/>
        <v>-278709.58</v>
      </c>
      <c r="AB544" s="167">
        <f t="shared" si="106"/>
        <v>267989.980769231</v>
      </c>
      <c r="AC544" s="168">
        <f t="shared" si="100"/>
        <v>10719.5992307693</v>
      </c>
      <c r="AD544" s="158">
        <f t="shared" si="105"/>
        <v>273212.688803235</v>
      </c>
      <c r="AE544" s="159">
        <v>0.3156</v>
      </c>
      <c r="AF544" s="158">
        <f t="shared" si="94"/>
        <v>86225.9245863008</v>
      </c>
      <c r="AG544" s="158">
        <v>77241.1442172307</v>
      </c>
      <c r="AH544" s="175"/>
      <c r="AI544" s="175"/>
      <c r="AJ544" s="156" t="s">
        <v>186</v>
      </c>
      <c r="AK544" s="140" t="s">
        <v>186</v>
      </c>
      <c r="AM544" s="152"/>
    </row>
    <row r="545" s="140" customFormat="1" ht="15" hidden="1" customHeight="1" spans="1:39">
      <c r="A545" s="140">
        <v>2017</v>
      </c>
      <c r="B545" s="140" t="s">
        <v>38</v>
      </c>
      <c r="C545" s="140" t="s">
        <v>39</v>
      </c>
      <c r="D545" s="140" t="s">
        <v>81</v>
      </c>
      <c r="E545" s="140" t="s">
        <v>48</v>
      </c>
      <c r="F545" s="140" t="s">
        <v>455</v>
      </c>
      <c r="G545" s="140" t="s">
        <v>455</v>
      </c>
      <c r="H545" s="140" t="s">
        <v>455</v>
      </c>
      <c r="I545" s="184" t="s">
        <v>204</v>
      </c>
      <c r="J545" s="140" t="s">
        <v>577</v>
      </c>
      <c r="K545" s="140" t="s">
        <v>578</v>
      </c>
      <c r="L545" s="140" t="s">
        <v>704</v>
      </c>
      <c r="M545" s="140" t="s">
        <v>46</v>
      </c>
      <c r="N545" s="157">
        <v>0.04</v>
      </c>
      <c r="O545" s="156" t="s">
        <v>51</v>
      </c>
      <c r="P545" s="156"/>
      <c r="Q545" s="158">
        <v>0</v>
      </c>
      <c r="R545" s="158">
        <v>0</v>
      </c>
      <c r="S545" s="158">
        <v>3804816.94</v>
      </c>
      <c r="T545" s="158">
        <f t="shared" si="97"/>
        <v>152192.6776</v>
      </c>
      <c r="U545" s="158">
        <f t="shared" si="101"/>
        <v>3957009.6176</v>
      </c>
      <c r="V545" s="158">
        <v>4235719.2</v>
      </c>
      <c r="W545" s="158">
        <f t="shared" si="102"/>
        <v>-278709.5824</v>
      </c>
      <c r="X545" s="158">
        <f t="shared" si="98"/>
        <v>-267989.983076923</v>
      </c>
      <c r="Y545" s="158">
        <f t="shared" si="103"/>
        <v>-10719.599323077</v>
      </c>
      <c r="Z545" s="158">
        <v>3957009.61</v>
      </c>
      <c r="AA545" s="158">
        <f t="shared" si="99"/>
        <v>278709.59</v>
      </c>
      <c r="AB545" s="167">
        <f t="shared" si="106"/>
        <v>3804816.93269231</v>
      </c>
      <c r="AC545" s="168">
        <f t="shared" si="100"/>
        <v>152192.677307692</v>
      </c>
      <c r="AD545" s="158">
        <f t="shared" si="105"/>
        <v>3878966.89869196</v>
      </c>
      <c r="AE545" s="159">
        <v>0.1077</v>
      </c>
      <c r="AF545" s="158">
        <f t="shared" si="94"/>
        <v>417764.734989124</v>
      </c>
      <c r="AG545" s="158">
        <v>273977.257689308</v>
      </c>
      <c r="AH545" s="175"/>
      <c r="AI545" s="175"/>
      <c r="AJ545" s="156" t="s">
        <v>186</v>
      </c>
      <c r="AK545" s="140" t="s">
        <v>186</v>
      </c>
      <c r="AM545" s="152"/>
    </row>
    <row r="546" s="140" customFormat="1" ht="15" hidden="1" customHeight="1" spans="1:39">
      <c r="A546" s="140">
        <v>2017</v>
      </c>
      <c r="B546" s="140" t="s">
        <v>38</v>
      </c>
      <c r="C546" s="140" t="s">
        <v>39</v>
      </c>
      <c r="D546" s="140" t="s">
        <v>81</v>
      </c>
      <c r="E546" s="140" t="s">
        <v>48</v>
      </c>
      <c r="F546" s="140" t="s">
        <v>456</v>
      </c>
      <c r="G546" s="140" t="s">
        <v>456</v>
      </c>
      <c r="H546" s="140" t="s">
        <v>456</v>
      </c>
      <c r="I546" s="184" t="s">
        <v>204</v>
      </c>
      <c r="J546" s="140" t="s">
        <v>577</v>
      </c>
      <c r="K546" s="140" t="s">
        <v>578</v>
      </c>
      <c r="L546" s="140" t="s">
        <v>456</v>
      </c>
      <c r="M546" s="140" t="s">
        <v>46</v>
      </c>
      <c r="N546" s="157">
        <v>0.02</v>
      </c>
      <c r="O546" s="156" t="s">
        <v>51</v>
      </c>
      <c r="P546" s="156"/>
      <c r="Q546" s="158">
        <v>40959.85</v>
      </c>
      <c r="R546" s="158">
        <v>0</v>
      </c>
      <c r="S546" s="158">
        <v>47799.51</v>
      </c>
      <c r="T546" s="158">
        <f t="shared" si="97"/>
        <v>955.9902</v>
      </c>
      <c r="U546" s="158">
        <f t="shared" si="101"/>
        <v>48755.5002</v>
      </c>
      <c r="V546" s="158">
        <v>47799.51</v>
      </c>
      <c r="W546" s="158">
        <f t="shared" si="102"/>
        <v>955.9902</v>
      </c>
      <c r="X546" s="158">
        <f t="shared" si="98"/>
        <v>937.245294117647</v>
      </c>
      <c r="Y546" s="158">
        <f t="shared" si="103"/>
        <v>18.744905882353</v>
      </c>
      <c r="Z546" s="158">
        <v>88771.96</v>
      </c>
      <c r="AA546" s="158">
        <f t="shared" si="99"/>
        <v>-12.6000000000058</v>
      </c>
      <c r="AB546" s="167">
        <f>IF(O546="返货",(Z546-Q546)/(1+N546),IF(O546="返现",(Z546-Q546),IF(O546="折扣",(Z546-Q546)*N546,IF(O546="无",(Z546-Q546)))))</f>
        <v>46874.6176470588</v>
      </c>
      <c r="AC546" s="168">
        <f t="shared" si="100"/>
        <v>41897.3423529412</v>
      </c>
      <c r="AD546" s="158">
        <f t="shared" si="105"/>
        <v>87021.1417990483</v>
      </c>
      <c r="AE546" s="159">
        <v>0.1077</v>
      </c>
      <c r="AF546" s="158">
        <f t="shared" si="94"/>
        <v>9372.1769717575</v>
      </c>
      <c r="AG546" s="158">
        <v>7820.11342533334</v>
      </c>
      <c r="AH546" s="175"/>
      <c r="AI546" s="175"/>
      <c r="AJ546" s="156" t="s">
        <v>173</v>
      </c>
      <c r="AK546" s="140" t="s">
        <v>173</v>
      </c>
      <c r="AM546" s="152"/>
    </row>
    <row r="547" s="140" customFormat="1" ht="15" hidden="1" customHeight="1" spans="1:39">
      <c r="A547" s="140">
        <v>2017</v>
      </c>
      <c r="B547" s="140" t="s">
        <v>38</v>
      </c>
      <c r="C547" s="140" t="s">
        <v>39</v>
      </c>
      <c r="D547" s="140" t="s">
        <v>81</v>
      </c>
      <c r="E547" s="140" t="s">
        <v>41</v>
      </c>
      <c r="F547" s="140" t="s">
        <v>705</v>
      </c>
      <c r="G547" s="140" t="s">
        <v>705</v>
      </c>
      <c r="H547" s="140" t="s">
        <v>705</v>
      </c>
      <c r="I547" s="184" t="s">
        <v>204</v>
      </c>
      <c r="J547" s="140" t="s">
        <v>577</v>
      </c>
      <c r="K547" s="140" t="s">
        <v>578</v>
      </c>
      <c r="L547" s="140" t="s">
        <v>705</v>
      </c>
      <c r="M547" s="140" t="s">
        <v>185</v>
      </c>
      <c r="N547" s="157">
        <v>0.02</v>
      </c>
      <c r="O547" s="156" t="s">
        <v>51</v>
      </c>
      <c r="P547" s="156"/>
      <c r="Q547" s="158">
        <v>0</v>
      </c>
      <c r="R547" s="158">
        <v>0</v>
      </c>
      <c r="S547" s="158">
        <v>10408.92</v>
      </c>
      <c r="T547" s="158">
        <f t="shared" si="97"/>
        <v>208.1784</v>
      </c>
      <c r="U547" s="158">
        <f t="shared" si="101"/>
        <v>10617.0984</v>
      </c>
      <c r="V547" s="158">
        <v>0</v>
      </c>
      <c r="W547" s="158">
        <f t="shared" si="102"/>
        <v>10617.0984</v>
      </c>
      <c r="X547" s="158">
        <f t="shared" si="98"/>
        <v>10408.92</v>
      </c>
      <c r="Y547" s="158">
        <f t="shared" si="103"/>
        <v>208.178400000001</v>
      </c>
      <c r="Z547" s="158">
        <v>10617.1</v>
      </c>
      <c r="AA547" s="158">
        <f t="shared" si="99"/>
        <v>-10617.1</v>
      </c>
      <c r="AB547" s="167">
        <f>IF(O547="返货",Z547/(1+N547),IF(O547="返现",Z547,IF(O547="折扣",Z547*N547,IF(O547="无",Z547))))</f>
        <v>10408.9215686275</v>
      </c>
      <c r="AC547" s="168">
        <f t="shared" si="100"/>
        <v>208.178431372549</v>
      </c>
      <c r="AD547" s="158">
        <f t="shared" si="105"/>
        <v>10407.7026641597</v>
      </c>
      <c r="AE547" s="159">
        <v>0.3156</v>
      </c>
      <c r="AF547" s="158">
        <f t="shared" si="94"/>
        <v>3284.67096080879</v>
      </c>
      <c r="AG547" s="158">
        <v>3142.57832862745</v>
      </c>
      <c r="AH547" s="175"/>
      <c r="AI547" s="175"/>
      <c r="AJ547" s="156" t="s">
        <v>173</v>
      </c>
      <c r="AK547" s="140" t="s">
        <v>173</v>
      </c>
      <c r="AM547" s="152"/>
    </row>
    <row r="548" s="140" customFormat="1" ht="15" hidden="1" customHeight="1" spans="1:39">
      <c r="A548" s="140">
        <v>2017</v>
      </c>
      <c r="B548" s="140" t="s">
        <v>38</v>
      </c>
      <c r="C548" s="140" t="s">
        <v>39</v>
      </c>
      <c r="D548" s="140" t="s">
        <v>81</v>
      </c>
      <c r="E548" s="140" t="s">
        <v>41</v>
      </c>
      <c r="F548" s="140" t="s">
        <v>705</v>
      </c>
      <c r="G548" s="140" t="s">
        <v>705</v>
      </c>
      <c r="H548" s="140" t="s">
        <v>705</v>
      </c>
      <c r="I548" s="184" t="s">
        <v>204</v>
      </c>
      <c r="J548" s="140" t="s">
        <v>577</v>
      </c>
      <c r="K548" s="140" t="s">
        <v>578</v>
      </c>
      <c r="L548" s="140" t="s">
        <v>705</v>
      </c>
      <c r="M548" s="140" t="s">
        <v>46</v>
      </c>
      <c r="N548" s="157">
        <v>0.02</v>
      </c>
      <c r="O548" s="156" t="s">
        <v>51</v>
      </c>
      <c r="P548" s="156"/>
      <c r="Q548" s="158">
        <v>7648.61</v>
      </c>
      <c r="R548" s="158">
        <v>0</v>
      </c>
      <c r="S548" s="158">
        <v>208333.2</v>
      </c>
      <c r="T548" s="158">
        <f t="shared" si="97"/>
        <v>4166.664</v>
      </c>
      <c r="U548" s="158">
        <f t="shared" si="101"/>
        <v>212499.864</v>
      </c>
      <c r="V548" s="158">
        <v>221600</v>
      </c>
      <c r="W548" s="158">
        <f t="shared" si="102"/>
        <v>-9100.136</v>
      </c>
      <c r="X548" s="158">
        <f t="shared" si="98"/>
        <v>-8921.70196078431</v>
      </c>
      <c r="Y548" s="158">
        <f t="shared" si="103"/>
        <v>-178.434039215686</v>
      </c>
      <c r="Z548" s="158">
        <v>217581.81</v>
      </c>
      <c r="AA548" s="158">
        <f t="shared" si="99"/>
        <v>11666.8</v>
      </c>
      <c r="AB548" s="167">
        <f>IF(O548="返货",(Z548-Q548)/(1+N548),IF(O548="返现",(Z548-Q548),IF(O548="折扣",(Z548-Q548)*N548,IF(O548="无",(Z548-Q548)))))</f>
        <v>205816.862745098</v>
      </c>
      <c r="AC548" s="168">
        <f t="shared" si="100"/>
        <v>11764.947254902</v>
      </c>
      <c r="AD548" s="158">
        <f t="shared" si="105"/>
        <v>213290.52035016</v>
      </c>
      <c r="AE548" s="159">
        <v>0.1077</v>
      </c>
      <c r="AF548" s="158">
        <f t="shared" si="94"/>
        <v>22971.3890417122</v>
      </c>
      <c r="AG548" s="158">
        <v>19167.250937</v>
      </c>
      <c r="AH548" s="175"/>
      <c r="AI548" s="175"/>
      <c r="AJ548" s="157">
        <v>0.02</v>
      </c>
      <c r="AK548" s="177">
        <v>0.02</v>
      </c>
      <c r="AM548" s="152"/>
    </row>
    <row r="549" s="140" customFormat="1" ht="15" hidden="1" customHeight="1" spans="1:39">
      <c r="A549" s="140">
        <v>2017</v>
      </c>
      <c r="B549" s="140" t="s">
        <v>38</v>
      </c>
      <c r="C549" s="140" t="s">
        <v>39</v>
      </c>
      <c r="D549" s="140" t="s">
        <v>81</v>
      </c>
      <c r="E549" s="140" t="s">
        <v>41</v>
      </c>
      <c r="F549" s="140" t="s">
        <v>706</v>
      </c>
      <c r="G549" s="140" t="s">
        <v>706</v>
      </c>
      <c r="H549" s="140" t="s">
        <v>706</v>
      </c>
      <c r="I549" s="184" t="s">
        <v>204</v>
      </c>
      <c r="J549" s="140" t="s">
        <v>577</v>
      </c>
      <c r="K549" s="140" t="s">
        <v>578</v>
      </c>
      <c r="L549" s="140" t="s">
        <v>707</v>
      </c>
      <c r="M549" s="140" t="s">
        <v>46</v>
      </c>
      <c r="N549" s="157">
        <v>0.03</v>
      </c>
      <c r="O549" s="156" t="s">
        <v>51</v>
      </c>
      <c r="P549" s="156" t="s">
        <v>440</v>
      </c>
      <c r="Q549" s="158">
        <v>0</v>
      </c>
      <c r="R549" s="158">
        <v>0</v>
      </c>
      <c r="S549" s="158">
        <v>379907.47</v>
      </c>
      <c r="T549" s="158">
        <f t="shared" si="97"/>
        <v>11397.2241</v>
      </c>
      <c r="U549" s="158">
        <f t="shared" si="101"/>
        <v>391304.6941</v>
      </c>
      <c r="V549" s="158">
        <v>441795.77</v>
      </c>
      <c r="W549" s="158">
        <f t="shared" si="102"/>
        <v>-50491.0759000001</v>
      </c>
      <c r="X549" s="158">
        <f t="shared" si="98"/>
        <v>-49020.462038835</v>
      </c>
      <c r="Y549" s="158">
        <f t="shared" si="103"/>
        <v>-1470.61386116505</v>
      </c>
      <c r="Z549" s="158">
        <f>426376.05-Z1169</f>
        <v>417.02999999997</v>
      </c>
      <c r="AA549" s="158">
        <f t="shared" si="99"/>
        <v>441378.74</v>
      </c>
      <c r="AB549" s="167">
        <f t="shared" ref="AB549:AB582" si="107">IF(O549="返货",Z549/(1+N549),IF(O549="返现",Z549,IF(O549="折扣",Z549*N549,IF(O549="无",Z549))))</f>
        <v>404.883495145602</v>
      </c>
      <c r="AC549" s="168">
        <f t="shared" si="100"/>
        <v>12.1465048543681</v>
      </c>
      <c r="AD549" s="158">
        <f t="shared" si="105"/>
        <v>408.805063721185</v>
      </c>
      <c r="AE549" s="159">
        <v>0.1077</v>
      </c>
      <c r="AF549" s="158">
        <f t="shared" si="94"/>
        <v>44.0283053627716</v>
      </c>
      <c r="AG549" s="158">
        <v>33501.9806820874</v>
      </c>
      <c r="AH549" s="175"/>
      <c r="AI549" s="175"/>
      <c r="AJ549" s="156" t="s">
        <v>189</v>
      </c>
      <c r="AK549" s="177">
        <v>0</v>
      </c>
      <c r="AM549" s="152"/>
    </row>
    <row r="550" s="140" customFormat="1" ht="15" hidden="1" customHeight="1" spans="1:39">
      <c r="A550" s="140">
        <v>2017</v>
      </c>
      <c r="B550" s="140" t="s">
        <v>38</v>
      </c>
      <c r="C550" s="140" t="s">
        <v>39</v>
      </c>
      <c r="D550" s="140" t="s">
        <v>81</v>
      </c>
      <c r="E550" s="140" t="s">
        <v>41</v>
      </c>
      <c r="F550" s="140" t="s">
        <v>706</v>
      </c>
      <c r="G550" s="140" t="s">
        <v>706</v>
      </c>
      <c r="H550" s="140" t="s">
        <v>706</v>
      </c>
      <c r="I550" s="184" t="s">
        <v>204</v>
      </c>
      <c r="J550" s="140" t="s">
        <v>577</v>
      </c>
      <c r="K550" s="140" t="s">
        <v>578</v>
      </c>
      <c r="L550" s="140" t="s">
        <v>707</v>
      </c>
      <c r="M550" s="140" t="s">
        <v>185</v>
      </c>
      <c r="N550" s="157">
        <v>0.04</v>
      </c>
      <c r="O550" s="156" t="s">
        <v>51</v>
      </c>
      <c r="P550" s="156"/>
      <c r="Q550" s="158">
        <v>0</v>
      </c>
      <c r="R550" s="158">
        <v>0</v>
      </c>
      <c r="S550" s="158">
        <v>36672.77</v>
      </c>
      <c r="T550" s="158">
        <f t="shared" si="97"/>
        <v>1466.9108</v>
      </c>
      <c r="U550" s="158">
        <f t="shared" si="101"/>
        <v>38139.6808</v>
      </c>
      <c r="V550" s="158">
        <v>0</v>
      </c>
      <c r="W550" s="158">
        <f t="shared" si="102"/>
        <v>38139.6808</v>
      </c>
      <c r="X550" s="158">
        <f t="shared" si="98"/>
        <v>36672.77</v>
      </c>
      <c r="Y550" s="158">
        <f t="shared" si="103"/>
        <v>1466.9108</v>
      </c>
      <c r="Z550" s="158">
        <v>29601.15</v>
      </c>
      <c r="AA550" s="158">
        <f t="shared" si="99"/>
        <v>-29601.15</v>
      </c>
      <c r="AB550" s="167">
        <f t="shared" si="107"/>
        <v>28462.6442307692</v>
      </c>
      <c r="AC550" s="168">
        <f t="shared" si="100"/>
        <v>1138.50576923077</v>
      </c>
      <c r="AD550" s="158">
        <f t="shared" si="105"/>
        <v>29017.3369109446</v>
      </c>
      <c r="AE550" s="159">
        <v>0.3156</v>
      </c>
      <c r="AF550" s="158">
        <f t="shared" si="94"/>
        <v>9157.87152909411</v>
      </c>
      <c r="AG550" s="158">
        <v>8203.61717076923</v>
      </c>
      <c r="AH550" s="175"/>
      <c r="AI550" s="175"/>
      <c r="AJ550" s="157">
        <v>0.04</v>
      </c>
      <c r="AK550" s="177">
        <v>0.04</v>
      </c>
      <c r="AM550" s="152"/>
    </row>
    <row r="551" s="140" customFormat="1" ht="15" hidden="1" customHeight="1" spans="1:39">
      <c r="A551" s="140">
        <v>2017</v>
      </c>
      <c r="B551" s="140" t="s">
        <v>38</v>
      </c>
      <c r="C551" s="140" t="s">
        <v>39</v>
      </c>
      <c r="D551" s="140" t="s">
        <v>81</v>
      </c>
      <c r="E551" s="140" t="s">
        <v>82</v>
      </c>
      <c r="F551" s="140" t="s">
        <v>83</v>
      </c>
      <c r="G551" s="140" t="s">
        <v>83</v>
      </c>
      <c r="H551" s="140" t="s">
        <v>83</v>
      </c>
      <c r="I551" s="184" t="s">
        <v>204</v>
      </c>
      <c r="J551" s="140" t="s">
        <v>577</v>
      </c>
      <c r="K551" s="140" t="s">
        <v>578</v>
      </c>
      <c r="L551" s="140" t="s">
        <v>83</v>
      </c>
      <c r="M551" s="140" t="s">
        <v>46</v>
      </c>
      <c r="N551" s="157">
        <v>0.03</v>
      </c>
      <c r="O551" s="156" t="s">
        <v>51</v>
      </c>
      <c r="P551" s="156" t="s">
        <v>440</v>
      </c>
      <c r="Q551" s="158">
        <v>0</v>
      </c>
      <c r="R551" s="158">
        <v>0</v>
      </c>
      <c r="S551" s="158">
        <v>2011008.5</v>
      </c>
      <c r="T551" s="158">
        <f t="shared" si="97"/>
        <v>60330.255</v>
      </c>
      <c r="U551" s="158">
        <f t="shared" si="101"/>
        <v>2071338.755</v>
      </c>
      <c r="V551" s="158">
        <v>5557063.4</v>
      </c>
      <c r="W551" s="158">
        <f t="shared" si="102"/>
        <v>-3485724.645</v>
      </c>
      <c r="X551" s="158">
        <f t="shared" si="98"/>
        <v>-3384198.68446602</v>
      </c>
      <c r="Y551" s="158">
        <f t="shared" si="103"/>
        <v>-101525.960533981</v>
      </c>
      <c r="Z551" s="158">
        <f>2043322.77-Z1161</f>
        <v>1196114.27</v>
      </c>
      <c r="AA551" s="158">
        <f t="shared" si="99"/>
        <v>4360949.13</v>
      </c>
      <c r="AB551" s="167">
        <f t="shared" si="107"/>
        <v>1161275.99029126</v>
      </c>
      <c r="AC551" s="168">
        <f t="shared" si="100"/>
        <v>34838.279708738</v>
      </c>
      <c r="AD551" s="158">
        <f t="shared" si="105"/>
        <v>1172523.72818551</v>
      </c>
      <c r="AE551" s="159">
        <v>0.1077</v>
      </c>
      <c r="AF551" s="158">
        <f t="shared" si="94"/>
        <v>126280.80552558</v>
      </c>
      <c r="AG551" s="158">
        <v>180000.709976059</v>
      </c>
      <c r="AH551" s="175"/>
      <c r="AI551" s="175"/>
      <c r="AJ551" s="156" t="s">
        <v>189</v>
      </c>
      <c r="AK551" s="140" t="s">
        <v>173</v>
      </c>
      <c r="AM551" s="152"/>
    </row>
    <row r="552" s="140" customFormat="1" ht="15" hidden="1" customHeight="1" spans="1:39">
      <c r="A552" s="140">
        <v>2017</v>
      </c>
      <c r="B552" s="140" t="s">
        <v>38</v>
      </c>
      <c r="C552" s="140" t="s">
        <v>39</v>
      </c>
      <c r="D552" s="140" t="s">
        <v>81</v>
      </c>
      <c r="E552" s="140" t="s">
        <v>82</v>
      </c>
      <c r="F552" s="140" t="s">
        <v>83</v>
      </c>
      <c r="G552" s="140" t="s">
        <v>83</v>
      </c>
      <c r="H552" s="140" t="s">
        <v>83</v>
      </c>
      <c r="I552" s="184" t="s">
        <v>204</v>
      </c>
      <c r="J552" s="140" t="s">
        <v>577</v>
      </c>
      <c r="K552" s="140" t="s">
        <v>578</v>
      </c>
      <c r="L552" s="140" t="s">
        <v>83</v>
      </c>
      <c r="M552" s="140" t="s">
        <v>185</v>
      </c>
      <c r="N552" s="157">
        <v>0.08</v>
      </c>
      <c r="O552" s="156" t="s">
        <v>495</v>
      </c>
      <c r="P552" s="156"/>
      <c r="Q552" s="158">
        <v>0</v>
      </c>
      <c r="R552" s="158">
        <v>0</v>
      </c>
      <c r="S552" s="158">
        <v>3169387.59</v>
      </c>
      <c r="T552" s="158">
        <f t="shared" si="97"/>
        <v>253551.0072</v>
      </c>
      <c r="U552" s="158">
        <f t="shared" si="101"/>
        <v>3422938.5972</v>
      </c>
      <c r="V552" s="158">
        <v>0</v>
      </c>
      <c r="W552" s="158">
        <f t="shared" si="102"/>
        <v>3422938.5972</v>
      </c>
      <c r="X552" s="158">
        <f t="shared" si="98"/>
        <v>3169387.59</v>
      </c>
      <c r="Y552" s="158">
        <f t="shared" si="103"/>
        <v>253551.0072</v>
      </c>
      <c r="Z552" s="158">
        <v>3328177.82</v>
      </c>
      <c r="AA552" s="158">
        <f t="shared" si="99"/>
        <v>-3328177.82</v>
      </c>
      <c r="AB552" s="167">
        <f t="shared" si="107"/>
        <v>3328177.82</v>
      </c>
      <c r="AC552" s="168">
        <f t="shared" si="100"/>
        <v>266254.2256</v>
      </c>
      <c r="AD552" s="158">
        <f t="shared" si="105"/>
        <v>3262537.33731538</v>
      </c>
      <c r="AE552" s="159">
        <v>0.3156</v>
      </c>
      <c r="AF552" s="158">
        <f t="shared" si="94"/>
        <v>1029656.78365673</v>
      </c>
      <c r="AG552" s="158">
        <v>803841.229621629</v>
      </c>
      <c r="AH552" s="175"/>
      <c r="AI552" s="175"/>
      <c r="AJ552" s="156" t="s">
        <v>53</v>
      </c>
      <c r="AK552" s="140" t="s">
        <v>53</v>
      </c>
      <c r="AM552" s="152"/>
    </row>
    <row r="553" s="140" customFormat="1" ht="15" hidden="1" customHeight="1" spans="1:39">
      <c r="A553" s="140">
        <v>2017</v>
      </c>
      <c r="B553" s="140" t="s">
        <v>38</v>
      </c>
      <c r="C553" s="140" t="s">
        <v>39</v>
      </c>
      <c r="D553" s="140" t="s">
        <v>81</v>
      </c>
      <c r="E553" s="140" t="s">
        <v>82</v>
      </c>
      <c r="F553" s="140" t="s">
        <v>83</v>
      </c>
      <c r="G553" s="140" t="s">
        <v>83</v>
      </c>
      <c r="H553" s="140" t="s">
        <v>83</v>
      </c>
      <c r="I553" s="184" t="s">
        <v>204</v>
      </c>
      <c r="J553" s="140" t="s">
        <v>577</v>
      </c>
      <c r="K553" s="140" t="s">
        <v>578</v>
      </c>
      <c r="L553" s="140" t="s">
        <v>83</v>
      </c>
      <c r="M553" s="140" t="s">
        <v>160</v>
      </c>
      <c r="N553" s="156">
        <v>0</v>
      </c>
      <c r="O553" s="156" t="s">
        <v>47</v>
      </c>
      <c r="P553" s="156"/>
      <c r="Q553" s="158">
        <v>0</v>
      </c>
      <c r="R553" s="158">
        <v>0</v>
      </c>
      <c r="S553" s="158">
        <v>100000</v>
      </c>
      <c r="T553" s="158">
        <f t="shared" si="97"/>
        <v>0</v>
      </c>
      <c r="U553" s="158">
        <f t="shared" si="101"/>
        <v>100000</v>
      </c>
      <c r="V553" s="158">
        <v>100000</v>
      </c>
      <c r="W553" s="158">
        <f t="shared" si="102"/>
        <v>0</v>
      </c>
      <c r="X553" s="158">
        <f t="shared" si="98"/>
        <v>0</v>
      </c>
      <c r="Y553" s="158">
        <f t="shared" si="103"/>
        <v>0</v>
      </c>
      <c r="Z553" s="158">
        <v>100000</v>
      </c>
      <c r="AA553" s="158">
        <f t="shared" si="99"/>
        <v>0</v>
      </c>
      <c r="AB553" s="167">
        <f t="shared" si="107"/>
        <v>100000</v>
      </c>
      <c r="AC553" s="168">
        <f t="shared" si="100"/>
        <v>0</v>
      </c>
      <c r="AD553" s="158">
        <f t="shared" si="105"/>
        <v>98027.7351080772</v>
      </c>
      <c r="AE553" s="159">
        <v>0.1077</v>
      </c>
      <c r="AF553" s="158">
        <f t="shared" si="94"/>
        <v>10557.5870711399</v>
      </c>
      <c r="AG553" s="158">
        <v>10770</v>
      </c>
      <c r="AH553" s="175"/>
      <c r="AI553" s="175"/>
      <c r="AJ553" s="156" t="s">
        <v>47</v>
      </c>
      <c r="AK553" s="140" t="s">
        <v>47</v>
      </c>
      <c r="AM553" s="152"/>
    </row>
    <row r="554" s="140" customFormat="1" ht="15" hidden="1" customHeight="1" spans="1:39">
      <c r="A554" s="140">
        <v>2017</v>
      </c>
      <c r="B554" s="140" t="s">
        <v>38</v>
      </c>
      <c r="C554" s="140" t="s">
        <v>39</v>
      </c>
      <c r="D554" s="140" t="s">
        <v>81</v>
      </c>
      <c r="E554" s="140" t="s">
        <v>82</v>
      </c>
      <c r="F554" s="140" t="s">
        <v>708</v>
      </c>
      <c r="G554" s="140" t="s">
        <v>708</v>
      </c>
      <c r="H554" s="140" t="s">
        <v>708</v>
      </c>
      <c r="I554" s="184" t="s">
        <v>204</v>
      </c>
      <c r="J554" s="140" t="s">
        <v>577</v>
      </c>
      <c r="K554" s="140" t="s">
        <v>578</v>
      </c>
      <c r="L554" s="140" t="s">
        <v>708</v>
      </c>
      <c r="M554" s="140" t="s">
        <v>185</v>
      </c>
      <c r="N554" s="157">
        <v>0.08</v>
      </c>
      <c r="O554" s="156" t="s">
        <v>51</v>
      </c>
      <c r="P554" s="156"/>
      <c r="Q554" s="158">
        <v>0</v>
      </c>
      <c r="R554" s="158">
        <v>0</v>
      </c>
      <c r="S554" s="158">
        <v>6119.27</v>
      </c>
      <c r="T554" s="158">
        <f t="shared" si="97"/>
        <v>489.5416</v>
      </c>
      <c r="U554" s="158">
        <f t="shared" si="101"/>
        <v>6608.8116</v>
      </c>
      <c r="V554" s="158">
        <v>0</v>
      </c>
      <c r="W554" s="158">
        <f t="shared" si="102"/>
        <v>6608.8116</v>
      </c>
      <c r="X554" s="158">
        <f t="shared" si="98"/>
        <v>6119.27</v>
      </c>
      <c r="Y554" s="158">
        <f t="shared" si="103"/>
        <v>489.5416</v>
      </c>
      <c r="Z554" s="158">
        <v>6241.66</v>
      </c>
      <c r="AA554" s="158">
        <f t="shared" si="99"/>
        <v>-6241.66</v>
      </c>
      <c r="AB554" s="167">
        <f t="shared" si="107"/>
        <v>5779.31481481481</v>
      </c>
      <c r="AC554" s="168">
        <f t="shared" si="100"/>
        <v>462.345185185186</v>
      </c>
      <c r="AD554" s="158">
        <f t="shared" si="105"/>
        <v>6118.55793114681</v>
      </c>
      <c r="AE554" s="159">
        <v>0.3156</v>
      </c>
      <c r="AF554" s="158">
        <f t="shared" si="94"/>
        <v>1931.01688306993</v>
      </c>
      <c r="AG554" s="158">
        <v>1507.52271081481</v>
      </c>
      <c r="AH554" s="175"/>
      <c r="AI554" s="175"/>
      <c r="AJ554" s="156" t="s">
        <v>53</v>
      </c>
      <c r="AK554" s="140" t="s">
        <v>53</v>
      </c>
      <c r="AM554" s="152"/>
    </row>
    <row r="555" s="140" customFormat="1" ht="15" hidden="1" customHeight="1" spans="1:39">
      <c r="A555" s="140">
        <v>2017</v>
      </c>
      <c r="B555" s="140" t="s">
        <v>38</v>
      </c>
      <c r="C555" s="140" t="s">
        <v>39</v>
      </c>
      <c r="D555" s="140" t="s">
        <v>81</v>
      </c>
      <c r="E555" s="140" t="s">
        <v>82</v>
      </c>
      <c r="F555" s="140" t="s">
        <v>708</v>
      </c>
      <c r="G555" s="140" t="s">
        <v>708</v>
      </c>
      <c r="H555" s="140" t="s">
        <v>708</v>
      </c>
      <c r="I555" s="184" t="s">
        <v>204</v>
      </c>
      <c r="J555" s="140" t="s">
        <v>577</v>
      </c>
      <c r="K555" s="140" t="s">
        <v>578</v>
      </c>
      <c r="L555" s="140" t="s">
        <v>708</v>
      </c>
      <c r="M555" s="140" t="s">
        <v>46</v>
      </c>
      <c r="N555" s="157">
        <v>0.02</v>
      </c>
      <c r="O555" s="156" t="s">
        <v>51</v>
      </c>
      <c r="P555" s="156"/>
      <c r="Q555" s="158">
        <v>0</v>
      </c>
      <c r="R555" s="158">
        <v>0</v>
      </c>
      <c r="S555" s="158">
        <v>3387.55</v>
      </c>
      <c r="T555" s="158">
        <f t="shared" si="97"/>
        <v>67.751</v>
      </c>
      <c r="U555" s="158">
        <f t="shared" si="101"/>
        <v>3455.301</v>
      </c>
      <c r="V555" s="158">
        <v>10000</v>
      </c>
      <c r="W555" s="158">
        <f t="shared" si="102"/>
        <v>-6544.699</v>
      </c>
      <c r="X555" s="158">
        <f t="shared" si="98"/>
        <v>-6416.37156862745</v>
      </c>
      <c r="Y555" s="158">
        <f t="shared" si="103"/>
        <v>-128.327431372549</v>
      </c>
      <c r="Z555" s="158">
        <v>3455.3</v>
      </c>
      <c r="AA555" s="158">
        <f t="shared" si="99"/>
        <v>6544.7</v>
      </c>
      <c r="AB555" s="167">
        <f t="shared" si="107"/>
        <v>3387.54901960784</v>
      </c>
      <c r="AC555" s="168">
        <f t="shared" si="100"/>
        <v>67.7509803921571</v>
      </c>
      <c r="AD555" s="158">
        <f t="shared" si="105"/>
        <v>3387.15233118939</v>
      </c>
      <c r="AE555" s="159">
        <v>0.1077</v>
      </c>
      <c r="AF555" s="158">
        <f t="shared" si="94"/>
        <v>364.796306069098</v>
      </c>
      <c r="AG555" s="158">
        <v>304.384829607843</v>
      </c>
      <c r="AH555" s="175"/>
      <c r="AI555" s="175"/>
      <c r="AJ555" s="157">
        <v>0.02</v>
      </c>
      <c r="AK555" s="177">
        <v>0.02</v>
      </c>
      <c r="AM555" s="152"/>
    </row>
    <row r="556" s="140" customFormat="1" ht="15" hidden="1" customHeight="1" spans="1:39">
      <c r="A556" s="140">
        <v>2017</v>
      </c>
      <c r="B556" s="140" t="s">
        <v>38</v>
      </c>
      <c r="C556" s="140" t="s">
        <v>39</v>
      </c>
      <c r="D556" s="140" t="s">
        <v>81</v>
      </c>
      <c r="E556" s="140" t="s">
        <v>82</v>
      </c>
      <c r="F556" s="140" t="s">
        <v>709</v>
      </c>
      <c r="G556" s="140" t="s">
        <v>709</v>
      </c>
      <c r="H556" s="140" t="s">
        <v>709</v>
      </c>
      <c r="I556" s="184" t="s">
        <v>204</v>
      </c>
      <c r="J556" s="140" t="s">
        <v>577</v>
      </c>
      <c r="K556" s="140" t="s">
        <v>578</v>
      </c>
      <c r="L556" s="140" t="s">
        <v>710</v>
      </c>
      <c r="M556" s="140" t="s">
        <v>185</v>
      </c>
      <c r="N556" s="157">
        <v>0.12</v>
      </c>
      <c r="O556" s="156" t="s">
        <v>51</v>
      </c>
      <c r="P556" s="156"/>
      <c r="Q556" s="158">
        <v>0</v>
      </c>
      <c r="R556" s="158">
        <v>0</v>
      </c>
      <c r="S556" s="158">
        <v>26757.47</v>
      </c>
      <c r="T556" s="158">
        <f t="shared" si="97"/>
        <v>3210.8964</v>
      </c>
      <c r="U556" s="158">
        <f t="shared" si="101"/>
        <v>29968.3664</v>
      </c>
      <c r="V556" s="158">
        <v>0</v>
      </c>
      <c r="W556" s="158">
        <f t="shared" si="102"/>
        <v>29968.3664</v>
      </c>
      <c r="X556" s="158">
        <f t="shared" si="98"/>
        <v>26757.47</v>
      </c>
      <c r="Y556" s="158">
        <f t="shared" si="103"/>
        <v>3210.8964</v>
      </c>
      <c r="Z556" s="158">
        <v>9967.41</v>
      </c>
      <c r="AA556" s="158">
        <f t="shared" si="99"/>
        <v>-9967.41</v>
      </c>
      <c r="AB556" s="167">
        <f t="shared" si="107"/>
        <v>8899.47321428571</v>
      </c>
      <c r="AC556" s="168">
        <f t="shared" si="100"/>
        <v>1067.93678571429</v>
      </c>
      <c r="AD556" s="158">
        <f t="shared" si="105"/>
        <v>9770.826271936</v>
      </c>
      <c r="AE556" s="159">
        <v>0.3156</v>
      </c>
      <c r="AF556" s="158">
        <f t="shared" si="94"/>
        <v>3083.672771423</v>
      </c>
      <c r="AG556" s="158">
        <v>-1067.93694351429</v>
      </c>
      <c r="AH556" s="175"/>
      <c r="AI556" s="175"/>
      <c r="AJ556" s="156" t="s">
        <v>117</v>
      </c>
      <c r="AK556" s="140" t="s">
        <v>117</v>
      </c>
      <c r="AM556" s="152"/>
    </row>
    <row r="557" s="140" customFormat="1" ht="15" hidden="1" customHeight="1" spans="1:39">
      <c r="A557" s="140">
        <v>2017</v>
      </c>
      <c r="B557" s="140" t="s">
        <v>38</v>
      </c>
      <c r="C557" s="140" t="s">
        <v>39</v>
      </c>
      <c r="D557" s="140" t="s">
        <v>81</v>
      </c>
      <c r="E557" s="140" t="s">
        <v>82</v>
      </c>
      <c r="F557" s="140" t="s">
        <v>709</v>
      </c>
      <c r="G557" s="140" t="s">
        <v>709</v>
      </c>
      <c r="H557" s="140" t="s">
        <v>709</v>
      </c>
      <c r="I557" s="184" t="s">
        <v>204</v>
      </c>
      <c r="J557" s="140" t="s">
        <v>577</v>
      </c>
      <c r="K557" s="140" t="s">
        <v>578</v>
      </c>
      <c r="L557" s="140" t="s">
        <v>710</v>
      </c>
      <c r="M557" s="140" t="s">
        <v>46</v>
      </c>
      <c r="N557" s="156">
        <v>0.06</v>
      </c>
      <c r="O557" s="156" t="s">
        <v>51</v>
      </c>
      <c r="P557" s="156"/>
      <c r="Q557" s="158">
        <v>0</v>
      </c>
      <c r="R557" s="158">
        <v>0</v>
      </c>
      <c r="S557" s="158">
        <v>-20000</v>
      </c>
      <c r="T557" s="158">
        <f t="shared" si="97"/>
        <v>-1200</v>
      </c>
      <c r="U557" s="158">
        <f t="shared" si="101"/>
        <v>-21200</v>
      </c>
      <c r="V557" s="158">
        <v>20000</v>
      </c>
      <c r="W557" s="158">
        <f t="shared" si="102"/>
        <v>-41200</v>
      </c>
      <c r="X557" s="158">
        <f t="shared" si="98"/>
        <v>-38867.9245283019</v>
      </c>
      <c r="Y557" s="158">
        <f t="shared" si="103"/>
        <v>-2332.07547169812</v>
      </c>
      <c r="Z557" s="158">
        <v>0</v>
      </c>
      <c r="AA557" s="158">
        <f t="shared" si="99"/>
        <v>20000</v>
      </c>
      <c r="AB557" s="167">
        <f t="shared" si="107"/>
        <v>0</v>
      </c>
      <c r="AC557" s="168">
        <f t="shared" si="100"/>
        <v>0</v>
      </c>
      <c r="AD557" s="158">
        <f t="shared" si="105"/>
        <v>0</v>
      </c>
      <c r="AE557" s="159">
        <v>0.1077</v>
      </c>
      <c r="AF557" s="158">
        <f t="shared" si="94"/>
        <v>0</v>
      </c>
      <c r="AG557" s="158">
        <v>0</v>
      </c>
      <c r="AH557" s="175"/>
      <c r="AI557" s="175"/>
      <c r="AJ557" s="156" t="s">
        <v>193</v>
      </c>
      <c r="AK557" s="140" t="s">
        <v>193</v>
      </c>
      <c r="AM557" s="152"/>
    </row>
    <row r="558" s="140" customFormat="1" ht="15" hidden="1" customHeight="1" spans="1:39">
      <c r="A558" s="140">
        <v>2017</v>
      </c>
      <c r="B558" s="140" t="s">
        <v>38</v>
      </c>
      <c r="C558" s="140" t="s">
        <v>39</v>
      </c>
      <c r="D558" s="140" t="s">
        <v>40</v>
      </c>
      <c r="E558" s="140" t="s">
        <v>48</v>
      </c>
      <c r="F558" s="140" t="s">
        <v>87</v>
      </c>
      <c r="G558" s="140" t="s">
        <v>87</v>
      </c>
      <c r="H558" s="140" t="s">
        <v>87</v>
      </c>
      <c r="I558" s="184" t="s">
        <v>204</v>
      </c>
      <c r="J558" s="140" t="s">
        <v>605</v>
      </c>
      <c r="K558" s="140" t="s">
        <v>641</v>
      </c>
      <c r="L558" s="140" t="s">
        <v>87</v>
      </c>
      <c r="M558" s="140" t="s">
        <v>46</v>
      </c>
      <c r="N558" s="157">
        <v>0.02</v>
      </c>
      <c r="O558" s="156" t="s">
        <v>51</v>
      </c>
      <c r="P558" s="156"/>
      <c r="Q558" s="158">
        <v>0</v>
      </c>
      <c r="R558" s="158">
        <v>0</v>
      </c>
      <c r="S558" s="158">
        <v>10401.29</v>
      </c>
      <c r="T558" s="158">
        <f t="shared" si="97"/>
        <v>208.0258</v>
      </c>
      <c r="U558" s="158">
        <f t="shared" si="101"/>
        <v>10609.3158</v>
      </c>
      <c r="V558" s="158">
        <v>30600</v>
      </c>
      <c r="W558" s="158">
        <f t="shared" si="102"/>
        <v>-19990.6842</v>
      </c>
      <c r="X558" s="158">
        <f t="shared" si="98"/>
        <v>-19598.71</v>
      </c>
      <c r="Y558" s="158">
        <f t="shared" si="103"/>
        <v>-391.974200000001</v>
      </c>
      <c r="Z558" s="158">
        <v>2646.5</v>
      </c>
      <c r="AA558" s="158">
        <f t="shared" si="99"/>
        <v>27953.5</v>
      </c>
      <c r="AB558" s="167">
        <f t="shared" si="107"/>
        <v>2594.60784313725</v>
      </c>
      <c r="AC558" s="168">
        <f t="shared" si="100"/>
        <v>51.8921568627452</v>
      </c>
      <c r="AD558" s="158">
        <v>2646.5</v>
      </c>
      <c r="AE558" s="159">
        <v>0.07</v>
      </c>
      <c r="AF558" s="158">
        <f t="shared" si="94"/>
        <v>185.255</v>
      </c>
      <c r="AG558" s="158">
        <v>133.362843137255</v>
      </c>
      <c r="AH558" s="175"/>
      <c r="AI558" s="175"/>
      <c r="AJ558" s="156" t="s">
        <v>173</v>
      </c>
      <c r="AK558" s="140" t="s">
        <v>173</v>
      </c>
      <c r="AM558" s="152"/>
    </row>
    <row r="559" s="140" customFormat="1" ht="15" hidden="1" customHeight="1" spans="1:39">
      <c r="A559" s="140">
        <v>2017</v>
      </c>
      <c r="B559" s="140" t="s">
        <v>38</v>
      </c>
      <c r="C559" s="140" t="s">
        <v>39</v>
      </c>
      <c r="D559" s="140" t="s">
        <v>40</v>
      </c>
      <c r="E559" s="140" t="s">
        <v>48</v>
      </c>
      <c r="F559" s="140" t="s">
        <v>329</v>
      </c>
      <c r="G559" s="140" t="s">
        <v>329</v>
      </c>
      <c r="H559" s="140" t="s">
        <v>329</v>
      </c>
      <c r="I559" s="184" t="s">
        <v>204</v>
      </c>
      <c r="J559" s="140" t="s">
        <v>577</v>
      </c>
      <c r="K559" s="140" t="s">
        <v>578</v>
      </c>
      <c r="L559" s="140" t="s">
        <v>711</v>
      </c>
      <c r="M559" s="140" t="s">
        <v>185</v>
      </c>
      <c r="N559" s="157">
        <v>0.02</v>
      </c>
      <c r="O559" s="156" t="s">
        <v>51</v>
      </c>
      <c r="P559" s="156"/>
      <c r="Q559" s="158">
        <v>0</v>
      </c>
      <c r="R559" s="158">
        <v>0</v>
      </c>
      <c r="S559" s="158">
        <v>22421.39</v>
      </c>
      <c r="T559" s="158">
        <f t="shared" si="97"/>
        <v>448.4278</v>
      </c>
      <c r="U559" s="158">
        <f t="shared" si="101"/>
        <v>22869.8178</v>
      </c>
      <c r="V559" s="158">
        <v>0</v>
      </c>
      <c r="W559" s="158">
        <f t="shared" si="102"/>
        <v>22869.8178</v>
      </c>
      <c r="X559" s="158">
        <f t="shared" si="98"/>
        <v>22421.39</v>
      </c>
      <c r="Y559" s="158">
        <f t="shared" si="103"/>
        <v>448.427800000001</v>
      </c>
      <c r="Z559" s="158">
        <v>12</v>
      </c>
      <c r="AA559" s="158">
        <f t="shared" si="99"/>
        <v>-12</v>
      </c>
      <c r="AB559" s="167">
        <f t="shared" si="107"/>
        <v>11.7647058823529</v>
      </c>
      <c r="AC559" s="168">
        <f t="shared" si="100"/>
        <v>0.23529411764706</v>
      </c>
      <c r="AD559" s="158">
        <f t="shared" ref="AD559:AD566" si="108">Z559*0.980277351080772</f>
        <v>11.7633282129693</v>
      </c>
      <c r="AE559" s="159">
        <v>0.3156</v>
      </c>
      <c r="AF559" s="158">
        <f t="shared" ref="AF559:AF622" si="109">AD559*AE559</f>
        <v>3.7125063840131</v>
      </c>
      <c r="AG559" s="158">
        <v>3.55190588235294</v>
      </c>
      <c r="AH559" s="175"/>
      <c r="AI559" s="175"/>
      <c r="AJ559" s="156" t="s">
        <v>173</v>
      </c>
      <c r="AK559" s="140" t="s">
        <v>173</v>
      </c>
      <c r="AM559" s="152"/>
    </row>
    <row r="560" s="140" customFormat="1" ht="15" hidden="1" customHeight="1" spans="1:39">
      <c r="A560" s="140">
        <v>2017</v>
      </c>
      <c r="B560" s="140" t="s">
        <v>38</v>
      </c>
      <c r="C560" s="140" t="s">
        <v>39</v>
      </c>
      <c r="D560" s="140" t="s">
        <v>40</v>
      </c>
      <c r="E560" s="140" t="s">
        <v>48</v>
      </c>
      <c r="F560" s="140" t="s">
        <v>329</v>
      </c>
      <c r="G560" s="140" t="s">
        <v>329</v>
      </c>
      <c r="H560" s="140" t="s">
        <v>329</v>
      </c>
      <c r="I560" s="184" t="s">
        <v>204</v>
      </c>
      <c r="J560" s="140" t="s">
        <v>577</v>
      </c>
      <c r="K560" s="140" t="s">
        <v>578</v>
      </c>
      <c r="L560" s="140" t="s">
        <v>711</v>
      </c>
      <c r="M560" s="140" t="s">
        <v>46</v>
      </c>
      <c r="N560" s="157">
        <v>0.02</v>
      </c>
      <c r="O560" s="156" t="s">
        <v>51</v>
      </c>
      <c r="P560" s="156"/>
      <c r="Q560" s="158">
        <v>0</v>
      </c>
      <c r="R560" s="158">
        <v>0</v>
      </c>
      <c r="S560" s="158">
        <v>877382.53</v>
      </c>
      <c r="T560" s="158">
        <f t="shared" si="97"/>
        <v>17547.6506</v>
      </c>
      <c r="U560" s="158">
        <f t="shared" si="101"/>
        <v>894930.1806</v>
      </c>
      <c r="V560" s="158">
        <v>826000</v>
      </c>
      <c r="W560" s="158">
        <f t="shared" si="102"/>
        <v>68930.1806000001</v>
      </c>
      <c r="X560" s="158">
        <f t="shared" si="98"/>
        <v>67578.6084313726</v>
      </c>
      <c r="Y560" s="158">
        <f t="shared" si="103"/>
        <v>1351.57216862745</v>
      </c>
      <c r="Z560" s="158">
        <v>825988</v>
      </c>
      <c r="AA560" s="158">
        <f t="shared" si="99"/>
        <v>12</v>
      </c>
      <c r="AB560" s="167">
        <f t="shared" si="107"/>
        <v>809792.156862745</v>
      </c>
      <c r="AC560" s="168">
        <f t="shared" si="100"/>
        <v>16195.8431372549</v>
      </c>
      <c r="AD560" s="158">
        <f t="shared" si="108"/>
        <v>809697.328664505</v>
      </c>
      <c r="AE560" s="159">
        <v>0.1077</v>
      </c>
      <c r="AF560" s="158">
        <f t="shared" si="109"/>
        <v>87204.4022971672</v>
      </c>
      <c r="AG560" s="158">
        <v>72763.0644627451</v>
      </c>
      <c r="AH560" s="175"/>
      <c r="AI560" s="175"/>
      <c r="AJ560" s="156" t="s">
        <v>173</v>
      </c>
      <c r="AK560" s="140" t="s">
        <v>173</v>
      </c>
      <c r="AM560" s="152"/>
    </row>
    <row r="561" s="140" customFormat="1" ht="15" hidden="1" customHeight="1" spans="1:39">
      <c r="A561" s="140">
        <v>2017</v>
      </c>
      <c r="B561" s="140" t="s">
        <v>38</v>
      </c>
      <c r="C561" s="140" t="s">
        <v>39</v>
      </c>
      <c r="D561" s="140" t="s">
        <v>40</v>
      </c>
      <c r="E561" s="140" t="s">
        <v>48</v>
      </c>
      <c r="F561" s="140" t="s">
        <v>127</v>
      </c>
      <c r="G561" s="140" t="s">
        <v>127</v>
      </c>
      <c r="H561" s="140" t="s">
        <v>127</v>
      </c>
      <c r="I561" s="184" t="s">
        <v>204</v>
      </c>
      <c r="J561" s="140" t="s">
        <v>577</v>
      </c>
      <c r="K561" s="140" t="s">
        <v>578</v>
      </c>
      <c r="L561" s="140" t="s">
        <v>127</v>
      </c>
      <c r="M561" s="140" t="s">
        <v>46</v>
      </c>
      <c r="N561" s="157">
        <v>0.02</v>
      </c>
      <c r="O561" s="156" t="s">
        <v>51</v>
      </c>
      <c r="P561" s="156"/>
      <c r="Q561" s="158">
        <v>0</v>
      </c>
      <c r="R561" s="158">
        <v>0</v>
      </c>
      <c r="S561" s="158">
        <v>1466993.82</v>
      </c>
      <c r="T561" s="158">
        <f t="shared" si="97"/>
        <v>29339.8764</v>
      </c>
      <c r="U561" s="158">
        <f t="shared" si="101"/>
        <v>1496333.6964</v>
      </c>
      <c r="V561" s="158">
        <v>2091977.9</v>
      </c>
      <c r="W561" s="158">
        <f t="shared" si="102"/>
        <v>-595644.2036</v>
      </c>
      <c r="X561" s="158">
        <f t="shared" si="98"/>
        <v>-583964.905490196</v>
      </c>
      <c r="Y561" s="158">
        <f t="shared" si="103"/>
        <v>-11679.2981098039</v>
      </c>
      <c r="Z561" s="158">
        <v>1560196.01</v>
      </c>
      <c r="AA561" s="158">
        <f t="shared" si="99"/>
        <v>531781.89</v>
      </c>
      <c r="AB561" s="167">
        <f t="shared" si="107"/>
        <v>1529603.93137255</v>
      </c>
      <c r="AC561" s="168">
        <f t="shared" si="100"/>
        <v>30592.0786274511</v>
      </c>
      <c r="AD561" s="158">
        <f t="shared" si="108"/>
        <v>1529424.81184959</v>
      </c>
      <c r="AE561" s="159">
        <v>0.1077</v>
      </c>
      <c r="AF561" s="158">
        <f t="shared" si="109"/>
        <v>164719.052236201</v>
      </c>
      <c r="AG561" s="158">
        <v>137441.031649549</v>
      </c>
      <c r="AH561" s="175"/>
      <c r="AI561" s="175"/>
      <c r="AJ561" s="156" t="s">
        <v>173</v>
      </c>
      <c r="AK561" s="140" t="s">
        <v>173</v>
      </c>
      <c r="AM561" s="152"/>
    </row>
    <row r="562" s="140" customFormat="1" ht="15" hidden="1" customHeight="1" spans="1:39">
      <c r="A562" s="140">
        <v>2017</v>
      </c>
      <c r="B562" s="140" t="s">
        <v>199</v>
      </c>
      <c r="C562" s="140" t="s">
        <v>39</v>
      </c>
      <c r="D562" s="140" t="s">
        <v>40</v>
      </c>
      <c r="E562" s="140" t="s">
        <v>41</v>
      </c>
      <c r="F562" s="140" t="s">
        <v>457</v>
      </c>
      <c r="G562" s="140" t="s">
        <v>712</v>
      </c>
      <c r="H562" s="140" t="s">
        <v>712</v>
      </c>
      <c r="I562" s="184" t="s">
        <v>204</v>
      </c>
      <c r="J562" s="140" t="s">
        <v>577</v>
      </c>
      <c r="K562" s="140" t="s">
        <v>578</v>
      </c>
      <c r="L562" s="140" t="s">
        <v>457</v>
      </c>
      <c r="M562" s="140" t="s">
        <v>713</v>
      </c>
      <c r="N562" s="157">
        <v>0.02</v>
      </c>
      <c r="O562" s="156" t="s">
        <v>51</v>
      </c>
      <c r="P562" s="156"/>
      <c r="Q562" s="158">
        <v>0</v>
      </c>
      <c r="R562" s="158">
        <v>0</v>
      </c>
      <c r="S562" s="158">
        <v>7891.65</v>
      </c>
      <c r="T562" s="158">
        <f t="shared" si="97"/>
        <v>157.833</v>
      </c>
      <c r="U562" s="158">
        <f t="shared" si="101"/>
        <v>8049.483</v>
      </c>
      <c r="V562" s="158">
        <v>7891.65</v>
      </c>
      <c r="W562" s="158">
        <f t="shared" si="102"/>
        <v>157.833</v>
      </c>
      <c r="X562" s="158">
        <f t="shared" si="98"/>
        <v>154.738235294117</v>
      </c>
      <c r="Y562" s="158">
        <f t="shared" si="103"/>
        <v>3.09476470588234</v>
      </c>
      <c r="Z562" s="158">
        <v>7891.65</v>
      </c>
      <c r="AA562" s="158">
        <f t="shared" si="99"/>
        <v>0</v>
      </c>
      <c r="AB562" s="167">
        <f t="shared" si="107"/>
        <v>7736.91176470588</v>
      </c>
      <c r="AC562" s="168">
        <f t="shared" si="100"/>
        <v>154.738235294118</v>
      </c>
      <c r="AD562" s="158">
        <f t="shared" si="108"/>
        <v>7736.00575765657</v>
      </c>
      <c r="AE562" s="159">
        <v>0.3156</v>
      </c>
      <c r="AF562" s="158">
        <f t="shared" si="109"/>
        <v>2441.48341711641</v>
      </c>
      <c r="AG562" s="158">
        <v>2490.60474</v>
      </c>
      <c r="AH562" s="175"/>
      <c r="AI562" s="175"/>
      <c r="AJ562" s="157">
        <v>0.02</v>
      </c>
      <c r="AK562" s="140" t="s">
        <v>714</v>
      </c>
      <c r="AL562" s="140" t="s">
        <v>613</v>
      </c>
      <c r="AM562" s="152"/>
    </row>
    <row r="563" s="140" customFormat="1" ht="15" hidden="1" customHeight="1" spans="1:39">
      <c r="A563" s="140">
        <v>2017</v>
      </c>
      <c r="B563" s="140" t="s">
        <v>199</v>
      </c>
      <c r="C563" s="140" t="s">
        <v>39</v>
      </c>
      <c r="D563" s="140" t="s">
        <v>40</v>
      </c>
      <c r="E563" s="140" t="s">
        <v>41</v>
      </c>
      <c r="F563" s="140" t="s">
        <v>457</v>
      </c>
      <c r="G563" s="140" t="s">
        <v>712</v>
      </c>
      <c r="H563" s="140" t="s">
        <v>712</v>
      </c>
      <c r="I563" s="184" t="s">
        <v>204</v>
      </c>
      <c r="J563" s="140" t="s">
        <v>577</v>
      </c>
      <c r="K563" s="140" t="s">
        <v>578</v>
      </c>
      <c r="L563" s="140" t="s">
        <v>457</v>
      </c>
      <c r="M563" s="140" t="s">
        <v>46</v>
      </c>
      <c r="N563" s="157">
        <v>0.02</v>
      </c>
      <c r="O563" s="156" t="s">
        <v>51</v>
      </c>
      <c r="P563" s="156"/>
      <c r="Q563" s="158">
        <v>0</v>
      </c>
      <c r="R563" s="158">
        <v>0</v>
      </c>
      <c r="S563" s="158">
        <v>2350000</v>
      </c>
      <c r="T563" s="158">
        <f t="shared" si="97"/>
        <v>47000</v>
      </c>
      <c r="U563" s="158">
        <f t="shared" si="101"/>
        <v>2397000</v>
      </c>
      <c r="V563" s="158">
        <v>2381300</v>
      </c>
      <c r="W563" s="158">
        <f t="shared" si="102"/>
        <v>15700</v>
      </c>
      <c r="X563" s="158">
        <f t="shared" si="98"/>
        <v>15392.1568627451</v>
      </c>
      <c r="Y563" s="158">
        <f t="shared" si="103"/>
        <v>307.843137254902</v>
      </c>
      <c r="Z563" s="158">
        <v>2271250.58</v>
      </c>
      <c r="AA563" s="158">
        <f t="shared" si="99"/>
        <v>110049.42</v>
      </c>
      <c r="AB563" s="167">
        <f t="shared" si="107"/>
        <v>2226716.25490196</v>
      </c>
      <c r="AC563" s="168">
        <f t="shared" si="100"/>
        <v>44534.3250980391</v>
      </c>
      <c r="AD563" s="158">
        <f t="shared" si="108"/>
        <v>2226455.50220307</v>
      </c>
      <c r="AE563" s="159">
        <v>0.1077</v>
      </c>
      <c r="AF563" s="158">
        <f t="shared" si="109"/>
        <v>239789.25758727</v>
      </c>
      <c r="AG563" s="158">
        <v>200079.362367961</v>
      </c>
      <c r="AH563" s="175"/>
      <c r="AI563" s="175"/>
      <c r="AJ563" s="156" t="s">
        <v>173</v>
      </c>
      <c r="AK563" s="140" t="s">
        <v>173</v>
      </c>
      <c r="AM563" s="152"/>
    </row>
    <row r="564" s="140" customFormat="1" ht="15" hidden="1" customHeight="1" spans="1:39">
      <c r="A564" s="140">
        <v>2017</v>
      </c>
      <c r="B564" s="140" t="s">
        <v>38</v>
      </c>
      <c r="C564" s="140" t="s">
        <v>39</v>
      </c>
      <c r="D564" s="140" t="s">
        <v>40</v>
      </c>
      <c r="E564" s="140" t="s">
        <v>41</v>
      </c>
      <c r="F564" s="140" t="s">
        <v>715</v>
      </c>
      <c r="G564" s="140" t="s">
        <v>715</v>
      </c>
      <c r="H564" s="140" t="s">
        <v>715</v>
      </c>
      <c r="I564" s="184" t="s">
        <v>204</v>
      </c>
      <c r="J564" s="140" t="s">
        <v>577</v>
      </c>
      <c r="K564" s="140" t="s">
        <v>578</v>
      </c>
      <c r="L564" s="140" t="s">
        <v>716</v>
      </c>
      <c r="M564" s="140" t="s">
        <v>46</v>
      </c>
      <c r="N564" s="157">
        <v>0.02</v>
      </c>
      <c r="O564" s="156" t="s">
        <v>51</v>
      </c>
      <c r="P564" s="156"/>
      <c r="Q564" s="158">
        <v>0</v>
      </c>
      <c r="R564" s="158">
        <v>0</v>
      </c>
      <c r="S564" s="158">
        <v>26174.7</v>
      </c>
      <c r="T564" s="158">
        <f t="shared" si="97"/>
        <v>523.494</v>
      </c>
      <c r="U564" s="158">
        <f t="shared" si="101"/>
        <v>26698.194</v>
      </c>
      <c r="V564" s="158">
        <v>30600</v>
      </c>
      <c r="W564" s="158">
        <f t="shared" si="102"/>
        <v>-3901.806</v>
      </c>
      <c r="X564" s="158">
        <f t="shared" si="98"/>
        <v>-3825.3</v>
      </c>
      <c r="Y564" s="158">
        <f t="shared" si="103"/>
        <v>-76.5059999999999</v>
      </c>
      <c r="Z564" s="158">
        <v>27374.7</v>
      </c>
      <c r="AA564" s="158">
        <f t="shared" si="99"/>
        <v>3225.3</v>
      </c>
      <c r="AB564" s="167">
        <f t="shared" si="107"/>
        <v>26837.9411764706</v>
      </c>
      <c r="AC564" s="168">
        <f t="shared" si="100"/>
        <v>536.758823529413</v>
      </c>
      <c r="AD564" s="158">
        <f t="shared" si="108"/>
        <v>26834.7984026308</v>
      </c>
      <c r="AE564" s="159">
        <v>0.1077</v>
      </c>
      <c r="AF564" s="158">
        <f t="shared" si="109"/>
        <v>2890.10778796334</v>
      </c>
      <c r="AG564" s="158">
        <v>2411.49636647059</v>
      </c>
      <c r="AH564" s="175"/>
      <c r="AI564" s="175"/>
      <c r="AJ564" s="157">
        <v>0.02</v>
      </c>
      <c r="AK564" s="177">
        <v>0.02</v>
      </c>
      <c r="AM564" s="152"/>
    </row>
    <row r="565" s="140" customFormat="1" ht="15" hidden="1" customHeight="1" spans="1:39">
      <c r="A565" s="140">
        <v>2017</v>
      </c>
      <c r="B565" s="140" t="s">
        <v>38</v>
      </c>
      <c r="C565" s="140" t="s">
        <v>39</v>
      </c>
      <c r="D565" s="140" t="s">
        <v>40</v>
      </c>
      <c r="E565" s="140" t="s">
        <v>82</v>
      </c>
      <c r="F565" s="140" t="s">
        <v>717</v>
      </c>
      <c r="G565" s="140" t="s">
        <v>717</v>
      </c>
      <c r="H565" s="140" t="s">
        <v>717</v>
      </c>
      <c r="I565" s="184" t="s">
        <v>204</v>
      </c>
      <c r="J565" s="140" t="s">
        <v>577</v>
      </c>
      <c r="K565" s="140" t="s">
        <v>578</v>
      </c>
      <c r="L565" s="140" t="s">
        <v>717</v>
      </c>
      <c r="M565" s="140" t="s">
        <v>185</v>
      </c>
      <c r="N565" s="156">
        <v>0.05</v>
      </c>
      <c r="O565" s="156" t="s">
        <v>51</v>
      </c>
      <c r="P565" s="156"/>
      <c r="Q565" s="158">
        <v>0</v>
      </c>
      <c r="R565" s="158">
        <v>0</v>
      </c>
      <c r="S565" s="158">
        <v>1642.8</v>
      </c>
      <c r="T565" s="158">
        <f t="shared" si="97"/>
        <v>82.14</v>
      </c>
      <c r="U565" s="158">
        <f t="shared" si="101"/>
        <v>1724.94</v>
      </c>
      <c r="V565" s="158">
        <v>0</v>
      </c>
      <c r="W565" s="158">
        <f t="shared" si="102"/>
        <v>1724.94</v>
      </c>
      <c r="X565" s="158">
        <f t="shared" si="98"/>
        <v>1642.8</v>
      </c>
      <c r="Y565" s="158">
        <f t="shared" si="103"/>
        <v>82.1400000000001</v>
      </c>
      <c r="Z565" s="158">
        <v>1642.8</v>
      </c>
      <c r="AA565" s="158">
        <f t="shared" si="99"/>
        <v>-1642.8</v>
      </c>
      <c r="AB565" s="167">
        <f t="shared" si="107"/>
        <v>1564.57142857143</v>
      </c>
      <c r="AC565" s="168">
        <f t="shared" si="100"/>
        <v>78.2285714285715</v>
      </c>
      <c r="AD565" s="158">
        <f t="shared" si="108"/>
        <v>1610.39963235549</v>
      </c>
      <c r="AE565" s="159">
        <v>0.3156</v>
      </c>
      <c r="AF565" s="158">
        <f t="shared" si="109"/>
        <v>508.242123971393</v>
      </c>
      <c r="AG565" s="158">
        <v>440.239108571428</v>
      </c>
      <c r="AH565" s="175"/>
      <c r="AI565" s="175"/>
      <c r="AJ565" s="156" t="s">
        <v>63</v>
      </c>
      <c r="AK565" s="140" t="s">
        <v>63</v>
      </c>
      <c r="AM565" s="152"/>
    </row>
    <row r="566" s="140" customFormat="1" ht="15" hidden="1" customHeight="1" spans="1:39">
      <c r="A566" s="140">
        <v>2017</v>
      </c>
      <c r="B566" s="140" t="s">
        <v>38</v>
      </c>
      <c r="C566" s="140" t="s">
        <v>39</v>
      </c>
      <c r="D566" s="140" t="s">
        <v>40</v>
      </c>
      <c r="E566" s="140" t="s">
        <v>82</v>
      </c>
      <c r="F566" s="140" t="s">
        <v>717</v>
      </c>
      <c r="G566" s="140" t="s">
        <v>717</v>
      </c>
      <c r="H566" s="140" t="s">
        <v>717</v>
      </c>
      <c r="I566" s="184" t="s">
        <v>204</v>
      </c>
      <c r="J566" s="140" t="s">
        <v>577</v>
      </c>
      <c r="K566" s="140" t="s">
        <v>578</v>
      </c>
      <c r="L566" s="140" t="s">
        <v>717</v>
      </c>
      <c r="M566" s="140" t="s">
        <v>46</v>
      </c>
      <c r="N566" s="156">
        <v>0.05</v>
      </c>
      <c r="O566" s="156" t="s">
        <v>51</v>
      </c>
      <c r="P566" s="156"/>
      <c r="Q566" s="158">
        <v>0</v>
      </c>
      <c r="R566" s="158">
        <v>0</v>
      </c>
      <c r="S566" s="158">
        <v>175291.1</v>
      </c>
      <c r="T566" s="158">
        <f t="shared" si="97"/>
        <v>8764.555</v>
      </c>
      <c r="U566" s="158">
        <f t="shared" si="101"/>
        <v>184055.655</v>
      </c>
      <c r="V566" s="158">
        <v>215000</v>
      </c>
      <c r="W566" s="158">
        <f t="shared" si="102"/>
        <v>-30944.345</v>
      </c>
      <c r="X566" s="158">
        <f t="shared" si="98"/>
        <v>-29470.8047619048</v>
      </c>
      <c r="Y566" s="158">
        <f t="shared" si="103"/>
        <v>-1473.54023809524</v>
      </c>
      <c r="Z566" s="158">
        <v>175291.1</v>
      </c>
      <c r="AA566" s="158">
        <f t="shared" si="99"/>
        <v>39708.9</v>
      </c>
      <c r="AB566" s="167">
        <f t="shared" si="107"/>
        <v>166943.904761905</v>
      </c>
      <c r="AC566" s="168">
        <f t="shared" si="100"/>
        <v>8347.19523809524</v>
      </c>
      <c r="AD566" s="158">
        <f t="shared" si="108"/>
        <v>171833.895176035</v>
      </c>
      <c r="AE566" s="159">
        <v>0.1077</v>
      </c>
      <c r="AF566" s="158">
        <f t="shared" si="109"/>
        <v>18506.5105104589</v>
      </c>
      <c r="AG566" s="158">
        <v>10531.6562319048</v>
      </c>
      <c r="AH566" s="175"/>
      <c r="AI566" s="175"/>
      <c r="AJ566" s="156" t="s">
        <v>63</v>
      </c>
      <c r="AK566" s="140" t="s">
        <v>63</v>
      </c>
      <c r="AM566" s="152"/>
    </row>
    <row r="567" s="140" customFormat="1" ht="15" hidden="1" customHeight="1" spans="1:39">
      <c r="A567" s="140">
        <v>2017</v>
      </c>
      <c r="B567" s="140" t="s">
        <v>199</v>
      </c>
      <c r="C567" s="140" t="s">
        <v>59</v>
      </c>
      <c r="D567" s="140" t="s">
        <v>154</v>
      </c>
      <c r="E567" s="140" t="s">
        <v>107</v>
      </c>
      <c r="F567" s="140" t="s">
        <v>718</v>
      </c>
      <c r="G567" s="140" t="s">
        <v>719</v>
      </c>
      <c r="H567" s="140" t="s">
        <v>719</v>
      </c>
      <c r="I567" s="184" t="s">
        <v>204</v>
      </c>
      <c r="J567" s="140" t="s">
        <v>605</v>
      </c>
      <c r="K567" s="140" t="s">
        <v>641</v>
      </c>
      <c r="L567" s="140" t="s">
        <v>718</v>
      </c>
      <c r="M567" s="140" t="s">
        <v>46</v>
      </c>
      <c r="N567" s="157">
        <v>0.02</v>
      </c>
      <c r="O567" s="156" t="s">
        <v>51</v>
      </c>
      <c r="P567" s="156"/>
      <c r="Q567" s="158">
        <v>0</v>
      </c>
      <c r="R567" s="158">
        <v>0</v>
      </c>
      <c r="S567" s="158">
        <v>23644.19</v>
      </c>
      <c r="T567" s="158">
        <f t="shared" si="97"/>
        <v>472.8838</v>
      </c>
      <c r="U567" s="158">
        <f t="shared" si="101"/>
        <v>24117.0738</v>
      </c>
      <c r="V567" s="158">
        <v>24682.6</v>
      </c>
      <c r="W567" s="158">
        <f t="shared" si="102"/>
        <v>-565.5262</v>
      </c>
      <c r="X567" s="158">
        <f t="shared" si="98"/>
        <v>-554.437450980392</v>
      </c>
      <c r="Y567" s="158">
        <f t="shared" si="103"/>
        <v>-11.0887490196078</v>
      </c>
      <c r="Z567" s="158">
        <v>24117.1</v>
      </c>
      <c r="AA567" s="158">
        <f t="shared" si="99"/>
        <v>565.5</v>
      </c>
      <c r="AB567" s="167">
        <f t="shared" si="107"/>
        <v>23644.2156862745</v>
      </c>
      <c r="AC567" s="168">
        <f t="shared" si="100"/>
        <v>472.884313725492</v>
      </c>
      <c r="AD567" s="158">
        <v>24117.1</v>
      </c>
      <c r="AE567" s="159">
        <v>0.07</v>
      </c>
      <c r="AF567" s="158">
        <f t="shared" si="109"/>
        <v>1688.197</v>
      </c>
      <c r="AG567" s="158">
        <v>1215.31268627451</v>
      </c>
      <c r="AH567" s="175"/>
      <c r="AI567" s="175"/>
      <c r="AJ567" s="156" t="s">
        <v>173</v>
      </c>
      <c r="AK567" s="140" t="s">
        <v>173</v>
      </c>
      <c r="AM567" s="152"/>
    </row>
    <row r="568" s="140" customFormat="1" ht="15" hidden="1" customHeight="1" spans="1:39">
      <c r="A568" s="140">
        <v>2017</v>
      </c>
      <c r="B568" s="140" t="s">
        <v>199</v>
      </c>
      <c r="C568" s="140" t="s">
        <v>59</v>
      </c>
      <c r="D568" s="140" t="s">
        <v>154</v>
      </c>
      <c r="E568" s="140" t="s">
        <v>107</v>
      </c>
      <c r="F568" s="140" t="s">
        <v>718</v>
      </c>
      <c r="G568" s="140" t="s">
        <v>719</v>
      </c>
      <c r="H568" s="140" t="s">
        <v>719</v>
      </c>
      <c r="I568" s="184" t="s">
        <v>204</v>
      </c>
      <c r="J568" s="140" t="s">
        <v>605</v>
      </c>
      <c r="K568" s="140" t="s">
        <v>641</v>
      </c>
      <c r="L568" s="140" t="s">
        <v>718</v>
      </c>
      <c r="M568" s="140" t="s">
        <v>185</v>
      </c>
      <c r="N568" s="157">
        <v>0.08</v>
      </c>
      <c r="O568" s="156" t="s">
        <v>51</v>
      </c>
      <c r="P568" s="156"/>
      <c r="Q568" s="158">
        <v>0</v>
      </c>
      <c r="R568" s="158">
        <v>0</v>
      </c>
      <c r="S568" s="158">
        <v>554.41</v>
      </c>
      <c r="T568" s="158">
        <f t="shared" si="97"/>
        <v>44.3528</v>
      </c>
      <c r="U568" s="158">
        <f t="shared" si="101"/>
        <v>598.7628</v>
      </c>
      <c r="V568" s="158">
        <v>0</v>
      </c>
      <c r="W568" s="158">
        <f t="shared" si="102"/>
        <v>598.7628</v>
      </c>
      <c r="X568" s="158">
        <f t="shared" si="98"/>
        <v>554.41</v>
      </c>
      <c r="Y568" s="158">
        <f t="shared" si="103"/>
        <v>44.3528</v>
      </c>
      <c r="Z568" s="158">
        <v>565.5</v>
      </c>
      <c r="AA568" s="158">
        <f t="shared" si="99"/>
        <v>-565.5</v>
      </c>
      <c r="AB568" s="167">
        <f t="shared" si="107"/>
        <v>523.611111111111</v>
      </c>
      <c r="AC568" s="168">
        <f t="shared" si="100"/>
        <v>41.8888888888889</v>
      </c>
      <c r="AD568" s="158">
        <v>565.5</v>
      </c>
      <c r="AE568" s="159">
        <v>0.2</v>
      </c>
      <c r="AF568" s="158">
        <f t="shared" si="109"/>
        <v>113.1</v>
      </c>
      <c r="AG568" s="158">
        <v>71.2111111111111</v>
      </c>
      <c r="AH568" s="175"/>
      <c r="AI568" s="175"/>
      <c r="AJ568" s="156" t="s">
        <v>53</v>
      </c>
      <c r="AK568" s="140" t="s">
        <v>53</v>
      </c>
      <c r="AM568" s="152"/>
    </row>
    <row r="569" s="140" customFormat="1" ht="15" hidden="1" customHeight="1" spans="1:39">
      <c r="A569" s="140">
        <v>2017</v>
      </c>
      <c r="B569" s="140" t="s">
        <v>38</v>
      </c>
      <c r="C569" s="140" t="s">
        <v>59</v>
      </c>
      <c r="D569" s="140" t="s">
        <v>154</v>
      </c>
      <c r="E569" s="140" t="s">
        <v>107</v>
      </c>
      <c r="F569" s="140" t="s">
        <v>553</v>
      </c>
      <c r="G569" s="140" t="s">
        <v>553</v>
      </c>
      <c r="H569" s="140" t="s">
        <v>553</v>
      </c>
      <c r="I569" s="184" t="s">
        <v>204</v>
      </c>
      <c r="J569" s="140" t="s">
        <v>577</v>
      </c>
      <c r="K569" s="140" t="s">
        <v>578</v>
      </c>
      <c r="L569" s="140" t="s">
        <v>553</v>
      </c>
      <c r="M569" s="140" t="s">
        <v>46</v>
      </c>
      <c r="N569" s="157">
        <v>0.02</v>
      </c>
      <c r="O569" s="156" t="s">
        <v>51</v>
      </c>
      <c r="P569" s="156"/>
      <c r="Q569" s="158">
        <v>0</v>
      </c>
      <c r="R569" s="158">
        <v>0</v>
      </c>
      <c r="S569" s="158">
        <v>1752.05</v>
      </c>
      <c r="T569" s="158">
        <f t="shared" si="97"/>
        <v>35.041</v>
      </c>
      <c r="U569" s="158">
        <f t="shared" si="101"/>
        <v>1787.091</v>
      </c>
      <c r="V569" s="158">
        <v>20400</v>
      </c>
      <c r="W569" s="158">
        <f t="shared" si="102"/>
        <v>-18612.909</v>
      </c>
      <c r="X569" s="158">
        <f t="shared" si="98"/>
        <v>-18247.95</v>
      </c>
      <c r="Y569" s="158">
        <f t="shared" si="103"/>
        <v>-364.958999999999</v>
      </c>
      <c r="Z569" s="158">
        <v>1787.09</v>
      </c>
      <c r="AA569" s="158">
        <f t="shared" si="99"/>
        <v>18612.91</v>
      </c>
      <c r="AB569" s="167">
        <f t="shared" si="107"/>
        <v>1752.04901960784</v>
      </c>
      <c r="AC569" s="168">
        <f t="shared" si="100"/>
        <v>35.0409803921568</v>
      </c>
      <c r="AD569" s="158">
        <f>Z569*0.980277351080772</f>
        <v>1751.84385134294</v>
      </c>
      <c r="AE569" s="159">
        <v>0.1077</v>
      </c>
      <c r="AF569" s="158">
        <f t="shared" si="109"/>
        <v>188.673582789634</v>
      </c>
      <c r="AG569" s="158">
        <v>157.428612607843</v>
      </c>
      <c r="AH569" s="175"/>
      <c r="AI569" s="175"/>
      <c r="AJ569" s="156" t="s">
        <v>173</v>
      </c>
      <c r="AK569" s="140" t="s">
        <v>173</v>
      </c>
      <c r="AM569" s="152"/>
    </row>
    <row r="570" s="140" customFormat="1" ht="15" hidden="1" customHeight="1" spans="1:39">
      <c r="A570" s="140">
        <v>2017</v>
      </c>
      <c r="B570" s="140" t="s">
        <v>38</v>
      </c>
      <c r="C570" s="140" t="s">
        <v>59</v>
      </c>
      <c r="D570" s="140" t="s">
        <v>154</v>
      </c>
      <c r="E570" s="140" t="s">
        <v>107</v>
      </c>
      <c r="F570" s="140" t="s">
        <v>553</v>
      </c>
      <c r="G570" s="140" t="s">
        <v>553</v>
      </c>
      <c r="H570" s="140" t="s">
        <v>553</v>
      </c>
      <c r="I570" s="184" t="s">
        <v>204</v>
      </c>
      <c r="J570" s="140" t="s">
        <v>577</v>
      </c>
      <c r="K570" s="140" t="s">
        <v>578</v>
      </c>
      <c r="L570" s="140" t="s">
        <v>553</v>
      </c>
      <c r="M570" s="140" t="s">
        <v>185</v>
      </c>
      <c r="N570" s="157">
        <v>0.08</v>
      </c>
      <c r="O570" s="156" t="s">
        <v>51</v>
      </c>
      <c r="P570" s="156"/>
      <c r="Q570" s="158">
        <v>0</v>
      </c>
      <c r="R570" s="158">
        <v>0</v>
      </c>
      <c r="S570" s="158">
        <v>8195.54</v>
      </c>
      <c r="T570" s="158">
        <f t="shared" si="97"/>
        <v>655.6432</v>
      </c>
      <c r="U570" s="158">
        <f t="shared" si="101"/>
        <v>8851.1832</v>
      </c>
      <c r="V570" s="158">
        <v>0</v>
      </c>
      <c r="W570" s="158">
        <f t="shared" si="102"/>
        <v>8851.1832</v>
      </c>
      <c r="X570" s="158">
        <f t="shared" si="98"/>
        <v>8195.54</v>
      </c>
      <c r="Y570" s="158">
        <f t="shared" si="103"/>
        <v>655.6432</v>
      </c>
      <c r="Z570" s="158">
        <v>8412.91</v>
      </c>
      <c r="AA570" s="158">
        <f t="shared" si="99"/>
        <v>-8412.91</v>
      </c>
      <c r="AB570" s="167">
        <f t="shared" si="107"/>
        <v>7789.73148148148</v>
      </c>
      <c r="AC570" s="168">
        <f t="shared" si="100"/>
        <v>623.178518518519</v>
      </c>
      <c r="AD570" s="158">
        <f>Z570*0.980277351080772</f>
        <v>8246.98512968094</v>
      </c>
      <c r="AE570" s="159">
        <v>0.3156</v>
      </c>
      <c r="AF570" s="158">
        <f t="shared" si="109"/>
        <v>2602.7485069273</v>
      </c>
      <c r="AG570" s="158">
        <v>2031.93587748148</v>
      </c>
      <c r="AH570" s="175"/>
      <c r="AI570" s="175"/>
      <c r="AJ570" s="156" t="s">
        <v>53</v>
      </c>
      <c r="AK570" s="140" t="s">
        <v>53</v>
      </c>
      <c r="AM570" s="152"/>
    </row>
    <row r="571" s="140" customFormat="1" ht="15" hidden="1" customHeight="1" spans="1:39">
      <c r="A571" s="140">
        <v>2017</v>
      </c>
      <c r="B571" s="140" t="s">
        <v>38</v>
      </c>
      <c r="C571" s="140" t="s">
        <v>59</v>
      </c>
      <c r="D571" s="140" t="s">
        <v>154</v>
      </c>
      <c r="E571" s="140" t="s">
        <v>107</v>
      </c>
      <c r="F571" s="140" t="s">
        <v>338</v>
      </c>
      <c r="G571" s="140" t="s">
        <v>339</v>
      </c>
      <c r="H571" s="140" t="s">
        <v>339</v>
      </c>
      <c r="I571" s="184" t="s">
        <v>204</v>
      </c>
      <c r="J571" s="140" t="s">
        <v>605</v>
      </c>
      <c r="K571" s="140" t="s">
        <v>620</v>
      </c>
      <c r="L571" s="140" t="s">
        <v>338</v>
      </c>
      <c r="M571" s="140" t="s">
        <v>46</v>
      </c>
      <c r="N571" s="156">
        <v>0</v>
      </c>
      <c r="O571" s="156" t="s">
        <v>47</v>
      </c>
      <c r="P571" s="156"/>
      <c r="Q571" s="158">
        <v>0</v>
      </c>
      <c r="R571" s="158">
        <v>0</v>
      </c>
      <c r="S571" s="158">
        <v>20062.72</v>
      </c>
      <c r="T571" s="158">
        <f t="shared" si="97"/>
        <v>0</v>
      </c>
      <c r="U571" s="158">
        <f t="shared" si="101"/>
        <v>20062.72</v>
      </c>
      <c r="V571" s="158">
        <v>30000</v>
      </c>
      <c r="W571" s="158">
        <f t="shared" si="102"/>
        <v>-9937.28</v>
      </c>
      <c r="X571" s="158">
        <f t="shared" si="98"/>
        <v>-9937.28</v>
      </c>
      <c r="Y571" s="158">
        <f t="shared" si="103"/>
        <v>0</v>
      </c>
      <c r="Z571" s="158">
        <v>14897.22</v>
      </c>
      <c r="AA571" s="158">
        <f t="shared" si="99"/>
        <v>15102.78</v>
      </c>
      <c r="AB571" s="167">
        <f t="shared" si="107"/>
        <v>14897.22</v>
      </c>
      <c r="AC571" s="168">
        <f t="shared" si="100"/>
        <v>0</v>
      </c>
      <c r="AD571" s="158">
        <v>14897.22</v>
      </c>
      <c r="AE571" s="159">
        <v>0.07</v>
      </c>
      <c r="AF571" s="158">
        <f t="shared" si="109"/>
        <v>1042.8054</v>
      </c>
      <c r="AG571" s="158">
        <v>1042.8054</v>
      </c>
      <c r="AH571" s="175"/>
      <c r="AI571" s="175"/>
      <c r="AJ571" s="156" t="s">
        <v>47</v>
      </c>
      <c r="AK571" s="140" t="s">
        <v>47</v>
      </c>
      <c r="AM571" s="152"/>
    </row>
    <row r="572" s="140" customFormat="1" ht="15" hidden="1" customHeight="1" spans="1:39">
      <c r="A572" s="140">
        <v>2017</v>
      </c>
      <c r="B572" s="140" t="s">
        <v>38</v>
      </c>
      <c r="C572" s="140" t="s">
        <v>59</v>
      </c>
      <c r="D572" s="140" t="s">
        <v>720</v>
      </c>
      <c r="F572" s="152" t="s">
        <v>721</v>
      </c>
      <c r="G572" s="152" t="s">
        <v>721</v>
      </c>
      <c r="H572" s="152" t="s">
        <v>721</v>
      </c>
      <c r="I572" s="140" t="s">
        <v>170</v>
      </c>
      <c r="J572" s="140" t="s">
        <v>171</v>
      </c>
      <c r="K572" s="140" t="s">
        <v>172</v>
      </c>
      <c r="L572" s="140" t="s">
        <v>721</v>
      </c>
      <c r="M572" s="140" t="s">
        <v>185</v>
      </c>
      <c r="N572" s="157">
        <v>0.12</v>
      </c>
      <c r="O572" s="156" t="s">
        <v>51</v>
      </c>
      <c r="P572" s="156"/>
      <c r="Q572" s="158">
        <v>0</v>
      </c>
      <c r="R572" s="158">
        <v>0</v>
      </c>
      <c r="S572" s="158"/>
      <c r="T572" s="158">
        <f t="shared" si="97"/>
        <v>0</v>
      </c>
      <c r="U572" s="158">
        <f t="shared" si="101"/>
        <v>0</v>
      </c>
      <c r="V572" s="158">
        <v>15520.04</v>
      </c>
      <c r="W572" s="158">
        <f t="shared" si="102"/>
        <v>-15520.04</v>
      </c>
      <c r="X572" s="158">
        <f t="shared" si="98"/>
        <v>-13857.1785714286</v>
      </c>
      <c r="Y572" s="158">
        <f t="shared" si="103"/>
        <v>-1662.86142857143</v>
      </c>
      <c r="Z572" s="158">
        <v>130790.98</v>
      </c>
      <c r="AA572" s="158">
        <f t="shared" si="99"/>
        <v>-115270.94</v>
      </c>
      <c r="AB572" s="167">
        <f t="shared" si="107"/>
        <v>116777.660714286</v>
      </c>
      <c r="AC572" s="168">
        <f t="shared" si="100"/>
        <v>14013.3192857143</v>
      </c>
      <c r="AD572" s="158">
        <f>(Z572-Q572)*0.91072157793815</f>
        <v>119114.167685677</v>
      </c>
      <c r="AE572" s="159">
        <v>0.112691732739812</v>
      </c>
      <c r="AF572" s="158">
        <f t="shared" si="109"/>
        <v>13423.1819503595</v>
      </c>
      <c r="AG572" s="158">
        <v>-2295.50207031338</v>
      </c>
      <c r="AH572" s="175"/>
      <c r="AI572" s="175"/>
      <c r="AJ572" s="156" t="s">
        <v>117</v>
      </c>
      <c r="AK572" s="140" t="s">
        <v>193</v>
      </c>
      <c r="AL572" s="140" t="s">
        <v>174</v>
      </c>
      <c r="AM572" s="152" t="s">
        <v>208</v>
      </c>
    </row>
    <row r="573" s="140" customFormat="1" ht="15" hidden="1" customHeight="1" spans="1:39">
      <c r="A573" s="140">
        <v>2017</v>
      </c>
      <c r="B573" s="140" t="s">
        <v>199</v>
      </c>
      <c r="C573" s="140" t="s">
        <v>59</v>
      </c>
      <c r="D573" s="140" t="s">
        <v>154</v>
      </c>
      <c r="E573" s="140" t="s">
        <v>61</v>
      </c>
      <c r="F573" s="140" t="s">
        <v>467</v>
      </c>
      <c r="G573" s="140" t="s">
        <v>722</v>
      </c>
      <c r="H573" s="140" t="s">
        <v>722</v>
      </c>
      <c r="I573" s="184" t="s">
        <v>204</v>
      </c>
      <c r="J573" s="140" t="s">
        <v>577</v>
      </c>
      <c r="K573" s="140" t="s">
        <v>578</v>
      </c>
      <c r="L573" s="140" t="s">
        <v>467</v>
      </c>
      <c r="M573" s="140" t="s">
        <v>46</v>
      </c>
      <c r="N573" s="157">
        <v>0.02</v>
      </c>
      <c r="O573" s="156" t="s">
        <v>51</v>
      </c>
      <c r="P573" s="156"/>
      <c r="Q573" s="158">
        <v>0</v>
      </c>
      <c r="R573" s="158">
        <v>0</v>
      </c>
      <c r="S573" s="158">
        <v>164457.68</v>
      </c>
      <c r="T573" s="158">
        <f t="shared" si="97"/>
        <v>3289.1536</v>
      </c>
      <c r="U573" s="158">
        <f t="shared" si="101"/>
        <v>167746.8336</v>
      </c>
      <c r="V573" s="158">
        <v>204000</v>
      </c>
      <c r="W573" s="158">
        <f t="shared" si="102"/>
        <v>-36253.1664</v>
      </c>
      <c r="X573" s="158">
        <f t="shared" si="98"/>
        <v>-35542.32</v>
      </c>
      <c r="Y573" s="158">
        <f t="shared" si="103"/>
        <v>-710.846400000002</v>
      </c>
      <c r="Z573" s="158">
        <v>167746.83</v>
      </c>
      <c r="AA573" s="158">
        <f t="shared" si="99"/>
        <v>36253.17</v>
      </c>
      <c r="AB573" s="167">
        <f t="shared" si="107"/>
        <v>164457.676470588</v>
      </c>
      <c r="AC573" s="168">
        <f t="shared" si="100"/>
        <v>3289.15352941176</v>
      </c>
      <c r="AD573" s="158">
        <f t="shared" ref="AD573:AD580" si="110">Z573*0.980277351080772</f>
        <v>164438.418164597</v>
      </c>
      <c r="AE573" s="159">
        <v>0.1077</v>
      </c>
      <c r="AF573" s="158">
        <f t="shared" si="109"/>
        <v>17710.0176363271</v>
      </c>
      <c r="AG573" s="158">
        <v>14777.1800615882</v>
      </c>
      <c r="AH573" s="175"/>
      <c r="AI573" s="175"/>
      <c r="AJ573" s="156" t="s">
        <v>173</v>
      </c>
      <c r="AK573" s="140" t="s">
        <v>173</v>
      </c>
      <c r="AM573" s="152"/>
    </row>
    <row r="574" s="140" customFormat="1" ht="15" hidden="1" customHeight="1" spans="1:39">
      <c r="A574" s="140">
        <v>2017</v>
      </c>
      <c r="B574" s="140" t="s">
        <v>199</v>
      </c>
      <c r="C574" s="140" t="s">
        <v>59</v>
      </c>
      <c r="D574" s="140" t="s">
        <v>154</v>
      </c>
      <c r="E574" s="140" t="s">
        <v>61</v>
      </c>
      <c r="F574" s="140" t="s">
        <v>467</v>
      </c>
      <c r="G574" s="140" t="s">
        <v>722</v>
      </c>
      <c r="H574" s="140" t="s">
        <v>722</v>
      </c>
      <c r="I574" s="184" t="s">
        <v>204</v>
      </c>
      <c r="J574" s="140" t="s">
        <v>577</v>
      </c>
      <c r="K574" s="140" t="s">
        <v>578</v>
      </c>
      <c r="L574" s="140" t="s">
        <v>467</v>
      </c>
      <c r="M574" s="140" t="s">
        <v>185</v>
      </c>
      <c r="N574" s="157">
        <v>0.08</v>
      </c>
      <c r="O574" s="156" t="s">
        <v>51</v>
      </c>
      <c r="P574" s="156"/>
      <c r="Q574" s="158">
        <v>0</v>
      </c>
      <c r="R574" s="158">
        <v>0</v>
      </c>
      <c r="S574" s="158">
        <v>35076.15</v>
      </c>
      <c r="T574" s="158">
        <f t="shared" si="97"/>
        <v>2806.092</v>
      </c>
      <c r="U574" s="158">
        <f t="shared" si="101"/>
        <v>37882.242</v>
      </c>
      <c r="V574" s="158">
        <v>0</v>
      </c>
      <c r="W574" s="158">
        <f t="shared" si="102"/>
        <v>37882.242</v>
      </c>
      <c r="X574" s="158">
        <f t="shared" si="98"/>
        <v>35076.15</v>
      </c>
      <c r="Y574" s="158">
        <f t="shared" si="103"/>
        <v>2806.092</v>
      </c>
      <c r="Z574" s="158">
        <v>36253.17</v>
      </c>
      <c r="AA574" s="158">
        <f t="shared" si="99"/>
        <v>-36253.17</v>
      </c>
      <c r="AB574" s="167">
        <f t="shared" si="107"/>
        <v>33567.75</v>
      </c>
      <c r="AC574" s="168">
        <f t="shared" si="100"/>
        <v>2685.42000000001</v>
      </c>
      <c r="AD574" s="158">
        <f t="shared" si="110"/>
        <v>35538.1614558809</v>
      </c>
      <c r="AE574" s="159">
        <v>0.3156</v>
      </c>
      <c r="AF574" s="158">
        <f t="shared" si="109"/>
        <v>11215.843755476</v>
      </c>
      <c r="AG574" s="158">
        <v>8756.08045199999</v>
      </c>
      <c r="AH574" s="175"/>
      <c r="AI574" s="175"/>
      <c r="AJ574" s="156" t="s">
        <v>53</v>
      </c>
      <c r="AK574" s="140" t="s">
        <v>53</v>
      </c>
      <c r="AM574" s="152"/>
    </row>
    <row r="575" s="140" customFormat="1" ht="15" hidden="1" customHeight="1" spans="1:39">
      <c r="A575" s="140">
        <v>2017</v>
      </c>
      <c r="B575" s="140" t="s">
        <v>38</v>
      </c>
      <c r="C575" s="140" t="s">
        <v>59</v>
      </c>
      <c r="D575" s="140" t="s">
        <v>154</v>
      </c>
      <c r="E575" s="140" t="s">
        <v>61</v>
      </c>
      <c r="F575" s="140" t="s">
        <v>723</v>
      </c>
      <c r="G575" s="140" t="s">
        <v>723</v>
      </c>
      <c r="H575" s="140" t="s">
        <v>723</v>
      </c>
      <c r="I575" s="184" t="s">
        <v>204</v>
      </c>
      <c r="J575" s="140" t="s">
        <v>577</v>
      </c>
      <c r="K575" s="140" t="s">
        <v>578</v>
      </c>
      <c r="L575" s="140" t="s">
        <v>723</v>
      </c>
      <c r="M575" s="140" t="s">
        <v>46</v>
      </c>
      <c r="N575" s="157">
        <v>0.02</v>
      </c>
      <c r="O575" s="156" t="s">
        <v>51</v>
      </c>
      <c r="P575" s="156"/>
      <c r="Q575" s="158">
        <v>0</v>
      </c>
      <c r="R575" s="158">
        <v>0</v>
      </c>
      <c r="S575" s="158">
        <v>45111.09</v>
      </c>
      <c r="T575" s="158">
        <f t="shared" si="97"/>
        <v>902.2218</v>
      </c>
      <c r="U575" s="158">
        <f t="shared" si="101"/>
        <v>46013.3118</v>
      </c>
      <c r="V575" s="158">
        <v>51000</v>
      </c>
      <c r="W575" s="158">
        <f t="shared" si="102"/>
        <v>-4986.6882</v>
      </c>
      <c r="X575" s="158">
        <f t="shared" si="98"/>
        <v>-4888.91</v>
      </c>
      <c r="Y575" s="158">
        <f t="shared" si="103"/>
        <v>-97.7781999999997</v>
      </c>
      <c r="Z575" s="158">
        <v>46013.31</v>
      </c>
      <c r="AA575" s="158">
        <f t="shared" si="99"/>
        <v>4986.69</v>
      </c>
      <c r="AB575" s="167">
        <f t="shared" si="107"/>
        <v>45111.0882352941</v>
      </c>
      <c r="AC575" s="168">
        <f t="shared" si="100"/>
        <v>902.221764705886</v>
      </c>
      <c r="AD575" s="158">
        <f t="shared" si="110"/>
        <v>45105.8056412584</v>
      </c>
      <c r="AE575" s="159">
        <v>0.1077</v>
      </c>
      <c r="AF575" s="158">
        <f t="shared" si="109"/>
        <v>4857.89526756353</v>
      </c>
      <c r="AG575" s="158">
        <v>4053.41172229411</v>
      </c>
      <c r="AH575" s="175"/>
      <c r="AI575" s="175"/>
      <c r="AJ575" s="156" t="s">
        <v>173</v>
      </c>
      <c r="AK575" s="140" t="s">
        <v>173</v>
      </c>
      <c r="AM575" s="152"/>
    </row>
    <row r="576" s="140" customFormat="1" ht="15" hidden="1" customHeight="1" spans="1:39">
      <c r="A576" s="140">
        <v>2017</v>
      </c>
      <c r="B576" s="140" t="s">
        <v>38</v>
      </c>
      <c r="C576" s="140" t="s">
        <v>59</v>
      </c>
      <c r="D576" s="140" t="s">
        <v>154</v>
      </c>
      <c r="E576" s="140" t="s">
        <v>61</v>
      </c>
      <c r="F576" s="140" t="s">
        <v>724</v>
      </c>
      <c r="G576" s="140" t="s">
        <v>724</v>
      </c>
      <c r="H576" s="140" t="s">
        <v>724</v>
      </c>
      <c r="I576" s="184" t="s">
        <v>204</v>
      </c>
      <c r="J576" s="140" t="s">
        <v>577</v>
      </c>
      <c r="K576" s="140" t="s">
        <v>578</v>
      </c>
      <c r="L576" s="140" t="s">
        <v>724</v>
      </c>
      <c r="M576" s="140" t="s">
        <v>46</v>
      </c>
      <c r="N576" s="157">
        <v>0.02</v>
      </c>
      <c r="O576" s="156" t="s">
        <v>51</v>
      </c>
      <c r="P576" s="156"/>
      <c r="Q576" s="158">
        <v>0</v>
      </c>
      <c r="R576" s="158">
        <v>0</v>
      </c>
      <c r="S576" s="158">
        <v>350316.85</v>
      </c>
      <c r="T576" s="158">
        <f t="shared" si="97"/>
        <v>7006.337</v>
      </c>
      <c r="U576" s="158">
        <f t="shared" si="101"/>
        <v>357323.187</v>
      </c>
      <c r="V576" s="158">
        <v>183600</v>
      </c>
      <c r="W576" s="158">
        <f t="shared" si="102"/>
        <v>173723.187</v>
      </c>
      <c r="X576" s="158">
        <f t="shared" si="98"/>
        <v>170316.85</v>
      </c>
      <c r="Y576" s="158">
        <f t="shared" si="103"/>
        <v>3406.337</v>
      </c>
      <c r="Z576" s="158">
        <v>96223.91</v>
      </c>
      <c r="AA576" s="158">
        <f t="shared" si="99"/>
        <v>87376.09</v>
      </c>
      <c r="AB576" s="167">
        <f t="shared" si="107"/>
        <v>94337.1666666667</v>
      </c>
      <c r="AC576" s="168">
        <f t="shared" si="100"/>
        <v>1886.74333333333</v>
      </c>
      <c r="AD576" s="158">
        <f t="shared" si="110"/>
        <v>94326.1196054346</v>
      </c>
      <c r="AE576" s="159">
        <v>0.1077</v>
      </c>
      <c r="AF576" s="158">
        <f t="shared" si="109"/>
        <v>10158.9230815053</v>
      </c>
      <c r="AG576" s="158">
        <v>8476.57177366667</v>
      </c>
      <c r="AH576" s="175"/>
      <c r="AI576" s="175"/>
      <c r="AJ576" s="156" t="s">
        <v>173</v>
      </c>
      <c r="AK576" s="140" t="s">
        <v>173</v>
      </c>
      <c r="AM576" s="152"/>
    </row>
    <row r="577" s="140" customFormat="1" ht="15" hidden="1" customHeight="1" spans="1:39">
      <c r="A577" s="140">
        <v>2017</v>
      </c>
      <c r="B577" s="140" t="s">
        <v>38</v>
      </c>
      <c r="C577" s="140" t="s">
        <v>59</v>
      </c>
      <c r="D577" s="140" t="s">
        <v>154</v>
      </c>
      <c r="E577" s="140" t="s">
        <v>61</v>
      </c>
      <c r="F577" s="140" t="s">
        <v>724</v>
      </c>
      <c r="G577" s="140" t="s">
        <v>725</v>
      </c>
      <c r="H577" s="140" t="s">
        <v>725</v>
      </c>
      <c r="I577" s="184" t="s">
        <v>204</v>
      </c>
      <c r="J577" s="140" t="s">
        <v>577</v>
      </c>
      <c r="K577" s="140" t="s">
        <v>578</v>
      </c>
      <c r="L577" s="140" t="s">
        <v>724</v>
      </c>
      <c r="M577" s="140" t="s">
        <v>185</v>
      </c>
      <c r="N577" s="157">
        <v>0.08</v>
      </c>
      <c r="O577" s="156" t="s">
        <v>51</v>
      </c>
      <c r="P577" s="156"/>
      <c r="Q577" s="158">
        <v>0</v>
      </c>
      <c r="R577" s="158">
        <v>0</v>
      </c>
      <c r="S577" s="158">
        <v>247081.46</v>
      </c>
      <c r="T577" s="158">
        <f t="shared" si="97"/>
        <v>19766.5168</v>
      </c>
      <c r="U577" s="158">
        <f t="shared" si="101"/>
        <v>266847.9768</v>
      </c>
      <c r="V577" s="158">
        <v>0</v>
      </c>
      <c r="W577" s="158">
        <f t="shared" si="102"/>
        <v>266847.9768</v>
      </c>
      <c r="X577" s="158">
        <f t="shared" si="98"/>
        <v>247081.46</v>
      </c>
      <c r="Y577" s="158">
        <f t="shared" si="103"/>
        <v>19766.5168</v>
      </c>
      <c r="Z577" s="158">
        <v>40745.13</v>
      </c>
      <c r="AA577" s="158">
        <f t="shared" si="99"/>
        <v>-40745.13</v>
      </c>
      <c r="AB577" s="167">
        <f t="shared" si="107"/>
        <v>37726.9722222222</v>
      </c>
      <c r="AC577" s="168">
        <f t="shared" si="100"/>
        <v>3018.15777777778</v>
      </c>
      <c r="AD577" s="158">
        <f t="shared" si="110"/>
        <v>39941.5281058417</v>
      </c>
      <c r="AE577" s="159">
        <v>0.3156</v>
      </c>
      <c r="AF577" s="158">
        <f t="shared" si="109"/>
        <v>12605.5462702036</v>
      </c>
      <c r="AG577" s="158">
        <v>9841.00525022222</v>
      </c>
      <c r="AH577" s="175"/>
      <c r="AI577" s="175"/>
      <c r="AJ577" s="156" t="s">
        <v>53</v>
      </c>
      <c r="AK577" s="140" t="s">
        <v>53</v>
      </c>
      <c r="AM577" s="152"/>
    </row>
    <row r="578" s="140" customFormat="1" ht="15" hidden="1" customHeight="1" spans="1:39">
      <c r="A578" s="140">
        <v>2017</v>
      </c>
      <c r="B578" s="140" t="s">
        <v>38</v>
      </c>
      <c r="C578" s="140" t="s">
        <v>59</v>
      </c>
      <c r="D578" s="140" t="s">
        <v>154</v>
      </c>
      <c r="E578" s="140" t="s">
        <v>468</v>
      </c>
      <c r="F578" s="140" t="s">
        <v>726</v>
      </c>
      <c r="G578" s="140" t="s">
        <v>726</v>
      </c>
      <c r="H578" s="140" t="s">
        <v>726</v>
      </c>
      <c r="I578" s="184" t="s">
        <v>204</v>
      </c>
      <c r="J578" s="140" t="s">
        <v>577</v>
      </c>
      <c r="K578" s="140" t="s">
        <v>578</v>
      </c>
      <c r="L578" s="140" t="s">
        <v>726</v>
      </c>
      <c r="M578" s="140" t="s">
        <v>46</v>
      </c>
      <c r="N578" s="157">
        <v>0.02</v>
      </c>
      <c r="O578" s="156" t="s">
        <v>51</v>
      </c>
      <c r="P578" s="156"/>
      <c r="Q578" s="158">
        <v>0</v>
      </c>
      <c r="R578" s="158">
        <v>0</v>
      </c>
      <c r="S578" s="158">
        <v>11433.93</v>
      </c>
      <c r="T578" s="158">
        <f t="shared" ref="T578:T641" si="111">S578*N578</f>
        <v>228.6786</v>
      </c>
      <c r="U578" s="158">
        <f t="shared" si="101"/>
        <v>11662.6086</v>
      </c>
      <c r="V578" s="158">
        <v>20400</v>
      </c>
      <c r="W578" s="158">
        <f t="shared" si="102"/>
        <v>-8737.3914</v>
      </c>
      <c r="X578" s="158">
        <f t="shared" ref="X578:X641" si="112">W578/(1+N578)</f>
        <v>-8566.07</v>
      </c>
      <c r="Y578" s="158">
        <f t="shared" si="103"/>
        <v>-171.321400000001</v>
      </c>
      <c r="Z578" s="158">
        <v>11662.61</v>
      </c>
      <c r="AA578" s="158">
        <f t="shared" ref="AA578:AA641" si="113">Q578+V578-Z578</f>
        <v>8737.39</v>
      </c>
      <c r="AB578" s="167">
        <f t="shared" si="107"/>
        <v>11433.931372549</v>
      </c>
      <c r="AC578" s="168">
        <f t="shared" ref="AC578:AC641" si="114">IF(O578="返现",Z578*N578,Z578-AB578)</f>
        <v>228.678627450981</v>
      </c>
      <c r="AD578" s="158">
        <f t="shared" si="110"/>
        <v>11432.5924374881</v>
      </c>
      <c r="AE578" s="159">
        <v>0.1077</v>
      </c>
      <c r="AF578" s="158">
        <f t="shared" si="109"/>
        <v>1231.29020551747</v>
      </c>
      <c r="AG578" s="158">
        <v>1027.38446954902</v>
      </c>
      <c r="AH578" s="175"/>
      <c r="AI578" s="175"/>
      <c r="AJ578" s="156" t="s">
        <v>173</v>
      </c>
      <c r="AK578" s="140" t="s">
        <v>173</v>
      </c>
      <c r="AM578" s="152"/>
    </row>
    <row r="579" s="140" customFormat="1" ht="15" hidden="1" customHeight="1" spans="1:39">
      <c r="A579" s="140">
        <v>2017</v>
      </c>
      <c r="B579" s="140" t="s">
        <v>38</v>
      </c>
      <c r="C579" s="140" t="s">
        <v>59</v>
      </c>
      <c r="D579" s="140" t="s">
        <v>154</v>
      </c>
      <c r="E579" s="140" t="s">
        <v>468</v>
      </c>
      <c r="F579" s="140" t="s">
        <v>726</v>
      </c>
      <c r="G579" s="140" t="s">
        <v>726</v>
      </c>
      <c r="H579" s="140" t="s">
        <v>726</v>
      </c>
      <c r="I579" s="184" t="s">
        <v>204</v>
      </c>
      <c r="J579" s="140" t="s">
        <v>577</v>
      </c>
      <c r="K579" s="140" t="s">
        <v>578</v>
      </c>
      <c r="L579" s="140" t="s">
        <v>726</v>
      </c>
      <c r="M579" s="140" t="s">
        <v>185</v>
      </c>
      <c r="N579" s="157">
        <v>0.08</v>
      </c>
      <c r="O579" s="156" t="s">
        <v>51</v>
      </c>
      <c r="P579" s="156"/>
      <c r="Q579" s="158">
        <v>0</v>
      </c>
      <c r="R579" s="158">
        <v>0</v>
      </c>
      <c r="S579" s="158">
        <v>4386.83</v>
      </c>
      <c r="T579" s="158">
        <f t="shared" si="111"/>
        <v>350.9464</v>
      </c>
      <c r="U579" s="158">
        <f t="shared" ref="U579:U642" si="115">R579+S579+T579</f>
        <v>4737.7764</v>
      </c>
      <c r="V579" s="158">
        <v>0</v>
      </c>
      <c r="W579" s="158">
        <f t="shared" ref="W579:W642" si="116">U579-V579</f>
        <v>4737.7764</v>
      </c>
      <c r="X579" s="158">
        <f t="shared" si="112"/>
        <v>4386.83</v>
      </c>
      <c r="Y579" s="158">
        <f t="shared" ref="Y579:Y642" si="117">W579-X579</f>
        <v>350.946400000001</v>
      </c>
      <c r="Z579" s="158">
        <v>4474.57</v>
      </c>
      <c r="AA579" s="158">
        <f t="shared" si="113"/>
        <v>-4474.57</v>
      </c>
      <c r="AB579" s="167">
        <f t="shared" si="107"/>
        <v>4143.12037037037</v>
      </c>
      <c r="AC579" s="168">
        <f t="shared" si="114"/>
        <v>331.44962962963</v>
      </c>
      <c r="AD579" s="158">
        <f t="shared" si="110"/>
        <v>4386.31962682549</v>
      </c>
      <c r="AE579" s="159">
        <v>0.3156</v>
      </c>
      <c r="AF579" s="158">
        <f t="shared" si="109"/>
        <v>1384.32247422612</v>
      </c>
      <c r="AG579" s="158">
        <v>1080.72466237037</v>
      </c>
      <c r="AH579" s="175"/>
      <c r="AI579" s="175"/>
      <c r="AJ579" s="156" t="s">
        <v>53</v>
      </c>
      <c r="AK579" s="140" t="s">
        <v>53</v>
      </c>
      <c r="AM579" s="152"/>
    </row>
    <row r="580" s="140" customFormat="1" ht="15" hidden="1" customHeight="1" spans="1:39">
      <c r="A580" s="140">
        <v>2017</v>
      </c>
      <c r="B580" s="140" t="s">
        <v>199</v>
      </c>
      <c r="C580" s="140" t="s">
        <v>59</v>
      </c>
      <c r="D580" s="140" t="s">
        <v>154</v>
      </c>
      <c r="E580" s="140" t="s">
        <v>192</v>
      </c>
      <c r="F580" s="140" t="s">
        <v>727</v>
      </c>
      <c r="G580" s="140" t="s">
        <v>728</v>
      </c>
      <c r="H580" s="140" t="s">
        <v>728</v>
      </c>
      <c r="I580" s="184" t="s">
        <v>204</v>
      </c>
      <c r="J580" s="140" t="s">
        <v>577</v>
      </c>
      <c r="K580" s="140" t="s">
        <v>578</v>
      </c>
      <c r="L580" s="140" t="s">
        <v>727</v>
      </c>
      <c r="M580" s="140" t="s">
        <v>46</v>
      </c>
      <c r="N580" s="157">
        <v>0.02</v>
      </c>
      <c r="O580" s="156" t="s">
        <v>51</v>
      </c>
      <c r="P580" s="156"/>
      <c r="Q580" s="158">
        <v>0</v>
      </c>
      <c r="R580" s="158">
        <v>0</v>
      </c>
      <c r="S580" s="158">
        <v>10000</v>
      </c>
      <c r="T580" s="158">
        <f t="shared" si="111"/>
        <v>200</v>
      </c>
      <c r="U580" s="158">
        <f t="shared" si="115"/>
        <v>10200</v>
      </c>
      <c r="V580" s="158">
        <v>10200</v>
      </c>
      <c r="W580" s="158">
        <f t="shared" si="116"/>
        <v>0</v>
      </c>
      <c r="X580" s="158">
        <f t="shared" si="112"/>
        <v>0</v>
      </c>
      <c r="Y580" s="158">
        <f t="shared" si="117"/>
        <v>0</v>
      </c>
      <c r="Z580" s="158">
        <v>5551.26</v>
      </c>
      <c r="AA580" s="158">
        <f t="shared" si="113"/>
        <v>4648.74</v>
      </c>
      <c r="AB580" s="167">
        <f t="shared" si="107"/>
        <v>5442.41176470588</v>
      </c>
      <c r="AC580" s="168">
        <f t="shared" si="114"/>
        <v>108.848235294117</v>
      </c>
      <c r="AD580" s="158">
        <f t="shared" si="110"/>
        <v>5441.77444796065</v>
      </c>
      <c r="AE580" s="159">
        <v>0.1077</v>
      </c>
      <c r="AF580" s="158">
        <f t="shared" si="109"/>
        <v>586.079108045362</v>
      </c>
      <c r="AG580" s="158">
        <v>489.022466705883</v>
      </c>
      <c r="AH580" s="175"/>
      <c r="AI580" s="175"/>
      <c r="AJ580" s="156" t="s">
        <v>173</v>
      </c>
      <c r="AK580" s="140" t="s">
        <v>173</v>
      </c>
      <c r="AM580" s="152"/>
    </row>
    <row r="581" s="140" customFormat="1" ht="15" hidden="1" customHeight="1" spans="1:39">
      <c r="A581" s="140">
        <v>2017</v>
      </c>
      <c r="B581" s="140" t="s">
        <v>199</v>
      </c>
      <c r="C581" s="140" t="s">
        <v>59</v>
      </c>
      <c r="D581" s="140" t="s">
        <v>729</v>
      </c>
      <c r="E581" s="140" t="s">
        <v>131</v>
      </c>
      <c r="F581" s="140" t="s">
        <v>730</v>
      </c>
      <c r="G581" s="140" t="s">
        <v>731</v>
      </c>
      <c r="H581" s="140" t="s">
        <v>731</v>
      </c>
      <c r="I581" s="184" t="s">
        <v>204</v>
      </c>
      <c r="J581" s="140" t="s">
        <v>605</v>
      </c>
      <c r="K581" s="140" t="s">
        <v>641</v>
      </c>
      <c r="L581" s="140" t="s">
        <v>730</v>
      </c>
      <c r="M581" s="140" t="s">
        <v>46</v>
      </c>
      <c r="N581" s="156">
        <v>0</v>
      </c>
      <c r="O581" s="156" t="s">
        <v>47</v>
      </c>
      <c r="P581" s="156"/>
      <c r="Q581" s="158">
        <v>0</v>
      </c>
      <c r="R581" s="158">
        <v>0</v>
      </c>
      <c r="S581" s="158">
        <v>17.5499999999993</v>
      </c>
      <c r="T581" s="158">
        <f t="shared" si="111"/>
        <v>0</v>
      </c>
      <c r="U581" s="158">
        <f t="shared" si="115"/>
        <v>17.5499999999993</v>
      </c>
      <c r="V581" s="158">
        <v>10000</v>
      </c>
      <c r="W581" s="158">
        <f t="shared" si="116"/>
        <v>-9982.45</v>
      </c>
      <c r="X581" s="158">
        <f t="shared" si="112"/>
        <v>-9982.45</v>
      </c>
      <c r="Y581" s="158">
        <f t="shared" si="117"/>
        <v>0</v>
      </c>
      <c r="Z581" s="158">
        <v>17.55</v>
      </c>
      <c r="AA581" s="158">
        <f t="shared" si="113"/>
        <v>9982.45</v>
      </c>
      <c r="AB581" s="167">
        <f t="shared" si="107"/>
        <v>17.55</v>
      </c>
      <c r="AC581" s="168">
        <f t="shared" si="114"/>
        <v>0</v>
      </c>
      <c r="AD581" s="158">
        <v>17.55</v>
      </c>
      <c r="AE581" s="159">
        <v>0.07</v>
      </c>
      <c r="AF581" s="158">
        <f t="shared" si="109"/>
        <v>1.2285</v>
      </c>
      <c r="AG581" s="158">
        <v>1.2285</v>
      </c>
      <c r="AH581" s="175"/>
      <c r="AI581" s="175"/>
      <c r="AJ581" s="156" t="s">
        <v>47</v>
      </c>
      <c r="AK581" s="140" t="s">
        <v>47</v>
      </c>
      <c r="AM581" s="152"/>
    </row>
    <row r="582" s="140" customFormat="1" ht="15" hidden="1" customHeight="1" spans="1:39">
      <c r="A582" s="140">
        <v>2017</v>
      </c>
      <c r="B582" s="140" t="s">
        <v>38</v>
      </c>
      <c r="C582" s="140" t="s">
        <v>59</v>
      </c>
      <c r="D582" s="140" t="s">
        <v>729</v>
      </c>
      <c r="E582" s="140" t="s">
        <v>131</v>
      </c>
      <c r="F582" s="140" t="s">
        <v>732</v>
      </c>
      <c r="G582" s="140" t="s">
        <v>732</v>
      </c>
      <c r="H582" s="140" t="s">
        <v>732</v>
      </c>
      <c r="I582" s="184" t="s">
        <v>204</v>
      </c>
      <c r="J582" s="140" t="s">
        <v>605</v>
      </c>
      <c r="K582" s="140" t="s">
        <v>641</v>
      </c>
      <c r="L582" s="140" t="s">
        <v>732</v>
      </c>
      <c r="M582" s="140" t="s">
        <v>46</v>
      </c>
      <c r="N582" s="156">
        <v>0</v>
      </c>
      <c r="O582" s="156" t="s">
        <v>47</v>
      </c>
      <c r="P582" s="156"/>
      <c r="Q582" s="158">
        <v>0</v>
      </c>
      <c r="R582" s="158">
        <v>0</v>
      </c>
      <c r="S582" s="158">
        <v>38</v>
      </c>
      <c r="T582" s="158">
        <f t="shared" si="111"/>
        <v>0</v>
      </c>
      <c r="U582" s="158">
        <f t="shared" si="115"/>
        <v>38</v>
      </c>
      <c r="V582" s="158">
        <v>20000</v>
      </c>
      <c r="W582" s="158">
        <f t="shared" si="116"/>
        <v>-19962</v>
      </c>
      <c r="X582" s="158">
        <f t="shared" si="112"/>
        <v>-19962</v>
      </c>
      <c r="Y582" s="158">
        <f t="shared" si="117"/>
        <v>0</v>
      </c>
      <c r="Z582" s="158">
        <v>0</v>
      </c>
      <c r="AA582" s="158">
        <f t="shared" si="113"/>
        <v>20000</v>
      </c>
      <c r="AB582" s="167">
        <f t="shared" si="107"/>
        <v>0</v>
      </c>
      <c r="AC582" s="168">
        <f t="shared" si="114"/>
        <v>0</v>
      </c>
      <c r="AD582" s="158">
        <v>0</v>
      </c>
      <c r="AE582" s="159">
        <v>0.07</v>
      </c>
      <c r="AF582" s="158">
        <f t="shared" si="109"/>
        <v>0</v>
      </c>
      <c r="AG582" s="158">
        <v>0</v>
      </c>
      <c r="AH582" s="175"/>
      <c r="AI582" s="175"/>
      <c r="AJ582" s="156" t="s">
        <v>47</v>
      </c>
      <c r="AK582" s="140" t="s">
        <v>47</v>
      </c>
      <c r="AM582" s="152"/>
    </row>
    <row r="583" s="140" customFormat="1" ht="15" hidden="1" customHeight="1" spans="1:39">
      <c r="A583" s="140">
        <v>2017</v>
      </c>
      <c r="B583" s="140" t="s">
        <v>38</v>
      </c>
      <c r="C583" s="140" t="s">
        <v>59</v>
      </c>
      <c r="D583" s="140" t="s">
        <v>729</v>
      </c>
      <c r="E583" s="140" t="s">
        <v>131</v>
      </c>
      <c r="F583" s="140" t="s">
        <v>733</v>
      </c>
      <c r="G583" s="140" t="s">
        <v>733</v>
      </c>
      <c r="H583" s="140" t="s">
        <v>733</v>
      </c>
      <c r="I583" s="184" t="s">
        <v>204</v>
      </c>
      <c r="J583" s="140" t="s">
        <v>577</v>
      </c>
      <c r="K583" s="140" t="s">
        <v>578</v>
      </c>
      <c r="L583" s="140" t="s">
        <v>733</v>
      </c>
      <c r="M583" s="140" t="s">
        <v>46</v>
      </c>
      <c r="N583" s="157">
        <v>0.02</v>
      </c>
      <c r="O583" s="156" t="s">
        <v>51</v>
      </c>
      <c r="P583" s="156"/>
      <c r="Q583" s="158">
        <v>545</v>
      </c>
      <c r="R583" s="158">
        <v>0</v>
      </c>
      <c r="S583" s="158">
        <v>195236.3</v>
      </c>
      <c r="T583" s="158">
        <f t="shared" si="111"/>
        <v>3904.726</v>
      </c>
      <c r="U583" s="158">
        <f t="shared" si="115"/>
        <v>199141.026</v>
      </c>
      <c r="V583" s="158">
        <v>312266.22</v>
      </c>
      <c r="W583" s="158">
        <f t="shared" si="116"/>
        <v>-113125.194</v>
      </c>
      <c r="X583" s="158">
        <f t="shared" si="112"/>
        <v>-110907.052941176</v>
      </c>
      <c r="Y583" s="158">
        <f t="shared" si="117"/>
        <v>-2218.14105882353</v>
      </c>
      <c r="Z583" s="158">
        <v>200747.26</v>
      </c>
      <c r="AA583" s="158">
        <f t="shared" si="113"/>
        <v>112063.96</v>
      </c>
      <c r="AB583" s="167">
        <f>IF(O583="返货",(Z583-Q583)/(1+N583),IF(O583="返现",(Z583-Q583),IF(O583="折扣",(Z583-Q583)*N583,IF(O583="无",(Z583-Q583)))))</f>
        <v>196276.725490196</v>
      </c>
      <c r="AC583" s="168">
        <f t="shared" si="114"/>
        <v>4470.53450980393</v>
      </c>
      <c r="AD583" s="158">
        <f t="shared" ref="AD583:AD614" si="118">Z583*0.980277351080772</f>
        <v>196787.992269523</v>
      </c>
      <c r="AE583" s="159">
        <v>0.1077</v>
      </c>
      <c r="AF583" s="158">
        <f t="shared" si="109"/>
        <v>21194.0667674276</v>
      </c>
      <c r="AG583" s="158">
        <v>17684.2591176863</v>
      </c>
      <c r="AH583" s="175"/>
      <c r="AI583" s="175"/>
      <c r="AJ583" s="156" t="s">
        <v>173</v>
      </c>
      <c r="AK583" s="140" t="s">
        <v>173</v>
      </c>
      <c r="AM583" s="152"/>
    </row>
    <row r="584" s="140" customFormat="1" ht="15" hidden="1" customHeight="1" spans="1:39">
      <c r="A584" s="140">
        <v>2017</v>
      </c>
      <c r="B584" s="140" t="s">
        <v>38</v>
      </c>
      <c r="C584" s="140" t="s">
        <v>59</v>
      </c>
      <c r="D584" s="140" t="s">
        <v>729</v>
      </c>
      <c r="E584" s="140" t="s">
        <v>131</v>
      </c>
      <c r="F584" s="140" t="s">
        <v>733</v>
      </c>
      <c r="G584" s="140" t="s">
        <v>733</v>
      </c>
      <c r="H584" s="140" t="s">
        <v>733</v>
      </c>
      <c r="I584" s="184" t="s">
        <v>204</v>
      </c>
      <c r="J584" s="140" t="s">
        <v>577</v>
      </c>
      <c r="K584" s="140" t="s">
        <v>578</v>
      </c>
      <c r="L584" s="140" t="s">
        <v>733</v>
      </c>
      <c r="M584" s="140" t="s">
        <v>185</v>
      </c>
      <c r="N584" s="157">
        <v>0.08</v>
      </c>
      <c r="O584" s="156" t="s">
        <v>51</v>
      </c>
      <c r="P584" s="156"/>
      <c r="Q584" s="158">
        <v>44363.31</v>
      </c>
      <c r="R584" s="158">
        <v>0</v>
      </c>
      <c r="S584" s="158">
        <v>73977.75</v>
      </c>
      <c r="T584" s="158">
        <f t="shared" si="111"/>
        <v>5918.22</v>
      </c>
      <c r="U584" s="158">
        <f t="shared" si="115"/>
        <v>79895.97</v>
      </c>
      <c r="V584" s="158">
        <v>0</v>
      </c>
      <c r="W584" s="158">
        <f t="shared" si="116"/>
        <v>79895.97</v>
      </c>
      <c r="X584" s="158">
        <f t="shared" si="112"/>
        <v>73977.75</v>
      </c>
      <c r="Y584" s="158">
        <f t="shared" si="117"/>
        <v>5918.22</v>
      </c>
      <c r="Z584" s="158">
        <v>125641.33</v>
      </c>
      <c r="AA584" s="158">
        <f t="shared" si="113"/>
        <v>-81278.02</v>
      </c>
      <c r="AB584" s="167">
        <f>IF(O584="返货",(Z584-Q584)/(1+N584),IF(O584="返现",(Z584-Q584),IF(O584="折扣",(Z584-Q584)*N584,IF(O584="无",(Z584-Q584)))))</f>
        <v>75257.4259259259</v>
      </c>
      <c r="AC584" s="168">
        <f t="shared" si="114"/>
        <v>50383.9040740741</v>
      </c>
      <c r="AD584" s="158">
        <f t="shared" si="118"/>
        <v>123163.350158665</v>
      </c>
      <c r="AE584" s="159">
        <v>0.3156</v>
      </c>
      <c r="AF584" s="158">
        <f t="shared" si="109"/>
        <v>38870.3533100747</v>
      </c>
      <c r="AG584" s="158">
        <v>30345.6385628148</v>
      </c>
      <c r="AH584" s="175"/>
      <c r="AI584" s="175"/>
      <c r="AJ584" s="156" t="s">
        <v>53</v>
      </c>
      <c r="AK584" s="140" t="s">
        <v>53</v>
      </c>
      <c r="AM584" s="152"/>
    </row>
    <row r="585" s="140" customFormat="1" ht="15" hidden="1" customHeight="1" spans="1:39">
      <c r="A585" s="140">
        <v>2017</v>
      </c>
      <c r="B585" s="140" t="s">
        <v>199</v>
      </c>
      <c r="C585" s="140" t="s">
        <v>59</v>
      </c>
      <c r="D585" s="140" t="s">
        <v>181</v>
      </c>
      <c r="E585" s="140" t="s">
        <v>61</v>
      </c>
      <c r="F585" s="140" t="s">
        <v>734</v>
      </c>
      <c r="G585" s="140" t="s">
        <v>735</v>
      </c>
      <c r="H585" s="140" t="s">
        <v>735</v>
      </c>
      <c r="I585" s="184" t="s">
        <v>204</v>
      </c>
      <c r="J585" s="140" t="s">
        <v>577</v>
      </c>
      <c r="K585" s="140" t="s">
        <v>578</v>
      </c>
      <c r="L585" s="140" t="s">
        <v>736</v>
      </c>
      <c r="M585" s="140" t="s">
        <v>185</v>
      </c>
      <c r="N585" s="156">
        <v>0</v>
      </c>
      <c r="O585" s="156" t="s">
        <v>47</v>
      </c>
      <c r="P585" s="156"/>
      <c r="Q585" s="158">
        <v>0</v>
      </c>
      <c r="R585" s="158">
        <v>0</v>
      </c>
      <c r="S585" s="158">
        <v>647.21</v>
      </c>
      <c r="T585" s="158">
        <f t="shared" si="111"/>
        <v>0</v>
      </c>
      <c r="U585" s="158">
        <f t="shared" si="115"/>
        <v>647.21</v>
      </c>
      <c r="V585" s="158">
        <v>0</v>
      </c>
      <c r="W585" s="158">
        <f t="shared" si="116"/>
        <v>647.21</v>
      </c>
      <c r="X585" s="158">
        <f t="shared" si="112"/>
        <v>647.21</v>
      </c>
      <c r="Y585" s="158">
        <f t="shared" si="117"/>
        <v>0</v>
      </c>
      <c r="Z585" s="158">
        <v>647.21</v>
      </c>
      <c r="AA585" s="158">
        <f t="shared" si="113"/>
        <v>-647.21</v>
      </c>
      <c r="AB585" s="167">
        <f>IF(O585="返货",Z585/(1+N585),IF(O585="返现",Z585,IF(O585="折扣",Z585*N585,IF(O585="无",Z585))))</f>
        <v>647.21</v>
      </c>
      <c r="AC585" s="168">
        <f t="shared" si="114"/>
        <v>0</v>
      </c>
      <c r="AD585" s="158">
        <f t="shared" si="118"/>
        <v>634.445304392986</v>
      </c>
      <c r="AE585" s="159">
        <v>0.3156</v>
      </c>
      <c r="AF585" s="158">
        <f t="shared" si="109"/>
        <v>200.230938066427</v>
      </c>
      <c r="AG585" s="158">
        <v>204.259476</v>
      </c>
      <c r="AH585" s="175"/>
      <c r="AI585" s="175"/>
      <c r="AJ585" s="176">
        <v>0</v>
      </c>
      <c r="AK585" s="140">
        <v>0</v>
      </c>
      <c r="AM585" s="152"/>
    </row>
    <row r="586" s="140" customFormat="1" ht="15" hidden="1" customHeight="1" spans="1:39">
      <c r="A586" s="140">
        <v>2017</v>
      </c>
      <c r="B586" s="140" t="s">
        <v>199</v>
      </c>
      <c r="C586" s="140" t="s">
        <v>59</v>
      </c>
      <c r="D586" s="140" t="s">
        <v>181</v>
      </c>
      <c r="E586" s="140" t="s">
        <v>61</v>
      </c>
      <c r="F586" s="140" t="s">
        <v>734</v>
      </c>
      <c r="G586" s="140" t="s">
        <v>735</v>
      </c>
      <c r="H586" s="140" t="s">
        <v>735</v>
      </c>
      <c r="I586" s="184" t="s">
        <v>204</v>
      </c>
      <c r="J586" s="140" t="s">
        <v>577</v>
      </c>
      <c r="K586" s="140" t="s">
        <v>578</v>
      </c>
      <c r="L586" s="140" t="s">
        <v>736</v>
      </c>
      <c r="M586" s="140" t="s">
        <v>46</v>
      </c>
      <c r="N586" s="156">
        <v>0</v>
      </c>
      <c r="O586" s="156" t="s">
        <v>47</v>
      </c>
      <c r="P586" s="156"/>
      <c r="Q586" s="158">
        <v>0</v>
      </c>
      <c r="R586" s="158">
        <v>0</v>
      </c>
      <c r="S586" s="158">
        <v>9352.79</v>
      </c>
      <c r="T586" s="158">
        <f t="shared" si="111"/>
        <v>0</v>
      </c>
      <c r="U586" s="158">
        <f t="shared" si="115"/>
        <v>9352.79</v>
      </c>
      <c r="V586" s="158">
        <v>10000</v>
      </c>
      <c r="W586" s="158">
        <f t="shared" si="116"/>
        <v>-647.209999999999</v>
      </c>
      <c r="X586" s="158">
        <f t="shared" si="112"/>
        <v>-647.209999999999</v>
      </c>
      <c r="Y586" s="158">
        <f t="shared" si="117"/>
        <v>0</v>
      </c>
      <c r="Z586" s="158">
        <v>5531.86</v>
      </c>
      <c r="AA586" s="158">
        <f t="shared" si="113"/>
        <v>4468.14</v>
      </c>
      <c r="AB586" s="167">
        <f>IF(O586="返货",Z586/(1+N586),IF(O586="返现",Z586,IF(O586="折扣",Z586*N586,IF(O586="无",Z586))))</f>
        <v>5531.86</v>
      </c>
      <c r="AC586" s="168">
        <f t="shared" si="114"/>
        <v>0</v>
      </c>
      <c r="AD586" s="158">
        <f t="shared" si="118"/>
        <v>5422.75706734968</v>
      </c>
      <c r="AE586" s="159">
        <v>0.1077</v>
      </c>
      <c r="AF586" s="158">
        <f t="shared" si="109"/>
        <v>584.03093615356</v>
      </c>
      <c r="AG586" s="158">
        <v>595.781322</v>
      </c>
      <c r="AH586" s="175"/>
      <c r="AI586" s="175"/>
      <c r="AJ586" s="176">
        <v>0</v>
      </c>
      <c r="AK586" s="140">
        <v>0</v>
      </c>
      <c r="AM586" s="152"/>
    </row>
    <row r="587" s="140" customFormat="1" ht="15" hidden="1" customHeight="1" spans="1:39">
      <c r="A587" s="140">
        <v>2017</v>
      </c>
      <c r="B587" s="140" t="s">
        <v>38</v>
      </c>
      <c r="C587" s="140" t="s">
        <v>59</v>
      </c>
      <c r="D587" s="140" t="s">
        <v>181</v>
      </c>
      <c r="E587" s="140" t="s">
        <v>61</v>
      </c>
      <c r="F587" s="140" t="s">
        <v>737</v>
      </c>
      <c r="G587" s="140" t="s">
        <v>737</v>
      </c>
      <c r="H587" s="140" t="s">
        <v>737</v>
      </c>
      <c r="I587" s="184" t="s">
        <v>204</v>
      </c>
      <c r="J587" s="140" t="s">
        <v>577</v>
      </c>
      <c r="K587" s="140" t="s">
        <v>578</v>
      </c>
      <c r="L587" s="140" t="s">
        <v>737</v>
      </c>
      <c r="M587" s="140" t="s">
        <v>46</v>
      </c>
      <c r="N587" s="157">
        <v>0.02</v>
      </c>
      <c r="O587" s="156" t="s">
        <v>51</v>
      </c>
      <c r="P587" s="156"/>
      <c r="Q587" s="158">
        <v>0</v>
      </c>
      <c r="R587" s="158">
        <v>0</v>
      </c>
      <c r="S587" s="158">
        <v>12531.18</v>
      </c>
      <c r="T587" s="158">
        <f t="shared" si="111"/>
        <v>250.6236</v>
      </c>
      <c r="U587" s="158">
        <f t="shared" si="115"/>
        <v>12781.8036</v>
      </c>
      <c r="V587" s="158">
        <v>20400</v>
      </c>
      <c r="W587" s="158">
        <f t="shared" si="116"/>
        <v>-7618.1964</v>
      </c>
      <c r="X587" s="158">
        <f t="shared" si="112"/>
        <v>-7468.82</v>
      </c>
      <c r="Y587" s="158">
        <f t="shared" si="117"/>
        <v>-149.3764</v>
      </c>
      <c r="Z587" s="158">
        <v>12781.8</v>
      </c>
      <c r="AA587" s="158">
        <f t="shared" si="113"/>
        <v>7618.2</v>
      </c>
      <c r="AB587" s="167">
        <f>IF(O587="返货",Z587/(1+N587),IF(O587="返现",Z587,IF(O587="折扣",Z587*N587,IF(O587="无",Z587))))</f>
        <v>12531.1764705882</v>
      </c>
      <c r="AC587" s="168">
        <f t="shared" si="114"/>
        <v>250.623529411765</v>
      </c>
      <c r="AD587" s="158">
        <f t="shared" si="118"/>
        <v>12529.7090460442</v>
      </c>
      <c r="AE587" s="159">
        <v>0.1077</v>
      </c>
      <c r="AF587" s="158">
        <f t="shared" si="109"/>
        <v>1349.44966425896</v>
      </c>
      <c r="AG587" s="158">
        <v>1125.97633058823</v>
      </c>
      <c r="AH587" s="175"/>
      <c r="AI587" s="175"/>
      <c r="AJ587" s="156" t="s">
        <v>173</v>
      </c>
      <c r="AK587" s="140" t="s">
        <v>173</v>
      </c>
      <c r="AM587" s="152"/>
    </row>
    <row r="588" s="140" customFormat="1" ht="15" hidden="1" customHeight="1" spans="1:39">
      <c r="A588" s="140">
        <v>2017</v>
      </c>
      <c r="B588" s="140" t="s">
        <v>38</v>
      </c>
      <c r="C588" s="140" t="s">
        <v>59</v>
      </c>
      <c r="D588" s="140" t="s">
        <v>181</v>
      </c>
      <c r="E588" s="140" t="s">
        <v>61</v>
      </c>
      <c r="F588" s="140" t="s">
        <v>737</v>
      </c>
      <c r="G588" s="140" t="s">
        <v>737</v>
      </c>
      <c r="H588" s="140" t="s">
        <v>737</v>
      </c>
      <c r="I588" s="184" t="s">
        <v>204</v>
      </c>
      <c r="J588" s="140" t="s">
        <v>577</v>
      </c>
      <c r="K588" s="140" t="s">
        <v>578</v>
      </c>
      <c r="L588" s="140" t="s">
        <v>737</v>
      </c>
      <c r="M588" s="140" t="s">
        <v>185</v>
      </c>
      <c r="N588" s="157">
        <v>0.08</v>
      </c>
      <c r="O588" s="156" t="s">
        <v>51</v>
      </c>
      <c r="P588" s="156"/>
      <c r="Q588" s="158">
        <v>0</v>
      </c>
      <c r="R588" s="158">
        <v>0</v>
      </c>
      <c r="S588" s="158">
        <v>7468.82</v>
      </c>
      <c r="T588" s="158">
        <f t="shared" si="111"/>
        <v>597.5056</v>
      </c>
      <c r="U588" s="158">
        <f t="shared" si="115"/>
        <v>8066.3256</v>
      </c>
      <c r="V588" s="158">
        <v>0</v>
      </c>
      <c r="W588" s="158">
        <f t="shared" si="116"/>
        <v>8066.3256</v>
      </c>
      <c r="X588" s="158">
        <f t="shared" si="112"/>
        <v>7468.82</v>
      </c>
      <c r="Y588" s="158">
        <f t="shared" si="117"/>
        <v>597.5056</v>
      </c>
      <c r="Z588" s="158">
        <v>7618.2</v>
      </c>
      <c r="AA588" s="158">
        <f t="shared" si="113"/>
        <v>-7618.2</v>
      </c>
      <c r="AB588" s="167">
        <f>IF(O588="返货",Z588/(1+N588),IF(O588="返现",Z588,IF(O588="折扣",Z588*N588,IF(O588="无",Z588))))</f>
        <v>7053.88888888889</v>
      </c>
      <c r="AC588" s="168">
        <f t="shared" si="114"/>
        <v>564.311111111111</v>
      </c>
      <c r="AD588" s="158">
        <f t="shared" si="118"/>
        <v>7467.94891600354</v>
      </c>
      <c r="AE588" s="159">
        <v>0.3156</v>
      </c>
      <c r="AF588" s="158">
        <f t="shared" si="109"/>
        <v>2356.88467789072</v>
      </c>
      <c r="AG588" s="158">
        <v>1839.99280888889</v>
      </c>
      <c r="AH588" s="175"/>
      <c r="AI588" s="175"/>
      <c r="AJ588" s="156" t="s">
        <v>53</v>
      </c>
      <c r="AK588" s="140" t="s">
        <v>53</v>
      </c>
      <c r="AM588" s="152"/>
    </row>
    <row r="589" s="140" customFormat="1" ht="15" hidden="1" customHeight="1" spans="1:39">
      <c r="A589" s="140">
        <v>2017</v>
      </c>
      <c r="B589" s="140" t="s">
        <v>38</v>
      </c>
      <c r="C589" s="140" t="s">
        <v>59</v>
      </c>
      <c r="D589" s="140" t="s">
        <v>181</v>
      </c>
      <c r="E589" s="140" t="s">
        <v>61</v>
      </c>
      <c r="F589" s="140" t="s">
        <v>738</v>
      </c>
      <c r="G589" s="140" t="s">
        <v>738</v>
      </c>
      <c r="H589" s="140" t="s">
        <v>738</v>
      </c>
      <c r="I589" s="184" t="s">
        <v>204</v>
      </c>
      <c r="J589" s="140" t="s">
        <v>577</v>
      </c>
      <c r="K589" s="140" t="s">
        <v>578</v>
      </c>
      <c r="L589" s="140" t="s">
        <v>739</v>
      </c>
      <c r="M589" s="140" t="s">
        <v>185</v>
      </c>
      <c r="N589" s="157">
        <v>0.08</v>
      </c>
      <c r="O589" s="156" t="s">
        <v>51</v>
      </c>
      <c r="P589" s="156"/>
      <c r="Q589" s="158">
        <v>0</v>
      </c>
      <c r="R589" s="158">
        <v>0</v>
      </c>
      <c r="S589" s="158">
        <v>170000</v>
      </c>
      <c r="T589" s="158">
        <f t="shared" si="111"/>
        <v>13600</v>
      </c>
      <c r="U589" s="158">
        <f t="shared" si="115"/>
        <v>183600</v>
      </c>
      <c r="V589" s="158">
        <v>0</v>
      </c>
      <c r="W589" s="158">
        <f t="shared" si="116"/>
        <v>183600</v>
      </c>
      <c r="X589" s="158">
        <f t="shared" si="112"/>
        <v>170000</v>
      </c>
      <c r="Y589" s="158">
        <f t="shared" si="117"/>
        <v>13600</v>
      </c>
      <c r="Z589" s="158">
        <v>172771.71</v>
      </c>
      <c r="AA589" s="158">
        <f t="shared" si="113"/>
        <v>-172771.71</v>
      </c>
      <c r="AB589" s="167">
        <f>IF(O589="返货",Z589/(1+N589),IF(O589="返现",Z589,IF(O589="折扣",Z589*N589,IF(O589="无",Z589))))</f>
        <v>159973.805555556</v>
      </c>
      <c r="AC589" s="168">
        <f t="shared" si="114"/>
        <v>12797.9044444445</v>
      </c>
      <c r="AD589" s="158">
        <f t="shared" si="118"/>
        <v>169364.194220495</v>
      </c>
      <c r="AE589" s="159">
        <v>0.3156</v>
      </c>
      <c r="AF589" s="158">
        <f t="shared" si="109"/>
        <v>53451.3396959883</v>
      </c>
      <c r="AG589" s="158">
        <v>41728.8472315555</v>
      </c>
      <c r="AH589" s="175"/>
      <c r="AI589" s="175"/>
      <c r="AJ589" s="156" t="s">
        <v>53</v>
      </c>
      <c r="AK589" s="140" t="s">
        <v>53</v>
      </c>
      <c r="AM589" s="152"/>
    </row>
    <row r="590" s="140" customFormat="1" ht="15" hidden="1" customHeight="1" spans="1:39">
      <c r="A590" s="140">
        <v>2017</v>
      </c>
      <c r="B590" s="140" t="s">
        <v>38</v>
      </c>
      <c r="C590" s="140" t="s">
        <v>59</v>
      </c>
      <c r="D590" s="140" t="s">
        <v>181</v>
      </c>
      <c r="E590" s="140" t="s">
        <v>67</v>
      </c>
      <c r="F590" s="140" t="s">
        <v>740</v>
      </c>
      <c r="G590" s="140" t="s">
        <v>740</v>
      </c>
      <c r="H590" s="140" t="s">
        <v>740</v>
      </c>
      <c r="I590" s="184" t="s">
        <v>204</v>
      </c>
      <c r="J590" s="140" t="s">
        <v>577</v>
      </c>
      <c r="K590" s="140" t="s">
        <v>578</v>
      </c>
      <c r="L590" s="140" t="s">
        <v>740</v>
      </c>
      <c r="M590" s="140" t="s">
        <v>46</v>
      </c>
      <c r="N590" s="157">
        <v>0.02</v>
      </c>
      <c r="O590" s="156" t="s">
        <v>51</v>
      </c>
      <c r="P590" s="156"/>
      <c r="Q590" s="158">
        <v>84827.89</v>
      </c>
      <c r="R590" s="158">
        <v>0</v>
      </c>
      <c r="S590" s="158">
        <v>641164.1</v>
      </c>
      <c r="T590" s="158">
        <f t="shared" si="111"/>
        <v>12823.282</v>
      </c>
      <c r="U590" s="158">
        <f t="shared" si="115"/>
        <v>653987.382</v>
      </c>
      <c r="V590" s="158">
        <v>780195.81</v>
      </c>
      <c r="W590" s="158">
        <f t="shared" si="116"/>
        <v>-126208.428</v>
      </c>
      <c r="X590" s="158">
        <f t="shared" si="112"/>
        <v>-123733.752941177</v>
      </c>
      <c r="Y590" s="158">
        <f t="shared" si="117"/>
        <v>-2474.67505882353</v>
      </c>
      <c r="Z590" s="158">
        <v>730291.82</v>
      </c>
      <c r="AA590" s="158">
        <f t="shared" si="113"/>
        <v>134731.88</v>
      </c>
      <c r="AB590" s="167">
        <f>IF(O590="返货",(Z590-Q590)/(1+N590),IF(O590="返现",(Z590-Q590),IF(O590="折扣",(Z590-Q590)*N590,IF(O590="无",(Z590-Q590)))))</f>
        <v>632807.774509804</v>
      </c>
      <c r="AC590" s="168">
        <f t="shared" si="114"/>
        <v>97484.0454901961</v>
      </c>
      <c r="AD590" s="158">
        <f t="shared" si="118"/>
        <v>715888.530825556</v>
      </c>
      <c r="AE590" s="159">
        <v>0.1077</v>
      </c>
      <c r="AF590" s="158">
        <f t="shared" si="109"/>
        <v>77101.1947699124</v>
      </c>
      <c r="AG590" s="158">
        <v>64332.9815630196</v>
      </c>
      <c r="AH590" s="175"/>
      <c r="AI590" s="175"/>
      <c r="AJ590" s="156" t="s">
        <v>173</v>
      </c>
      <c r="AK590" s="140" t="s">
        <v>173</v>
      </c>
      <c r="AM590" s="152"/>
    </row>
    <row r="591" s="140" customFormat="1" ht="15" hidden="1" customHeight="1" spans="1:39">
      <c r="A591" s="140">
        <v>2017</v>
      </c>
      <c r="B591" s="140" t="s">
        <v>38</v>
      </c>
      <c r="C591" s="140" t="s">
        <v>59</v>
      </c>
      <c r="D591" s="140" t="s">
        <v>181</v>
      </c>
      <c r="E591" s="140" t="s">
        <v>67</v>
      </c>
      <c r="F591" s="140" t="s">
        <v>740</v>
      </c>
      <c r="G591" s="140" t="s">
        <v>740</v>
      </c>
      <c r="H591" s="140" t="s">
        <v>740</v>
      </c>
      <c r="I591" s="184" t="s">
        <v>204</v>
      </c>
      <c r="J591" s="140" t="s">
        <v>577</v>
      </c>
      <c r="K591" s="140" t="s">
        <v>578</v>
      </c>
      <c r="L591" s="140" t="s">
        <v>740</v>
      </c>
      <c r="M591" s="140" t="s">
        <v>185</v>
      </c>
      <c r="N591" s="157">
        <v>0.08</v>
      </c>
      <c r="O591" s="156" t="s">
        <v>51</v>
      </c>
      <c r="P591" s="156"/>
      <c r="Q591" s="158">
        <v>17308.72715</v>
      </c>
      <c r="R591" s="158">
        <v>0</v>
      </c>
      <c r="S591" s="158">
        <v>95577.71</v>
      </c>
      <c r="T591" s="158">
        <f t="shared" si="111"/>
        <v>7646.2168</v>
      </c>
      <c r="U591" s="158">
        <f t="shared" si="115"/>
        <v>103223.9268</v>
      </c>
      <c r="V591" s="158">
        <v>0</v>
      </c>
      <c r="W591" s="158">
        <f t="shared" si="116"/>
        <v>103223.9268</v>
      </c>
      <c r="X591" s="158">
        <f t="shared" si="112"/>
        <v>95577.71</v>
      </c>
      <c r="Y591" s="158">
        <f t="shared" si="117"/>
        <v>7646.21680000001</v>
      </c>
      <c r="Z591" s="158">
        <v>115006.43</v>
      </c>
      <c r="AA591" s="158">
        <f t="shared" si="113"/>
        <v>-97697.70285</v>
      </c>
      <c r="AB591" s="167">
        <f>IF(O591="返货",(Z591-Q591)/(1+N591),IF(O591="返现",(Z591-Q591),IF(O591="折扣",(Z591-Q591)*N591,IF(O591="无",(Z591-Q591)))))</f>
        <v>90460.8359722222</v>
      </c>
      <c r="AC591" s="168">
        <f t="shared" si="114"/>
        <v>24545.5940277778</v>
      </c>
      <c r="AD591" s="158">
        <f t="shared" si="118"/>
        <v>112738.198557656</v>
      </c>
      <c r="AE591" s="159">
        <v>0.3156</v>
      </c>
      <c r="AF591" s="158">
        <f t="shared" si="109"/>
        <v>35580.1754647963</v>
      </c>
      <c r="AG591" s="158">
        <v>27777.0344931852</v>
      </c>
      <c r="AH591" s="175"/>
      <c r="AI591" s="175"/>
      <c r="AJ591" s="156" t="s">
        <v>53</v>
      </c>
      <c r="AK591" s="140" t="s">
        <v>53</v>
      </c>
      <c r="AM591" s="152"/>
    </row>
    <row r="592" s="140" customFormat="1" ht="15" hidden="1" customHeight="1" spans="1:39">
      <c r="A592" s="140">
        <v>2017</v>
      </c>
      <c r="B592" s="140" t="s">
        <v>38</v>
      </c>
      <c r="C592" s="140" t="s">
        <v>59</v>
      </c>
      <c r="D592" s="140" t="s">
        <v>106</v>
      </c>
      <c r="E592" s="140" t="s">
        <v>107</v>
      </c>
      <c r="F592" s="140" t="s">
        <v>741</v>
      </c>
      <c r="G592" s="140" t="s">
        <v>741</v>
      </c>
      <c r="H592" s="140" t="s">
        <v>741</v>
      </c>
      <c r="I592" s="184" t="s">
        <v>204</v>
      </c>
      <c r="J592" s="140" t="s">
        <v>577</v>
      </c>
      <c r="K592" s="140" t="s">
        <v>578</v>
      </c>
      <c r="L592" s="140" t="s">
        <v>741</v>
      </c>
      <c r="M592" s="140" t="s">
        <v>46</v>
      </c>
      <c r="N592" s="157">
        <v>0.02</v>
      </c>
      <c r="O592" s="156" t="s">
        <v>51</v>
      </c>
      <c r="P592" s="156"/>
      <c r="Q592" s="158">
        <v>0</v>
      </c>
      <c r="R592" s="158">
        <v>0</v>
      </c>
      <c r="S592" s="158">
        <v>1586957.33</v>
      </c>
      <c r="T592" s="158">
        <f t="shared" si="111"/>
        <v>31739.1466</v>
      </c>
      <c r="U592" s="158">
        <f t="shared" si="115"/>
        <v>1618696.4766</v>
      </c>
      <c r="V592" s="158">
        <v>2119204.76</v>
      </c>
      <c r="W592" s="158">
        <f t="shared" si="116"/>
        <v>-500508.2834</v>
      </c>
      <c r="X592" s="158">
        <f t="shared" si="112"/>
        <v>-490694.395490196</v>
      </c>
      <c r="Y592" s="158">
        <f t="shared" si="117"/>
        <v>-9813.88790980395</v>
      </c>
      <c r="Z592" s="158">
        <v>1618553.94</v>
      </c>
      <c r="AA592" s="158">
        <f t="shared" si="113"/>
        <v>500650.82</v>
      </c>
      <c r="AB592" s="167">
        <f t="shared" ref="AB592:AB599" si="119">IF(O592="返货",Z592/(1+N592),IF(O592="返现",Z592,IF(O592="折扣",Z592*N592,IF(O592="无",Z592))))</f>
        <v>1586817.58823529</v>
      </c>
      <c r="AC592" s="168">
        <f t="shared" si="114"/>
        <v>31736.351764706</v>
      </c>
      <c r="AD592" s="158">
        <f t="shared" si="118"/>
        <v>1586631.76888455</v>
      </c>
      <c r="AE592" s="159">
        <v>0.1077</v>
      </c>
      <c r="AF592" s="158">
        <f t="shared" si="109"/>
        <v>170880.241508866</v>
      </c>
      <c r="AG592" s="158">
        <v>142581.907573294</v>
      </c>
      <c r="AH592" s="175"/>
      <c r="AI592" s="175"/>
      <c r="AJ592" s="156" t="s">
        <v>173</v>
      </c>
      <c r="AK592" s="140" t="s">
        <v>173</v>
      </c>
      <c r="AM592" s="152"/>
    </row>
    <row r="593" s="140" customFormat="1" ht="15" hidden="1" customHeight="1" spans="1:39">
      <c r="A593" s="140">
        <v>2017</v>
      </c>
      <c r="B593" s="140" t="s">
        <v>38</v>
      </c>
      <c r="C593" s="140" t="s">
        <v>59</v>
      </c>
      <c r="D593" s="140" t="s">
        <v>106</v>
      </c>
      <c r="E593" s="140" t="s">
        <v>107</v>
      </c>
      <c r="F593" s="140" t="s">
        <v>741</v>
      </c>
      <c r="G593" s="140" t="s">
        <v>741</v>
      </c>
      <c r="H593" s="140" t="s">
        <v>741</v>
      </c>
      <c r="I593" s="184" t="s">
        <v>204</v>
      </c>
      <c r="J593" s="140" t="s">
        <v>577</v>
      </c>
      <c r="K593" s="140" t="s">
        <v>578</v>
      </c>
      <c r="L593" s="140" t="s">
        <v>741</v>
      </c>
      <c r="M593" s="140" t="s">
        <v>185</v>
      </c>
      <c r="N593" s="157">
        <v>0.08</v>
      </c>
      <c r="O593" s="156" t="s">
        <v>51</v>
      </c>
      <c r="P593" s="156"/>
      <c r="Q593" s="158">
        <v>0</v>
      </c>
      <c r="R593" s="158">
        <v>0</v>
      </c>
      <c r="S593" s="158">
        <v>463042.67</v>
      </c>
      <c r="T593" s="158">
        <f t="shared" si="111"/>
        <v>37043.4136</v>
      </c>
      <c r="U593" s="158">
        <f t="shared" si="115"/>
        <v>500086.0836</v>
      </c>
      <c r="V593" s="158">
        <v>0</v>
      </c>
      <c r="W593" s="158">
        <f t="shared" si="116"/>
        <v>500086.0836</v>
      </c>
      <c r="X593" s="158">
        <f t="shared" si="112"/>
        <v>463042.67</v>
      </c>
      <c r="Y593" s="158">
        <f t="shared" si="117"/>
        <v>37043.4136</v>
      </c>
      <c r="Z593" s="158">
        <v>500650.82</v>
      </c>
      <c r="AA593" s="158">
        <f t="shared" si="113"/>
        <v>-500650.82</v>
      </c>
      <c r="AB593" s="167">
        <f t="shared" si="119"/>
        <v>463565.574074074</v>
      </c>
      <c r="AC593" s="168">
        <f t="shared" si="114"/>
        <v>37085.245925926</v>
      </c>
      <c r="AD593" s="158">
        <f t="shared" si="118"/>
        <v>490776.659646016</v>
      </c>
      <c r="AE593" s="159">
        <v>0.3156</v>
      </c>
      <c r="AF593" s="158">
        <f t="shared" si="109"/>
        <v>154889.113784283</v>
      </c>
      <c r="AG593" s="158">
        <v>120920.152866074</v>
      </c>
      <c r="AH593" s="175"/>
      <c r="AI593" s="175"/>
      <c r="AJ593" s="156" t="s">
        <v>53</v>
      </c>
      <c r="AK593" s="140" t="s">
        <v>53</v>
      </c>
      <c r="AM593" s="152"/>
    </row>
    <row r="594" s="140" customFormat="1" ht="15" hidden="1" customHeight="1" spans="1:39">
      <c r="A594" s="140">
        <v>2017</v>
      </c>
      <c r="B594" s="140" t="s">
        <v>38</v>
      </c>
      <c r="C594" s="140" t="s">
        <v>59</v>
      </c>
      <c r="D594" s="140" t="s">
        <v>106</v>
      </c>
      <c r="E594" s="140" t="s">
        <v>107</v>
      </c>
      <c r="F594" s="140" t="s">
        <v>741</v>
      </c>
      <c r="G594" s="140" t="s">
        <v>741</v>
      </c>
      <c r="H594" s="140" t="s">
        <v>741</v>
      </c>
      <c r="I594" s="184" t="s">
        <v>204</v>
      </c>
      <c r="J594" s="140" t="s">
        <v>577</v>
      </c>
      <c r="K594" s="140" t="s">
        <v>578</v>
      </c>
      <c r="L594" s="140" t="s">
        <v>741</v>
      </c>
      <c r="M594" s="140" t="s">
        <v>597</v>
      </c>
      <c r="N594" s="157">
        <v>0</v>
      </c>
      <c r="O594" s="156" t="s">
        <v>47</v>
      </c>
      <c r="P594" s="156"/>
      <c r="Q594" s="158">
        <v>0</v>
      </c>
      <c r="R594" s="158">
        <v>0</v>
      </c>
      <c r="S594" s="158">
        <v>14247</v>
      </c>
      <c r="T594" s="158">
        <f t="shared" si="111"/>
        <v>0</v>
      </c>
      <c r="U594" s="158">
        <f t="shared" si="115"/>
        <v>14247</v>
      </c>
      <c r="V594" s="158">
        <v>14247</v>
      </c>
      <c r="W594" s="158">
        <f t="shared" si="116"/>
        <v>0</v>
      </c>
      <c r="X594" s="158">
        <f t="shared" si="112"/>
        <v>0</v>
      </c>
      <c r="Y594" s="158">
        <f t="shared" si="117"/>
        <v>0</v>
      </c>
      <c r="Z594" s="158">
        <v>14247</v>
      </c>
      <c r="AA594" s="158">
        <f t="shared" si="113"/>
        <v>0</v>
      </c>
      <c r="AB594" s="167">
        <f t="shared" si="119"/>
        <v>14247</v>
      </c>
      <c r="AC594" s="168">
        <f t="shared" si="114"/>
        <v>0</v>
      </c>
      <c r="AD594" s="158">
        <f t="shared" si="118"/>
        <v>13966.0114208478</v>
      </c>
      <c r="AE594" s="159">
        <v>0.3534</v>
      </c>
      <c r="AF594" s="158">
        <f t="shared" si="109"/>
        <v>4935.5884361276</v>
      </c>
      <c r="AG594" s="158">
        <v>1706.95991111111</v>
      </c>
      <c r="AH594" s="175"/>
      <c r="AI594" s="175"/>
      <c r="AJ594" s="157">
        <v>0.35</v>
      </c>
      <c r="AK594" s="177">
        <v>0.35</v>
      </c>
      <c r="AL594" s="140" t="s">
        <v>742</v>
      </c>
      <c r="AM594" s="152"/>
    </row>
    <row r="595" s="140" customFormat="1" ht="15" hidden="1" customHeight="1" spans="1:39">
      <c r="A595" s="140">
        <v>2017</v>
      </c>
      <c r="B595" s="141" t="s">
        <v>38</v>
      </c>
      <c r="C595" s="140" t="s">
        <v>59</v>
      </c>
      <c r="D595" s="140" t="s">
        <v>106</v>
      </c>
      <c r="E595" s="140" t="s">
        <v>107</v>
      </c>
      <c r="F595" s="140" t="s">
        <v>108</v>
      </c>
      <c r="G595" s="140" t="s">
        <v>108</v>
      </c>
      <c r="H595" s="140" t="s">
        <v>108</v>
      </c>
      <c r="I595" s="184" t="s">
        <v>204</v>
      </c>
      <c r="J595" s="140" t="s">
        <v>577</v>
      </c>
      <c r="K595" s="140" t="s">
        <v>578</v>
      </c>
      <c r="L595" s="140" t="s">
        <v>109</v>
      </c>
      <c r="M595" s="140" t="s">
        <v>46</v>
      </c>
      <c r="N595" s="157">
        <v>0.02</v>
      </c>
      <c r="O595" s="156" t="s">
        <v>51</v>
      </c>
      <c r="P595" s="156"/>
      <c r="Q595" s="158">
        <v>0</v>
      </c>
      <c r="R595" s="158">
        <v>0</v>
      </c>
      <c r="S595" s="158">
        <v>65328.82</v>
      </c>
      <c r="T595" s="158">
        <f t="shared" si="111"/>
        <v>1306.5764</v>
      </c>
      <c r="U595" s="158">
        <f t="shared" si="115"/>
        <v>66635.3964</v>
      </c>
      <c r="V595" s="158">
        <v>143151.38</v>
      </c>
      <c r="W595" s="158">
        <f t="shared" si="116"/>
        <v>-76515.9836</v>
      </c>
      <c r="X595" s="158">
        <f t="shared" si="112"/>
        <v>-75015.6701960784</v>
      </c>
      <c r="Y595" s="158">
        <f t="shared" si="117"/>
        <v>-1500.31340392157</v>
      </c>
      <c r="Z595" s="158">
        <v>66635.4</v>
      </c>
      <c r="AA595" s="158">
        <f t="shared" si="113"/>
        <v>76515.98</v>
      </c>
      <c r="AB595" s="167">
        <f t="shared" si="119"/>
        <v>65328.8235294118</v>
      </c>
      <c r="AC595" s="168">
        <f t="shared" si="114"/>
        <v>1306.57647058824</v>
      </c>
      <c r="AD595" s="158">
        <f t="shared" si="118"/>
        <v>65321.1734002077</v>
      </c>
      <c r="AE595" s="159">
        <v>0.1077</v>
      </c>
      <c r="AF595" s="158">
        <f t="shared" si="109"/>
        <v>7035.09037520237</v>
      </c>
      <c r="AG595" s="158">
        <v>5870.05610941176</v>
      </c>
      <c r="AH595" s="175"/>
      <c r="AI595" s="175"/>
      <c r="AJ595" s="156" t="s">
        <v>173</v>
      </c>
      <c r="AK595" s="140" t="s">
        <v>173</v>
      </c>
      <c r="AM595" s="152"/>
    </row>
    <row r="596" s="140" customFormat="1" ht="15" hidden="1" customHeight="1" spans="1:39">
      <c r="A596" s="140">
        <v>2017</v>
      </c>
      <c r="B596" s="141" t="s">
        <v>38</v>
      </c>
      <c r="C596" s="140" t="s">
        <v>59</v>
      </c>
      <c r="D596" s="140" t="s">
        <v>106</v>
      </c>
      <c r="E596" s="140" t="s">
        <v>107</v>
      </c>
      <c r="F596" s="140" t="s">
        <v>108</v>
      </c>
      <c r="G596" s="140" t="s">
        <v>108</v>
      </c>
      <c r="H596" s="140" t="s">
        <v>108</v>
      </c>
      <c r="I596" s="184" t="s">
        <v>204</v>
      </c>
      <c r="J596" s="140" t="s">
        <v>577</v>
      </c>
      <c r="K596" s="140" t="s">
        <v>578</v>
      </c>
      <c r="L596" s="140" t="s">
        <v>109</v>
      </c>
      <c r="M596" s="140" t="s">
        <v>185</v>
      </c>
      <c r="N596" s="157">
        <v>0.08</v>
      </c>
      <c r="O596" s="156" t="s">
        <v>51</v>
      </c>
      <c r="P596" s="156"/>
      <c r="Q596" s="158">
        <v>0</v>
      </c>
      <c r="R596" s="158">
        <v>0</v>
      </c>
      <c r="S596" s="158">
        <v>22769.72</v>
      </c>
      <c r="T596" s="158">
        <f t="shared" si="111"/>
        <v>1821.5776</v>
      </c>
      <c r="U596" s="158">
        <f t="shared" si="115"/>
        <v>24591.2976</v>
      </c>
      <c r="V596" s="158">
        <v>0</v>
      </c>
      <c r="W596" s="158">
        <f t="shared" si="116"/>
        <v>24591.2976</v>
      </c>
      <c r="X596" s="158">
        <f t="shared" si="112"/>
        <v>22769.72</v>
      </c>
      <c r="Y596" s="158">
        <f t="shared" si="117"/>
        <v>1821.5776</v>
      </c>
      <c r="Z596" s="158">
        <v>24258.66</v>
      </c>
      <c r="AA596" s="158">
        <f t="shared" si="113"/>
        <v>-24258.66</v>
      </c>
      <c r="AB596" s="167">
        <f t="shared" si="119"/>
        <v>22461.7222222222</v>
      </c>
      <c r="AC596" s="168">
        <f t="shared" si="114"/>
        <v>1796.93777777778</v>
      </c>
      <c r="AD596" s="158">
        <f t="shared" si="118"/>
        <v>23780.2149655691</v>
      </c>
      <c r="AE596" s="159">
        <v>0.3156</v>
      </c>
      <c r="AF596" s="158">
        <f t="shared" si="109"/>
        <v>7505.0358431336</v>
      </c>
      <c r="AG596" s="158">
        <v>5859.09531822222</v>
      </c>
      <c r="AH596" s="175"/>
      <c r="AI596" s="175"/>
      <c r="AJ596" s="156" t="s">
        <v>53</v>
      </c>
      <c r="AK596" s="140" t="s">
        <v>53</v>
      </c>
      <c r="AM596" s="152"/>
    </row>
    <row r="597" s="140" customFormat="1" ht="15" hidden="1" customHeight="1" spans="1:39">
      <c r="A597" s="140">
        <v>2017</v>
      </c>
      <c r="B597" s="140" t="s">
        <v>38</v>
      </c>
      <c r="C597" s="140" t="s">
        <v>59</v>
      </c>
      <c r="D597" s="140" t="s">
        <v>106</v>
      </c>
      <c r="E597" s="140" t="s">
        <v>107</v>
      </c>
      <c r="F597" s="140" t="s">
        <v>743</v>
      </c>
      <c r="G597" s="140" t="s">
        <v>743</v>
      </c>
      <c r="H597" s="140" t="s">
        <v>743</v>
      </c>
      <c r="I597" s="184" t="s">
        <v>204</v>
      </c>
      <c r="J597" s="140" t="s">
        <v>577</v>
      </c>
      <c r="K597" s="140" t="s">
        <v>578</v>
      </c>
      <c r="L597" s="140" t="s">
        <v>743</v>
      </c>
      <c r="M597" s="140" t="s">
        <v>46</v>
      </c>
      <c r="N597" s="157">
        <v>0.02</v>
      </c>
      <c r="O597" s="156" t="s">
        <v>51</v>
      </c>
      <c r="P597" s="156"/>
      <c r="Q597" s="158">
        <v>0</v>
      </c>
      <c r="R597" s="158">
        <v>0</v>
      </c>
      <c r="S597" s="158">
        <v>84251.85</v>
      </c>
      <c r="T597" s="158">
        <f t="shared" si="111"/>
        <v>1685.037</v>
      </c>
      <c r="U597" s="158">
        <f t="shared" si="115"/>
        <v>85936.887</v>
      </c>
      <c r="V597" s="158">
        <v>173400</v>
      </c>
      <c r="W597" s="158">
        <f t="shared" si="116"/>
        <v>-87463.113</v>
      </c>
      <c r="X597" s="158">
        <f t="shared" si="112"/>
        <v>-85748.15</v>
      </c>
      <c r="Y597" s="158">
        <f t="shared" si="117"/>
        <v>-1714.963</v>
      </c>
      <c r="Z597" s="158">
        <v>85936.89</v>
      </c>
      <c r="AA597" s="158">
        <f t="shared" si="113"/>
        <v>87463.11</v>
      </c>
      <c r="AB597" s="167">
        <f t="shared" si="119"/>
        <v>84251.8529411765</v>
      </c>
      <c r="AC597" s="168">
        <f t="shared" si="114"/>
        <v>1685.03705882352</v>
      </c>
      <c r="AD597" s="158">
        <f t="shared" si="118"/>
        <v>84241.9868893197</v>
      </c>
      <c r="AE597" s="159">
        <v>0.1077</v>
      </c>
      <c r="AF597" s="158">
        <f t="shared" si="109"/>
        <v>9072.86198797973</v>
      </c>
      <c r="AG597" s="158">
        <v>7570.36599417648</v>
      </c>
      <c r="AH597" s="175"/>
      <c r="AI597" s="175"/>
      <c r="AJ597" s="156" t="s">
        <v>173</v>
      </c>
      <c r="AK597" s="140" t="s">
        <v>173</v>
      </c>
      <c r="AM597" s="152"/>
    </row>
    <row r="598" s="140" customFormat="1" ht="15" hidden="1" customHeight="1" spans="1:39">
      <c r="A598" s="140">
        <v>2017</v>
      </c>
      <c r="B598" s="140" t="s">
        <v>38</v>
      </c>
      <c r="C598" s="140" t="s">
        <v>59</v>
      </c>
      <c r="D598" s="140" t="s">
        <v>106</v>
      </c>
      <c r="E598" s="140" t="s">
        <v>107</v>
      </c>
      <c r="F598" s="140" t="s">
        <v>743</v>
      </c>
      <c r="G598" s="140" t="s">
        <v>743</v>
      </c>
      <c r="H598" s="140" t="s">
        <v>743</v>
      </c>
      <c r="I598" s="184" t="s">
        <v>204</v>
      </c>
      <c r="J598" s="140" t="s">
        <v>577</v>
      </c>
      <c r="K598" s="140" t="s">
        <v>578</v>
      </c>
      <c r="L598" s="140" t="s">
        <v>743</v>
      </c>
      <c r="M598" s="140" t="s">
        <v>185</v>
      </c>
      <c r="N598" s="157">
        <v>0.08</v>
      </c>
      <c r="O598" s="156" t="s">
        <v>51</v>
      </c>
      <c r="P598" s="156"/>
      <c r="Q598" s="158">
        <v>0</v>
      </c>
      <c r="R598" s="158">
        <v>0</v>
      </c>
      <c r="S598" s="158">
        <v>76888.77</v>
      </c>
      <c r="T598" s="158">
        <f t="shared" si="111"/>
        <v>6151.1016</v>
      </c>
      <c r="U598" s="158">
        <f t="shared" si="115"/>
        <v>83039.8716</v>
      </c>
      <c r="V598" s="158">
        <v>0</v>
      </c>
      <c r="W598" s="158">
        <f t="shared" si="116"/>
        <v>83039.8716</v>
      </c>
      <c r="X598" s="158">
        <f t="shared" si="112"/>
        <v>76888.77</v>
      </c>
      <c r="Y598" s="158">
        <f t="shared" si="117"/>
        <v>6151.10160000001</v>
      </c>
      <c r="Z598" s="158">
        <v>80204.59</v>
      </c>
      <c r="AA598" s="158">
        <f t="shared" si="113"/>
        <v>-80204.59</v>
      </c>
      <c r="AB598" s="167">
        <f t="shared" si="119"/>
        <v>74263.5092592593</v>
      </c>
      <c r="AC598" s="168">
        <f t="shared" si="114"/>
        <v>5941.08074074074</v>
      </c>
      <c r="AD598" s="158">
        <f t="shared" si="118"/>
        <v>78622.7430297194</v>
      </c>
      <c r="AE598" s="159">
        <v>0.3156</v>
      </c>
      <c r="AF598" s="158">
        <f t="shared" si="109"/>
        <v>24813.3377001794</v>
      </c>
      <c r="AG598" s="158">
        <v>19371.4878632593</v>
      </c>
      <c r="AH598" s="175"/>
      <c r="AI598" s="175"/>
      <c r="AJ598" s="156" t="s">
        <v>53</v>
      </c>
      <c r="AK598" s="140" t="s">
        <v>53</v>
      </c>
      <c r="AM598" s="152"/>
    </row>
    <row r="599" s="140" customFormat="1" ht="15" hidden="1" customHeight="1" spans="1:39">
      <c r="A599" s="140">
        <v>2017</v>
      </c>
      <c r="B599" s="140" t="s">
        <v>38</v>
      </c>
      <c r="C599" s="140" t="s">
        <v>59</v>
      </c>
      <c r="D599" s="140" t="s">
        <v>106</v>
      </c>
      <c r="E599" s="140" t="s">
        <v>239</v>
      </c>
      <c r="F599" s="140" t="s">
        <v>240</v>
      </c>
      <c r="G599" s="140" t="s">
        <v>240</v>
      </c>
      <c r="H599" s="140" t="s">
        <v>240</v>
      </c>
      <c r="I599" s="184" t="s">
        <v>204</v>
      </c>
      <c r="J599" s="140" t="s">
        <v>577</v>
      </c>
      <c r="K599" s="140" t="s">
        <v>578</v>
      </c>
      <c r="L599" s="140" t="s">
        <v>240</v>
      </c>
      <c r="M599" s="140" t="s">
        <v>46</v>
      </c>
      <c r="N599" s="157">
        <v>0.02</v>
      </c>
      <c r="O599" s="156" t="s">
        <v>51</v>
      </c>
      <c r="P599" s="156"/>
      <c r="Q599" s="158">
        <v>0</v>
      </c>
      <c r="R599" s="158">
        <v>0</v>
      </c>
      <c r="S599" s="158">
        <v>-593330.34</v>
      </c>
      <c r="T599" s="158">
        <f t="shared" si="111"/>
        <v>-11866.6068</v>
      </c>
      <c r="U599" s="158">
        <f t="shared" si="115"/>
        <v>-605196.9468</v>
      </c>
      <c r="V599" s="158">
        <v>0</v>
      </c>
      <c r="W599" s="158">
        <f t="shared" si="116"/>
        <v>-605196.9468</v>
      </c>
      <c r="X599" s="158">
        <f t="shared" si="112"/>
        <v>-593330.34</v>
      </c>
      <c r="Y599" s="158">
        <f t="shared" si="117"/>
        <v>-11866.6068000001</v>
      </c>
      <c r="Z599" s="158">
        <v>0</v>
      </c>
      <c r="AA599" s="158">
        <f t="shared" si="113"/>
        <v>0</v>
      </c>
      <c r="AB599" s="167">
        <f t="shared" si="119"/>
        <v>0</v>
      </c>
      <c r="AC599" s="168">
        <f t="shared" si="114"/>
        <v>0</v>
      </c>
      <c r="AD599" s="158">
        <f t="shared" si="118"/>
        <v>0</v>
      </c>
      <c r="AE599" s="159">
        <v>0.1077</v>
      </c>
      <c r="AF599" s="158">
        <f t="shared" si="109"/>
        <v>0</v>
      </c>
      <c r="AG599" s="158">
        <v>0</v>
      </c>
      <c r="AH599" s="175"/>
      <c r="AI599" s="175"/>
      <c r="AJ599" s="156" t="s">
        <v>173</v>
      </c>
      <c r="AK599" s="140" t="s">
        <v>173</v>
      </c>
      <c r="AM599" s="152"/>
    </row>
    <row r="600" s="140" customFormat="1" ht="15" hidden="1" customHeight="1" spans="1:39">
      <c r="A600" s="140">
        <v>2017</v>
      </c>
      <c r="B600" s="140" t="s">
        <v>38</v>
      </c>
      <c r="C600" s="140" t="s">
        <v>59</v>
      </c>
      <c r="D600" s="140" t="s">
        <v>106</v>
      </c>
      <c r="E600" s="140" t="s">
        <v>239</v>
      </c>
      <c r="F600" s="140" t="s">
        <v>240</v>
      </c>
      <c r="G600" s="140" t="s">
        <v>240</v>
      </c>
      <c r="H600" s="140" t="s">
        <v>240</v>
      </c>
      <c r="I600" s="184" t="s">
        <v>204</v>
      </c>
      <c r="J600" s="140" t="s">
        <v>577</v>
      </c>
      <c r="K600" s="140" t="s">
        <v>578</v>
      </c>
      <c r="L600" s="140" t="s">
        <v>240</v>
      </c>
      <c r="M600" s="140" t="s">
        <v>185</v>
      </c>
      <c r="N600" s="157">
        <v>0.08</v>
      </c>
      <c r="O600" s="156" t="s">
        <v>51</v>
      </c>
      <c r="P600" s="156"/>
      <c r="Q600" s="158">
        <v>39458.58649</v>
      </c>
      <c r="R600" s="158">
        <v>0</v>
      </c>
      <c r="S600" s="158">
        <v>767197.4</v>
      </c>
      <c r="T600" s="158">
        <f t="shared" si="111"/>
        <v>61375.792</v>
      </c>
      <c r="U600" s="158">
        <f t="shared" si="115"/>
        <v>828573.192</v>
      </c>
      <c r="V600" s="158">
        <v>0</v>
      </c>
      <c r="W600" s="158">
        <f t="shared" si="116"/>
        <v>828573.192</v>
      </c>
      <c r="X600" s="158">
        <f t="shared" si="112"/>
        <v>767197.4</v>
      </c>
      <c r="Y600" s="158">
        <f t="shared" si="117"/>
        <v>61375.792</v>
      </c>
      <c r="Z600" s="158">
        <v>861893.92</v>
      </c>
      <c r="AA600" s="158">
        <f t="shared" si="113"/>
        <v>-822435.33351</v>
      </c>
      <c r="AB600" s="167">
        <f>IF(O600="返货",(Z600-Q600)/(1+N600),IF(O600="返现",(Z600-Q600),IF(O600="折扣",(Z600-Q600)*N600,IF(O600="无",(Z600-Q600)))))</f>
        <v>761514.197694444</v>
      </c>
      <c r="AC600" s="168">
        <f t="shared" si="114"/>
        <v>100379.722305556</v>
      </c>
      <c r="AD600" s="158">
        <f t="shared" si="118"/>
        <v>844895.088810223</v>
      </c>
      <c r="AE600" s="159">
        <v>0.3156</v>
      </c>
      <c r="AF600" s="158">
        <f t="shared" si="109"/>
        <v>266648.890028506</v>
      </c>
      <c r="AG600" s="158">
        <v>208169.727077926</v>
      </c>
      <c r="AH600" s="175"/>
      <c r="AI600" s="175"/>
      <c r="AJ600" s="156" t="s">
        <v>53</v>
      </c>
      <c r="AK600" s="140" t="s">
        <v>53</v>
      </c>
      <c r="AM600" s="152"/>
    </row>
    <row r="601" s="140" customFormat="1" ht="15" hidden="1" customHeight="1" spans="1:39">
      <c r="A601" s="140">
        <v>2017</v>
      </c>
      <c r="B601" s="140" t="s">
        <v>38</v>
      </c>
      <c r="C601" s="140" t="s">
        <v>59</v>
      </c>
      <c r="D601" s="140" t="s">
        <v>106</v>
      </c>
      <c r="E601" s="140" t="s">
        <v>239</v>
      </c>
      <c r="F601" s="140" t="s">
        <v>240</v>
      </c>
      <c r="G601" s="140" t="s">
        <v>240</v>
      </c>
      <c r="H601" s="140" t="s">
        <v>240</v>
      </c>
      <c r="I601" s="184" t="s">
        <v>204</v>
      </c>
      <c r="J601" s="140" t="s">
        <v>577</v>
      </c>
      <c r="K601" s="140" t="s">
        <v>578</v>
      </c>
      <c r="L601" s="140" t="s">
        <v>240</v>
      </c>
      <c r="M601" s="140" t="s">
        <v>597</v>
      </c>
      <c r="N601" s="157">
        <v>0</v>
      </c>
      <c r="O601" s="156" t="s">
        <v>47</v>
      </c>
      <c r="P601" s="156"/>
      <c r="Q601" s="158">
        <v>0</v>
      </c>
      <c r="R601" s="158">
        <v>0</v>
      </c>
      <c r="S601" s="158">
        <v>273000</v>
      </c>
      <c r="T601" s="158">
        <f t="shared" si="111"/>
        <v>0</v>
      </c>
      <c r="U601" s="158">
        <f t="shared" si="115"/>
        <v>273000</v>
      </c>
      <c r="V601" s="158">
        <v>0</v>
      </c>
      <c r="W601" s="158">
        <f t="shared" si="116"/>
        <v>273000</v>
      </c>
      <c r="X601" s="158">
        <f t="shared" si="112"/>
        <v>273000</v>
      </c>
      <c r="Y601" s="158">
        <f t="shared" si="117"/>
        <v>0</v>
      </c>
      <c r="Z601" s="158">
        <v>0</v>
      </c>
      <c r="AA601" s="158">
        <f t="shared" si="113"/>
        <v>0</v>
      </c>
      <c r="AB601" s="167">
        <f>IF(O601="返货",Z601/(1+N601),IF(O601="返现",Z601,IF(O601="折扣",Z601*N601,IF(O601="无",Z601))))</f>
        <v>0</v>
      </c>
      <c r="AC601" s="168">
        <f t="shared" si="114"/>
        <v>0</v>
      </c>
      <c r="AD601" s="158">
        <f t="shared" si="118"/>
        <v>0</v>
      </c>
      <c r="AE601" s="159">
        <v>0.3534</v>
      </c>
      <c r="AF601" s="158">
        <f t="shared" si="109"/>
        <v>0</v>
      </c>
      <c r="AG601" s="158">
        <v>0</v>
      </c>
      <c r="AH601" s="175"/>
      <c r="AI601" s="175"/>
      <c r="AJ601" s="157">
        <v>0.35</v>
      </c>
      <c r="AK601" s="177">
        <v>0.35</v>
      </c>
      <c r="AM601" s="152"/>
    </row>
    <row r="602" s="140" customFormat="1" ht="15" hidden="1" customHeight="1" spans="1:39">
      <c r="A602" s="140">
        <v>2017</v>
      </c>
      <c r="B602" s="140" t="s">
        <v>38</v>
      </c>
      <c r="C602" s="140" t="s">
        <v>59</v>
      </c>
      <c r="D602" s="140" t="s">
        <v>106</v>
      </c>
      <c r="E602" s="140" t="s">
        <v>239</v>
      </c>
      <c r="F602" s="140" t="s">
        <v>240</v>
      </c>
      <c r="G602" s="140" t="s">
        <v>240</v>
      </c>
      <c r="H602" s="140" t="s">
        <v>240</v>
      </c>
      <c r="I602" s="184" t="s">
        <v>204</v>
      </c>
      <c r="J602" s="140" t="s">
        <v>577</v>
      </c>
      <c r="K602" s="140" t="s">
        <v>578</v>
      </c>
      <c r="L602" s="140" t="s">
        <v>240</v>
      </c>
      <c r="M602" s="140" t="s">
        <v>160</v>
      </c>
      <c r="N602" s="157">
        <v>0</v>
      </c>
      <c r="O602" s="156" t="s">
        <v>47</v>
      </c>
      <c r="P602" s="156"/>
      <c r="Q602" s="158">
        <v>0</v>
      </c>
      <c r="R602" s="158">
        <v>0</v>
      </c>
      <c r="S602" s="158">
        <v>50000</v>
      </c>
      <c r="T602" s="158">
        <f t="shared" si="111"/>
        <v>0</v>
      </c>
      <c r="U602" s="158">
        <f t="shared" si="115"/>
        <v>50000</v>
      </c>
      <c r="V602" s="158">
        <v>50000</v>
      </c>
      <c r="W602" s="158">
        <f t="shared" si="116"/>
        <v>0</v>
      </c>
      <c r="X602" s="158">
        <f t="shared" si="112"/>
        <v>0</v>
      </c>
      <c r="Y602" s="158">
        <f t="shared" si="117"/>
        <v>0</v>
      </c>
      <c r="Z602" s="158">
        <v>50000</v>
      </c>
      <c r="AA602" s="158">
        <f t="shared" si="113"/>
        <v>0</v>
      </c>
      <c r="AB602" s="167">
        <f>IF(O602="返货",Z602/(1+N602),IF(O602="返现",Z602,IF(O602="折扣",Z602*N602,IF(O602="无",Z602))))</f>
        <v>50000</v>
      </c>
      <c r="AC602" s="168">
        <f t="shared" si="114"/>
        <v>0</v>
      </c>
      <c r="AD602" s="158">
        <f t="shared" si="118"/>
        <v>49013.8675540386</v>
      </c>
      <c r="AE602" s="159">
        <v>0.1077</v>
      </c>
      <c r="AF602" s="158">
        <f t="shared" si="109"/>
        <v>5278.79353556996</v>
      </c>
      <c r="AG602" s="158">
        <v>5385</v>
      </c>
      <c r="AH602" s="175"/>
      <c r="AI602" s="175"/>
      <c r="AJ602" s="156" t="s">
        <v>47</v>
      </c>
      <c r="AK602" s="140" t="s">
        <v>47</v>
      </c>
      <c r="AM602" s="152"/>
    </row>
    <row r="603" s="140" customFormat="1" ht="15" hidden="1" customHeight="1" spans="1:39">
      <c r="A603" s="140">
        <v>2017</v>
      </c>
      <c r="B603" s="140" t="s">
        <v>38</v>
      </c>
      <c r="C603" s="140" t="s">
        <v>59</v>
      </c>
      <c r="D603" s="140" t="s">
        <v>106</v>
      </c>
      <c r="E603" s="140" t="s">
        <v>239</v>
      </c>
      <c r="F603" s="140" t="s">
        <v>352</v>
      </c>
      <c r="G603" s="140" t="s">
        <v>352</v>
      </c>
      <c r="H603" s="140" t="s">
        <v>352</v>
      </c>
      <c r="I603" s="184" t="s">
        <v>204</v>
      </c>
      <c r="J603" s="140" t="s">
        <v>577</v>
      </c>
      <c r="K603" s="140" t="s">
        <v>578</v>
      </c>
      <c r="L603" s="140" t="s">
        <v>352</v>
      </c>
      <c r="M603" s="140" t="s">
        <v>46</v>
      </c>
      <c r="N603" s="157">
        <v>0.02</v>
      </c>
      <c r="O603" s="156" t="s">
        <v>51</v>
      </c>
      <c r="P603" s="156"/>
      <c r="Q603" s="158">
        <v>319807.15</v>
      </c>
      <c r="R603" s="158">
        <v>0</v>
      </c>
      <c r="S603" s="158">
        <v>7671429.11</v>
      </c>
      <c r="T603" s="158">
        <f t="shared" si="111"/>
        <v>153428.5822</v>
      </c>
      <c r="U603" s="158">
        <f t="shared" si="115"/>
        <v>7824857.6922</v>
      </c>
      <c r="V603" s="158">
        <v>22189504.84</v>
      </c>
      <c r="W603" s="158">
        <f t="shared" si="116"/>
        <v>-14364647.1478</v>
      </c>
      <c r="X603" s="158">
        <f t="shared" si="112"/>
        <v>-14082987.3998039</v>
      </c>
      <c r="Y603" s="158">
        <f t="shared" si="117"/>
        <v>-281659.747996079</v>
      </c>
      <c r="Z603" s="158">
        <v>8572486.84</v>
      </c>
      <c r="AA603" s="158">
        <f t="shared" si="113"/>
        <v>13936825.15</v>
      </c>
      <c r="AB603" s="167">
        <f>IF(O603="返货",(Z603-Q603)/(1+N603),IF(O603="返现",(Z603-Q603),IF(O603="折扣",(Z603-Q603)*N603,IF(O603="无",(Z603-Q603)))))</f>
        <v>8090862.44117647</v>
      </c>
      <c r="AC603" s="168">
        <f t="shared" si="114"/>
        <v>481624.398823529</v>
      </c>
      <c r="AD603" s="158">
        <f t="shared" si="118"/>
        <v>8403414.69168998</v>
      </c>
      <c r="AE603" s="159">
        <v>0.1077</v>
      </c>
      <c r="AF603" s="158">
        <f t="shared" si="109"/>
        <v>905047.762295011</v>
      </c>
      <c r="AG603" s="158">
        <v>755168.855413097</v>
      </c>
      <c r="AH603" s="175"/>
      <c r="AI603" s="175"/>
      <c r="AJ603" s="156" t="s">
        <v>173</v>
      </c>
      <c r="AK603" s="140" t="s">
        <v>173</v>
      </c>
      <c r="AM603" s="152"/>
    </row>
    <row r="604" s="140" customFormat="1" ht="15" hidden="1" customHeight="1" spans="1:39">
      <c r="A604" s="140">
        <v>2017</v>
      </c>
      <c r="B604" s="140" t="s">
        <v>38</v>
      </c>
      <c r="C604" s="140" t="s">
        <v>59</v>
      </c>
      <c r="D604" s="140" t="s">
        <v>106</v>
      </c>
      <c r="E604" s="140" t="s">
        <v>239</v>
      </c>
      <c r="F604" s="140" t="s">
        <v>352</v>
      </c>
      <c r="G604" s="140" t="s">
        <v>352</v>
      </c>
      <c r="H604" s="140" t="s">
        <v>352</v>
      </c>
      <c r="I604" s="184" t="s">
        <v>204</v>
      </c>
      <c r="J604" s="140" t="s">
        <v>577</v>
      </c>
      <c r="K604" s="140" t="s">
        <v>578</v>
      </c>
      <c r="L604" s="140" t="s">
        <v>352</v>
      </c>
      <c r="M604" s="140" t="s">
        <v>185</v>
      </c>
      <c r="N604" s="157">
        <v>0.08</v>
      </c>
      <c r="O604" s="156" t="s">
        <v>51</v>
      </c>
      <c r="P604" s="156"/>
      <c r="Q604" s="158">
        <v>35443.224</v>
      </c>
      <c r="R604" s="158">
        <v>0</v>
      </c>
      <c r="S604" s="158">
        <v>13318570.89</v>
      </c>
      <c r="T604" s="158">
        <f t="shared" si="111"/>
        <v>1065485.6712</v>
      </c>
      <c r="U604" s="158">
        <f t="shared" si="115"/>
        <v>14384056.5612</v>
      </c>
      <c r="V604" s="158">
        <v>0</v>
      </c>
      <c r="W604" s="158">
        <f t="shared" si="116"/>
        <v>14384056.5612</v>
      </c>
      <c r="X604" s="158">
        <f t="shared" si="112"/>
        <v>13318570.89</v>
      </c>
      <c r="Y604" s="158">
        <f t="shared" si="117"/>
        <v>1065485.6712</v>
      </c>
      <c r="Z604" s="158">
        <v>13972390.37</v>
      </c>
      <c r="AA604" s="158">
        <f t="shared" si="113"/>
        <v>-13936947.146</v>
      </c>
      <c r="AB604" s="167">
        <f>IF(O604="返货",(Z604-Q604)/(1+N604),IF(O604="返现",(Z604-Q604),IF(O604="折扣",(Z604-Q604)*N604,IF(O604="无",(Z604-Q604)))))</f>
        <v>12904580.6907407</v>
      </c>
      <c r="AC604" s="168">
        <f t="shared" si="114"/>
        <v>1067809.67925926</v>
      </c>
      <c r="AD604" s="158">
        <f t="shared" si="118"/>
        <v>13696817.8201701</v>
      </c>
      <c r="AE604" s="159">
        <v>0.3156</v>
      </c>
      <c r="AF604" s="158">
        <f t="shared" si="109"/>
        <v>4322715.70404568</v>
      </c>
      <c r="AG604" s="158">
        <v>3374694.52151274</v>
      </c>
      <c r="AH604" s="175"/>
      <c r="AI604" s="175"/>
      <c r="AJ604" s="156" t="s">
        <v>53</v>
      </c>
      <c r="AK604" s="140" t="s">
        <v>53</v>
      </c>
      <c r="AM604" s="152"/>
    </row>
    <row r="605" s="140" customFormat="1" ht="15" hidden="1" customHeight="1" spans="1:39">
      <c r="A605" s="140">
        <v>2017</v>
      </c>
      <c r="B605" s="140" t="s">
        <v>38</v>
      </c>
      <c r="C605" s="140" t="s">
        <v>59</v>
      </c>
      <c r="D605" s="140" t="s">
        <v>106</v>
      </c>
      <c r="E605" s="140" t="s">
        <v>239</v>
      </c>
      <c r="F605" s="140" t="s">
        <v>352</v>
      </c>
      <c r="G605" s="140" t="s">
        <v>352</v>
      </c>
      <c r="H605" s="140" t="s">
        <v>352</v>
      </c>
      <c r="I605" s="184" t="s">
        <v>204</v>
      </c>
      <c r="J605" s="140" t="s">
        <v>577</v>
      </c>
      <c r="K605" s="140" t="s">
        <v>578</v>
      </c>
      <c r="L605" s="140" t="s">
        <v>352</v>
      </c>
      <c r="M605" s="140" t="s">
        <v>597</v>
      </c>
      <c r="N605" s="157">
        <v>0</v>
      </c>
      <c r="O605" s="156" t="s">
        <v>47</v>
      </c>
      <c r="P605" s="156"/>
      <c r="Q605" s="158">
        <v>0</v>
      </c>
      <c r="R605" s="158">
        <v>0</v>
      </c>
      <c r="S605" s="158">
        <v>170000</v>
      </c>
      <c r="T605" s="158">
        <f t="shared" si="111"/>
        <v>0</v>
      </c>
      <c r="U605" s="158">
        <f t="shared" si="115"/>
        <v>170000</v>
      </c>
      <c r="V605" s="158">
        <v>307500</v>
      </c>
      <c r="W605" s="158">
        <f t="shared" si="116"/>
        <v>-137500</v>
      </c>
      <c r="X605" s="158">
        <f t="shared" si="112"/>
        <v>-137500</v>
      </c>
      <c r="Y605" s="158">
        <f t="shared" si="117"/>
        <v>0</v>
      </c>
      <c r="Z605" s="158">
        <v>307500</v>
      </c>
      <c r="AA605" s="158">
        <f t="shared" si="113"/>
        <v>0</v>
      </c>
      <c r="AB605" s="167">
        <f>IF(O605="返货",Z605/(1+N605),IF(O605="返现",Z605,IF(O605="折扣",Z605*N605,IF(O605="无",Z605))))</f>
        <v>307500</v>
      </c>
      <c r="AC605" s="168">
        <f t="shared" si="114"/>
        <v>0</v>
      </c>
      <c r="AD605" s="158">
        <f t="shared" si="118"/>
        <v>301435.285457337</v>
      </c>
      <c r="AE605" s="159">
        <v>0.3534</v>
      </c>
      <c r="AF605" s="158">
        <f t="shared" si="109"/>
        <v>106527.229880623</v>
      </c>
      <c r="AG605" s="158">
        <v>28948.2777777778</v>
      </c>
      <c r="AH605" s="175"/>
      <c r="AI605" s="175"/>
      <c r="AJ605" s="157">
        <v>0.35</v>
      </c>
      <c r="AK605" s="177">
        <v>0.35</v>
      </c>
      <c r="AM605" s="152"/>
    </row>
    <row r="606" s="140" customFormat="1" ht="15" hidden="1" customHeight="1" spans="1:39">
      <c r="A606" s="140">
        <v>2017</v>
      </c>
      <c r="B606" s="140" t="s">
        <v>38</v>
      </c>
      <c r="C606" s="140" t="s">
        <v>59</v>
      </c>
      <c r="D606" s="140" t="s">
        <v>106</v>
      </c>
      <c r="E606" s="140" t="s">
        <v>239</v>
      </c>
      <c r="F606" s="140" t="s">
        <v>352</v>
      </c>
      <c r="G606" s="140" t="s">
        <v>352</v>
      </c>
      <c r="H606" s="140" t="s">
        <v>352</v>
      </c>
      <c r="I606" s="184" t="s">
        <v>204</v>
      </c>
      <c r="J606" s="140" t="s">
        <v>577</v>
      </c>
      <c r="K606" s="140" t="s">
        <v>578</v>
      </c>
      <c r="L606" s="140" t="s">
        <v>352</v>
      </c>
      <c r="M606" s="140" t="s">
        <v>160</v>
      </c>
      <c r="N606" s="157">
        <v>0</v>
      </c>
      <c r="O606" s="156" t="s">
        <v>47</v>
      </c>
      <c r="P606" s="156"/>
      <c r="Q606" s="158">
        <v>0</v>
      </c>
      <c r="R606" s="158">
        <v>0</v>
      </c>
      <c r="S606" s="158">
        <v>547500</v>
      </c>
      <c r="T606" s="158">
        <f t="shared" si="111"/>
        <v>0</v>
      </c>
      <c r="U606" s="158">
        <f t="shared" si="115"/>
        <v>547500</v>
      </c>
      <c r="V606" s="158">
        <v>175000</v>
      </c>
      <c r="W606" s="158">
        <f t="shared" si="116"/>
        <v>372500</v>
      </c>
      <c r="X606" s="158">
        <f t="shared" si="112"/>
        <v>372500</v>
      </c>
      <c r="Y606" s="158">
        <f t="shared" si="117"/>
        <v>0</v>
      </c>
      <c r="Z606" s="158">
        <v>175000</v>
      </c>
      <c r="AA606" s="158">
        <f t="shared" si="113"/>
        <v>0</v>
      </c>
      <c r="AB606" s="167">
        <f>IF(O606="返货",Z606/(1+N606),IF(O606="返现",Z606,IF(O606="折扣",Z606*N606,IF(O606="无",Z606))))</f>
        <v>175000</v>
      </c>
      <c r="AC606" s="168">
        <f t="shared" si="114"/>
        <v>0</v>
      </c>
      <c r="AD606" s="158">
        <f t="shared" si="118"/>
        <v>171548.536439135</v>
      </c>
      <c r="AE606" s="159">
        <v>0.1077</v>
      </c>
      <c r="AF606" s="158">
        <f t="shared" si="109"/>
        <v>18475.7773744948</v>
      </c>
      <c r="AG606" s="158">
        <v>-26522.8703703704</v>
      </c>
      <c r="AH606" s="175"/>
      <c r="AI606" s="175"/>
      <c r="AJ606" s="157">
        <v>0.35</v>
      </c>
      <c r="AK606" s="177">
        <v>0.35</v>
      </c>
      <c r="AM606" s="152"/>
    </row>
    <row r="607" s="140" customFormat="1" ht="15" hidden="1" customHeight="1" spans="1:39">
      <c r="A607" s="140">
        <v>2017</v>
      </c>
      <c r="B607" s="140" t="s">
        <v>38</v>
      </c>
      <c r="C607" s="140" t="s">
        <v>59</v>
      </c>
      <c r="D607" s="140" t="s">
        <v>106</v>
      </c>
      <c r="E607" s="140" t="s">
        <v>190</v>
      </c>
      <c r="F607" s="140" t="s">
        <v>197</v>
      </c>
      <c r="G607" s="140" t="s">
        <v>197</v>
      </c>
      <c r="H607" s="140" t="s">
        <v>197</v>
      </c>
      <c r="I607" s="184" t="s">
        <v>204</v>
      </c>
      <c r="J607" s="140" t="s">
        <v>577</v>
      </c>
      <c r="K607" s="140" t="s">
        <v>578</v>
      </c>
      <c r="L607" s="140" t="s">
        <v>197</v>
      </c>
      <c r="M607" s="140" t="s">
        <v>46</v>
      </c>
      <c r="N607" s="157">
        <v>0.02</v>
      </c>
      <c r="O607" s="156" t="s">
        <v>51</v>
      </c>
      <c r="P607" s="156"/>
      <c r="Q607" s="158">
        <v>114338.6</v>
      </c>
      <c r="R607" s="158">
        <v>0</v>
      </c>
      <c r="S607" s="158">
        <v>7169635.52</v>
      </c>
      <c r="T607" s="158">
        <f t="shared" si="111"/>
        <v>143392.7104</v>
      </c>
      <c r="U607" s="158">
        <f t="shared" si="115"/>
        <v>7313028.2304</v>
      </c>
      <c r="V607" s="158">
        <v>7510000</v>
      </c>
      <c r="W607" s="158">
        <f t="shared" si="116"/>
        <v>-196971.7696</v>
      </c>
      <c r="X607" s="158">
        <f t="shared" si="112"/>
        <v>-193109.578039216</v>
      </c>
      <c r="Y607" s="158">
        <f t="shared" si="117"/>
        <v>-3862.19156078433</v>
      </c>
      <c r="Z607" s="158">
        <v>5922042.42</v>
      </c>
      <c r="AA607" s="158">
        <f t="shared" si="113"/>
        <v>1702296.18</v>
      </c>
      <c r="AB607" s="167">
        <f>IF(O607="返货",(Z607-Q607)/(1+N607),IF(O607="返现",(Z607-Q607),IF(O607="折扣",(Z607-Q607)*N607,IF(O607="无",(Z607-Q607)))))</f>
        <v>5693827.2745098</v>
      </c>
      <c r="AC607" s="168">
        <f t="shared" si="114"/>
        <v>228215.145490196</v>
      </c>
      <c r="AD607" s="158">
        <f t="shared" si="118"/>
        <v>5805244.05646556</v>
      </c>
      <c r="AE607" s="159">
        <v>0.1077</v>
      </c>
      <c r="AF607" s="158">
        <f t="shared" si="109"/>
        <v>625224.784881341</v>
      </c>
      <c r="AG607" s="158">
        <v>521685.48981047</v>
      </c>
      <c r="AH607" s="175"/>
      <c r="AI607" s="175"/>
      <c r="AJ607" s="156" t="s">
        <v>173</v>
      </c>
      <c r="AK607" s="140" t="s">
        <v>173</v>
      </c>
      <c r="AL607" s="140" t="s">
        <v>613</v>
      </c>
      <c r="AM607" s="152"/>
    </row>
    <row r="608" s="140" customFormat="1" ht="15" hidden="1" customHeight="1" spans="1:39">
      <c r="A608" s="140">
        <v>2017</v>
      </c>
      <c r="B608" s="140" t="s">
        <v>38</v>
      </c>
      <c r="C608" s="140" t="s">
        <v>59</v>
      </c>
      <c r="D608" s="140" t="s">
        <v>106</v>
      </c>
      <c r="E608" s="140" t="s">
        <v>190</v>
      </c>
      <c r="F608" s="140" t="s">
        <v>197</v>
      </c>
      <c r="G608" s="140" t="s">
        <v>197</v>
      </c>
      <c r="H608" s="140" t="s">
        <v>197</v>
      </c>
      <c r="I608" s="184" t="s">
        <v>204</v>
      </c>
      <c r="J608" s="140" t="s">
        <v>577</v>
      </c>
      <c r="K608" s="140" t="s">
        <v>578</v>
      </c>
      <c r="L608" s="140" t="s">
        <v>197</v>
      </c>
      <c r="M608" s="140" t="s">
        <v>185</v>
      </c>
      <c r="N608" s="157">
        <v>0.08</v>
      </c>
      <c r="O608" s="156" t="s">
        <v>51</v>
      </c>
      <c r="P608" s="156"/>
      <c r="Q608" s="158">
        <v>50000</v>
      </c>
      <c r="R608" s="158">
        <v>0</v>
      </c>
      <c r="S608" s="158">
        <v>7623548.04</v>
      </c>
      <c r="T608" s="158">
        <f t="shared" si="111"/>
        <v>609883.8432</v>
      </c>
      <c r="U608" s="158">
        <f t="shared" si="115"/>
        <v>8233431.8832</v>
      </c>
      <c r="V608" s="158">
        <v>0</v>
      </c>
      <c r="W608" s="158">
        <f t="shared" si="116"/>
        <v>8233431.8832</v>
      </c>
      <c r="X608" s="158">
        <f t="shared" si="112"/>
        <v>7623548.04</v>
      </c>
      <c r="Y608" s="158">
        <f t="shared" si="117"/>
        <v>609883.843200001</v>
      </c>
      <c r="Z608" s="158">
        <v>1752338.04</v>
      </c>
      <c r="AA608" s="158">
        <f t="shared" si="113"/>
        <v>-1702338.04</v>
      </c>
      <c r="AB608" s="167">
        <f>IF(O608="返货",(Z608-Q608)/(1+N608),IF(O608="返现",(Z608-Q608),IF(O608="折扣",(Z608-Q608)*N608,IF(O608="无",(Z608-Q608)))))</f>
        <v>1576238.92592593</v>
      </c>
      <c r="AC608" s="168">
        <f t="shared" si="114"/>
        <v>176099.114074074</v>
      </c>
      <c r="AD608" s="158">
        <f t="shared" si="118"/>
        <v>1717777.29204927</v>
      </c>
      <c r="AE608" s="159">
        <v>0.3156</v>
      </c>
      <c r="AF608" s="158">
        <f t="shared" si="109"/>
        <v>542130.51337075</v>
      </c>
      <c r="AG608" s="158">
        <v>423235.067646222</v>
      </c>
      <c r="AH608" s="175"/>
      <c r="AI608" s="175"/>
      <c r="AJ608" s="156" t="s">
        <v>53</v>
      </c>
      <c r="AK608" s="140" t="s">
        <v>53</v>
      </c>
      <c r="AM608" s="152"/>
    </row>
    <row r="609" s="140" customFormat="1" ht="15" hidden="1" customHeight="1" spans="1:39">
      <c r="A609" s="140">
        <v>2017</v>
      </c>
      <c r="B609" s="140" t="s">
        <v>38</v>
      </c>
      <c r="C609" s="140" t="s">
        <v>59</v>
      </c>
      <c r="D609" s="140" t="s">
        <v>106</v>
      </c>
      <c r="E609" s="140" t="s">
        <v>190</v>
      </c>
      <c r="F609" s="140" t="s">
        <v>197</v>
      </c>
      <c r="G609" s="140" t="s">
        <v>197</v>
      </c>
      <c r="H609" s="140" t="s">
        <v>197</v>
      </c>
      <c r="I609" s="184" t="s">
        <v>204</v>
      </c>
      <c r="J609" s="140" t="s">
        <v>577</v>
      </c>
      <c r="K609" s="140" t="s">
        <v>578</v>
      </c>
      <c r="L609" s="140" t="s">
        <v>197</v>
      </c>
      <c r="M609" s="140" t="s">
        <v>597</v>
      </c>
      <c r="N609" s="156">
        <v>0</v>
      </c>
      <c r="O609" s="156" t="s">
        <v>47</v>
      </c>
      <c r="P609" s="156"/>
      <c r="Q609" s="158">
        <v>0</v>
      </c>
      <c r="R609" s="158">
        <v>0</v>
      </c>
      <c r="S609" s="158">
        <v>31500</v>
      </c>
      <c r="T609" s="158">
        <f t="shared" si="111"/>
        <v>0</v>
      </c>
      <c r="U609" s="158">
        <f t="shared" si="115"/>
        <v>31500</v>
      </c>
      <c r="V609" s="158">
        <v>31500</v>
      </c>
      <c r="W609" s="158">
        <f t="shared" si="116"/>
        <v>0</v>
      </c>
      <c r="X609" s="158">
        <f t="shared" si="112"/>
        <v>0</v>
      </c>
      <c r="Y609" s="158">
        <f t="shared" si="117"/>
        <v>0</v>
      </c>
      <c r="Z609" s="158">
        <v>31500</v>
      </c>
      <c r="AA609" s="158">
        <f t="shared" si="113"/>
        <v>0</v>
      </c>
      <c r="AB609" s="167">
        <f>IF(O609="返货",Z609/(1+N609),IF(O609="返现",Z609,IF(O609="折扣",Z609*N609,IF(O609="无",Z609))))</f>
        <v>31500</v>
      </c>
      <c r="AC609" s="168">
        <f t="shared" si="114"/>
        <v>0</v>
      </c>
      <c r="AD609" s="158">
        <f t="shared" si="118"/>
        <v>30878.7365590443</v>
      </c>
      <c r="AE609" s="159">
        <v>0.3534</v>
      </c>
      <c r="AF609" s="158">
        <f t="shared" si="109"/>
        <v>10912.5454999663</v>
      </c>
      <c r="AG609" s="158">
        <v>11132.1</v>
      </c>
      <c r="AH609" s="175"/>
      <c r="AI609" s="175"/>
      <c r="AJ609" s="156" t="s">
        <v>47</v>
      </c>
      <c r="AK609" s="140" t="s">
        <v>47</v>
      </c>
      <c r="AM609" s="152"/>
    </row>
    <row r="610" s="140" customFormat="1" ht="15" hidden="1" customHeight="1" spans="1:39">
      <c r="A610" s="140">
        <v>2017</v>
      </c>
      <c r="B610" s="140" t="s">
        <v>38</v>
      </c>
      <c r="C610" s="140" t="s">
        <v>59</v>
      </c>
      <c r="D610" s="140" t="s">
        <v>106</v>
      </c>
      <c r="E610" s="140" t="s">
        <v>190</v>
      </c>
      <c r="F610" s="140" t="s">
        <v>197</v>
      </c>
      <c r="G610" s="140" t="s">
        <v>197</v>
      </c>
      <c r="H610" s="140" t="s">
        <v>197</v>
      </c>
      <c r="I610" s="184" t="s">
        <v>204</v>
      </c>
      <c r="J610" s="140" t="s">
        <v>577</v>
      </c>
      <c r="K610" s="140" t="s">
        <v>578</v>
      </c>
      <c r="L610" s="140" t="s">
        <v>197</v>
      </c>
      <c r="M610" s="140" t="s">
        <v>160</v>
      </c>
      <c r="N610" s="157">
        <v>0</v>
      </c>
      <c r="O610" s="156" t="s">
        <v>47</v>
      </c>
      <c r="P610" s="156"/>
      <c r="Q610" s="158">
        <v>0</v>
      </c>
      <c r="R610" s="158">
        <v>0</v>
      </c>
      <c r="S610" s="158">
        <v>180000</v>
      </c>
      <c r="T610" s="158">
        <f t="shared" si="111"/>
        <v>0</v>
      </c>
      <c r="U610" s="158">
        <f t="shared" si="115"/>
        <v>180000</v>
      </c>
      <c r="V610" s="158">
        <v>180000</v>
      </c>
      <c r="W610" s="158">
        <f t="shared" si="116"/>
        <v>0</v>
      </c>
      <c r="X610" s="158">
        <f t="shared" si="112"/>
        <v>0</v>
      </c>
      <c r="Y610" s="158">
        <f t="shared" si="117"/>
        <v>0</v>
      </c>
      <c r="Z610" s="158">
        <v>180000</v>
      </c>
      <c r="AA610" s="158">
        <f t="shared" si="113"/>
        <v>0</v>
      </c>
      <c r="AB610" s="167">
        <f>IF(O610="返货",Z610/(1+N610),IF(O610="返现",Z610,IF(O610="折扣",Z610*N610,IF(O610="无",Z610))))</f>
        <v>180000</v>
      </c>
      <c r="AC610" s="168">
        <f t="shared" si="114"/>
        <v>0</v>
      </c>
      <c r="AD610" s="158">
        <f t="shared" si="118"/>
        <v>176449.923194539</v>
      </c>
      <c r="AE610" s="159">
        <v>0.1077</v>
      </c>
      <c r="AF610" s="158">
        <f t="shared" si="109"/>
        <v>19003.6567280518</v>
      </c>
      <c r="AG610" s="158">
        <v>19386</v>
      </c>
      <c r="AH610" s="175"/>
      <c r="AI610" s="175"/>
      <c r="AJ610" s="156" t="s">
        <v>47</v>
      </c>
      <c r="AK610" s="140" t="s">
        <v>47</v>
      </c>
      <c r="AM610" s="152"/>
    </row>
    <row r="611" s="140" customFormat="1" ht="15" hidden="1" customHeight="1" spans="1:39">
      <c r="A611" s="140">
        <v>2017</v>
      </c>
      <c r="B611" s="140" t="s">
        <v>38</v>
      </c>
      <c r="C611" s="140" t="s">
        <v>59</v>
      </c>
      <c r="D611" s="140" t="s">
        <v>106</v>
      </c>
      <c r="E611" s="140" t="s">
        <v>190</v>
      </c>
      <c r="F611" s="140" t="s">
        <v>557</v>
      </c>
      <c r="G611" s="140" t="s">
        <v>557</v>
      </c>
      <c r="H611" s="140" t="s">
        <v>557</v>
      </c>
      <c r="I611" s="184" t="s">
        <v>204</v>
      </c>
      <c r="J611" s="140" t="s">
        <v>577</v>
      </c>
      <c r="K611" s="140" t="s">
        <v>578</v>
      </c>
      <c r="L611" s="140" t="s">
        <v>557</v>
      </c>
      <c r="M611" s="140" t="s">
        <v>46</v>
      </c>
      <c r="N611" s="157">
        <v>0.02</v>
      </c>
      <c r="O611" s="156" t="s">
        <v>51</v>
      </c>
      <c r="P611" s="156"/>
      <c r="Q611" s="158">
        <v>3500</v>
      </c>
      <c r="R611" s="158">
        <v>0</v>
      </c>
      <c r="S611" s="158">
        <v>10000</v>
      </c>
      <c r="T611" s="158">
        <f t="shared" si="111"/>
        <v>200</v>
      </c>
      <c r="U611" s="158">
        <f t="shared" si="115"/>
        <v>10200</v>
      </c>
      <c r="V611" s="158">
        <v>10000</v>
      </c>
      <c r="W611" s="158">
        <f t="shared" si="116"/>
        <v>200</v>
      </c>
      <c r="X611" s="158">
        <f t="shared" si="112"/>
        <v>196.078431372549</v>
      </c>
      <c r="Y611" s="158">
        <f t="shared" si="117"/>
        <v>3.92156862745099</v>
      </c>
      <c r="Z611" s="158">
        <v>13500</v>
      </c>
      <c r="AA611" s="158">
        <f t="shared" si="113"/>
        <v>0</v>
      </c>
      <c r="AB611" s="167">
        <f>IF(O611="返货",(Z611-Q611)/(1+N611),IF(O611="返现",(Z611-Q611),IF(O611="折扣",(Z611-Q611)*N611,IF(O611="无",(Z611-Q611)))))</f>
        <v>9803.92156862745</v>
      </c>
      <c r="AC611" s="168">
        <f t="shared" si="114"/>
        <v>3696.07843137255</v>
      </c>
      <c r="AD611" s="158">
        <f t="shared" si="118"/>
        <v>13233.7442395904</v>
      </c>
      <c r="AE611" s="159">
        <v>0.1077</v>
      </c>
      <c r="AF611" s="158">
        <f t="shared" si="109"/>
        <v>1425.27425460389</v>
      </c>
      <c r="AG611" s="158">
        <v>1189.24411764706</v>
      </c>
      <c r="AH611" s="175"/>
      <c r="AI611" s="175"/>
      <c r="AJ611" s="156" t="s">
        <v>173</v>
      </c>
      <c r="AK611" s="140" t="s">
        <v>173</v>
      </c>
      <c r="AM611" s="152"/>
    </row>
    <row r="612" s="140" customFormat="1" ht="15" hidden="1" customHeight="1" spans="1:39">
      <c r="A612" s="140">
        <v>2017</v>
      </c>
      <c r="B612" s="140" t="s">
        <v>38</v>
      </c>
      <c r="C612" s="140" t="s">
        <v>59</v>
      </c>
      <c r="D612" s="140" t="s">
        <v>106</v>
      </c>
      <c r="E612" s="140" t="s">
        <v>249</v>
      </c>
      <c r="F612" s="140" t="s">
        <v>744</v>
      </c>
      <c r="G612" s="140" t="s">
        <v>744</v>
      </c>
      <c r="H612" s="140" t="s">
        <v>744</v>
      </c>
      <c r="I612" s="184" t="s">
        <v>204</v>
      </c>
      <c r="J612" s="140" t="s">
        <v>577</v>
      </c>
      <c r="K612" s="140" t="s">
        <v>578</v>
      </c>
      <c r="L612" s="140" t="s">
        <v>745</v>
      </c>
      <c r="M612" s="140" t="s">
        <v>46</v>
      </c>
      <c r="N612" s="157">
        <v>0.02</v>
      </c>
      <c r="O612" s="156" t="s">
        <v>51</v>
      </c>
      <c r="P612" s="156"/>
      <c r="Q612" s="158">
        <v>2751.95</v>
      </c>
      <c r="R612" s="158">
        <v>0</v>
      </c>
      <c r="S612" s="158">
        <v>20000</v>
      </c>
      <c r="T612" s="158">
        <f t="shared" si="111"/>
        <v>400</v>
      </c>
      <c r="U612" s="158">
        <f t="shared" si="115"/>
        <v>20400</v>
      </c>
      <c r="V612" s="158">
        <v>20000</v>
      </c>
      <c r="W612" s="158">
        <f t="shared" si="116"/>
        <v>400</v>
      </c>
      <c r="X612" s="158">
        <f t="shared" si="112"/>
        <v>392.156862745098</v>
      </c>
      <c r="Y612" s="158">
        <f t="shared" si="117"/>
        <v>7.84313725490199</v>
      </c>
      <c r="Z612" s="158">
        <v>17504.93</v>
      </c>
      <c r="AA612" s="158">
        <f t="shared" si="113"/>
        <v>5247.02</v>
      </c>
      <c r="AB612" s="167">
        <f>IF(O612="返货",(Z612-Q612)/(1+N612),IF(O612="返现",(Z612-Q612),IF(O612="折扣",(Z612-Q612)*N612,IF(O612="无",(Z612-Q612)))))</f>
        <v>14463.7058823529</v>
      </c>
      <c r="AC612" s="168">
        <f t="shared" si="114"/>
        <v>3041.22411764706</v>
      </c>
      <c r="AD612" s="158">
        <f t="shared" si="118"/>
        <v>17159.6864112543</v>
      </c>
      <c r="AE612" s="159">
        <v>0.1077</v>
      </c>
      <c r="AF612" s="158">
        <f t="shared" si="109"/>
        <v>1848.09822649209</v>
      </c>
      <c r="AG612" s="158">
        <v>1542.04703943137</v>
      </c>
      <c r="AH612" s="175"/>
      <c r="AI612" s="175"/>
      <c r="AJ612" s="157">
        <v>0.02</v>
      </c>
      <c r="AK612" s="177">
        <v>0.02</v>
      </c>
      <c r="AM612" s="152"/>
    </row>
    <row r="613" s="140" customFormat="1" ht="15" hidden="1" customHeight="1" spans="1:39">
      <c r="A613" s="140">
        <v>2017</v>
      </c>
      <c r="B613" s="140" t="s">
        <v>38</v>
      </c>
      <c r="C613" s="140" t="s">
        <v>59</v>
      </c>
      <c r="D613" s="140" t="s">
        <v>106</v>
      </c>
      <c r="E613" s="140" t="s">
        <v>61</v>
      </c>
      <c r="F613" s="140" t="s">
        <v>746</v>
      </c>
      <c r="G613" s="140" t="s">
        <v>746</v>
      </c>
      <c r="H613" s="140" t="s">
        <v>746</v>
      </c>
      <c r="I613" s="184" t="s">
        <v>204</v>
      </c>
      <c r="J613" s="140" t="s">
        <v>577</v>
      </c>
      <c r="K613" s="140" t="s">
        <v>578</v>
      </c>
      <c r="L613" s="140" t="s">
        <v>746</v>
      </c>
      <c r="M613" s="140" t="s">
        <v>46</v>
      </c>
      <c r="N613" s="157">
        <v>0.02</v>
      </c>
      <c r="O613" s="156" t="s">
        <v>51</v>
      </c>
      <c r="P613" s="156"/>
      <c r="Q613" s="158">
        <v>0</v>
      </c>
      <c r="R613" s="158">
        <v>0</v>
      </c>
      <c r="S613" s="158">
        <v>65026.01</v>
      </c>
      <c r="T613" s="158">
        <f t="shared" si="111"/>
        <v>1300.5202</v>
      </c>
      <c r="U613" s="158">
        <f t="shared" si="115"/>
        <v>66326.5302</v>
      </c>
      <c r="V613" s="158">
        <v>71400</v>
      </c>
      <c r="W613" s="158">
        <f t="shared" si="116"/>
        <v>-5073.46979999999</v>
      </c>
      <c r="X613" s="158">
        <f t="shared" si="112"/>
        <v>-4973.98999999999</v>
      </c>
      <c r="Y613" s="158">
        <f t="shared" si="117"/>
        <v>-99.4798000000001</v>
      </c>
      <c r="Z613" s="158">
        <v>66326.53</v>
      </c>
      <c r="AA613" s="158">
        <f t="shared" si="113"/>
        <v>5073.47</v>
      </c>
      <c r="AB613" s="167">
        <f>IF(O613="返货",Z613/(1+N613),IF(O613="返现",Z613,IF(O613="折扣",Z613*N613,IF(O613="无",Z613))))</f>
        <v>65026.0098039216</v>
      </c>
      <c r="AC613" s="168">
        <f t="shared" si="114"/>
        <v>1300.52019607843</v>
      </c>
      <c r="AD613" s="158">
        <f t="shared" si="118"/>
        <v>65018.3951347794</v>
      </c>
      <c r="AE613" s="159">
        <v>0.1077</v>
      </c>
      <c r="AF613" s="158">
        <f t="shared" si="109"/>
        <v>7002.48115601574</v>
      </c>
      <c r="AG613" s="158">
        <v>5842.84708492157</v>
      </c>
      <c r="AH613" s="175"/>
      <c r="AI613" s="175"/>
      <c r="AJ613" s="156" t="s">
        <v>173</v>
      </c>
      <c r="AK613" s="140" t="s">
        <v>173</v>
      </c>
      <c r="AM613" s="152"/>
    </row>
    <row r="614" s="140" customFormat="1" ht="15" hidden="1" customHeight="1" spans="1:39">
      <c r="A614" s="140">
        <v>2017</v>
      </c>
      <c r="B614" s="140" t="s">
        <v>38</v>
      </c>
      <c r="C614" s="140" t="s">
        <v>59</v>
      </c>
      <c r="D614" s="140" t="s">
        <v>106</v>
      </c>
      <c r="E614" s="140" t="s">
        <v>61</v>
      </c>
      <c r="F614" s="140" t="s">
        <v>746</v>
      </c>
      <c r="G614" s="140" t="s">
        <v>746</v>
      </c>
      <c r="H614" s="140" t="s">
        <v>746</v>
      </c>
      <c r="I614" s="184" t="s">
        <v>204</v>
      </c>
      <c r="J614" s="140" t="s">
        <v>577</v>
      </c>
      <c r="K614" s="140" t="s">
        <v>578</v>
      </c>
      <c r="L614" s="140" t="s">
        <v>746</v>
      </c>
      <c r="M614" s="140" t="s">
        <v>185</v>
      </c>
      <c r="N614" s="157">
        <v>0.08</v>
      </c>
      <c r="O614" s="156" t="s">
        <v>51</v>
      </c>
      <c r="P614" s="156"/>
      <c r="Q614" s="158">
        <v>0</v>
      </c>
      <c r="R614" s="158">
        <v>0</v>
      </c>
      <c r="S614" s="158">
        <v>4930.61</v>
      </c>
      <c r="T614" s="158">
        <f t="shared" si="111"/>
        <v>394.4488</v>
      </c>
      <c r="U614" s="158">
        <f t="shared" si="115"/>
        <v>5325.0588</v>
      </c>
      <c r="V614" s="158">
        <v>0</v>
      </c>
      <c r="W614" s="158">
        <f t="shared" si="116"/>
        <v>5325.0588</v>
      </c>
      <c r="X614" s="158">
        <f t="shared" si="112"/>
        <v>4930.61</v>
      </c>
      <c r="Y614" s="158">
        <f t="shared" si="117"/>
        <v>394.4488</v>
      </c>
      <c r="Z614" s="158">
        <v>5073.47</v>
      </c>
      <c r="AA614" s="158">
        <f t="shared" si="113"/>
        <v>-5073.47</v>
      </c>
      <c r="AB614" s="167">
        <f>IF(O614="返货",Z614/(1+N614),IF(O614="返现",Z614,IF(O614="折扣",Z614*N614,IF(O614="无",Z614))))</f>
        <v>4697.65740740741</v>
      </c>
      <c r="AC614" s="168">
        <f t="shared" si="114"/>
        <v>375.812592592593</v>
      </c>
      <c r="AD614" s="158">
        <f t="shared" si="118"/>
        <v>4973.40773238776</v>
      </c>
      <c r="AE614" s="159">
        <v>0.3156</v>
      </c>
      <c r="AF614" s="158">
        <f t="shared" si="109"/>
        <v>1569.60748034158</v>
      </c>
      <c r="AG614" s="158">
        <v>1225.37453940741</v>
      </c>
      <c r="AH614" s="175"/>
      <c r="AI614" s="175"/>
      <c r="AJ614" s="156" t="s">
        <v>53</v>
      </c>
      <c r="AK614" s="140" t="s">
        <v>53</v>
      </c>
      <c r="AM614" s="152"/>
    </row>
    <row r="615" s="140" customFormat="1" ht="15" hidden="1" customHeight="1" spans="1:39">
      <c r="A615" s="140">
        <v>2017</v>
      </c>
      <c r="B615" s="140" t="s">
        <v>38</v>
      </c>
      <c r="C615" s="140" t="s">
        <v>59</v>
      </c>
      <c r="D615" s="140" t="s">
        <v>106</v>
      </c>
      <c r="E615" s="140" t="s">
        <v>61</v>
      </c>
      <c r="F615" s="140" t="s">
        <v>145</v>
      </c>
      <c r="G615" s="140" t="s">
        <v>146</v>
      </c>
      <c r="H615" s="140" t="s">
        <v>146</v>
      </c>
      <c r="I615" s="184" t="s">
        <v>204</v>
      </c>
      <c r="J615" s="140" t="s">
        <v>577</v>
      </c>
      <c r="K615" s="140" t="s">
        <v>578</v>
      </c>
      <c r="L615" s="140" t="s">
        <v>145</v>
      </c>
      <c r="M615" s="140" t="s">
        <v>46</v>
      </c>
      <c r="N615" s="157">
        <v>0.02</v>
      </c>
      <c r="O615" s="156" t="s">
        <v>51</v>
      </c>
      <c r="P615" s="156"/>
      <c r="Q615" s="158">
        <v>0</v>
      </c>
      <c r="R615" s="158">
        <v>0</v>
      </c>
      <c r="S615" s="158">
        <v>59096.24</v>
      </c>
      <c r="T615" s="158">
        <f t="shared" si="111"/>
        <v>1181.9248</v>
      </c>
      <c r="U615" s="158">
        <f t="shared" si="115"/>
        <v>60278.1648</v>
      </c>
      <c r="V615" s="158">
        <v>0</v>
      </c>
      <c r="W615" s="158">
        <f t="shared" si="116"/>
        <v>60278.1648</v>
      </c>
      <c r="X615" s="158">
        <f t="shared" si="112"/>
        <v>59096.24</v>
      </c>
      <c r="Y615" s="158">
        <f t="shared" si="117"/>
        <v>1181.9248</v>
      </c>
      <c r="Z615" s="158">
        <v>0</v>
      </c>
      <c r="AA615" s="158">
        <f t="shared" si="113"/>
        <v>0</v>
      </c>
      <c r="AB615" s="167">
        <f>IF(O615="返货",Z615/(1+N615),IF(O615="返现",Z615,IF(O615="折扣",Z615*N615,IF(O615="无",Z615))))</f>
        <v>0</v>
      </c>
      <c r="AC615" s="168">
        <f t="shared" si="114"/>
        <v>0</v>
      </c>
      <c r="AD615" s="158">
        <f t="shared" ref="AD615:AD646" si="120">Z615*0.980277351080772</f>
        <v>0</v>
      </c>
      <c r="AE615" s="159">
        <v>0.1077</v>
      </c>
      <c r="AF615" s="158">
        <f t="shared" si="109"/>
        <v>0</v>
      </c>
      <c r="AG615" s="158">
        <v>0</v>
      </c>
      <c r="AH615" s="175"/>
      <c r="AI615" s="175"/>
      <c r="AJ615" s="156" t="s">
        <v>173</v>
      </c>
      <c r="AK615" s="140" t="s">
        <v>173</v>
      </c>
      <c r="AM615" s="152"/>
    </row>
    <row r="616" s="140" customFormat="1" ht="15" hidden="1" customHeight="1" spans="1:39">
      <c r="A616" s="140">
        <v>2017</v>
      </c>
      <c r="B616" s="140" t="s">
        <v>38</v>
      </c>
      <c r="C616" s="140" t="s">
        <v>59</v>
      </c>
      <c r="D616" s="140" t="s">
        <v>106</v>
      </c>
      <c r="E616" s="140" t="s">
        <v>61</v>
      </c>
      <c r="F616" s="140" t="s">
        <v>145</v>
      </c>
      <c r="G616" s="140" t="s">
        <v>146</v>
      </c>
      <c r="H616" s="140" t="s">
        <v>146</v>
      </c>
      <c r="I616" s="184" t="s">
        <v>204</v>
      </c>
      <c r="J616" s="140" t="s">
        <v>577</v>
      </c>
      <c r="K616" s="140" t="s">
        <v>578</v>
      </c>
      <c r="L616" s="140" t="s">
        <v>145</v>
      </c>
      <c r="M616" s="140" t="s">
        <v>185</v>
      </c>
      <c r="N616" s="157">
        <v>0.08</v>
      </c>
      <c r="O616" s="156" t="s">
        <v>51</v>
      </c>
      <c r="P616" s="156"/>
      <c r="Q616" s="158">
        <v>8128.0157</v>
      </c>
      <c r="R616" s="158">
        <v>0</v>
      </c>
      <c r="S616" s="158">
        <v>25579.09</v>
      </c>
      <c r="T616" s="158">
        <f t="shared" si="111"/>
        <v>2046.3272</v>
      </c>
      <c r="U616" s="158">
        <f t="shared" si="115"/>
        <v>27625.4172</v>
      </c>
      <c r="V616" s="158">
        <v>0</v>
      </c>
      <c r="W616" s="158">
        <f t="shared" si="116"/>
        <v>27625.4172</v>
      </c>
      <c r="X616" s="158">
        <f t="shared" si="112"/>
        <v>25579.09</v>
      </c>
      <c r="Y616" s="158">
        <f t="shared" si="117"/>
        <v>2046.3272</v>
      </c>
      <c r="Z616" s="158">
        <v>35150.91</v>
      </c>
      <c r="AA616" s="158">
        <f t="shared" si="113"/>
        <v>-27022.8943</v>
      </c>
      <c r="AB616" s="167">
        <f>IF(O616="返货",(Z616-Q616)/(1+N616),IF(O616="返现",(Z616-Q616),IF(O616="折扣",(Z616-Q616)*N616,IF(O616="无",(Z616-Q616)))))</f>
        <v>25021.1984259259</v>
      </c>
      <c r="AC616" s="168">
        <f t="shared" si="114"/>
        <v>10129.7115740741</v>
      </c>
      <c r="AD616" s="158">
        <f t="shared" si="120"/>
        <v>34457.6409428786</v>
      </c>
      <c r="AE616" s="159">
        <v>0.3156</v>
      </c>
      <c r="AF616" s="158">
        <f t="shared" si="109"/>
        <v>10874.8314815725</v>
      </c>
      <c r="AG616" s="158">
        <v>8489.85608488889</v>
      </c>
      <c r="AH616" s="175"/>
      <c r="AI616" s="175"/>
      <c r="AJ616" s="156" t="s">
        <v>53</v>
      </c>
      <c r="AK616" s="140" t="s">
        <v>53</v>
      </c>
      <c r="AM616" s="152"/>
    </row>
    <row r="617" s="140" customFormat="1" ht="15" hidden="1" customHeight="1" spans="1:39">
      <c r="A617" s="140">
        <v>2017</v>
      </c>
      <c r="B617" s="140" t="s">
        <v>199</v>
      </c>
      <c r="C617" s="140" t="s">
        <v>59</v>
      </c>
      <c r="D617" s="140" t="s">
        <v>106</v>
      </c>
      <c r="E617" s="140" t="s">
        <v>131</v>
      </c>
      <c r="F617" s="140" t="s">
        <v>747</v>
      </c>
      <c r="G617" s="140" t="s">
        <v>748</v>
      </c>
      <c r="H617" s="140" t="s">
        <v>748</v>
      </c>
      <c r="I617" s="184" t="s">
        <v>204</v>
      </c>
      <c r="J617" s="140" t="s">
        <v>577</v>
      </c>
      <c r="K617" s="140" t="s">
        <v>578</v>
      </c>
      <c r="L617" s="140" t="s">
        <v>749</v>
      </c>
      <c r="M617" s="140" t="s">
        <v>46</v>
      </c>
      <c r="N617" s="157">
        <v>0.02</v>
      </c>
      <c r="O617" s="156" t="s">
        <v>51</v>
      </c>
      <c r="P617" s="156"/>
      <c r="Q617" s="158">
        <v>0</v>
      </c>
      <c r="R617" s="158">
        <v>0</v>
      </c>
      <c r="S617" s="158">
        <v>600000</v>
      </c>
      <c r="T617" s="158">
        <f t="shared" si="111"/>
        <v>12000</v>
      </c>
      <c r="U617" s="158">
        <f t="shared" si="115"/>
        <v>612000</v>
      </c>
      <c r="V617" s="158">
        <v>0</v>
      </c>
      <c r="W617" s="158">
        <f t="shared" si="116"/>
        <v>612000</v>
      </c>
      <c r="X617" s="158">
        <f t="shared" si="112"/>
        <v>600000</v>
      </c>
      <c r="Y617" s="158">
        <f t="shared" si="117"/>
        <v>12000</v>
      </c>
      <c r="Z617" s="158">
        <v>0</v>
      </c>
      <c r="AA617" s="158">
        <f t="shared" si="113"/>
        <v>0</v>
      </c>
      <c r="AB617" s="167">
        <f>IF(O617="返货",Z617/(1+N617),IF(O617="返现",Z617,IF(O617="折扣",Z617*N617,IF(O617="无",Z617))))</f>
        <v>0</v>
      </c>
      <c r="AC617" s="168">
        <f t="shared" si="114"/>
        <v>0</v>
      </c>
      <c r="AD617" s="158">
        <f t="shared" si="120"/>
        <v>0</v>
      </c>
      <c r="AE617" s="159">
        <v>0.1077</v>
      </c>
      <c r="AF617" s="158">
        <f t="shared" si="109"/>
        <v>0</v>
      </c>
      <c r="AG617" s="158">
        <v>0</v>
      </c>
      <c r="AH617" s="175"/>
      <c r="AI617" s="175"/>
      <c r="AJ617" s="156" t="s">
        <v>173</v>
      </c>
      <c r="AK617" s="140" t="s">
        <v>173</v>
      </c>
      <c r="AM617" s="152"/>
    </row>
    <row r="618" s="140" customFormat="1" ht="15" hidden="1" customHeight="1" spans="1:39">
      <c r="A618" s="140">
        <v>2017</v>
      </c>
      <c r="B618" s="140" t="s">
        <v>38</v>
      </c>
      <c r="C618" s="140" t="s">
        <v>59</v>
      </c>
      <c r="D618" s="140" t="s">
        <v>106</v>
      </c>
      <c r="E618" s="140" t="s">
        <v>131</v>
      </c>
      <c r="F618" s="140" t="s">
        <v>749</v>
      </c>
      <c r="G618" s="140" t="s">
        <v>749</v>
      </c>
      <c r="H618" s="140" t="s">
        <v>749</v>
      </c>
      <c r="I618" s="184" t="s">
        <v>204</v>
      </c>
      <c r="J618" s="140" t="s">
        <v>577</v>
      </c>
      <c r="K618" s="140" t="s">
        <v>578</v>
      </c>
      <c r="L618" s="140" t="s">
        <v>749</v>
      </c>
      <c r="M618" s="140" t="s">
        <v>46</v>
      </c>
      <c r="N618" s="157">
        <v>0.02</v>
      </c>
      <c r="O618" s="156" t="s">
        <v>51</v>
      </c>
      <c r="P618" s="156"/>
      <c r="Q618" s="158">
        <v>438528.42</v>
      </c>
      <c r="R618" s="158">
        <v>0</v>
      </c>
      <c r="S618" s="158">
        <v>3841514.46</v>
      </c>
      <c r="T618" s="158">
        <f t="shared" si="111"/>
        <v>76830.2892</v>
      </c>
      <c r="U618" s="158">
        <f t="shared" si="115"/>
        <v>3918344.7492</v>
      </c>
      <c r="V618" s="158">
        <v>9020000</v>
      </c>
      <c r="W618" s="158">
        <f t="shared" si="116"/>
        <v>-5101655.2508</v>
      </c>
      <c r="X618" s="158">
        <f t="shared" si="112"/>
        <v>-5001622.79490196</v>
      </c>
      <c r="Y618" s="158">
        <f t="shared" si="117"/>
        <v>-100032.455898039</v>
      </c>
      <c r="Z618" s="158">
        <v>4900042.88</v>
      </c>
      <c r="AA618" s="158">
        <f t="shared" si="113"/>
        <v>4558485.54</v>
      </c>
      <c r="AB618" s="167">
        <f>IF(O618="返货",(Z618-Q618)/(1+N618),IF(O618="返现",(Z618-Q618),IF(O618="折扣",(Z618-Q618)*N618,IF(O618="无",(Z618-Q618)))))</f>
        <v>4374033.78431373</v>
      </c>
      <c r="AC618" s="168">
        <f t="shared" si="114"/>
        <v>526009.095686275</v>
      </c>
      <c r="AD618" s="158">
        <f t="shared" si="120"/>
        <v>4803401.0545886</v>
      </c>
      <c r="AE618" s="159">
        <v>0.1077</v>
      </c>
      <c r="AF618" s="158">
        <f t="shared" si="109"/>
        <v>517326.293579192</v>
      </c>
      <c r="AG618" s="158">
        <v>431655.346019137</v>
      </c>
      <c r="AH618" s="175"/>
      <c r="AI618" s="175"/>
      <c r="AJ618" s="156" t="s">
        <v>173</v>
      </c>
      <c r="AK618" s="140" t="s">
        <v>173</v>
      </c>
      <c r="AM618" s="152"/>
    </row>
    <row r="619" s="140" customFormat="1" ht="15" hidden="1" customHeight="1" spans="1:39">
      <c r="A619" s="140">
        <v>2017</v>
      </c>
      <c r="B619" s="140" t="s">
        <v>38</v>
      </c>
      <c r="C619" s="140" t="s">
        <v>59</v>
      </c>
      <c r="D619" s="140" t="s">
        <v>106</v>
      </c>
      <c r="E619" s="140" t="s">
        <v>131</v>
      </c>
      <c r="F619" s="140" t="s">
        <v>749</v>
      </c>
      <c r="G619" s="140" t="s">
        <v>749</v>
      </c>
      <c r="H619" s="140" t="s">
        <v>749</v>
      </c>
      <c r="I619" s="184" t="s">
        <v>204</v>
      </c>
      <c r="J619" s="140" t="s">
        <v>577</v>
      </c>
      <c r="K619" s="140" t="s">
        <v>578</v>
      </c>
      <c r="L619" s="140" t="s">
        <v>749</v>
      </c>
      <c r="M619" s="140" t="s">
        <v>185</v>
      </c>
      <c r="N619" s="156">
        <v>0</v>
      </c>
      <c r="O619" s="156" t="s">
        <v>47</v>
      </c>
      <c r="P619" s="156"/>
      <c r="Q619" s="158">
        <v>0</v>
      </c>
      <c r="R619" s="158">
        <v>0</v>
      </c>
      <c r="S619" s="158">
        <v>2640386.73</v>
      </c>
      <c r="T619" s="158">
        <f t="shared" si="111"/>
        <v>0</v>
      </c>
      <c r="U619" s="158">
        <f t="shared" si="115"/>
        <v>2640386.73</v>
      </c>
      <c r="V619" s="158">
        <v>0</v>
      </c>
      <c r="W619" s="158">
        <f t="shared" si="116"/>
        <v>2640386.73</v>
      </c>
      <c r="X619" s="158">
        <f t="shared" si="112"/>
        <v>2640386.73</v>
      </c>
      <c r="Y619" s="158">
        <f t="shared" si="117"/>
        <v>0</v>
      </c>
      <c r="Z619" s="158">
        <v>2640386.72</v>
      </c>
      <c r="AA619" s="158">
        <f t="shared" si="113"/>
        <v>-2640386.72</v>
      </c>
      <c r="AB619" s="167">
        <f t="shared" ref="AB619:AB628" si="121">IF(O619="返货",Z619/(1+N619),IF(O619="返现",Z619,IF(O619="折扣",Z619*N619,IF(O619="无",Z619))))</f>
        <v>2640386.72</v>
      </c>
      <c r="AC619" s="168">
        <f t="shared" si="114"/>
        <v>0</v>
      </c>
      <c r="AD619" s="158">
        <f t="shared" si="120"/>
        <v>2588311.29971045</v>
      </c>
      <c r="AE619" s="159">
        <v>0.3156</v>
      </c>
      <c r="AF619" s="158">
        <f t="shared" si="109"/>
        <v>816871.046188617</v>
      </c>
      <c r="AG619" s="158">
        <v>833306.048832</v>
      </c>
      <c r="AH619" s="175"/>
      <c r="AI619" s="175"/>
      <c r="AJ619" s="156" t="s">
        <v>47</v>
      </c>
      <c r="AK619" s="140" t="s">
        <v>47</v>
      </c>
      <c r="AM619" s="152"/>
    </row>
    <row r="620" s="140" customFormat="1" ht="15" hidden="1" customHeight="1" spans="1:39">
      <c r="A620" s="140">
        <v>2017</v>
      </c>
      <c r="B620" s="140" t="s">
        <v>199</v>
      </c>
      <c r="C620" s="140" t="s">
        <v>59</v>
      </c>
      <c r="D620" s="140" t="s">
        <v>106</v>
      </c>
      <c r="E620" s="140" t="s">
        <v>192</v>
      </c>
      <c r="F620" s="140" t="s">
        <v>750</v>
      </c>
      <c r="G620" s="140" t="s">
        <v>751</v>
      </c>
      <c r="H620" s="140" t="s">
        <v>751</v>
      </c>
      <c r="I620" s="184" t="s">
        <v>204</v>
      </c>
      <c r="J620" s="140" t="s">
        <v>577</v>
      </c>
      <c r="K620" s="140" t="s">
        <v>578</v>
      </c>
      <c r="L620" s="140" t="s">
        <v>750</v>
      </c>
      <c r="M620" s="140" t="s">
        <v>46</v>
      </c>
      <c r="N620" s="157">
        <v>0.02</v>
      </c>
      <c r="O620" s="156" t="s">
        <v>51</v>
      </c>
      <c r="P620" s="156"/>
      <c r="Q620" s="158">
        <v>0</v>
      </c>
      <c r="R620" s="158">
        <v>0</v>
      </c>
      <c r="S620" s="158">
        <v>20000</v>
      </c>
      <c r="T620" s="158">
        <f t="shared" si="111"/>
        <v>400</v>
      </c>
      <c r="U620" s="158">
        <f t="shared" si="115"/>
        <v>20400</v>
      </c>
      <c r="V620" s="158">
        <v>20400</v>
      </c>
      <c r="W620" s="158">
        <f t="shared" si="116"/>
        <v>0</v>
      </c>
      <c r="X620" s="158">
        <f t="shared" si="112"/>
        <v>0</v>
      </c>
      <c r="Y620" s="158">
        <f t="shared" si="117"/>
        <v>0</v>
      </c>
      <c r="Z620" s="158">
        <v>20400</v>
      </c>
      <c r="AA620" s="158">
        <f t="shared" si="113"/>
        <v>0</v>
      </c>
      <c r="AB620" s="167">
        <f t="shared" si="121"/>
        <v>20000</v>
      </c>
      <c r="AC620" s="168">
        <f t="shared" si="114"/>
        <v>400</v>
      </c>
      <c r="AD620" s="158">
        <f t="shared" si="120"/>
        <v>19997.6579620477</v>
      </c>
      <c r="AE620" s="159">
        <v>0.1077</v>
      </c>
      <c r="AF620" s="158">
        <f t="shared" si="109"/>
        <v>2153.74776251254</v>
      </c>
      <c r="AG620" s="158">
        <v>1797.08</v>
      </c>
      <c r="AH620" s="175"/>
      <c r="AI620" s="175"/>
      <c r="AJ620" s="156" t="s">
        <v>173</v>
      </c>
      <c r="AK620" s="140" t="s">
        <v>173</v>
      </c>
      <c r="AM620" s="152"/>
    </row>
    <row r="621" s="140" customFormat="1" ht="15" hidden="1" customHeight="1" spans="1:39">
      <c r="A621" s="140">
        <v>2017</v>
      </c>
      <c r="B621" s="140" t="s">
        <v>38</v>
      </c>
      <c r="C621" s="140" t="s">
        <v>59</v>
      </c>
      <c r="D621" s="140" t="s">
        <v>60</v>
      </c>
      <c r="E621" s="140" t="s">
        <v>107</v>
      </c>
      <c r="F621" s="140" t="s">
        <v>752</v>
      </c>
      <c r="G621" s="140" t="s">
        <v>752</v>
      </c>
      <c r="H621" s="140" t="s">
        <v>752</v>
      </c>
      <c r="I621" s="184" t="s">
        <v>204</v>
      </c>
      <c r="J621" s="140" t="s">
        <v>577</v>
      </c>
      <c r="K621" s="140" t="s">
        <v>578</v>
      </c>
      <c r="L621" s="140" t="s">
        <v>752</v>
      </c>
      <c r="M621" s="140" t="s">
        <v>46</v>
      </c>
      <c r="N621" s="157">
        <v>0.02</v>
      </c>
      <c r="O621" s="156" t="s">
        <v>51</v>
      </c>
      <c r="P621" s="156"/>
      <c r="Q621" s="158">
        <v>0</v>
      </c>
      <c r="R621" s="158">
        <v>0</v>
      </c>
      <c r="S621" s="158">
        <v>4028.04</v>
      </c>
      <c r="T621" s="158">
        <f t="shared" si="111"/>
        <v>80.5608</v>
      </c>
      <c r="U621" s="158">
        <f t="shared" si="115"/>
        <v>4108.6008</v>
      </c>
      <c r="V621" s="158">
        <v>4108.6</v>
      </c>
      <c r="W621" s="158">
        <f t="shared" si="116"/>
        <v>0.000799999999799184</v>
      </c>
      <c r="X621" s="158">
        <f t="shared" si="112"/>
        <v>0.000784313725293317</v>
      </c>
      <c r="Y621" s="158">
        <f t="shared" si="117"/>
        <v>1.56862745058664e-5</v>
      </c>
      <c r="Z621" s="158">
        <v>4108.6</v>
      </c>
      <c r="AA621" s="158">
        <f t="shared" si="113"/>
        <v>0</v>
      </c>
      <c r="AB621" s="167">
        <f t="shared" si="121"/>
        <v>4028.03921568627</v>
      </c>
      <c r="AC621" s="168">
        <f t="shared" si="114"/>
        <v>80.5607843137254</v>
      </c>
      <c r="AD621" s="158">
        <f t="shared" si="120"/>
        <v>4027.56752465046</v>
      </c>
      <c r="AE621" s="159">
        <v>0.1077</v>
      </c>
      <c r="AF621" s="158">
        <f t="shared" si="109"/>
        <v>433.769022404855</v>
      </c>
      <c r="AG621" s="158">
        <v>361.935435686275</v>
      </c>
      <c r="AH621" s="175"/>
      <c r="AI621" s="175"/>
      <c r="AJ621" s="156" t="s">
        <v>173</v>
      </c>
      <c r="AK621" s="140" t="s">
        <v>173</v>
      </c>
      <c r="AM621" s="152"/>
    </row>
    <row r="622" s="140" customFormat="1" ht="15" hidden="1" customHeight="1" spans="1:39">
      <c r="A622" s="140">
        <v>2017</v>
      </c>
      <c r="B622" s="140" t="s">
        <v>38</v>
      </c>
      <c r="C622" s="140" t="s">
        <v>59</v>
      </c>
      <c r="D622" s="140" t="s">
        <v>60</v>
      </c>
      <c r="E622" s="140" t="s">
        <v>190</v>
      </c>
      <c r="F622" s="140" t="s">
        <v>753</v>
      </c>
      <c r="G622" s="140" t="s">
        <v>753</v>
      </c>
      <c r="H622" s="140" t="s">
        <v>753</v>
      </c>
      <c r="I622" s="184" t="s">
        <v>204</v>
      </c>
      <c r="J622" s="140" t="s">
        <v>577</v>
      </c>
      <c r="K622" s="140" t="s">
        <v>578</v>
      </c>
      <c r="L622" s="140" t="s">
        <v>754</v>
      </c>
      <c r="M622" s="140" t="s">
        <v>185</v>
      </c>
      <c r="N622" s="157">
        <v>0.15</v>
      </c>
      <c r="O622" s="156" t="s">
        <v>51</v>
      </c>
      <c r="P622" s="156"/>
      <c r="Q622" s="158">
        <v>0</v>
      </c>
      <c r="R622" s="158">
        <v>0</v>
      </c>
      <c r="S622" s="158">
        <v>1960.78</v>
      </c>
      <c r="T622" s="158">
        <f t="shared" si="111"/>
        <v>294.117</v>
      </c>
      <c r="U622" s="158">
        <f t="shared" si="115"/>
        <v>2254.897</v>
      </c>
      <c r="V622" s="158">
        <v>0</v>
      </c>
      <c r="W622" s="158">
        <f t="shared" si="116"/>
        <v>2254.897</v>
      </c>
      <c r="X622" s="158">
        <f t="shared" si="112"/>
        <v>1960.78</v>
      </c>
      <c r="Y622" s="158">
        <f t="shared" si="117"/>
        <v>294.117</v>
      </c>
      <c r="Z622" s="158">
        <v>2000</v>
      </c>
      <c r="AA622" s="158">
        <f t="shared" si="113"/>
        <v>-2000</v>
      </c>
      <c r="AB622" s="167">
        <f t="shared" si="121"/>
        <v>1739.13043478261</v>
      </c>
      <c r="AC622" s="168">
        <f t="shared" si="114"/>
        <v>260.869565217391</v>
      </c>
      <c r="AD622" s="158">
        <f t="shared" si="120"/>
        <v>1960.55470216154</v>
      </c>
      <c r="AE622" s="159">
        <v>0.3156</v>
      </c>
      <c r="AF622" s="158">
        <f t="shared" si="109"/>
        <v>618.751064002183</v>
      </c>
      <c r="AG622" s="158">
        <v>370.330434782609</v>
      </c>
      <c r="AH622" s="175"/>
      <c r="AI622" s="175"/>
      <c r="AJ622" s="156" t="s">
        <v>664</v>
      </c>
      <c r="AK622" s="140" t="s">
        <v>664</v>
      </c>
      <c r="AM622" s="152"/>
    </row>
    <row r="623" s="140" customFormat="1" ht="15" hidden="1" customHeight="1" spans="1:39">
      <c r="A623" s="140">
        <v>2017</v>
      </c>
      <c r="B623" s="140" t="s">
        <v>38</v>
      </c>
      <c r="C623" s="140" t="s">
        <v>59</v>
      </c>
      <c r="D623" s="140" t="s">
        <v>60</v>
      </c>
      <c r="E623" s="140" t="s">
        <v>190</v>
      </c>
      <c r="F623" s="140" t="s">
        <v>753</v>
      </c>
      <c r="G623" s="140" t="s">
        <v>753</v>
      </c>
      <c r="H623" s="140" t="s">
        <v>753</v>
      </c>
      <c r="I623" s="184" t="s">
        <v>204</v>
      </c>
      <c r="J623" s="140" t="s">
        <v>577</v>
      </c>
      <c r="K623" s="140" t="s">
        <v>578</v>
      </c>
      <c r="L623" s="140" t="s">
        <v>754</v>
      </c>
      <c r="M623" s="140" t="s">
        <v>46</v>
      </c>
      <c r="N623" s="156">
        <v>0.05</v>
      </c>
      <c r="O623" s="156" t="s">
        <v>51</v>
      </c>
      <c r="P623" s="156"/>
      <c r="Q623" s="158">
        <v>0</v>
      </c>
      <c r="R623" s="158">
        <v>0</v>
      </c>
      <c r="S623" s="158">
        <v>88039.22</v>
      </c>
      <c r="T623" s="158">
        <f t="shared" si="111"/>
        <v>4401.961</v>
      </c>
      <c r="U623" s="158">
        <f t="shared" si="115"/>
        <v>92441.181</v>
      </c>
      <c r="V623" s="158">
        <v>91800</v>
      </c>
      <c r="W623" s="158">
        <f t="shared" si="116"/>
        <v>641.180999999997</v>
      </c>
      <c r="X623" s="158">
        <f t="shared" si="112"/>
        <v>610.648571428568</v>
      </c>
      <c r="Y623" s="158">
        <f t="shared" si="117"/>
        <v>30.5324285714285</v>
      </c>
      <c r="Z623" s="158">
        <v>89800</v>
      </c>
      <c r="AA623" s="158">
        <f t="shared" si="113"/>
        <v>2000</v>
      </c>
      <c r="AB623" s="167">
        <f t="shared" si="121"/>
        <v>85523.8095238095</v>
      </c>
      <c r="AC623" s="168">
        <f t="shared" si="114"/>
        <v>4276.19047619047</v>
      </c>
      <c r="AD623" s="158">
        <f t="shared" si="120"/>
        <v>88028.9061270533</v>
      </c>
      <c r="AE623" s="159">
        <v>0.1077</v>
      </c>
      <c r="AF623" s="158">
        <f t="shared" ref="AF623:AF686" si="122">AD623*AE623</f>
        <v>9480.71318988364</v>
      </c>
      <c r="AG623" s="158">
        <v>5395.26952380953</v>
      </c>
      <c r="AH623" s="175"/>
      <c r="AI623" s="175"/>
      <c r="AJ623" s="156" t="s">
        <v>63</v>
      </c>
      <c r="AK623" s="140" t="s">
        <v>63</v>
      </c>
      <c r="AM623" s="152"/>
    </row>
    <row r="624" s="140" customFormat="1" ht="15" hidden="1" customHeight="1" spans="1:39">
      <c r="A624" s="140">
        <v>2017</v>
      </c>
      <c r="B624" s="140" t="s">
        <v>38</v>
      </c>
      <c r="C624" s="140" t="s">
        <v>59</v>
      </c>
      <c r="D624" s="140" t="s">
        <v>60</v>
      </c>
      <c r="E624" s="140" t="s">
        <v>190</v>
      </c>
      <c r="F624" s="140" t="s">
        <v>478</v>
      </c>
      <c r="G624" s="140" t="s">
        <v>478</v>
      </c>
      <c r="H624" s="140" t="s">
        <v>478</v>
      </c>
      <c r="I624" s="184" t="s">
        <v>204</v>
      </c>
      <c r="J624" s="140" t="s">
        <v>577</v>
      </c>
      <c r="K624" s="140" t="s">
        <v>578</v>
      </c>
      <c r="L624" s="140" t="s">
        <v>478</v>
      </c>
      <c r="M624" s="140" t="s">
        <v>46</v>
      </c>
      <c r="N624" s="157">
        <v>0.02</v>
      </c>
      <c r="O624" s="156" t="s">
        <v>51</v>
      </c>
      <c r="P624" s="156"/>
      <c r="Q624" s="158">
        <v>0</v>
      </c>
      <c r="R624" s="158">
        <v>0</v>
      </c>
      <c r="S624" s="158">
        <v>396024.79</v>
      </c>
      <c r="T624" s="158">
        <f t="shared" si="111"/>
        <v>7920.4958</v>
      </c>
      <c r="U624" s="158">
        <f t="shared" si="115"/>
        <v>403945.2858</v>
      </c>
      <c r="V624" s="158">
        <v>447000</v>
      </c>
      <c r="W624" s="158">
        <f t="shared" si="116"/>
        <v>-43054.7142</v>
      </c>
      <c r="X624" s="158">
        <f t="shared" si="112"/>
        <v>-42210.5041176471</v>
      </c>
      <c r="Y624" s="158">
        <f t="shared" si="117"/>
        <v>-844.21008235294</v>
      </c>
      <c r="Z624" s="158">
        <v>403945.29</v>
      </c>
      <c r="AA624" s="158">
        <f t="shared" si="113"/>
        <v>43054.71</v>
      </c>
      <c r="AB624" s="167">
        <f t="shared" si="121"/>
        <v>396024.794117647</v>
      </c>
      <c r="AC624" s="168">
        <f t="shared" si="114"/>
        <v>7920.49588235293</v>
      </c>
      <c r="AD624" s="158">
        <f t="shared" si="120"/>
        <v>395978.418862754</v>
      </c>
      <c r="AE624" s="159">
        <v>0.1077</v>
      </c>
      <c r="AF624" s="158">
        <f t="shared" si="122"/>
        <v>42646.8757115186</v>
      </c>
      <c r="AG624" s="158">
        <v>35584.4118506471</v>
      </c>
      <c r="AH624" s="175"/>
      <c r="AI624" s="175"/>
      <c r="AJ624" s="156" t="s">
        <v>173</v>
      </c>
      <c r="AK624" s="140" t="s">
        <v>173</v>
      </c>
      <c r="AM624" s="152"/>
    </row>
    <row r="625" s="140" customFormat="1" ht="15" hidden="1" customHeight="1" spans="1:39">
      <c r="A625" s="140">
        <v>2017</v>
      </c>
      <c r="B625" s="140" t="s">
        <v>38</v>
      </c>
      <c r="C625" s="140" t="s">
        <v>59</v>
      </c>
      <c r="D625" s="140" t="s">
        <v>60</v>
      </c>
      <c r="E625" s="140" t="s">
        <v>190</v>
      </c>
      <c r="F625" s="140" t="s">
        <v>478</v>
      </c>
      <c r="G625" s="140" t="s">
        <v>478</v>
      </c>
      <c r="H625" s="140" t="s">
        <v>478</v>
      </c>
      <c r="I625" s="184" t="s">
        <v>204</v>
      </c>
      <c r="J625" s="140" t="s">
        <v>577</v>
      </c>
      <c r="K625" s="140" t="s">
        <v>578</v>
      </c>
      <c r="L625" s="140" t="s">
        <v>478</v>
      </c>
      <c r="M625" s="140" t="s">
        <v>185</v>
      </c>
      <c r="N625" s="157">
        <v>0.08</v>
      </c>
      <c r="O625" s="156" t="s">
        <v>51</v>
      </c>
      <c r="P625" s="156"/>
      <c r="Q625" s="158">
        <v>0</v>
      </c>
      <c r="R625" s="158">
        <v>0</v>
      </c>
      <c r="S625" s="158">
        <v>10479.22</v>
      </c>
      <c r="T625" s="158">
        <f t="shared" si="111"/>
        <v>838.3376</v>
      </c>
      <c r="U625" s="158">
        <f t="shared" si="115"/>
        <v>11317.5576</v>
      </c>
      <c r="V625" s="158">
        <v>0</v>
      </c>
      <c r="W625" s="158">
        <f t="shared" si="116"/>
        <v>11317.5576</v>
      </c>
      <c r="X625" s="158">
        <f t="shared" si="112"/>
        <v>10479.22</v>
      </c>
      <c r="Y625" s="158">
        <f t="shared" si="117"/>
        <v>838.337600000001</v>
      </c>
      <c r="Z625" s="158">
        <v>10688.8</v>
      </c>
      <c r="AA625" s="158">
        <f t="shared" si="113"/>
        <v>-10688.8</v>
      </c>
      <c r="AB625" s="167">
        <f t="shared" si="121"/>
        <v>9897.03703703704</v>
      </c>
      <c r="AC625" s="168">
        <f t="shared" si="114"/>
        <v>791.762962962963</v>
      </c>
      <c r="AD625" s="158">
        <f t="shared" si="120"/>
        <v>10477.9885502322</v>
      </c>
      <c r="AE625" s="159">
        <v>0.3156</v>
      </c>
      <c r="AF625" s="158">
        <f t="shared" si="122"/>
        <v>3306.85318645327</v>
      </c>
      <c r="AG625" s="158">
        <v>2581.62231703704</v>
      </c>
      <c r="AH625" s="175"/>
      <c r="AI625" s="175"/>
      <c r="AJ625" s="156" t="s">
        <v>53</v>
      </c>
      <c r="AK625" s="140" t="s">
        <v>53</v>
      </c>
      <c r="AM625" s="152"/>
    </row>
    <row r="626" s="140" customFormat="1" ht="15" hidden="1" customHeight="1" spans="1:39">
      <c r="A626" s="140">
        <v>2017</v>
      </c>
      <c r="B626" s="140" t="s">
        <v>199</v>
      </c>
      <c r="C626" s="140" t="s">
        <v>59</v>
      </c>
      <c r="D626" s="140" t="s">
        <v>60</v>
      </c>
      <c r="E626" s="140" t="s">
        <v>61</v>
      </c>
      <c r="F626" s="140" t="s">
        <v>755</v>
      </c>
      <c r="G626" s="140" t="s">
        <v>756</v>
      </c>
      <c r="H626" s="140" t="s">
        <v>756</v>
      </c>
      <c r="I626" s="184" t="s">
        <v>204</v>
      </c>
      <c r="J626" s="140" t="s">
        <v>577</v>
      </c>
      <c r="K626" s="140" t="s">
        <v>578</v>
      </c>
      <c r="L626" s="140" t="s">
        <v>755</v>
      </c>
      <c r="M626" s="140" t="s">
        <v>46</v>
      </c>
      <c r="N626" s="157">
        <v>0.02</v>
      </c>
      <c r="O626" s="156" t="s">
        <v>51</v>
      </c>
      <c r="P626" s="156"/>
      <c r="Q626" s="158">
        <v>0</v>
      </c>
      <c r="R626" s="158">
        <v>0</v>
      </c>
      <c r="S626" s="158">
        <v>310000</v>
      </c>
      <c r="T626" s="158">
        <f t="shared" si="111"/>
        <v>6200</v>
      </c>
      <c r="U626" s="158">
        <f t="shared" si="115"/>
        <v>316200</v>
      </c>
      <c r="V626" s="158">
        <v>316200</v>
      </c>
      <c r="W626" s="158">
        <f t="shared" si="116"/>
        <v>0</v>
      </c>
      <c r="X626" s="158">
        <f t="shared" si="112"/>
        <v>0</v>
      </c>
      <c r="Y626" s="158">
        <f t="shared" si="117"/>
        <v>0</v>
      </c>
      <c r="Z626" s="158">
        <v>301271.5</v>
      </c>
      <c r="AA626" s="158">
        <f t="shared" si="113"/>
        <v>14928.5</v>
      </c>
      <c r="AB626" s="167">
        <f t="shared" si="121"/>
        <v>295364.215686275</v>
      </c>
      <c r="AC626" s="168">
        <f t="shared" si="114"/>
        <v>5907.28431372548</v>
      </c>
      <c r="AD626" s="158">
        <f t="shared" si="120"/>
        <v>295329.627976131</v>
      </c>
      <c r="AE626" s="159">
        <v>0.1077</v>
      </c>
      <c r="AF626" s="158">
        <f t="shared" si="122"/>
        <v>31807.0009330293</v>
      </c>
      <c r="AG626" s="158">
        <v>26539.6562362745</v>
      </c>
      <c r="AH626" s="175"/>
      <c r="AI626" s="175"/>
      <c r="AJ626" s="156" t="s">
        <v>173</v>
      </c>
      <c r="AK626" s="140" t="s">
        <v>173</v>
      </c>
      <c r="AM626" s="152"/>
    </row>
    <row r="627" s="140" customFormat="1" ht="15" hidden="1" customHeight="1" spans="1:39">
      <c r="A627" s="140">
        <v>2017</v>
      </c>
      <c r="B627" s="140" t="s">
        <v>38</v>
      </c>
      <c r="C627" s="140" t="s">
        <v>59</v>
      </c>
      <c r="D627" s="140" t="s">
        <v>60</v>
      </c>
      <c r="E627" s="140" t="s">
        <v>61</v>
      </c>
      <c r="F627" s="140" t="s">
        <v>274</v>
      </c>
      <c r="G627" s="140" t="s">
        <v>274</v>
      </c>
      <c r="H627" s="140" t="s">
        <v>274</v>
      </c>
      <c r="I627" s="184" t="s">
        <v>204</v>
      </c>
      <c r="J627" s="140" t="s">
        <v>577</v>
      </c>
      <c r="K627" s="140" t="s">
        <v>578</v>
      </c>
      <c r="L627" s="140" t="s">
        <v>274</v>
      </c>
      <c r="M627" s="140" t="s">
        <v>46</v>
      </c>
      <c r="N627" s="157">
        <v>0.02</v>
      </c>
      <c r="O627" s="156" t="s">
        <v>51</v>
      </c>
      <c r="P627" s="156"/>
      <c r="Q627" s="158">
        <v>0</v>
      </c>
      <c r="R627" s="158">
        <v>0</v>
      </c>
      <c r="S627" s="158">
        <v>33071.13</v>
      </c>
      <c r="T627" s="158">
        <f t="shared" si="111"/>
        <v>661.4226</v>
      </c>
      <c r="U627" s="158">
        <f t="shared" si="115"/>
        <v>33732.5526</v>
      </c>
      <c r="V627" s="158">
        <v>61200</v>
      </c>
      <c r="W627" s="158">
        <f t="shared" si="116"/>
        <v>-27467.4474</v>
      </c>
      <c r="X627" s="158">
        <f t="shared" si="112"/>
        <v>-26928.87</v>
      </c>
      <c r="Y627" s="158">
        <f t="shared" si="117"/>
        <v>-538.577400000002</v>
      </c>
      <c r="Z627" s="158">
        <v>54132.55</v>
      </c>
      <c r="AA627" s="158">
        <f t="shared" si="113"/>
        <v>7067.45</v>
      </c>
      <c r="AB627" s="167">
        <f t="shared" si="121"/>
        <v>53071.1274509804</v>
      </c>
      <c r="AC627" s="168">
        <f t="shared" si="114"/>
        <v>1061.42254901961</v>
      </c>
      <c r="AD627" s="158">
        <f t="shared" si="120"/>
        <v>53064.9127212474</v>
      </c>
      <c r="AE627" s="159">
        <v>0.1077</v>
      </c>
      <c r="AF627" s="158">
        <f t="shared" si="122"/>
        <v>5715.09110007835</v>
      </c>
      <c r="AG627" s="158">
        <v>4768.65308598039</v>
      </c>
      <c r="AH627" s="175"/>
      <c r="AI627" s="175"/>
      <c r="AJ627" s="156" t="s">
        <v>173</v>
      </c>
      <c r="AK627" s="140" t="s">
        <v>173</v>
      </c>
      <c r="AM627" s="152"/>
    </row>
    <row r="628" s="140" customFormat="1" ht="15" hidden="1" customHeight="1" spans="1:39">
      <c r="A628" s="140">
        <v>2017</v>
      </c>
      <c r="B628" s="140" t="s">
        <v>38</v>
      </c>
      <c r="C628" s="140" t="s">
        <v>59</v>
      </c>
      <c r="D628" s="140" t="s">
        <v>60</v>
      </c>
      <c r="E628" s="140" t="s">
        <v>61</v>
      </c>
      <c r="F628" s="140" t="s">
        <v>274</v>
      </c>
      <c r="G628" s="140" t="s">
        <v>274</v>
      </c>
      <c r="H628" s="140" t="s">
        <v>274</v>
      </c>
      <c r="I628" s="184" t="s">
        <v>204</v>
      </c>
      <c r="J628" s="140" t="s">
        <v>577</v>
      </c>
      <c r="K628" s="140" t="s">
        <v>578</v>
      </c>
      <c r="L628" s="140" t="s">
        <v>274</v>
      </c>
      <c r="M628" s="140" t="s">
        <v>185</v>
      </c>
      <c r="N628" s="157">
        <v>0.08</v>
      </c>
      <c r="O628" s="156" t="s">
        <v>51</v>
      </c>
      <c r="P628" s="156"/>
      <c r="Q628" s="158">
        <v>0</v>
      </c>
      <c r="R628" s="158">
        <v>0</v>
      </c>
      <c r="S628" s="158">
        <v>4608.99</v>
      </c>
      <c r="T628" s="158">
        <f t="shared" si="111"/>
        <v>368.7192</v>
      </c>
      <c r="U628" s="158">
        <f t="shared" si="115"/>
        <v>4977.7092</v>
      </c>
      <c r="V628" s="158">
        <v>0</v>
      </c>
      <c r="W628" s="158">
        <f t="shared" si="116"/>
        <v>4977.7092</v>
      </c>
      <c r="X628" s="158">
        <f t="shared" si="112"/>
        <v>4608.99</v>
      </c>
      <c r="Y628" s="158">
        <f t="shared" si="117"/>
        <v>368.7192</v>
      </c>
      <c r="Z628" s="158">
        <v>4729.14</v>
      </c>
      <c r="AA628" s="158">
        <f t="shared" si="113"/>
        <v>-4729.14</v>
      </c>
      <c r="AB628" s="167">
        <f t="shared" si="121"/>
        <v>4378.83333333333</v>
      </c>
      <c r="AC628" s="168">
        <f t="shared" si="114"/>
        <v>350.306666666667</v>
      </c>
      <c r="AD628" s="158">
        <f t="shared" si="120"/>
        <v>4635.86883209012</v>
      </c>
      <c r="AE628" s="159">
        <v>0.3156</v>
      </c>
      <c r="AF628" s="158">
        <f t="shared" si="122"/>
        <v>1463.08020340764</v>
      </c>
      <c r="AG628" s="158">
        <v>1142.20991733333</v>
      </c>
      <c r="AH628" s="175"/>
      <c r="AI628" s="175"/>
      <c r="AJ628" s="156" t="s">
        <v>53</v>
      </c>
      <c r="AK628" s="140" t="s">
        <v>53</v>
      </c>
      <c r="AM628" s="152"/>
    </row>
    <row r="629" s="140" customFormat="1" ht="15" hidden="1" customHeight="1" spans="1:39">
      <c r="A629" s="140">
        <v>2017</v>
      </c>
      <c r="B629" s="140" t="s">
        <v>252</v>
      </c>
      <c r="C629" s="140" t="s">
        <v>59</v>
      </c>
      <c r="D629" s="140" t="s">
        <v>210</v>
      </c>
      <c r="E629" s="140" t="s">
        <v>239</v>
      </c>
      <c r="F629" s="140" t="s">
        <v>757</v>
      </c>
      <c r="G629" s="140" t="s">
        <v>758</v>
      </c>
      <c r="H629" s="140" t="s">
        <v>758</v>
      </c>
      <c r="I629" s="184" t="s">
        <v>204</v>
      </c>
      <c r="J629" s="140" t="s">
        <v>577</v>
      </c>
      <c r="K629" s="140" t="s">
        <v>578</v>
      </c>
      <c r="L629" s="140" t="s">
        <v>757</v>
      </c>
      <c r="M629" s="140" t="s">
        <v>46</v>
      </c>
      <c r="N629" s="156">
        <v>0</v>
      </c>
      <c r="O629" s="156" t="s">
        <v>47</v>
      </c>
      <c r="P629" s="156"/>
      <c r="Q629" s="158">
        <v>182061.2</v>
      </c>
      <c r="R629" s="158">
        <v>0</v>
      </c>
      <c r="S629" s="158">
        <v>830000</v>
      </c>
      <c r="T629" s="158">
        <f t="shared" si="111"/>
        <v>0</v>
      </c>
      <c r="U629" s="158">
        <f t="shared" si="115"/>
        <v>830000</v>
      </c>
      <c r="V629" s="158">
        <v>870000</v>
      </c>
      <c r="W629" s="158">
        <f t="shared" si="116"/>
        <v>-40000</v>
      </c>
      <c r="X629" s="158">
        <f t="shared" si="112"/>
        <v>-40000</v>
      </c>
      <c r="Y629" s="158">
        <f t="shared" si="117"/>
        <v>0</v>
      </c>
      <c r="Z629" s="158">
        <v>1033153.39</v>
      </c>
      <c r="AA629" s="158">
        <f t="shared" si="113"/>
        <v>18907.8099999999</v>
      </c>
      <c r="AB629" s="167">
        <f>IF(O629="返货",(Z629-Q629)/(1+N629),IF(O629="返现",(Z629-Q629),IF(O629="折扣",(Z629-Q629)*N629,IF(O629="无",(Z629-Q629)))))</f>
        <v>851092.19</v>
      </c>
      <c r="AC629" s="168">
        <f t="shared" si="114"/>
        <v>182061.2</v>
      </c>
      <c r="AD629" s="158">
        <f t="shared" si="120"/>
        <v>1012776.86840932</v>
      </c>
      <c r="AE629" s="159">
        <v>0.1077</v>
      </c>
      <c r="AF629" s="158">
        <f t="shared" si="122"/>
        <v>109076.068727684</v>
      </c>
      <c r="AG629" s="158">
        <v>81178.7737923203</v>
      </c>
      <c r="AH629" s="175"/>
      <c r="AI629" s="175"/>
      <c r="AJ629" s="156" t="s">
        <v>47</v>
      </c>
      <c r="AK629" s="140" t="s">
        <v>189</v>
      </c>
      <c r="AM629" s="152"/>
    </row>
    <row r="630" s="140" customFormat="1" ht="15" hidden="1" customHeight="1" spans="1:39">
      <c r="A630" s="140">
        <v>2017</v>
      </c>
      <c r="B630" s="140" t="s">
        <v>252</v>
      </c>
      <c r="C630" s="140" t="s">
        <v>59</v>
      </c>
      <c r="D630" s="140" t="s">
        <v>210</v>
      </c>
      <c r="E630" s="140" t="s">
        <v>239</v>
      </c>
      <c r="F630" s="140" t="s">
        <v>757</v>
      </c>
      <c r="G630" s="140" t="s">
        <v>758</v>
      </c>
      <c r="H630" s="140" t="s">
        <v>758</v>
      </c>
      <c r="I630" s="184" t="s">
        <v>204</v>
      </c>
      <c r="J630" s="140" t="s">
        <v>577</v>
      </c>
      <c r="K630" s="140" t="s">
        <v>578</v>
      </c>
      <c r="L630" s="140" t="s">
        <v>757</v>
      </c>
      <c r="M630" s="140" t="s">
        <v>185</v>
      </c>
      <c r="N630" s="157">
        <v>0.09</v>
      </c>
      <c r="O630" s="156" t="s">
        <v>51</v>
      </c>
      <c r="P630" s="156"/>
      <c r="Q630" s="158">
        <v>150464.21</v>
      </c>
      <c r="R630" s="158">
        <v>0</v>
      </c>
      <c r="S630" s="158">
        <v>40000</v>
      </c>
      <c r="T630" s="158">
        <f t="shared" si="111"/>
        <v>3600</v>
      </c>
      <c r="U630" s="158">
        <f t="shared" si="115"/>
        <v>43600</v>
      </c>
      <c r="V630" s="158">
        <v>0</v>
      </c>
      <c r="W630" s="158">
        <f t="shared" si="116"/>
        <v>43600</v>
      </c>
      <c r="X630" s="158">
        <f t="shared" si="112"/>
        <v>40000</v>
      </c>
      <c r="Y630" s="158">
        <f t="shared" si="117"/>
        <v>3600</v>
      </c>
      <c r="Z630" s="158">
        <v>150540.06</v>
      </c>
      <c r="AA630" s="158">
        <f t="shared" si="113"/>
        <v>-75.8500000000058</v>
      </c>
      <c r="AB630" s="167">
        <f>IF(O630="返货",(Z630-Q630)/(1+N630),IF(O630="返现",(Z630-Q630),IF(O630="折扣",(Z630-Q630)*N630,IF(O630="无",(Z630-Q630)))))</f>
        <v>69.5871559633081</v>
      </c>
      <c r="AC630" s="168">
        <f t="shared" si="114"/>
        <v>150470.472844037</v>
      </c>
      <c r="AD630" s="158">
        <f t="shared" si="120"/>
        <v>147571.01124834</v>
      </c>
      <c r="AE630" s="159">
        <v>0.3156</v>
      </c>
      <c r="AF630" s="158">
        <f t="shared" si="122"/>
        <v>46573.4111499763</v>
      </c>
      <c r="AG630" s="158">
        <v>35080.5297249908</v>
      </c>
      <c r="AH630" s="175"/>
      <c r="AI630" s="175"/>
      <c r="AJ630" s="156" t="s">
        <v>238</v>
      </c>
      <c r="AK630" s="140" t="s">
        <v>238</v>
      </c>
      <c r="AM630" s="152"/>
    </row>
    <row r="631" s="140" customFormat="1" ht="15" hidden="1" customHeight="1" spans="1:39">
      <c r="A631" s="140">
        <v>2017</v>
      </c>
      <c r="B631" s="140" t="s">
        <v>252</v>
      </c>
      <c r="C631" s="140" t="s">
        <v>59</v>
      </c>
      <c r="D631" s="140" t="s">
        <v>210</v>
      </c>
      <c r="E631" s="140" t="s">
        <v>239</v>
      </c>
      <c r="F631" s="140" t="s">
        <v>757</v>
      </c>
      <c r="G631" s="140" t="s">
        <v>758</v>
      </c>
      <c r="H631" s="140" t="s">
        <v>758</v>
      </c>
      <c r="I631" s="184" t="s">
        <v>204</v>
      </c>
      <c r="J631" s="140" t="s">
        <v>577</v>
      </c>
      <c r="K631" s="140" t="s">
        <v>578</v>
      </c>
      <c r="L631" s="140" t="s">
        <v>757</v>
      </c>
      <c r="M631" s="140" t="s">
        <v>160</v>
      </c>
      <c r="N631" s="157">
        <v>0</v>
      </c>
      <c r="O631" s="156" t="s">
        <v>47</v>
      </c>
      <c r="P631" s="156"/>
      <c r="Q631" s="158">
        <v>0</v>
      </c>
      <c r="R631" s="158">
        <v>0</v>
      </c>
      <c r="S631" s="158">
        <v>118250</v>
      </c>
      <c r="T631" s="158">
        <f t="shared" si="111"/>
        <v>0</v>
      </c>
      <c r="U631" s="158">
        <f t="shared" si="115"/>
        <v>118250</v>
      </c>
      <c r="V631" s="158">
        <v>95669.36</v>
      </c>
      <c r="W631" s="158">
        <f t="shared" si="116"/>
        <v>22580.64</v>
      </c>
      <c r="X631" s="158">
        <f t="shared" si="112"/>
        <v>22580.64</v>
      </c>
      <c r="Y631" s="158">
        <f t="shared" si="117"/>
        <v>0</v>
      </c>
      <c r="Z631" s="158">
        <v>95669.36</v>
      </c>
      <c r="AA631" s="158">
        <f t="shared" si="113"/>
        <v>0</v>
      </c>
      <c r="AB631" s="167">
        <f>IF(O631="返货",Z631/(1+N631),IF(O631="返现",Z631,IF(O631="折扣",Z631*N631,IF(O631="无",Z631))))</f>
        <v>95669.36</v>
      </c>
      <c r="AC631" s="168">
        <f t="shared" si="114"/>
        <v>0</v>
      </c>
      <c r="AD631" s="158">
        <f t="shared" si="120"/>
        <v>93782.5068003928</v>
      </c>
      <c r="AE631" s="159">
        <v>0.1077</v>
      </c>
      <c r="AF631" s="158">
        <f t="shared" si="122"/>
        <v>10100.3759824023</v>
      </c>
      <c r="AG631" s="158">
        <v>-14499.5773354074</v>
      </c>
      <c r="AH631" s="175"/>
      <c r="AI631" s="175"/>
      <c r="AJ631" s="157">
        <v>0.35</v>
      </c>
      <c r="AK631" s="177">
        <v>0.35</v>
      </c>
      <c r="AM631" s="152"/>
    </row>
    <row r="632" s="140" customFormat="1" ht="15" hidden="1" customHeight="1" spans="1:39">
      <c r="A632" s="140">
        <v>2017</v>
      </c>
      <c r="B632" s="140" t="s">
        <v>252</v>
      </c>
      <c r="C632" s="140" t="s">
        <v>59</v>
      </c>
      <c r="D632" s="140" t="s">
        <v>210</v>
      </c>
      <c r="E632" s="140" t="s">
        <v>239</v>
      </c>
      <c r="F632" s="140" t="s">
        <v>757</v>
      </c>
      <c r="G632" s="140" t="s">
        <v>758</v>
      </c>
      <c r="H632" s="140" t="s">
        <v>758</v>
      </c>
      <c r="I632" s="184" t="s">
        <v>204</v>
      </c>
      <c r="J632" s="140" t="s">
        <v>577</v>
      </c>
      <c r="K632" s="140" t="s">
        <v>578</v>
      </c>
      <c r="L632" s="140" t="s">
        <v>757</v>
      </c>
      <c r="M632" s="140" t="s">
        <v>597</v>
      </c>
      <c r="N632" s="156">
        <v>0</v>
      </c>
      <c r="O632" s="156" t="s">
        <v>47</v>
      </c>
      <c r="P632" s="156"/>
      <c r="Q632" s="158">
        <v>0</v>
      </c>
      <c r="R632" s="158">
        <v>0</v>
      </c>
      <c r="S632" s="158">
        <v>621500</v>
      </c>
      <c r="T632" s="158">
        <f t="shared" si="111"/>
        <v>0</v>
      </c>
      <c r="U632" s="158">
        <f t="shared" si="115"/>
        <v>621500</v>
      </c>
      <c r="V632" s="158">
        <v>105000</v>
      </c>
      <c r="W632" s="158">
        <f t="shared" si="116"/>
        <v>516500</v>
      </c>
      <c r="X632" s="158">
        <f t="shared" si="112"/>
        <v>516500</v>
      </c>
      <c r="Y632" s="158">
        <f t="shared" si="117"/>
        <v>0</v>
      </c>
      <c r="Z632" s="158">
        <v>105000</v>
      </c>
      <c r="AA632" s="158">
        <f t="shared" si="113"/>
        <v>0</v>
      </c>
      <c r="AB632" s="167">
        <f>IF(O632="返货",Z632/(1+N632),IF(O632="返现",Z632,IF(O632="折扣",Z632*N632,IF(O632="无",Z632))))</f>
        <v>105000</v>
      </c>
      <c r="AC632" s="168">
        <f t="shared" si="114"/>
        <v>0</v>
      </c>
      <c r="AD632" s="158">
        <f t="shared" si="120"/>
        <v>102929.121863481</v>
      </c>
      <c r="AE632" s="159">
        <v>0.3534</v>
      </c>
      <c r="AF632" s="158">
        <f t="shared" si="122"/>
        <v>36375.1516665542</v>
      </c>
      <c r="AG632" s="158">
        <v>37107</v>
      </c>
      <c r="AH632" s="175"/>
      <c r="AI632" s="175"/>
      <c r="AJ632" s="156" t="s">
        <v>47</v>
      </c>
      <c r="AK632" s="140" t="s">
        <v>47</v>
      </c>
      <c r="AM632" s="152"/>
    </row>
    <row r="633" s="140" customFormat="1" ht="15" hidden="1" customHeight="1" spans="1:39">
      <c r="A633" s="140">
        <v>2017</v>
      </c>
      <c r="B633" s="140" t="s">
        <v>199</v>
      </c>
      <c r="C633" s="140" t="s">
        <v>59</v>
      </c>
      <c r="D633" s="140" t="s">
        <v>210</v>
      </c>
      <c r="E633" s="140" t="s">
        <v>239</v>
      </c>
      <c r="F633" s="140" t="s">
        <v>759</v>
      </c>
      <c r="G633" s="140" t="s">
        <v>760</v>
      </c>
      <c r="H633" s="140" t="s">
        <v>760</v>
      </c>
      <c r="I633" s="184" t="s">
        <v>204</v>
      </c>
      <c r="J633" s="140" t="s">
        <v>577</v>
      </c>
      <c r="K633" s="140" t="s">
        <v>578</v>
      </c>
      <c r="L633" s="140" t="s">
        <v>761</v>
      </c>
      <c r="M633" s="140" t="s">
        <v>46</v>
      </c>
      <c r="N633" s="157">
        <v>0.02</v>
      </c>
      <c r="O633" s="156" t="s">
        <v>51</v>
      </c>
      <c r="P633" s="156"/>
      <c r="Q633" s="158">
        <v>278071.37</v>
      </c>
      <c r="R633" s="158">
        <v>0</v>
      </c>
      <c r="S633" s="158">
        <v>100000</v>
      </c>
      <c r="T633" s="158">
        <f t="shared" si="111"/>
        <v>2000</v>
      </c>
      <c r="U633" s="158">
        <f t="shared" si="115"/>
        <v>102000</v>
      </c>
      <c r="V633" s="158">
        <v>102000</v>
      </c>
      <c r="W633" s="158">
        <f t="shared" si="116"/>
        <v>0</v>
      </c>
      <c r="X633" s="158">
        <f t="shared" si="112"/>
        <v>0</v>
      </c>
      <c r="Y633" s="158">
        <f t="shared" si="117"/>
        <v>0</v>
      </c>
      <c r="Z633" s="158">
        <v>380071.37</v>
      </c>
      <c r="AA633" s="158">
        <f t="shared" si="113"/>
        <v>0</v>
      </c>
      <c r="AB633" s="167">
        <f>IF(O633="返货",(Z633-Q633)/(1+N633),IF(O633="返现",(Z633-Q633),IF(O633="折扣",(Z633-Q633)*N633,IF(O633="无",(Z633-Q633)))))</f>
        <v>100000</v>
      </c>
      <c r="AC633" s="168">
        <f t="shared" si="114"/>
        <v>280071.37</v>
      </c>
      <c r="AD633" s="158">
        <f t="shared" si="120"/>
        <v>372575.35580524</v>
      </c>
      <c r="AE633" s="159">
        <v>0.1077</v>
      </c>
      <c r="AF633" s="158">
        <f t="shared" si="122"/>
        <v>40126.3658202243</v>
      </c>
      <c r="AG633" s="158">
        <v>33481.3067450784</v>
      </c>
      <c r="AH633" s="175"/>
      <c r="AI633" s="175"/>
      <c r="AJ633" s="156" t="s">
        <v>173</v>
      </c>
      <c r="AK633" s="140" t="s">
        <v>173</v>
      </c>
      <c r="AM633" s="152"/>
    </row>
    <row r="634" s="140" customFormat="1" ht="15" hidden="1" customHeight="1" spans="1:39">
      <c r="A634" s="140">
        <v>2017</v>
      </c>
      <c r="B634" s="140" t="s">
        <v>38</v>
      </c>
      <c r="C634" s="140" t="s">
        <v>59</v>
      </c>
      <c r="D634" s="140" t="s">
        <v>210</v>
      </c>
      <c r="E634" s="140" t="s">
        <v>239</v>
      </c>
      <c r="F634" s="140" t="s">
        <v>240</v>
      </c>
      <c r="G634" s="140" t="s">
        <v>762</v>
      </c>
      <c r="H634" s="140" t="s">
        <v>762</v>
      </c>
      <c r="I634" s="184" t="s">
        <v>204</v>
      </c>
      <c r="J634" s="140" t="s">
        <v>577</v>
      </c>
      <c r="K634" s="140" t="s">
        <v>578</v>
      </c>
      <c r="L634" s="140" t="s">
        <v>240</v>
      </c>
      <c r="M634" s="140" t="s">
        <v>46</v>
      </c>
      <c r="N634" s="157">
        <v>0.02</v>
      </c>
      <c r="O634" s="156" t="s">
        <v>51</v>
      </c>
      <c r="P634" s="156"/>
      <c r="Q634" s="158">
        <v>146263.23</v>
      </c>
      <c r="R634" s="158">
        <v>0</v>
      </c>
      <c r="S634" s="158">
        <v>1571757.83</v>
      </c>
      <c r="T634" s="158">
        <f t="shared" si="111"/>
        <v>31435.1566</v>
      </c>
      <c r="U634" s="158">
        <f t="shared" si="115"/>
        <v>1603192.9866</v>
      </c>
      <c r="V634" s="158">
        <v>1931086.99</v>
      </c>
      <c r="W634" s="158">
        <f t="shared" si="116"/>
        <v>-327894.0034</v>
      </c>
      <c r="X634" s="158">
        <f t="shared" si="112"/>
        <v>-321464.709215686</v>
      </c>
      <c r="Y634" s="158">
        <f t="shared" si="117"/>
        <v>-6429.29418431374</v>
      </c>
      <c r="Z634" s="158">
        <v>1144259.27</v>
      </c>
      <c r="AA634" s="158">
        <f t="shared" si="113"/>
        <v>933090.95</v>
      </c>
      <c r="AB634" s="167">
        <f>IF(O634="返货",(Z634-Q634)/(1+N634),IF(O634="返现",(Z634-Q634),IF(O634="折扣",(Z634-Q634)*N634,IF(O634="无",(Z634-Q634)))))</f>
        <v>978427.490196078</v>
      </c>
      <c r="AC634" s="168">
        <f t="shared" si="114"/>
        <v>165831.779803922</v>
      </c>
      <c r="AD634" s="158">
        <f t="shared" si="120"/>
        <v>1121691.44614522</v>
      </c>
      <c r="AE634" s="159">
        <v>0.1077</v>
      </c>
      <c r="AF634" s="158">
        <f t="shared" si="122"/>
        <v>120806.16874984</v>
      </c>
      <c r="AG634" s="158">
        <v>100800.26710449</v>
      </c>
      <c r="AH634" s="175"/>
      <c r="AI634" s="175"/>
      <c r="AJ634" s="156" t="s">
        <v>173</v>
      </c>
      <c r="AK634" s="140" t="s">
        <v>173</v>
      </c>
      <c r="AM634" s="152"/>
    </row>
    <row r="635" s="140" customFormat="1" ht="15" hidden="1" customHeight="1" spans="1:39">
      <c r="A635" s="140">
        <v>2017</v>
      </c>
      <c r="B635" s="140" t="s">
        <v>38</v>
      </c>
      <c r="C635" s="140" t="s">
        <v>59</v>
      </c>
      <c r="D635" s="140" t="s">
        <v>210</v>
      </c>
      <c r="E635" s="140" t="s">
        <v>239</v>
      </c>
      <c r="F635" s="140" t="s">
        <v>240</v>
      </c>
      <c r="G635" s="140" t="s">
        <v>762</v>
      </c>
      <c r="H635" s="140" t="s">
        <v>762</v>
      </c>
      <c r="I635" s="184" t="s">
        <v>204</v>
      </c>
      <c r="J635" s="140" t="s">
        <v>577</v>
      </c>
      <c r="K635" s="140" t="s">
        <v>578</v>
      </c>
      <c r="L635" s="140" t="s">
        <v>240</v>
      </c>
      <c r="M635" s="140" t="s">
        <v>597</v>
      </c>
      <c r="N635" s="157">
        <v>0</v>
      </c>
      <c r="O635" s="156" t="s">
        <v>47</v>
      </c>
      <c r="P635" s="156"/>
      <c r="Q635" s="158">
        <v>0</v>
      </c>
      <c r="R635" s="158">
        <v>0</v>
      </c>
      <c r="S635" s="158">
        <v>84000</v>
      </c>
      <c r="T635" s="158">
        <f t="shared" si="111"/>
        <v>0</v>
      </c>
      <c r="U635" s="158">
        <f t="shared" si="115"/>
        <v>84000</v>
      </c>
      <c r="V635" s="158">
        <v>399000</v>
      </c>
      <c r="W635" s="158">
        <f t="shared" si="116"/>
        <v>-315000</v>
      </c>
      <c r="X635" s="158">
        <f t="shared" si="112"/>
        <v>-315000</v>
      </c>
      <c r="Y635" s="158">
        <f t="shared" si="117"/>
        <v>0</v>
      </c>
      <c r="Z635" s="158">
        <v>399000</v>
      </c>
      <c r="AA635" s="158">
        <f t="shared" si="113"/>
        <v>0</v>
      </c>
      <c r="AB635" s="167">
        <f>IF(O635="返货",Z635/(1+N635),IF(O635="返现",Z635,IF(O635="折扣",Z635*N635,IF(O635="无",Z635))))</f>
        <v>399000</v>
      </c>
      <c r="AC635" s="168">
        <f t="shared" si="114"/>
        <v>0</v>
      </c>
      <c r="AD635" s="158">
        <f t="shared" si="120"/>
        <v>391130.663081228</v>
      </c>
      <c r="AE635" s="159">
        <v>0.3534</v>
      </c>
      <c r="AF635" s="158">
        <f t="shared" si="122"/>
        <v>138225.576332906</v>
      </c>
      <c r="AG635" s="158">
        <v>37562.1555555556</v>
      </c>
      <c r="AH635" s="175"/>
      <c r="AI635" s="175"/>
      <c r="AJ635" s="157">
        <v>0.35</v>
      </c>
      <c r="AK635" s="177">
        <v>0.35</v>
      </c>
      <c r="AM635" s="152"/>
    </row>
    <row r="636" s="140" customFormat="1" ht="15" hidden="1" customHeight="1" spans="1:39">
      <c r="A636" s="140">
        <v>2017</v>
      </c>
      <c r="B636" s="140" t="s">
        <v>38</v>
      </c>
      <c r="C636" s="140" t="s">
        <v>59</v>
      </c>
      <c r="D636" s="140" t="s">
        <v>210</v>
      </c>
      <c r="E636" s="140" t="s">
        <v>239</v>
      </c>
      <c r="F636" s="140" t="s">
        <v>240</v>
      </c>
      <c r="G636" s="140" t="s">
        <v>762</v>
      </c>
      <c r="H636" s="140" t="s">
        <v>762</v>
      </c>
      <c r="I636" s="184" t="s">
        <v>204</v>
      </c>
      <c r="J636" s="140" t="s">
        <v>577</v>
      </c>
      <c r="K636" s="140" t="s">
        <v>578</v>
      </c>
      <c r="L636" s="140" t="s">
        <v>240</v>
      </c>
      <c r="M636" s="140" t="s">
        <v>160</v>
      </c>
      <c r="N636" s="157">
        <v>0</v>
      </c>
      <c r="O636" s="156" t="s">
        <v>47</v>
      </c>
      <c r="P636" s="156"/>
      <c r="Q636" s="158">
        <v>0</v>
      </c>
      <c r="R636" s="158">
        <v>0</v>
      </c>
      <c r="S636" s="158">
        <v>42000</v>
      </c>
      <c r="T636" s="158">
        <f t="shared" si="111"/>
        <v>0</v>
      </c>
      <c r="U636" s="158">
        <f t="shared" si="115"/>
        <v>42000</v>
      </c>
      <c r="V636" s="158">
        <v>0</v>
      </c>
      <c r="W636" s="158">
        <f t="shared" si="116"/>
        <v>42000</v>
      </c>
      <c r="X636" s="158">
        <f t="shared" si="112"/>
        <v>42000</v>
      </c>
      <c r="Y636" s="158">
        <f t="shared" si="117"/>
        <v>0</v>
      </c>
      <c r="Z636" s="158">
        <v>0</v>
      </c>
      <c r="AA636" s="158">
        <f t="shared" si="113"/>
        <v>0</v>
      </c>
      <c r="AB636" s="167">
        <f>IF(O636="返货",Z636/(1+N636),IF(O636="返现",Z636,IF(O636="折扣",Z636*N636,IF(O636="无",Z636))))</f>
        <v>0</v>
      </c>
      <c r="AC636" s="168">
        <f t="shared" si="114"/>
        <v>0</v>
      </c>
      <c r="AD636" s="158">
        <f t="shared" si="120"/>
        <v>0</v>
      </c>
      <c r="AE636" s="159">
        <v>0.1077</v>
      </c>
      <c r="AF636" s="158">
        <f t="shared" si="122"/>
        <v>0</v>
      </c>
      <c r="AG636" s="158">
        <v>0</v>
      </c>
      <c r="AH636" s="175"/>
      <c r="AI636" s="175"/>
      <c r="AJ636" s="157">
        <v>0.35</v>
      </c>
      <c r="AK636" s="177">
        <v>0.35</v>
      </c>
      <c r="AM636" s="152"/>
    </row>
    <row r="637" s="140" customFormat="1" ht="15" hidden="1" customHeight="1" spans="1:39">
      <c r="A637" s="140">
        <v>2017</v>
      </c>
      <c r="B637" s="140" t="s">
        <v>38</v>
      </c>
      <c r="C637" s="140" t="s">
        <v>59</v>
      </c>
      <c r="D637" s="140" t="s">
        <v>210</v>
      </c>
      <c r="E637" s="140" t="s">
        <v>239</v>
      </c>
      <c r="F637" s="140" t="s">
        <v>763</v>
      </c>
      <c r="G637" s="140" t="s">
        <v>763</v>
      </c>
      <c r="H637" s="140" t="s">
        <v>763</v>
      </c>
      <c r="I637" s="184" t="s">
        <v>204</v>
      </c>
      <c r="J637" s="140" t="s">
        <v>577</v>
      </c>
      <c r="K637" s="140" t="s">
        <v>578</v>
      </c>
      <c r="L637" s="140" t="s">
        <v>763</v>
      </c>
      <c r="M637" s="140" t="s">
        <v>46</v>
      </c>
      <c r="N637" s="156">
        <v>0</v>
      </c>
      <c r="O637" s="156" t="s">
        <v>47</v>
      </c>
      <c r="P637" s="156"/>
      <c r="Q637" s="158">
        <v>0</v>
      </c>
      <c r="R637" s="158">
        <v>0</v>
      </c>
      <c r="S637" s="158">
        <v>3029010.15</v>
      </c>
      <c r="T637" s="158">
        <f t="shared" si="111"/>
        <v>0</v>
      </c>
      <c r="U637" s="158">
        <f t="shared" si="115"/>
        <v>3029010.15</v>
      </c>
      <c r="V637" s="158">
        <v>5445000</v>
      </c>
      <c r="W637" s="158">
        <f t="shared" si="116"/>
        <v>-2415989.85</v>
      </c>
      <c r="X637" s="158">
        <f t="shared" si="112"/>
        <v>-2415989.85</v>
      </c>
      <c r="Y637" s="158">
        <f t="shared" si="117"/>
        <v>0</v>
      </c>
      <c r="Z637" s="158">
        <v>3029010.09</v>
      </c>
      <c r="AA637" s="158">
        <f t="shared" si="113"/>
        <v>2415989.91</v>
      </c>
      <c r="AB637" s="167">
        <f>IF(O637="返货",Z637/(1+N637),IF(O637="返现",Z637,IF(O637="折扣",Z637*N637,IF(O637="无",Z637))))</f>
        <v>3029010.09</v>
      </c>
      <c r="AC637" s="168">
        <f t="shared" si="114"/>
        <v>0</v>
      </c>
      <c r="AD637" s="158">
        <f t="shared" si="120"/>
        <v>2969269.98742213</v>
      </c>
      <c r="AE637" s="159">
        <v>0.1077</v>
      </c>
      <c r="AF637" s="158">
        <f t="shared" si="122"/>
        <v>319790.377645363</v>
      </c>
      <c r="AG637" s="158">
        <v>326224.386693</v>
      </c>
      <c r="AH637" s="175"/>
      <c r="AI637" s="175"/>
      <c r="AJ637" s="156" t="s">
        <v>47</v>
      </c>
      <c r="AK637" s="140" t="s">
        <v>120</v>
      </c>
      <c r="AM637" s="152"/>
    </row>
    <row r="638" s="140" customFormat="1" ht="15" hidden="1" customHeight="1" spans="1:39">
      <c r="A638" s="140">
        <v>2017</v>
      </c>
      <c r="B638" s="140" t="s">
        <v>38</v>
      </c>
      <c r="C638" s="140" t="s">
        <v>59</v>
      </c>
      <c r="D638" s="140" t="s">
        <v>210</v>
      </c>
      <c r="E638" s="140" t="s">
        <v>239</v>
      </c>
      <c r="F638" s="140" t="s">
        <v>763</v>
      </c>
      <c r="G638" s="140" t="s">
        <v>763</v>
      </c>
      <c r="H638" s="140" t="s">
        <v>763</v>
      </c>
      <c r="I638" s="184" t="s">
        <v>204</v>
      </c>
      <c r="J638" s="140" t="s">
        <v>577</v>
      </c>
      <c r="K638" s="140" t="s">
        <v>578</v>
      </c>
      <c r="L638" s="140" t="s">
        <v>763</v>
      </c>
      <c r="M638" s="140" t="s">
        <v>185</v>
      </c>
      <c r="N638" s="156">
        <v>0</v>
      </c>
      <c r="O638" s="156" t="s">
        <v>47</v>
      </c>
      <c r="P638" s="156"/>
      <c r="Q638" s="158">
        <v>0</v>
      </c>
      <c r="R638" s="158">
        <v>0</v>
      </c>
      <c r="S638" s="158">
        <v>2799261.74</v>
      </c>
      <c r="T638" s="158">
        <f t="shared" si="111"/>
        <v>0</v>
      </c>
      <c r="U638" s="158">
        <f t="shared" si="115"/>
        <v>2799261.74</v>
      </c>
      <c r="V638" s="158">
        <v>0</v>
      </c>
      <c r="W638" s="158">
        <f t="shared" si="116"/>
        <v>2799261.74</v>
      </c>
      <c r="X638" s="158">
        <f t="shared" si="112"/>
        <v>2799261.74</v>
      </c>
      <c r="Y638" s="158">
        <f t="shared" si="117"/>
        <v>0</v>
      </c>
      <c r="Z638" s="158">
        <v>2351261.75</v>
      </c>
      <c r="AA638" s="158">
        <f t="shared" si="113"/>
        <v>-2351261.75</v>
      </c>
      <c r="AB638" s="167">
        <f>IF(O638="返货",Z638/(1+N638),IF(O638="返现",Z638,IF(O638="折扣",Z638*N638,IF(O638="无",Z638))))</f>
        <v>2351261.75</v>
      </c>
      <c r="AC638" s="168">
        <f t="shared" si="114"/>
        <v>0</v>
      </c>
      <c r="AD638" s="158">
        <f t="shared" si="120"/>
        <v>2304888.63998754</v>
      </c>
      <c r="AE638" s="159">
        <v>0.3156</v>
      </c>
      <c r="AF638" s="158">
        <f t="shared" si="122"/>
        <v>727422.854780068</v>
      </c>
      <c r="AG638" s="158">
        <v>742058.2083</v>
      </c>
      <c r="AH638" s="175"/>
      <c r="AI638" s="175"/>
      <c r="AJ638" s="156" t="s">
        <v>47</v>
      </c>
      <c r="AK638" s="140" t="s">
        <v>47</v>
      </c>
      <c r="AM638" s="152"/>
    </row>
    <row r="639" s="140" customFormat="1" ht="15" hidden="1" customHeight="1" spans="1:39">
      <c r="A639" s="140">
        <v>2017</v>
      </c>
      <c r="B639" s="140" t="s">
        <v>38</v>
      </c>
      <c r="C639" s="140" t="s">
        <v>59</v>
      </c>
      <c r="D639" s="140" t="s">
        <v>210</v>
      </c>
      <c r="E639" s="140" t="s">
        <v>239</v>
      </c>
      <c r="F639" s="140" t="s">
        <v>763</v>
      </c>
      <c r="G639" s="140" t="s">
        <v>763</v>
      </c>
      <c r="H639" s="140" t="s">
        <v>763</v>
      </c>
      <c r="I639" s="184" t="s">
        <v>204</v>
      </c>
      <c r="J639" s="140" t="s">
        <v>577</v>
      </c>
      <c r="K639" s="140" t="s">
        <v>578</v>
      </c>
      <c r="L639" s="140" t="s">
        <v>763</v>
      </c>
      <c r="M639" s="140" t="s">
        <v>160</v>
      </c>
      <c r="N639" s="156">
        <v>0</v>
      </c>
      <c r="O639" s="156" t="s">
        <v>47</v>
      </c>
      <c r="P639" s="156" t="s">
        <v>764</v>
      </c>
      <c r="Q639" s="158">
        <v>0</v>
      </c>
      <c r="R639" s="158">
        <v>0</v>
      </c>
      <c r="S639" s="158">
        <v>300000</v>
      </c>
      <c r="T639" s="158">
        <f t="shared" si="111"/>
        <v>0</v>
      </c>
      <c r="U639" s="158">
        <f t="shared" si="115"/>
        <v>300000</v>
      </c>
      <c r="V639" s="158">
        <v>0</v>
      </c>
      <c r="W639" s="158">
        <f t="shared" si="116"/>
        <v>300000</v>
      </c>
      <c r="X639" s="158">
        <f t="shared" si="112"/>
        <v>300000</v>
      </c>
      <c r="Y639" s="158">
        <f t="shared" si="117"/>
        <v>0</v>
      </c>
      <c r="Z639" s="158">
        <v>0</v>
      </c>
      <c r="AA639" s="158">
        <f t="shared" si="113"/>
        <v>0</v>
      </c>
      <c r="AB639" s="167">
        <f>IF(O639="返货",Z639/(1+N639),IF(O639="返现",Z639,IF(O639="折扣",Z639*N639,IF(O639="无",Z639))))</f>
        <v>0</v>
      </c>
      <c r="AC639" s="168">
        <f t="shared" si="114"/>
        <v>0</v>
      </c>
      <c r="AD639" s="158">
        <f t="shared" si="120"/>
        <v>0</v>
      </c>
      <c r="AE639" s="159">
        <v>0.1077</v>
      </c>
      <c r="AF639" s="158">
        <f t="shared" si="122"/>
        <v>0</v>
      </c>
      <c r="AG639" s="158">
        <v>0</v>
      </c>
      <c r="AH639" s="175"/>
      <c r="AI639" s="175"/>
      <c r="AJ639" s="156" t="s">
        <v>47</v>
      </c>
      <c r="AK639" s="140" t="s">
        <v>47</v>
      </c>
      <c r="AM639" s="152"/>
    </row>
    <row r="640" s="140" customFormat="1" ht="15" hidden="1" customHeight="1" spans="1:39">
      <c r="A640" s="140">
        <v>2017</v>
      </c>
      <c r="B640" s="140" t="s">
        <v>38</v>
      </c>
      <c r="C640" s="140" t="s">
        <v>59</v>
      </c>
      <c r="D640" s="140" t="s">
        <v>210</v>
      </c>
      <c r="E640" s="140" t="s">
        <v>239</v>
      </c>
      <c r="F640" s="140" t="s">
        <v>765</v>
      </c>
      <c r="G640" s="140" t="s">
        <v>765</v>
      </c>
      <c r="H640" s="140" t="s">
        <v>765</v>
      </c>
      <c r="I640" s="184" t="s">
        <v>204</v>
      </c>
      <c r="J640" s="140" t="s">
        <v>577</v>
      </c>
      <c r="K640" s="140" t="s">
        <v>578</v>
      </c>
      <c r="L640" s="140" t="s">
        <v>765</v>
      </c>
      <c r="M640" s="140" t="s">
        <v>46</v>
      </c>
      <c r="N640" s="157">
        <v>0.02</v>
      </c>
      <c r="O640" s="156" t="s">
        <v>51</v>
      </c>
      <c r="P640" s="156"/>
      <c r="Q640" s="158">
        <v>416278.4472</v>
      </c>
      <c r="R640" s="158">
        <v>0</v>
      </c>
      <c r="S640" s="158">
        <v>5249538.04</v>
      </c>
      <c r="T640" s="158">
        <f t="shared" si="111"/>
        <v>104990.7608</v>
      </c>
      <c r="U640" s="158">
        <f t="shared" si="115"/>
        <v>5354528.8008</v>
      </c>
      <c r="V640" s="158">
        <v>7234195.14</v>
      </c>
      <c r="W640" s="158">
        <f t="shared" si="116"/>
        <v>-1879666.3392</v>
      </c>
      <c r="X640" s="158">
        <f t="shared" si="112"/>
        <v>-1842810.13647059</v>
      </c>
      <c r="Y640" s="158">
        <f t="shared" si="117"/>
        <v>-36856.2027294119</v>
      </c>
      <c r="Z640" s="158">
        <v>5770804.26</v>
      </c>
      <c r="AA640" s="158">
        <f t="shared" si="113"/>
        <v>1879669.3272</v>
      </c>
      <c r="AB640" s="167">
        <f>IF(O640="返货",(Z640-Q640)/(1+N640),IF(O640="返现",(Z640-Q640),IF(O640="折扣",(Z640-Q640)*N640,IF(O640="无",(Z640-Q640)))))</f>
        <v>5249535.11058823</v>
      </c>
      <c r="AC640" s="168">
        <f t="shared" si="114"/>
        <v>521269.149411765</v>
      </c>
      <c r="AD640" s="158">
        <f t="shared" si="120"/>
        <v>5656988.71359843</v>
      </c>
      <c r="AE640" s="159">
        <v>0.1077</v>
      </c>
      <c r="AF640" s="158">
        <f t="shared" si="122"/>
        <v>609257.684454551</v>
      </c>
      <c r="AG640" s="158">
        <v>508362.594096118</v>
      </c>
      <c r="AH640" s="175"/>
      <c r="AI640" s="175"/>
      <c r="AJ640" s="156" t="s">
        <v>173</v>
      </c>
      <c r="AK640" s="140" t="s">
        <v>173</v>
      </c>
      <c r="AL640" s="140" t="s">
        <v>613</v>
      </c>
      <c r="AM640" s="152"/>
    </row>
    <row r="641" s="140" customFormat="1" ht="15" hidden="1" customHeight="1" spans="1:39">
      <c r="A641" s="140">
        <v>2017</v>
      </c>
      <c r="B641" s="140" t="s">
        <v>38</v>
      </c>
      <c r="C641" s="140" t="s">
        <v>59</v>
      </c>
      <c r="D641" s="140" t="s">
        <v>210</v>
      </c>
      <c r="E641" s="140" t="s">
        <v>239</v>
      </c>
      <c r="F641" s="140" t="s">
        <v>765</v>
      </c>
      <c r="G641" s="140" t="s">
        <v>765</v>
      </c>
      <c r="H641" s="140" t="s">
        <v>765</v>
      </c>
      <c r="I641" s="184" t="s">
        <v>204</v>
      </c>
      <c r="J641" s="140" t="s">
        <v>577</v>
      </c>
      <c r="K641" s="140" t="s">
        <v>578</v>
      </c>
      <c r="L641" s="140" t="s">
        <v>765</v>
      </c>
      <c r="M641" s="140" t="s">
        <v>185</v>
      </c>
      <c r="N641" s="157">
        <v>0.08</v>
      </c>
      <c r="O641" s="156" t="s">
        <v>51</v>
      </c>
      <c r="P641" s="156"/>
      <c r="Q641" s="158">
        <v>10642.4616</v>
      </c>
      <c r="R641" s="158">
        <v>0</v>
      </c>
      <c r="S641" s="158">
        <v>1030596.26</v>
      </c>
      <c r="T641" s="158">
        <f t="shared" si="111"/>
        <v>82447.7008</v>
      </c>
      <c r="U641" s="158">
        <f t="shared" si="115"/>
        <v>1113043.9608</v>
      </c>
      <c r="V641" s="158">
        <v>0</v>
      </c>
      <c r="W641" s="158">
        <f t="shared" si="116"/>
        <v>1113043.9608</v>
      </c>
      <c r="X641" s="158">
        <f t="shared" si="112"/>
        <v>1030596.26</v>
      </c>
      <c r="Y641" s="158">
        <f t="shared" si="117"/>
        <v>82447.7008000001</v>
      </c>
      <c r="Z641" s="158">
        <v>1061850.64</v>
      </c>
      <c r="AA641" s="158">
        <f t="shared" si="113"/>
        <v>-1051208.1784</v>
      </c>
      <c r="AB641" s="167">
        <f>IF(O641="返货",(Z641-Q641)/(1+N641),IF(O641="返现",(Z641-Q641),IF(O641="折扣",(Z641-Q641)*N641,IF(O641="无",(Z641-Q641)))))</f>
        <v>973340.905925926</v>
      </c>
      <c r="AC641" s="168">
        <f t="shared" si="114"/>
        <v>88509.7340740742</v>
      </c>
      <c r="AD641" s="158">
        <f t="shared" si="120"/>
        <v>1040908.13262262</v>
      </c>
      <c r="AE641" s="159">
        <v>0.3156</v>
      </c>
      <c r="AF641" s="158">
        <f t="shared" si="122"/>
        <v>328510.6066557</v>
      </c>
      <c r="AG641" s="158">
        <v>256464.459021037</v>
      </c>
      <c r="AH641" s="175"/>
      <c r="AI641" s="175"/>
      <c r="AJ641" s="156" t="s">
        <v>53</v>
      </c>
      <c r="AK641" s="140" t="s">
        <v>53</v>
      </c>
      <c r="AM641" s="152"/>
    </row>
    <row r="642" s="140" customFormat="1" ht="15" hidden="1" customHeight="1" spans="1:39">
      <c r="A642" s="140">
        <v>2017</v>
      </c>
      <c r="B642" s="140" t="s">
        <v>38</v>
      </c>
      <c r="C642" s="140" t="s">
        <v>59</v>
      </c>
      <c r="D642" s="140" t="s">
        <v>210</v>
      </c>
      <c r="E642" s="140" t="s">
        <v>239</v>
      </c>
      <c r="F642" s="140" t="s">
        <v>765</v>
      </c>
      <c r="G642" s="140" t="s">
        <v>765</v>
      </c>
      <c r="H642" s="140" t="s">
        <v>765</v>
      </c>
      <c r="I642" s="184" t="s">
        <v>204</v>
      </c>
      <c r="J642" s="140" t="s">
        <v>577</v>
      </c>
      <c r="K642" s="140" t="s">
        <v>578</v>
      </c>
      <c r="L642" s="140" t="s">
        <v>765</v>
      </c>
      <c r="M642" s="140" t="s">
        <v>160</v>
      </c>
      <c r="N642" s="157">
        <v>0</v>
      </c>
      <c r="O642" s="156" t="s">
        <v>47</v>
      </c>
      <c r="P642" s="156"/>
      <c r="Q642" s="158">
        <v>0</v>
      </c>
      <c r="R642" s="158">
        <v>0</v>
      </c>
      <c r="S642" s="158">
        <v>1035000</v>
      </c>
      <c r="T642" s="158">
        <f t="shared" ref="T642:T705" si="123">S642*N642</f>
        <v>0</v>
      </c>
      <c r="U642" s="158">
        <f t="shared" si="115"/>
        <v>1035000</v>
      </c>
      <c r="V642" s="158">
        <v>799193.55</v>
      </c>
      <c r="W642" s="158">
        <f t="shared" si="116"/>
        <v>235806.45</v>
      </c>
      <c r="X642" s="158">
        <f t="shared" ref="X642:X705" si="124">W642/(1+N642)</f>
        <v>235806.45</v>
      </c>
      <c r="Y642" s="158">
        <f t="shared" si="117"/>
        <v>0</v>
      </c>
      <c r="Z642" s="158">
        <v>799193.55</v>
      </c>
      <c r="AA642" s="158">
        <f t="shared" ref="AA642:AA705" si="125">Q642+V642-Z642</f>
        <v>0</v>
      </c>
      <c r="AB642" s="167">
        <f>IF(O642="返货",Z642/(1+N642),IF(O642="返现",Z642,IF(O642="折扣",Z642*N642,IF(O642="无",Z642))))</f>
        <v>799193.55</v>
      </c>
      <c r="AC642" s="168">
        <f t="shared" ref="AC642:AC705" si="126">IF(O642="返现",Z642*N642,Z642-AB642)</f>
        <v>0</v>
      </c>
      <c r="AD642" s="158">
        <f t="shared" si="120"/>
        <v>783431.336194839</v>
      </c>
      <c r="AE642" s="159">
        <v>0.1077</v>
      </c>
      <c r="AF642" s="158">
        <f t="shared" si="122"/>
        <v>84375.5549081841</v>
      </c>
      <c r="AG642" s="158">
        <v>-121125.182442778</v>
      </c>
      <c r="AH642" s="175"/>
      <c r="AI642" s="175"/>
      <c r="AJ642" s="157">
        <v>0.35</v>
      </c>
      <c r="AK642" s="177">
        <v>0.35</v>
      </c>
      <c r="AM642" s="152"/>
    </row>
    <row r="643" s="140" customFormat="1" ht="15" hidden="1" customHeight="1" spans="1:39">
      <c r="A643" s="140">
        <v>2017</v>
      </c>
      <c r="B643" s="140" t="s">
        <v>38</v>
      </c>
      <c r="C643" s="140" t="s">
        <v>59</v>
      </c>
      <c r="D643" s="140" t="s">
        <v>210</v>
      </c>
      <c r="E643" s="140" t="s">
        <v>239</v>
      </c>
      <c r="F643" s="140" t="s">
        <v>766</v>
      </c>
      <c r="G643" s="140" t="s">
        <v>766</v>
      </c>
      <c r="H643" s="140" t="s">
        <v>766</v>
      </c>
      <c r="I643" s="184" t="s">
        <v>204</v>
      </c>
      <c r="J643" s="140" t="s">
        <v>577</v>
      </c>
      <c r="K643" s="140" t="s">
        <v>578</v>
      </c>
      <c r="L643" s="140" t="s">
        <v>766</v>
      </c>
      <c r="M643" s="140" t="s">
        <v>46</v>
      </c>
      <c r="N643" s="157">
        <v>0.02</v>
      </c>
      <c r="O643" s="156" t="s">
        <v>51</v>
      </c>
      <c r="P643" s="156"/>
      <c r="Q643" s="158">
        <v>0</v>
      </c>
      <c r="R643" s="158">
        <v>0</v>
      </c>
      <c r="S643" s="158">
        <v>1514853.06</v>
      </c>
      <c r="T643" s="158">
        <f t="shared" si="123"/>
        <v>30297.0612</v>
      </c>
      <c r="U643" s="158">
        <f t="shared" ref="U643:U706" si="127">R643+S643+T643</f>
        <v>1545150.1212</v>
      </c>
      <c r="V643" s="158">
        <v>3050000</v>
      </c>
      <c r="W643" s="158">
        <f t="shared" ref="W643:W706" si="128">U643-V643</f>
        <v>-1504849.8788</v>
      </c>
      <c r="X643" s="158">
        <f t="shared" si="124"/>
        <v>-1475343.01843137</v>
      </c>
      <c r="Y643" s="158">
        <f t="shared" ref="Y643:Y706" si="129">W643-X643</f>
        <v>-29506.8603686276</v>
      </c>
      <c r="Z643" s="158">
        <v>1545150.13</v>
      </c>
      <c r="AA643" s="158">
        <f t="shared" si="125"/>
        <v>1504849.87</v>
      </c>
      <c r="AB643" s="167">
        <f>IF(O643="返货",Z643/(1+N643),IF(O643="返现",Z643,IF(O643="折扣",Z643*N643,IF(O643="无",Z643))))</f>
        <v>1514853.06862745</v>
      </c>
      <c r="AC643" s="168">
        <f t="shared" si="126"/>
        <v>30297.061372549</v>
      </c>
      <c r="AD643" s="158">
        <f t="shared" si="120"/>
        <v>1514675.67645851</v>
      </c>
      <c r="AE643" s="159">
        <v>0.1077</v>
      </c>
      <c r="AF643" s="158">
        <f t="shared" si="122"/>
        <v>163130.570354582</v>
      </c>
      <c r="AG643" s="158">
        <v>136115.607628451</v>
      </c>
      <c r="AH643" s="175"/>
      <c r="AI643" s="175"/>
      <c r="AJ643" s="156" t="s">
        <v>173</v>
      </c>
      <c r="AK643" s="140" t="s">
        <v>173</v>
      </c>
      <c r="AM643" s="152"/>
    </row>
    <row r="644" s="140" customFormat="1" ht="15" hidden="1" customHeight="1" spans="1:39">
      <c r="A644" s="140">
        <v>2017</v>
      </c>
      <c r="B644" s="140" t="s">
        <v>38</v>
      </c>
      <c r="C644" s="140" t="s">
        <v>59</v>
      </c>
      <c r="D644" s="140" t="s">
        <v>210</v>
      </c>
      <c r="E644" s="140" t="s">
        <v>239</v>
      </c>
      <c r="F644" s="140" t="s">
        <v>766</v>
      </c>
      <c r="G644" s="140" t="s">
        <v>766</v>
      </c>
      <c r="H644" s="140" t="s">
        <v>766</v>
      </c>
      <c r="I644" s="184" t="s">
        <v>204</v>
      </c>
      <c r="J644" s="140" t="s">
        <v>577</v>
      </c>
      <c r="K644" s="140" t="s">
        <v>578</v>
      </c>
      <c r="L644" s="140" t="s">
        <v>766</v>
      </c>
      <c r="M644" s="140" t="s">
        <v>185</v>
      </c>
      <c r="N644" s="157">
        <v>0.08</v>
      </c>
      <c r="O644" s="156" t="s">
        <v>51</v>
      </c>
      <c r="P644" s="156"/>
      <c r="Q644" s="158">
        <v>0</v>
      </c>
      <c r="R644" s="158">
        <v>0</v>
      </c>
      <c r="S644" s="158">
        <v>1131239.25</v>
      </c>
      <c r="T644" s="158">
        <f t="shared" si="123"/>
        <v>90499.14</v>
      </c>
      <c r="U644" s="158">
        <f t="shared" si="127"/>
        <v>1221738.39</v>
      </c>
      <c r="V644" s="158">
        <v>0</v>
      </c>
      <c r="W644" s="158">
        <f t="shared" si="128"/>
        <v>1221738.39</v>
      </c>
      <c r="X644" s="158">
        <f t="shared" si="124"/>
        <v>1131239.25</v>
      </c>
      <c r="Y644" s="158">
        <f t="shared" si="129"/>
        <v>90499.1400000001</v>
      </c>
      <c r="Z644" s="158">
        <v>1153864.04</v>
      </c>
      <c r="AA644" s="158">
        <f t="shared" si="125"/>
        <v>-1153864.04</v>
      </c>
      <c r="AB644" s="167">
        <f>IF(O644="返货",Z644/(1+N644),IF(O644="返现",Z644,IF(O644="折扣",Z644*N644,IF(O644="无",Z644))))</f>
        <v>1068392.62962963</v>
      </c>
      <c r="AC644" s="168">
        <f t="shared" si="126"/>
        <v>85471.4103703704</v>
      </c>
      <c r="AD644" s="158">
        <f t="shared" si="120"/>
        <v>1131106.78463856</v>
      </c>
      <c r="AE644" s="159">
        <v>0.3156</v>
      </c>
      <c r="AF644" s="158">
        <f t="shared" si="122"/>
        <v>356977.301231929</v>
      </c>
      <c r="AG644" s="158">
        <v>278688.08065363</v>
      </c>
      <c r="AH644" s="175"/>
      <c r="AI644" s="175"/>
      <c r="AJ644" s="156" t="s">
        <v>53</v>
      </c>
      <c r="AK644" s="140" t="s">
        <v>53</v>
      </c>
      <c r="AM644" s="152"/>
    </row>
    <row r="645" s="140" customFormat="1" ht="15" hidden="1" customHeight="1" spans="1:39">
      <c r="A645" s="140">
        <v>2017</v>
      </c>
      <c r="B645" s="140" t="s">
        <v>38</v>
      </c>
      <c r="C645" s="140" t="s">
        <v>59</v>
      </c>
      <c r="D645" s="140" t="s">
        <v>210</v>
      </c>
      <c r="E645" s="140" t="s">
        <v>190</v>
      </c>
      <c r="F645" s="140" t="s">
        <v>363</v>
      </c>
      <c r="G645" s="140" t="s">
        <v>363</v>
      </c>
      <c r="H645" s="140" t="s">
        <v>363</v>
      </c>
      <c r="I645" s="184" t="s">
        <v>204</v>
      </c>
      <c r="J645" s="140" t="s">
        <v>577</v>
      </c>
      <c r="K645" s="140" t="s">
        <v>578</v>
      </c>
      <c r="L645" s="140" t="s">
        <v>767</v>
      </c>
      <c r="M645" s="140" t="s">
        <v>46</v>
      </c>
      <c r="N645" s="157">
        <v>0.02</v>
      </c>
      <c r="O645" s="156" t="s">
        <v>51</v>
      </c>
      <c r="P645" s="156"/>
      <c r="Q645" s="158">
        <v>199803.14</v>
      </c>
      <c r="R645" s="158">
        <v>0</v>
      </c>
      <c r="S645" s="158">
        <v>353490.96</v>
      </c>
      <c r="T645" s="158">
        <f t="shared" si="123"/>
        <v>7069.8192</v>
      </c>
      <c r="U645" s="158">
        <f t="shared" si="127"/>
        <v>360560.7792</v>
      </c>
      <c r="V645" s="158">
        <v>1041475.36</v>
      </c>
      <c r="W645" s="158">
        <f t="shared" si="128"/>
        <v>-680914.5808</v>
      </c>
      <c r="X645" s="158">
        <f t="shared" si="124"/>
        <v>-667563.314509804</v>
      </c>
      <c r="Y645" s="158">
        <f t="shared" si="129"/>
        <v>-13351.2662901961</v>
      </c>
      <c r="Z645" s="158">
        <v>553220.64</v>
      </c>
      <c r="AA645" s="158">
        <f t="shared" si="125"/>
        <v>688057.86</v>
      </c>
      <c r="AB645" s="167">
        <f>IF(O645="返货",(Z645-Q645)/(1+N645),IF(O645="返现",(Z645-Q645),IF(O645="折扣",(Z645-Q645)*N645,IF(O645="无",(Z645-Q645)))))</f>
        <v>346487.745098039</v>
      </c>
      <c r="AC645" s="168">
        <f t="shared" si="126"/>
        <v>206732.894901961</v>
      </c>
      <c r="AD645" s="158">
        <f t="shared" si="120"/>
        <v>542309.663542409</v>
      </c>
      <c r="AE645" s="159">
        <v>0.1077</v>
      </c>
      <c r="AF645" s="158">
        <f t="shared" si="122"/>
        <v>58406.7507635175</v>
      </c>
      <c r="AG645" s="158">
        <v>48734.3993985882</v>
      </c>
      <c r="AH645" s="175"/>
      <c r="AI645" s="175"/>
      <c r="AJ645" s="156" t="s">
        <v>173</v>
      </c>
      <c r="AK645" s="140" t="s">
        <v>173</v>
      </c>
      <c r="AM645" s="152"/>
    </row>
    <row r="646" s="140" customFormat="1" ht="15" hidden="1" customHeight="1" spans="1:39">
      <c r="A646" s="140">
        <v>2017</v>
      </c>
      <c r="B646" s="140" t="s">
        <v>38</v>
      </c>
      <c r="C646" s="140" t="s">
        <v>59</v>
      </c>
      <c r="D646" s="140" t="s">
        <v>210</v>
      </c>
      <c r="E646" s="140" t="s">
        <v>190</v>
      </c>
      <c r="F646" s="140" t="s">
        <v>363</v>
      </c>
      <c r="G646" s="140" t="s">
        <v>363</v>
      </c>
      <c r="H646" s="140" t="s">
        <v>363</v>
      </c>
      <c r="I646" s="184" t="s">
        <v>204</v>
      </c>
      <c r="J646" s="140" t="s">
        <v>577</v>
      </c>
      <c r="K646" s="140" t="s">
        <v>578</v>
      </c>
      <c r="L646" s="140" t="s">
        <v>767</v>
      </c>
      <c r="M646" s="140" t="s">
        <v>185</v>
      </c>
      <c r="N646" s="157">
        <v>0.08</v>
      </c>
      <c r="O646" s="156" t="s">
        <v>51</v>
      </c>
      <c r="P646" s="156"/>
      <c r="Q646" s="158">
        <v>392923.03</v>
      </c>
      <c r="R646" s="158">
        <v>0</v>
      </c>
      <c r="S646" s="158">
        <v>446509.04</v>
      </c>
      <c r="T646" s="158">
        <f t="shared" si="123"/>
        <v>35720.7232</v>
      </c>
      <c r="U646" s="158">
        <f t="shared" si="127"/>
        <v>482229.7632</v>
      </c>
      <c r="V646" s="158">
        <v>0</v>
      </c>
      <c r="W646" s="158">
        <f t="shared" si="128"/>
        <v>482229.7632</v>
      </c>
      <c r="X646" s="158">
        <f t="shared" si="124"/>
        <v>446509.04</v>
      </c>
      <c r="Y646" s="158">
        <f t="shared" si="129"/>
        <v>35720.7232</v>
      </c>
      <c r="Z646" s="158">
        <v>1080980.89</v>
      </c>
      <c r="AA646" s="158">
        <f t="shared" si="125"/>
        <v>-688057.86</v>
      </c>
      <c r="AB646" s="167">
        <f>IF(O646="返货",(Z646-Q646)/(1+N646),IF(O646="返现",(Z646-Q646),IF(O646="折扣",(Z646-Q646)*N646,IF(O646="无",(Z646-Q646)))))</f>
        <v>637090.611111111</v>
      </c>
      <c r="AC646" s="168">
        <f t="shared" si="126"/>
        <v>443890.278888889</v>
      </c>
      <c r="AD646" s="158">
        <f t="shared" si="120"/>
        <v>1059661.08341814</v>
      </c>
      <c r="AE646" s="159">
        <v>0.3156</v>
      </c>
      <c r="AF646" s="158">
        <f t="shared" si="122"/>
        <v>334429.037926763</v>
      </c>
      <c r="AG646" s="158">
        <v>261084.910365481</v>
      </c>
      <c r="AH646" s="175"/>
      <c r="AI646" s="175"/>
      <c r="AJ646" s="156" t="s">
        <v>53</v>
      </c>
      <c r="AK646" s="140" t="s">
        <v>53</v>
      </c>
      <c r="AM646" s="152"/>
    </row>
    <row r="647" s="140" customFormat="1" ht="15" hidden="1" customHeight="1" spans="1:39">
      <c r="A647" s="140">
        <v>2017</v>
      </c>
      <c r="B647" s="140" t="s">
        <v>38</v>
      </c>
      <c r="C647" s="140" t="s">
        <v>59</v>
      </c>
      <c r="D647" s="140" t="s">
        <v>210</v>
      </c>
      <c r="E647" s="140" t="s">
        <v>249</v>
      </c>
      <c r="F647" s="140" t="s">
        <v>768</v>
      </c>
      <c r="G647" s="140" t="s">
        <v>768</v>
      </c>
      <c r="H647" s="140" t="s">
        <v>768</v>
      </c>
      <c r="I647" s="184" t="s">
        <v>204</v>
      </c>
      <c r="J647" s="140" t="s">
        <v>577</v>
      </c>
      <c r="K647" s="140" t="s">
        <v>578</v>
      </c>
      <c r="L647" s="140" t="s">
        <v>768</v>
      </c>
      <c r="M647" s="140" t="s">
        <v>46</v>
      </c>
      <c r="N647" s="157">
        <v>0.02</v>
      </c>
      <c r="O647" s="156" t="s">
        <v>51</v>
      </c>
      <c r="P647" s="156"/>
      <c r="Q647" s="158">
        <v>0</v>
      </c>
      <c r="R647" s="158">
        <v>0</v>
      </c>
      <c r="S647" s="158">
        <v>20000</v>
      </c>
      <c r="T647" s="158">
        <f t="shared" si="123"/>
        <v>400</v>
      </c>
      <c r="U647" s="158">
        <f t="shared" si="127"/>
        <v>20400</v>
      </c>
      <c r="V647" s="158">
        <v>20000</v>
      </c>
      <c r="W647" s="158">
        <f t="shared" si="128"/>
        <v>400</v>
      </c>
      <c r="X647" s="158">
        <f t="shared" si="124"/>
        <v>392.156862745098</v>
      </c>
      <c r="Y647" s="158">
        <f t="shared" si="129"/>
        <v>7.84313725490199</v>
      </c>
      <c r="Z647" s="158">
        <v>20000</v>
      </c>
      <c r="AA647" s="158">
        <f t="shared" si="125"/>
        <v>0</v>
      </c>
      <c r="AB647" s="167">
        <f>IF(O647="返货",Z647/(1+N647),IF(O647="返现",Z647,IF(O647="折扣",Z647*N647,IF(O647="无",Z647))))</f>
        <v>19607.8431372549</v>
      </c>
      <c r="AC647" s="168">
        <f t="shared" si="126"/>
        <v>392.156862745098</v>
      </c>
      <c r="AD647" s="158">
        <f t="shared" ref="AD647:AD660" si="130">Z647*0.980277351080772</f>
        <v>19605.5470216154</v>
      </c>
      <c r="AE647" s="159">
        <v>0.1077</v>
      </c>
      <c r="AF647" s="158">
        <f t="shared" si="122"/>
        <v>2111.51741422798</v>
      </c>
      <c r="AG647" s="158">
        <v>1761.8431372549</v>
      </c>
      <c r="AH647" s="175"/>
      <c r="AI647" s="175"/>
      <c r="AJ647" s="157">
        <v>0.02</v>
      </c>
      <c r="AK647" s="177">
        <v>0.02</v>
      </c>
      <c r="AM647" s="152"/>
    </row>
    <row r="648" s="140" customFormat="1" ht="15" hidden="1" customHeight="1" spans="1:39">
      <c r="A648" s="140">
        <v>2017</v>
      </c>
      <c r="B648" s="140" t="s">
        <v>38</v>
      </c>
      <c r="C648" s="140" t="s">
        <v>59</v>
      </c>
      <c r="D648" s="140" t="s">
        <v>210</v>
      </c>
      <c r="E648" s="140" t="s">
        <v>249</v>
      </c>
      <c r="F648" s="140" t="s">
        <v>769</v>
      </c>
      <c r="G648" s="140" t="s">
        <v>769</v>
      </c>
      <c r="H648" s="140" t="s">
        <v>769</v>
      </c>
      <c r="I648" s="184" t="s">
        <v>204</v>
      </c>
      <c r="J648" s="140" t="s">
        <v>577</v>
      </c>
      <c r="K648" s="140" t="s">
        <v>578</v>
      </c>
      <c r="L648" s="140" t="s">
        <v>769</v>
      </c>
      <c r="M648" s="140" t="s">
        <v>46</v>
      </c>
      <c r="N648" s="156">
        <v>0</v>
      </c>
      <c r="O648" s="156" t="s">
        <v>47</v>
      </c>
      <c r="P648" s="156"/>
      <c r="Q648" s="158">
        <v>26294.09</v>
      </c>
      <c r="R648" s="158">
        <v>0</v>
      </c>
      <c r="S648" s="158">
        <v>2258148.27</v>
      </c>
      <c r="T648" s="158">
        <f t="shared" si="123"/>
        <v>0</v>
      </c>
      <c r="U648" s="158">
        <f t="shared" si="127"/>
        <v>2258148.27</v>
      </c>
      <c r="V648" s="158">
        <v>14062008.39</v>
      </c>
      <c r="W648" s="158">
        <f t="shared" si="128"/>
        <v>-11803860.12</v>
      </c>
      <c r="X648" s="158">
        <f t="shared" si="124"/>
        <v>-11803860.12</v>
      </c>
      <c r="Y648" s="158">
        <f t="shared" si="129"/>
        <v>0</v>
      </c>
      <c r="Z648" s="158">
        <v>2190124.07</v>
      </c>
      <c r="AA648" s="158">
        <f t="shared" si="125"/>
        <v>11898178.41</v>
      </c>
      <c r="AB648" s="167">
        <f>IF(O648="返货",(Z648-Q648)/(1+N648),IF(O648="返现",(Z648-Q648),IF(O648="折扣",(Z648-Q648)*N648,IF(O648="无",(Z648-Q648)))))</f>
        <v>2163829.98</v>
      </c>
      <c r="AC648" s="168">
        <f t="shared" si="126"/>
        <v>26294.0899999999</v>
      </c>
      <c r="AD648" s="158">
        <f t="shared" si="130"/>
        <v>2146929.02187784</v>
      </c>
      <c r="AE648" s="159">
        <v>0.1077</v>
      </c>
      <c r="AF648" s="158">
        <f t="shared" si="122"/>
        <v>231224.255656243</v>
      </c>
      <c r="AG648" s="158">
        <v>235876.362339</v>
      </c>
      <c r="AH648" s="175"/>
      <c r="AI648" s="175"/>
      <c r="AJ648" s="156" t="s">
        <v>47</v>
      </c>
      <c r="AK648" s="140" t="s">
        <v>120</v>
      </c>
      <c r="AM648" s="152"/>
    </row>
    <row r="649" s="140" customFormat="1" ht="15" hidden="1" customHeight="1" spans="1:39">
      <c r="A649" s="140">
        <v>2017</v>
      </c>
      <c r="B649" s="140" t="s">
        <v>38</v>
      </c>
      <c r="C649" s="140" t="s">
        <v>59</v>
      </c>
      <c r="D649" s="140" t="s">
        <v>210</v>
      </c>
      <c r="E649" s="140" t="s">
        <v>249</v>
      </c>
      <c r="F649" s="140" t="s">
        <v>769</v>
      </c>
      <c r="G649" s="140" t="s">
        <v>769</v>
      </c>
      <c r="H649" s="140" t="s">
        <v>769</v>
      </c>
      <c r="I649" s="184" t="s">
        <v>204</v>
      </c>
      <c r="J649" s="140" t="s">
        <v>577</v>
      </c>
      <c r="K649" s="140" t="s">
        <v>578</v>
      </c>
      <c r="L649" s="140" t="s">
        <v>769</v>
      </c>
      <c r="M649" s="140" t="s">
        <v>185</v>
      </c>
      <c r="N649" s="157">
        <v>0.04</v>
      </c>
      <c r="O649" s="156" t="s">
        <v>51</v>
      </c>
      <c r="P649" s="156"/>
      <c r="Q649" s="158">
        <v>53329.77</v>
      </c>
      <c r="R649" s="158">
        <v>0</v>
      </c>
      <c r="S649" s="158">
        <v>10521093.24</v>
      </c>
      <c r="T649" s="158">
        <f t="shared" si="123"/>
        <v>420843.7296</v>
      </c>
      <c r="U649" s="158">
        <f t="shared" si="127"/>
        <v>10941936.9696</v>
      </c>
      <c r="V649" s="158">
        <v>0</v>
      </c>
      <c r="W649" s="158">
        <f t="shared" si="128"/>
        <v>10941936.9696</v>
      </c>
      <c r="X649" s="158">
        <f t="shared" si="124"/>
        <v>10521093.24</v>
      </c>
      <c r="Y649" s="158">
        <f t="shared" si="129"/>
        <v>420843.729600001</v>
      </c>
      <c r="Z649" s="158">
        <v>10995333.52</v>
      </c>
      <c r="AA649" s="158">
        <f t="shared" si="125"/>
        <v>-10942003.75</v>
      </c>
      <c r="AB649" s="167">
        <f>IF(O649="返货",(Z649-Q649)/(1+N649),IF(O649="返现",(Z649-Q649),IF(O649="折扣",(Z649-Q649)*N649,IF(O649="无",(Z649-Q649)))))</f>
        <v>10521157.4519231</v>
      </c>
      <c r="AC649" s="168">
        <f t="shared" si="126"/>
        <v>474176.068076923</v>
      </c>
      <c r="AD649" s="158">
        <f t="shared" si="130"/>
        <v>10778476.4172352</v>
      </c>
      <c r="AE649" s="159">
        <v>0.3156</v>
      </c>
      <c r="AF649" s="158">
        <f t="shared" si="122"/>
        <v>3401687.15727944</v>
      </c>
      <c r="AG649" s="158">
        <v>3047229.81583508</v>
      </c>
      <c r="AH649" s="175"/>
      <c r="AI649" s="175"/>
      <c r="AJ649" s="156" t="s">
        <v>186</v>
      </c>
      <c r="AK649" s="140" t="s">
        <v>186</v>
      </c>
      <c r="AM649" s="152"/>
    </row>
    <row r="650" s="140" customFormat="1" ht="15" hidden="1" customHeight="1" spans="1:39">
      <c r="A650" s="140">
        <v>2017</v>
      </c>
      <c r="B650" s="140" t="s">
        <v>38</v>
      </c>
      <c r="C650" s="140" t="s">
        <v>59</v>
      </c>
      <c r="D650" s="140" t="s">
        <v>210</v>
      </c>
      <c r="E650" s="140" t="s">
        <v>249</v>
      </c>
      <c r="F650" s="140" t="s">
        <v>769</v>
      </c>
      <c r="G650" s="140" t="s">
        <v>769</v>
      </c>
      <c r="H650" s="140" t="s">
        <v>769</v>
      </c>
      <c r="I650" s="184" t="s">
        <v>204</v>
      </c>
      <c r="J650" s="140" t="s">
        <v>577</v>
      </c>
      <c r="K650" s="140" t="s">
        <v>578</v>
      </c>
      <c r="L650" s="140" t="s">
        <v>769</v>
      </c>
      <c r="M650" s="140" t="s">
        <v>597</v>
      </c>
      <c r="N650" s="157">
        <v>0</v>
      </c>
      <c r="O650" s="156" t="s">
        <v>47</v>
      </c>
      <c r="P650" s="156"/>
      <c r="Q650" s="158">
        <v>0</v>
      </c>
      <c r="R650" s="158">
        <v>0</v>
      </c>
      <c r="S650" s="158">
        <v>6785372</v>
      </c>
      <c r="T650" s="158">
        <f t="shared" si="123"/>
        <v>0</v>
      </c>
      <c r="U650" s="158">
        <f t="shared" si="127"/>
        <v>6785372</v>
      </c>
      <c r="V650" s="158">
        <v>7777342</v>
      </c>
      <c r="W650" s="158">
        <f t="shared" si="128"/>
        <v>-991970</v>
      </c>
      <c r="X650" s="158">
        <f t="shared" si="124"/>
        <v>-991970</v>
      </c>
      <c r="Y650" s="158">
        <f t="shared" si="129"/>
        <v>0</v>
      </c>
      <c r="Z650" s="158">
        <v>7777342</v>
      </c>
      <c r="AA650" s="158">
        <f t="shared" si="125"/>
        <v>0</v>
      </c>
      <c r="AB650" s="167">
        <f t="shared" ref="AB650:AB655" si="131">IF(O650="返货",Z650/(1+N650),IF(O650="返现",Z650,IF(O650="折扣",Z650*N650,IF(O650="无",Z650))))</f>
        <v>7777342</v>
      </c>
      <c r="AC650" s="168">
        <f t="shared" si="126"/>
        <v>0</v>
      </c>
      <c r="AD650" s="158">
        <f t="shared" si="130"/>
        <v>7623952.21420923</v>
      </c>
      <c r="AE650" s="159">
        <v>0.3534</v>
      </c>
      <c r="AF650" s="158">
        <f t="shared" si="122"/>
        <v>2694304.71250154</v>
      </c>
      <c r="AG650" s="158">
        <v>732164.736874074</v>
      </c>
      <c r="AH650" s="175"/>
      <c r="AI650" s="175"/>
      <c r="AJ650" s="157">
        <v>0.35</v>
      </c>
      <c r="AK650" s="177">
        <v>0.35</v>
      </c>
      <c r="AM650" s="152"/>
    </row>
    <row r="651" s="140" customFormat="1" ht="15" hidden="1" customHeight="1" spans="1:39">
      <c r="A651" s="140">
        <v>2017</v>
      </c>
      <c r="B651" s="140" t="s">
        <v>38</v>
      </c>
      <c r="C651" s="140" t="s">
        <v>59</v>
      </c>
      <c r="D651" s="140" t="s">
        <v>210</v>
      </c>
      <c r="E651" s="140" t="s">
        <v>249</v>
      </c>
      <c r="F651" s="140" t="s">
        <v>769</v>
      </c>
      <c r="G651" s="140" t="s">
        <v>769</v>
      </c>
      <c r="H651" s="140" t="s">
        <v>769</v>
      </c>
      <c r="I651" s="184" t="s">
        <v>204</v>
      </c>
      <c r="J651" s="140" t="s">
        <v>577</v>
      </c>
      <c r="K651" s="140" t="s">
        <v>578</v>
      </c>
      <c r="L651" s="140" t="s">
        <v>769</v>
      </c>
      <c r="M651" s="140" t="s">
        <v>160</v>
      </c>
      <c r="N651" s="156">
        <v>0</v>
      </c>
      <c r="O651" s="156" t="s">
        <v>47</v>
      </c>
      <c r="P651" s="156"/>
      <c r="Q651" s="158">
        <v>0</v>
      </c>
      <c r="R651" s="158">
        <v>0</v>
      </c>
      <c r="S651" s="158">
        <v>1552500</v>
      </c>
      <c r="T651" s="158">
        <f t="shared" si="123"/>
        <v>0</v>
      </c>
      <c r="U651" s="158">
        <f t="shared" si="127"/>
        <v>1552500</v>
      </c>
      <c r="V651" s="158">
        <v>687500</v>
      </c>
      <c r="W651" s="158">
        <f t="shared" si="128"/>
        <v>865000</v>
      </c>
      <c r="X651" s="158">
        <f t="shared" si="124"/>
        <v>865000</v>
      </c>
      <c r="Y651" s="158">
        <f t="shared" si="129"/>
        <v>0</v>
      </c>
      <c r="Z651" s="158">
        <v>687500</v>
      </c>
      <c r="AA651" s="158">
        <f t="shared" si="125"/>
        <v>0</v>
      </c>
      <c r="AB651" s="167">
        <f t="shared" si="131"/>
        <v>687500</v>
      </c>
      <c r="AC651" s="168">
        <f t="shared" si="126"/>
        <v>0</v>
      </c>
      <c r="AD651" s="158">
        <f t="shared" si="130"/>
        <v>673940.678868031</v>
      </c>
      <c r="AE651" s="159">
        <v>0.1077</v>
      </c>
      <c r="AF651" s="158">
        <f t="shared" si="122"/>
        <v>72583.4111140869</v>
      </c>
      <c r="AG651" s="158">
        <v>74043.75</v>
      </c>
      <c r="AH651" s="175"/>
      <c r="AI651" s="175"/>
      <c r="AJ651" s="156" t="s">
        <v>47</v>
      </c>
      <c r="AK651" s="140" t="s">
        <v>47</v>
      </c>
      <c r="AM651" s="152"/>
    </row>
    <row r="652" s="140" customFormat="1" ht="15" hidden="1" customHeight="1" spans="1:39">
      <c r="A652" s="140">
        <v>2017</v>
      </c>
      <c r="B652" s="140" t="s">
        <v>38</v>
      </c>
      <c r="C652" s="140" t="s">
        <v>59</v>
      </c>
      <c r="D652" s="140" t="s">
        <v>210</v>
      </c>
      <c r="E652" s="140" t="s">
        <v>61</v>
      </c>
      <c r="F652" s="140" t="s">
        <v>770</v>
      </c>
      <c r="G652" s="140" t="s">
        <v>770</v>
      </c>
      <c r="H652" s="140" t="s">
        <v>770</v>
      </c>
      <c r="I652" s="184" t="s">
        <v>204</v>
      </c>
      <c r="J652" s="140" t="s">
        <v>577</v>
      </c>
      <c r="K652" s="140" t="s">
        <v>578</v>
      </c>
      <c r="L652" s="140" t="s">
        <v>771</v>
      </c>
      <c r="M652" s="140" t="s">
        <v>46</v>
      </c>
      <c r="N652" s="157">
        <v>0.02</v>
      </c>
      <c r="O652" s="156" t="s">
        <v>51</v>
      </c>
      <c r="P652" s="156"/>
      <c r="Q652" s="158">
        <v>0</v>
      </c>
      <c r="R652" s="158">
        <v>0</v>
      </c>
      <c r="S652" s="158">
        <v>3068.76</v>
      </c>
      <c r="T652" s="158">
        <f t="shared" si="123"/>
        <v>61.3752</v>
      </c>
      <c r="U652" s="158">
        <f t="shared" si="127"/>
        <v>3130.1352</v>
      </c>
      <c r="V652" s="158">
        <v>2675000</v>
      </c>
      <c r="W652" s="158">
        <f t="shared" si="128"/>
        <v>-2671869.8648</v>
      </c>
      <c r="X652" s="158">
        <f t="shared" si="124"/>
        <v>-2619480.25960784</v>
      </c>
      <c r="Y652" s="158">
        <f t="shared" si="129"/>
        <v>-52389.605192157</v>
      </c>
      <c r="Z652" s="158">
        <v>62830.25</v>
      </c>
      <c r="AA652" s="158">
        <f t="shared" si="125"/>
        <v>2612169.75</v>
      </c>
      <c r="AB652" s="167">
        <f t="shared" si="131"/>
        <v>61598.2843137255</v>
      </c>
      <c r="AC652" s="168">
        <f t="shared" si="126"/>
        <v>1231.96568627451</v>
      </c>
      <c r="AD652" s="158">
        <f t="shared" si="130"/>
        <v>61591.0710377427</v>
      </c>
      <c r="AE652" s="159">
        <v>0.1077</v>
      </c>
      <c r="AF652" s="158">
        <f t="shared" si="122"/>
        <v>6633.35835076489</v>
      </c>
      <c r="AG652" s="158">
        <v>5534.85223872549</v>
      </c>
      <c r="AH652" s="175"/>
      <c r="AI652" s="175"/>
      <c r="AJ652" s="156" t="s">
        <v>173</v>
      </c>
      <c r="AK652" s="140" t="s">
        <v>173</v>
      </c>
      <c r="AM652" s="152"/>
    </row>
    <row r="653" s="140" customFormat="1" ht="15" hidden="1" customHeight="1" spans="1:39">
      <c r="A653" s="140">
        <v>2017</v>
      </c>
      <c r="B653" s="140" t="s">
        <v>38</v>
      </c>
      <c r="C653" s="140" t="s">
        <v>59</v>
      </c>
      <c r="D653" s="140" t="s">
        <v>210</v>
      </c>
      <c r="E653" s="140" t="s">
        <v>61</v>
      </c>
      <c r="F653" s="140" t="s">
        <v>770</v>
      </c>
      <c r="G653" s="140" t="s">
        <v>770</v>
      </c>
      <c r="H653" s="140" t="s">
        <v>770</v>
      </c>
      <c r="I653" s="184" t="s">
        <v>204</v>
      </c>
      <c r="J653" s="140" t="s">
        <v>577</v>
      </c>
      <c r="K653" s="140" t="s">
        <v>578</v>
      </c>
      <c r="L653" s="140" t="s">
        <v>771</v>
      </c>
      <c r="M653" s="140" t="s">
        <v>185</v>
      </c>
      <c r="N653" s="157">
        <v>0.08</v>
      </c>
      <c r="O653" s="156" t="s">
        <v>51</v>
      </c>
      <c r="P653" s="156"/>
      <c r="Q653" s="158">
        <v>0</v>
      </c>
      <c r="R653" s="158">
        <v>0</v>
      </c>
      <c r="S653" s="158">
        <v>2493154.93</v>
      </c>
      <c r="T653" s="158">
        <f t="shared" si="123"/>
        <v>199452.3944</v>
      </c>
      <c r="U653" s="158">
        <f t="shared" si="127"/>
        <v>2692607.3244</v>
      </c>
      <c r="V653" s="158">
        <v>0</v>
      </c>
      <c r="W653" s="158">
        <f t="shared" si="128"/>
        <v>2692607.3244</v>
      </c>
      <c r="X653" s="158">
        <f t="shared" si="124"/>
        <v>2493154.93</v>
      </c>
      <c r="Y653" s="158">
        <f t="shared" si="129"/>
        <v>199452.3944</v>
      </c>
      <c r="Z653" s="158">
        <v>2612169.75</v>
      </c>
      <c r="AA653" s="158">
        <f t="shared" si="125"/>
        <v>-2612169.75</v>
      </c>
      <c r="AB653" s="167">
        <f t="shared" si="131"/>
        <v>2418675.69444444</v>
      </c>
      <c r="AC653" s="168">
        <f t="shared" si="126"/>
        <v>193494.055555556</v>
      </c>
      <c r="AD653" s="158">
        <f t="shared" si="130"/>
        <v>2560650.84310332</v>
      </c>
      <c r="AE653" s="159">
        <v>0.3156</v>
      </c>
      <c r="AF653" s="158">
        <f t="shared" si="122"/>
        <v>808141.406083409</v>
      </c>
      <c r="AG653" s="158">
        <v>630906.717544444</v>
      </c>
      <c r="AH653" s="175"/>
      <c r="AI653" s="175"/>
      <c r="AJ653" s="156" t="s">
        <v>53</v>
      </c>
      <c r="AK653" s="140" t="s">
        <v>53</v>
      </c>
      <c r="AM653" s="152"/>
    </row>
    <row r="654" s="140" customFormat="1" ht="15" hidden="1" customHeight="1" spans="1:39">
      <c r="A654" s="140">
        <v>2017</v>
      </c>
      <c r="B654" s="140" t="s">
        <v>38</v>
      </c>
      <c r="C654" s="140" t="s">
        <v>59</v>
      </c>
      <c r="D654" s="140" t="s">
        <v>210</v>
      </c>
      <c r="E654" s="140" t="s">
        <v>67</v>
      </c>
      <c r="F654" s="140" t="s">
        <v>772</v>
      </c>
      <c r="G654" s="140" t="s">
        <v>772</v>
      </c>
      <c r="H654" s="140" t="s">
        <v>772</v>
      </c>
      <c r="I654" s="184" t="s">
        <v>204</v>
      </c>
      <c r="J654" s="140" t="s">
        <v>577</v>
      </c>
      <c r="K654" s="140" t="s">
        <v>578</v>
      </c>
      <c r="L654" s="140" t="s">
        <v>772</v>
      </c>
      <c r="M654" s="140" t="s">
        <v>185</v>
      </c>
      <c r="N654" s="157">
        <v>0.15</v>
      </c>
      <c r="O654" s="156" t="s">
        <v>51</v>
      </c>
      <c r="P654" s="156"/>
      <c r="Q654" s="158">
        <v>0</v>
      </c>
      <c r="R654" s="158">
        <v>0</v>
      </c>
      <c r="S654" s="158">
        <v>1656.8</v>
      </c>
      <c r="T654" s="158">
        <f t="shared" si="123"/>
        <v>248.52</v>
      </c>
      <c r="U654" s="158">
        <f t="shared" si="127"/>
        <v>1905.32</v>
      </c>
      <c r="V654" s="158">
        <v>0</v>
      </c>
      <c r="W654" s="158">
        <f t="shared" si="128"/>
        <v>1905.32</v>
      </c>
      <c r="X654" s="158">
        <f t="shared" si="124"/>
        <v>1656.8</v>
      </c>
      <c r="Y654" s="158">
        <f t="shared" si="129"/>
        <v>248.52</v>
      </c>
      <c r="Z654" s="158">
        <v>1656.8</v>
      </c>
      <c r="AA654" s="158">
        <f t="shared" si="125"/>
        <v>-1656.8</v>
      </c>
      <c r="AB654" s="167">
        <f t="shared" si="131"/>
        <v>1440.69565217391</v>
      </c>
      <c r="AC654" s="168">
        <f t="shared" si="126"/>
        <v>216.104347826087</v>
      </c>
      <c r="AD654" s="158">
        <f t="shared" si="130"/>
        <v>1624.12351527062</v>
      </c>
      <c r="AE654" s="159">
        <v>0.3156</v>
      </c>
      <c r="AF654" s="158">
        <f t="shared" si="122"/>
        <v>512.573381419409</v>
      </c>
      <c r="AG654" s="158">
        <v>306.781732173913</v>
      </c>
      <c r="AH654" s="175"/>
      <c r="AI654" s="175"/>
      <c r="AJ654" s="156" t="s">
        <v>664</v>
      </c>
      <c r="AK654" s="140" t="s">
        <v>664</v>
      </c>
      <c r="AM654" s="152"/>
    </row>
    <row r="655" s="140" customFormat="1" ht="15" hidden="1" customHeight="1" spans="1:39">
      <c r="A655" s="140">
        <v>2017</v>
      </c>
      <c r="B655" s="140" t="s">
        <v>38</v>
      </c>
      <c r="C655" s="140" t="s">
        <v>59</v>
      </c>
      <c r="D655" s="140" t="s">
        <v>210</v>
      </c>
      <c r="E655" s="140" t="s">
        <v>67</v>
      </c>
      <c r="F655" s="140" t="s">
        <v>772</v>
      </c>
      <c r="G655" s="140" t="s">
        <v>772</v>
      </c>
      <c r="H655" s="140" t="s">
        <v>772</v>
      </c>
      <c r="I655" s="184" t="s">
        <v>204</v>
      </c>
      <c r="J655" s="140" t="s">
        <v>577</v>
      </c>
      <c r="K655" s="140" t="s">
        <v>578</v>
      </c>
      <c r="L655" s="140" t="s">
        <v>772</v>
      </c>
      <c r="M655" s="140" t="s">
        <v>46</v>
      </c>
      <c r="N655" s="156">
        <v>0.05</v>
      </c>
      <c r="O655" s="156" t="s">
        <v>51</v>
      </c>
      <c r="P655" s="156" t="s">
        <v>440</v>
      </c>
      <c r="Q655" s="158">
        <v>0</v>
      </c>
      <c r="R655" s="158">
        <v>0</v>
      </c>
      <c r="S655" s="158">
        <v>254915.77</v>
      </c>
      <c r="T655" s="158">
        <f t="shared" si="123"/>
        <v>12745.7885</v>
      </c>
      <c r="U655" s="158">
        <f t="shared" si="127"/>
        <v>267661.5585</v>
      </c>
      <c r="V655" s="158">
        <v>264592.59</v>
      </c>
      <c r="W655" s="158">
        <f t="shared" si="128"/>
        <v>3068.96849999996</v>
      </c>
      <c r="X655" s="158">
        <f t="shared" si="124"/>
        <v>2922.8271428571</v>
      </c>
      <c r="Y655" s="158">
        <f t="shared" si="129"/>
        <v>146.141357142855</v>
      </c>
      <c r="Z655" s="158">
        <f>272773.37-Z1171</f>
        <v>52773.37</v>
      </c>
      <c r="AA655" s="158">
        <f t="shared" si="125"/>
        <v>211819.22</v>
      </c>
      <c r="AB655" s="167">
        <f t="shared" si="131"/>
        <v>50260.3523809524</v>
      </c>
      <c r="AC655" s="168">
        <f t="shared" si="126"/>
        <v>2513.01761904762</v>
      </c>
      <c r="AD655" s="158">
        <f t="shared" si="130"/>
        <v>51732.5393512055</v>
      </c>
      <c r="AE655" s="159">
        <v>0.1077</v>
      </c>
      <c r="AF655" s="158">
        <f t="shared" si="122"/>
        <v>5571.59448812483</v>
      </c>
      <c r="AG655" s="158">
        <v>16388.4838537619</v>
      </c>
      <c r="AH655" s="175"/>
      <c r="AI655" s="175"/>
      <c r="AJ655" s="156" t="s">
        <v>63</v>
      </c>
      <c r="AK655" s="140" t="s">
        <v>63</v>
      </c>
      <c r="AM655" s="152"/>
    </row>
    <row r="656" s="140" customFormat="1" ht="15" hidden="1" customHeight="1" spans="1:39">
      <c r="A656" s="140">
        <v>2017</v>
      </c>
      <c r="B656" s="140" t="s">
        <v>38</v>
      </c>
      <c r="C656" s="140" t="s">
        <v>59</v>
      </c>
      <c r="D656" s="140" t="s">
        <v>210</v>
      </c>
      <c r="E656" s="140" t="s">
        <v>131</v>
      </c>
      <c r="F656" s="140" t="s">
        <v>773</v>
      </c>
      <c r="G656" s="140" t="s">
        <v>773</v>
      </c>
      <c r="H656" s="140" t="s">
        <v>773</v>
      </c>
      <c r="I656" s="184" t="s">
        <v>204</v>
      </c>
      <c r="J656" s="140" t="s">
        <v>577</v>
      </c>
      <c r="K656" s="140" t="s">
        <v>578</v>
      </c>
      <c r="L656" s="140" t="s">
        <v>773</v>
      </c>
      <c r="M656" s="140" t="s">
        <v>46</v>
      </c>
      <c r="N656" s="157">
        <v>0.02</v>
      </c>
      <c r="O656" s="156" t="s">
        <v>51</v>
      </c>
      <c r="P656" s="156"/>
      <c r="Q656" s="158">
        <v>24237.28</v>
      </c>
      <c r="R656" s="158">
        <v>0</v>
      </c>
      <c r="S656" s="158">
        <v>1248093.92</v>
      </c>
      <c r="T656" s="158">
        <f t="shared" si="123"/>
        <v>24961.8784</v>
      </c>
      <c r="U656" s="158">
        <f t="shared" si="127"/>
        <v>1273055.7984</v>
      </c>
      <c r="V656" s="158">
        <v>2428658.3</v>
      </c>
      <c r="W656" s="158">
        <f t="shared" si="128"/>
        <v>-1155602.5016</v>
      </c>
      <c r="X656" s="158">
        <f t="shared" si="124"/>
        <v>-1132943.62901961</v>
      </c>
      <c r="Y656" s="158">
        <f t="shared" si="129"/>
        <v>-22658.8725803923</v>
      </c>
      <c r="Z656" s="158">
        <v>1276877.18</v>
      </c>
      <c r="AA656" s="158">
        <f t="shared" si="125"/>
        <v>1176018.4</v>
      </c>
      <c r="AB656" s="167">
        <f>IF(O656="返货",(Z656-Q656)/(1+N656),IF(O656="返现",(Z656-Q656),IF(O656="折扣",(Z656-Q656)*N656,IF(O656="无",(Z656-Q656)))))</f>
        <v>1228078.33333333</v>
      </c>
      <c r="AC656" s="168">
        <f t="shared" si="126"/>
        <v>48798.8466666667</v>
      </c>
      <c r="AD656" s="158">
        <f t="shared" si="130"/>
        <v>1251693.77966589</v>
      </c>
      <c r="AE656" s="159">
        <v>0.1077</v>
      </c>
      <c r="AF656" s="158">
        <f t="shared" si="122"/>
        <v>134807.420070016</v>
      </c>
      <c r="AG656" s="158">
        <v>112482.86483502</v>
      </c>
      <c r="AH656" s="175"/>
      <c r="AI656" s="175"/>
      <c r="AJ656" s="156" t="s">
        <v>173</v>
      </c>
      <c r="AK656" s="140" t="s">
        <v>173</v>
      </c>
      <c r="AM656" s="152"/>
    </row>
    <row r="657" s="140" customFormat="1" ht="15" hidden="1" customHeight="1" spans="1:39">
      <c r="A657" s="140">
        <v>2017</v>
      </c>
      <c r="B657" s="140" t="s">
        <v>38</v>
      </c>
      <c r="C657" s="140" t="s">
        <v>59</v>
      </c>
      <c r="D657" s="140" t="s">
        <v>210</v>
      </c>
      <c r="E657" s="140" t="s">
        <v>131</v>
      </c>
      <c r="F657" s="140" t="s">
        <v>773</v>
      </c>
      <c r="G657" s="140" t="s">
        <v>773</v>
      </c>
      <c r="H657" s="140" t="s">
        <v>773</v>
      </c>
      <c r="I657" s="184" t="s">
        <v>204</v>
      </c>
      <c r="J657" s="140" t="s">
        <v>577</v>
      </c>
      <c r="K657" s="140" t="s">
        <v>578</v>
      </c>
      <c r="L657" s="140" t="s">
        <v>773</v>
      </c>
      <c r="M657" s="140" t="s">
        <v>185</v>
      </c>
      <c r="N657" s="157">
        <v>0.08</v>
      </c>
      <c r="O657" s="156" t="s">
        <v>51</v>
      </c>
      <c r="P657" s="156"/>
      <c r="Q657" s="158">
        <v>7520.97</v>
      </c>
      <c r="R657" s="158">
        <v>0</v>
      </c>
      <c r="S657" s="158">
        <v>1171906.08</v>
      </c>
      <c r="T657" s="158">
        <f t="shared" si="123"/>
        <v>93752.4864</v>
      </c>
      <c r="U657" s="158">
        <f t="shared" si="127"/>
        <v>1265658.5664</v>
      </c>
      <c r="V657" s="158">
        <v>0</v>
      </c>
      <c r="W657" s="158">
        <f t="shared" si="128"/>
        <v>1265658.5664</v>
      </c>
      <c r="X657" s="158">
        <f t="shared" si="124"/>
        <v>1171906.08</v>
      </c>
      <c r="Y657" s="158">
        <f t="shared" si="129"/>
        <v>93752.4864000001</v>
      </c>
      <c r="Z657" s="158">
        <v>1183552</v>
      </c>
      <c r="AA657" s="158">
        <f t="shared" si="125"/>
        <v>-1176031.03</v>
      </c>
      <c r="AB657" s="167">
        <f>IF(O657="返货",(Z657-Q657)/(1+N657),IF(O657="返现",(Z657-Q657),IF(O657="折扣",(Z657-Q657)*N657,IF(O657="无",(Z657-Q657)))))</f>
        <v>1088917.62037037</v>
      </c>
      <c r="AC657" s="168">
        <f t="shared" si="126"/>
        <v>94634.3796296297</v>
      </c>
      <c r="AD657" s="158">
        <f t="shared" si="130"/>
        <v>1160209.21942635</v>
      </c>
      <c r="AE657" s="159">
        <v>0.3156</v>
      </c>
      <c r="AF657" s="158">
        <f t="shared" si="122"/>
        <v>366162.029650956</v>
      </c>
      <c r="AG657" s="158">
        <v>285858.492681481</v>
      </c>
      <c r="AH657" s="175"/>
      <c r="AI657" s="175"/>
      <c r="AJ657" s="156" t="s">
        <v>53</v>
      </c>
      <c r="AK657" s="140" t="s">
        <v>53</v>
      </c>
      <c r="AM657" s="152"/>
    </row>
    <row r="658" s="140" customFormat="1" ht="15" hidden="1" customHeight="1" spans="1:39">
      <c r="A658" s="140">
        <v>2017</v>
      </c>
      <c r="B658" s="140" t="s">
        <v>38</v>
      </c>
      <c r="C658" s="140" t="s">
        <v>59</v>
      </c>
      <c r="D658" s="140" t="s">
        <v>210</v>
      </c>
      <c r="E658" s="140" t="s">
        <v>131</v>
      </c>
      <c r="F658" s="140" t="s">
        <v>773</v>
      </c>
      <c r="G658" s="140" t="s">
        <v>773</v>
      </c>
      <c r="H658" s="140" t="s">
        <v>773</v>
      </c>
      <c r="I658" s="184" t="s">
        <v>204</v>
      </c>
      <c r="J658" s="140" t="s">
        <v>577</v>
      </c>
      <c r="K658" s="140" t="s">
        <v>578</v>
      </c>
      <c r="L658" s="140" t="s">
        <v>773</v>
      </c>
      <c r="M658" s="140" t="s">
        <v>597</v>
      </c>
      <c r="N658" s="157">
        <v>0</v>
      </c>
      <c r="O658" s="156" t="s">
        <v>47</v>
      </c>
      <c r="P658" s="156"/>
      <c r="Q658" s="158">
        <v>0</v>
      </c>
      <c r="R658" s="158">
        <v>0</v>
      </c>
      <c r="S658" s="158">
        <v>46158</v>
      </c>
      <c r="T658" s="158">
        <f t="shared" si="123"/>
        <v>0</v>
      </c>
      <c r="U658" s="158">
        <f t="shared" si="127"/>
        <v>46158</v>
      </c>
      <c r="V658" s="158">
        <v>46158</v>
      </c>
      <c r="W658" s="158">
        <f t="shared" si="128"/>
        <v>0</v>
      </c>
      <c r="X658" s="158">
        <f t="shared" si="124"/>
        <v>0</v>
      </c>
      <c r="Y658" s="158">
        <f t="shared" si="129"/>
        <v>0</v>
      </c>
      <c r="Z658" s="158">
        <v>46158</v>
      </c>
      <c r="AA658" s="158">
        <f t="shared" si="125"/>
        <v>0</v>
      </c>
      <c r="AB658" s="167">
        <f t="shared" ref="AB658:AB669" si="132">IF(O658="返货",Z658/(1+N658),IF(O658="返现",Z658,IF(O658="折扣",Z658*N658,IF(O658="无",Z658))))</f>
        <v>46158</v>
      </c>
      <c r="AC658" s="168">
        <f t="shared" si="126"/>
        <v>0</v>
      </c>
      <c r="AD658" s="158">
        <f t="shared" si="130"/>
        <v>45247.6419711863</v>
      </c>
      <c r="AE658" s="159">
        <v>0.3534</v>
      </c>
      <c r="AF658" s="158">
        <f t="shared" si="122"/>
        <v>15990.5166726172</v>
      </c>
      <c r="AG658" s="158">
        <v>4345.34831111111</v>
      </c>
      <c r="AH658" s="175"/>
      <c r="AI658" s="175"/>
      <c r="AJ658" s="157">
        <v>0.35</v>
      </c>
      <c r="AK658" s="177">
        <v>0.35</v>
      </c>
      <c r="AM658" s="152"/>
    </row>
    <row r="659" s="140" customFormat="1" ht="15" hidden="1" customHeight="1" spans="1:39">
      <c r="A659" s="140">
        <v>2017</v>
      </c>
      <c r="B659" s="140" t="s">
        <v>38</v>
      </c>
      <c r="C659" s="140" t="s">
        <v>59</v>
      </c>
      <c r="D659" s="140" t="s">
        <v>210</v>
      </c>
      <c r="E659" s="140" t="s">
        <v>131</v>
      </c>
      <c r="F659" s="140" t="s">
        <v>774</v>
      </c>
      <c r="G659" s="140" t="s">
        <v>774</v>
      </c>
      <c r="H659" s="140" t="s">
        <v>774</v>
      </c>
      <c r="I659" s="184" t="s">
        <v>204</v>
      </c>
      <c r="J659" s="140" t="s">
        <v>577</v>
      </c>
      <c r="K659" s="140" t="s">
        <v>578</v>
      </c>
      <c r="L659" s="140" t="s">
        <v>774</v>
      </c>
      <c r="M659" s="140" t="s">
        <v>46</v>
      </c>
      <c r="N659" s="157">
        <v>0.02</v>
      </c>
      <c r="O659" s="156" t="s">
        <v>51</v>
      </c>
      <c r="P659" s="156"/>
      <c r="Q659" s="158">
        <v>0</v>
      </c>
      <c r="R659" s="158">
        <v>0</v>
      </c>
      <c r="S659" s="158">
        <v>20000</v>
      </c>
      <c r="T659" s="158">
        <f t="shared" si="123"/>
        <v>400</v>
      </c>
      <c r="U659" s="158">
        <f t="shared" si="127"/>
        <v>20400</v>
      </c>
      <c r="V659" s="158">
        <v>20400</v>
      </c>
      <c r="W659" s="158">
        <f t="shared" si="128"/>
        <v>0</v>
      </c>
      <c r="X659" s="158">
        <f t="shared" si="124"/>
        <v>0</v>
      </c>
      <c r="Y659" s="158">
        <f t="shared" si="129"/>
        <v>0</v>
      </c>
      <c r="Z659" s="158">
        <v>20400</v>
      </c>
      <c r="AA659" s="158">
        <f t="shared" si="125"/>
        <v>0</v>
      </c>
      <c r="AB659" s="167">
        <f t="shared" si="132"/>
        <v>20000</v>
      </c>
      <c r="AC659" s="168">
        <f t="shared" si="126"/>
        <v>400</v>
      </c>
      <c r="AD659" s="158">
        <f t="shared" si="130"/>
        <v>19997.6579620477</v>
      </c>
      <c r="AE659" s="159">
        <v>0.1077</v>
      </c>
      <c r="AF659" s="158">
        <f t="shared" si="122"/>
        <v>2153.74776251254</v>
      </c>
      <c r="AG659" s="158">
        <v>1797.08</v>
      </c>
      <c r="AH659" s="175"/>
      <c r="AI659" s="175"/>
      <c r="AJ659" s="156" t="s">
        <v>173</v>
      </c>
      <c r="AK659" s="140" t="s">
        <v>173</v>
      </c>
      <c r="AM659" s="152"/>
    </row>
    <row r="660" s="140" customFormat="1" ht="15" hidden="1" customHeight="1" spans="1:39">
      <c r="A660" s="140">
        <v>2017</v>
      </c>
      <c r="B660" s="140" t="s">
        <v>38</v>
      </c>
      <c r="C660" s="140" t="s">
        <v>59</v>
      </c>
      <c r="D660" s="140" t="s">
        <v>210</v>
      </c>
      <c r="E660" s="140" t="s">
        <v>131</v>
      </c>
      <c r="F660" s="140" t="s">
        <v>775</v>
      </c>
      <c r="G660" s="140" t="s">
        <v>775</v>
      </c>
      <c r="H660" s="140" t="s">
        <v>775</v>
      </c>
      <c r="I660" s="184" t="s">
        <v>204</v>
      </c>
      <c r="J660" s="140" t="s">
        <v>577</v>
      </c>
      <c r="K660" s="140" t="s">
        <v>578</v>
      </c>
      <c r="L660" s="140" t="s">
        <v>776</v>
      </c>
      <c r="M660" s="140" t="s">
        <v>46</v>
      </c>
      <c r="N660" s="157">
        <v>0.02</v>
      </c>
      <c r="O660" s="156" t="s">
        <v>51</v>
      </c>
      <c r="P660" s="156"/>
      <c r="Q660" s="158">
        <v>0</v>
      </c>
      <c r="R660" s="158">
        <v>0</v>
      </c>
      <c r="S660" s="158">
        <v>705000</v>
      </c>
      <c r="T660" s="158">
        <f t="shared" si="123"/>
        <v>14100</v>
      </c>
      <c r="U660" s="158">
        <f t="shared" si="127"/>
        <v>719100</v>
      </c>
      <c r="V660" s="158">
        <v>719100</v>
      </c>
      <c r="W660" s="158">
        <f t="shared" si="128"/>
        <v>0</v>
      </c>
      <c r="X660" s="158">
        <f t="shared" si="124"/>
        <v>0</v>
      </c>
      <c r="Y660" s="158">
        <f t="shared" si="129"/>
        <v>0</v>
      </c>
      <c r="Z660" s="158">
        <v>719100</v>
      </c>
      <c r="AA660" s="158">
        <f t="shared" si="125"/>
        <v>0</v>
      </c>
      <c r="AB660" s="167">
        <f t="shared" si="132"/>
        <v>705000</v>
      </c>
      <c r="AC660" s="168">
        <f t="shared" si="126"/>
        <v>14100</v>
      </c>
      <c r="AD660" s="158">
        <f t="shared" si="130"/>
        <v>704917.443162183</v>
      </c>
      <c r="AE660" s="159">
        <v>0.1077</v>
      </c>
      <c r="AF660" s="158">
        <f t="shared" si="122"/>
        <v>75919.6086285671</v>
      </c>
      <c r="AG660" s="158">
        <v>63347.07</v>
      </c>
      <c r="AH660" s="175"/>
      <c r="AI660" s="175"/>
      <c r="AJ660" s="156" t="s">
        <v>173</v>
      </c>
      <c r="AK660" s="140" t="s">
        <v>173</v>
      </c>
      <c r="AM660" s="152"/>
    </row>
    <row r="661" s="140" customFormat="1" ht="15" hidden="1" customHeight="1" spans="1:39">
      <c r="A661" s="140">
        <v>2017</v>
      </c>
      <c r="B661" s="140" t="s">
        <v>38</v>
      </c>
      <c r="C661" s="140" t="s">
        <v>59</v>
      </c>
      <c r="D661" s="140" t="s">
        <v>210</v>
      </c>
      <c r="E661" s="140" t="s">
        <v>131</v>
      </c>
      <c r="F661" s="140" t="s">
        <v>777</v>
      </c>
      <c r="G661" s="140" t="s">
        <v>777</v>
      </c>
      <c r="H661" s="140" t="s">
        <v>777</v>
      </c>
      <c r="I661" s="184" t="s">
        <v>204</v>
      </c>
      <c r="J661" s="140" t="s">
        <v>626</v>
      </c>
      <c r="K661" s="140" t="s">
        <v>627</v>
      </c>
      <c r="L661" s="140" t="s">
        <v>777</v>
      </c>
      <c r="M661" s="140" t="s">
        <v>46</v>
      </c>
      <c r="N661" s="157">
        <v>0.02</v>
      </c>
      <c r="O661" s="156" t="s">
        <v>51</v>
      </c>
      <c r="P661" s="156"/>
      <c r="Q661" s="158">
        <v>0</v>
      </c>
      <c r="R661" s="158">
        <v>0</v>
      </c>
      <c r="S661" s="158">
        <v>10000</v>
      </c>
      <c r="T661" s="158">
        <f t="shared" si="123"/>
        <v>200</v>
      </c>
      <c r="U661" s="158">
        <f t="shared" si="127"/>
        <v>10200</v>
      </c>
      <c r="V661" s="158">
        <v>0</v>
      </c>
      <c r="W661" s="158">
        <f t="shared" si="128"/>
        <v>10200</v>
      </c>
      <c r="X661" s="158">
        <f t="shared" si="124"/>
        <v>10000</v>
      </c>
      <c r="Y661" s="158">
        <f t="shared" si="129"/>
        <v>200</v>
      </c>
      <c r="Z661" s="158">
        <v>0</v>
      </c>
      <c r="AA661" s="158">
        <f t="shared" si="125"/>
        <v>0</v>
      </c>
      <c r="AB661" s="167">
        <f t="shared" si="132"/>
        <v>0</v>
      </c>
      <c r="AC661" s="168">
        <f t="shared" si="126"/>
        <v>0</v>
      </c>
      <c r="AD661" s="158">
        <f>Z661*0.905731236248844</f>
        <v>0</v>
      </c>
      <c r="AE661" s="159">
        <v>0.07</v>
      </c>
      <c r="AF661" s="158">
        <f t="shared" si="122"/>
        <v>0</v>
      </c>
      <c r="AG661" s="158">
        <v>0</v>
      </c>
      <c r="AH661" s="175"/>
      <c r="AI661" s="175"/>
      <c r="AJ661" s="156" t="s">
        <v>173</v>
      </c>
      <c r="AK661" s="140" t="s">
        <v>173</v>
      </c>
      <c r="AM661" s="152"/>
    </row>
    <row r="662" s="140" customFormat="1" ht="15" hidden="1" customHeight="1" spans="1:39">
      <c r="A662" s="140">
        <v>2017</v>
      </c>
      <c r="B662" s="140" t="s">
        <v>38</v>
      </c>
      <c r="C662" s="140" t="s">
        <v>59</v>
      </c>
      <c r="D662" s="140" t="s">
        <v>210</v>
      </c>
      <c r="E662" s="140" t="s">
        <v>131</v>
      </c>
      <c r="F662" s="140" t="s">
        <v>777</v>
      </c>
      <c r="G662" s="140" t="s">
        <v>777</v>
      </c>
      <c r="H662" s="140" t="s">
        <v>777</v>
      </c>
      <c r="I662" s="184" t="s">
        <v>204</v>
      </c>
      <c r="J662" s="140" t="s">
        <v>605</v>
      </c>
      <c r="K662" s="140" t="s">
        <v>641</v>
      </c>
      <c r="L662" s="140" t="s">
        <v>777</v>
      </c>
      <c r="M662" s="140" t="s">
        <v>46</v>
      </c>
      <c r="N662" s="157">
        <v>0.02</v>
      </c>
      <c r="O662" s="156" t="s">
        <v>51</v>
      </c>
      <c r="P662" s="156"/>
      <c r="Q662" s="158">
        <v>0</v>
      </c>
      <c r="R662" s="158">
        <v>0</v>
      </c>
      <c r="S662" s="158">
        <v>6988</v>
      </c>
      <c r="T662" s="158">
        <f t="shared" si="123"/>
        <v>139.76</v>
      </c>
      <c r="U662" s="158">
        <f t="shared" si="127"/>
        <v>7127.76</v>
      </c>
      <c r="V662" s="158">
        <v>30000</v>
      </c>
      <c r="W662" s="158">
        <f t="shared" si="128"/>
        <v>-22872.24</v>
      </c>
      <c r="X662" s="158">
        <f t="shared" si="124"/>
        <v>-22423.7647058823</v>
      </c>
      <c r="Y662" s="158">
        <f t="shared" si="129"/>
        <v>-448.475294117648</v>
      </c>
      <c r="Z662" s="158">
        <v>16988</v>
      </c>
      <c r="AA662" s="158">
        <f t="shared" si="125"/>
        <v>13012</v>
      </c>
      <c r="AB662" s="167">
        <f t="shared" si="132"/>
        <v>16654.9019607843</v>
      </c>
      <c r="AC662" s="168">
        <f t="shared" si="126"/>
        <v>333.098039215685</v>
      </c>
      <c r="AD662" s="158">
        <v>16988</v>
      </c>
      <c r="AE662" s="159">
        <v>0.07</v>
      </c>
      <c r="AF662" s="158">
        <f t="shared" si="122"/>
        <v>1189.16</v>
      </c>
      <c r="AG662" s="158">
        <v>856.061960784315</v>
      </c>
      <c r="AH662" s="175"/>
      <c r="AI662" s="175"/>
      <c r="AJ662" s="156" t="s">
        <v>173</v>
      </c>
      <c r="AK662" s="140" t="s">
        <v>173</v>
      </c>
      <c r="AM662" s="152"/>
    </row>
    <row r="663" s="140" customFormat="1" ht="15" hidden="1" customHeight="1" spans="1:39">
      <c r="A663" s="140">
        <v>2017</v>
      </c>
      <c r="B663" s="140" t="s">
        <v>38</v>
      </c>
      <c r="C663" s="140" t="s">
        <v>54</v>
      </c>
      <c r="D663" s="140" t="s">
        <v>55</v>
      </c>
      <c r="E663" s="140" t="s">
        <v>56</v>
      </c>
      <c r="F663" s="140" t="s">
        <v>778</v>
      </c>
      <c r="G663" s="140" t="s">
        <v>778</v>
      </c>
      <c r="H663" s="140" t="s">
        <v>778</v>
      </c>
      <c r="I663" s="184" t="s">
        <v>204</v>
      </c>
      <c r="J663" s="140" t="s">
        <v>577</v>
      </c>
      <c r="K663" s="140" t="s">
        <v>578</v>
      </c>
      <c r="L663" s="140" t="s">
        <v>778</v>
      </c>
      <c r="M663" s="140" t="s">
        <v>46</v>
      </c>
      <c r="N663" s="157">
        <v>0.02</v>
      </c>
      <c r="O663" s="156" t="s">
        <v>51</v>
      </c>
      <c r="P663" s="156"/>
      <c r="Q663" s="158">
        <v>0</v>
      </c>
      <c r="R663" s="158">
        <v>0</v>
      </c>
      <c r="S663" s="158">
        <v>10000</v>
      </c>
      <c r="T663" s="158">
        <f t="shared" si="123"/>
        <v>200</v>
      </c>
      <c r="U663" s="158">
        <f t="shared" si="127"/>
        <v>10200</v>
      </c>
      <c r="V663" s="158">
        <v>10000</v>
      </c>
      <c r="W663" s="158">
        <f t="shared" si="128"/>
        <v>200</v>
      </c>
      <c r="X663" s="158">
        <f t="shared" si="124"/>
        <v>196.078431372549</v>
      </c>
      <c r="Y663" s="158">
        <f t="shared" si="129"/>
        <v>3.92156862745099</v>
      </c>
      <c r="Z663" s="158">
        <v>10000</v>
      </c>
      <c r="AA663" s="158">
        <f t="shared" si="125"/>
        <v>0</v>
      </c>
      <c r="AB663" s="167">
        <f t="shared" si="132"/>
        <v>9803.92156862745</v>
      </c>
      <c r="AC663" s="168">
        <f t="shared" si="126"/>
        <v>196.078431372549</v>
      </c>
      <c r="AD663" s="158">
        <f t="shared" ref="AD663:AD681" si="133">Z663*0.980277351080772</f>
        <v>9802.77351080772</v>
      </c>
      <c r="AE663" s="159">
        <v>0.1077</v>
      </c>
      <c r="AF663" s="158">
        <f t="shared" si="122"/>
        <v>1055.75870711399</v>
      </c>
      <c r="AG663" s="158">
        <v>880.921568627451</v>
      </c>
      <c r="AH663" s="175"/>
      <c r="AI663" s="175"/>
      <c r="AJ663" s="156" t="s">
        <v>173</v>
      </c>
      <c r="AK663" s="140" t="s">
        <v>173</v>
      </c>
      <c r="AM663" s="152"/>
    </row>
    <row r="664" s="140" customFormat="1" ht="15" hidden="1" customHeight="1" spans="1:39">
      <c r="A664" s="140">
        <v>2017</v>
      </c>
      <c r="B664" s="140" t="s">
        <v>38</v>
      </c>
      <c r="C664" s="140" t="s">
        <v>54</v>
      </c>
      <c r="D664" s="140" t="s">
        <v>55</v>
      </c>
      <c r="E664" s="140" t="s">
        <v>115</v>
      </c>
      <c r="F664" s="140" t="s">
        <v>779</v>
      </c>
      <c r="G664" s="140" t="s">
        <v>779</v>
      </c>
      <c r="H664" s="140" t="s">
        <v>779</v>
      </c>
      <c r="I664" s="184" t="s">
        <v>204</v>
      </c>
      <c r="J664" s="140" t="s">
        <v>577</v>
      </c>
      <c r="K664" s="140" t="s">
        <v>578</v>
      </c>
      <c r="L664" s="140" t="s">
        <v>780</v>
      </c>
      <c r="M664" s="140" t="s">
        <v>185</v>
      </c>
      <c r="N664" s="157">
        <v>0.15</v>
      </c>
      <c r="O664" s="156" t="s">
        <v>51</v>
      </c>
      <c r="P664" s="156"/>
      <c r="Q664" s="158">
        <v>0</v>
      </c>
      <c r="R664" s="158">
        <v>0</v>
      </c>
      <c r="S664" s="158">
        <v>2386.22</v>
      </c>
      <c r="T664" s="158">
        <f t="shared" si="123"/>
        <v>357.933</v>
      </c>
      <c r="U664" s="158">
        <f t="shared" si="127"/>
        <v>2744.153</v>
      </c>
      <c r="V664" s="158">
        <v>0</v>
      </c>
      <c r="W664" s="158">
        <f t="shared" si="128"/>
        <v>2744.153</v>
      </c>
      <c r="X664" s="158">
        <f t="shared" si="124"/>
        <v>2386.22</v>
      </c>
      <c r="Y664" s="158">
        <f t="shared" si="129"/>
        <v>357.933</v>
      </c>
      <c r="Z664" s="158">
        <v>2505.53</v>
      </c>
      <c r="AA664" s="158">
        <f t="shared" si="125"/>
        <v>-2505.53</v>
      </c>
      <c r="AB664" s="167">
        <f t="shared" si="132"/>
        <v>2178.72173913044</v>
      </c>
      <c r="AC664" s="168">
        <f t="shared" si="126"/>
        <v>326.808260869565</v>
      </c>
      <c r="AD664" s="158">
        <f t="shared" si="133"/>
        <v>2456.11431145341</v>
      </c>
      <c r="AE664" s="159">
        <v>0.3156</v>
      </c>
      <c r="AF664" s="158">
        <f t="shared" si="122"/>
        <v>775.149676694695</v>
      </c>
      <c r="AG664" s="158">
        <v>463.937007130435</v>
      </c>
      <c r="AH664" s="175"/>
      <c r="AI664" s="175"/>
      <c r="AJ664" s="156" t="s">
        <v>664</v>
      </c>
      <c r="AK664" s="140" t="s">
        <v>664</v>
      </c>
      <c r="AM664" s="152"/>
    </row>
    <row r="665" s="140" customFormat="1" ht="15" hidden="1" customHeight="1" spans="1:39">
      <c r="A665" s="140">
        <v>2017</v>
      </c>
      <c r="B665" s="140" t="s">
        <v>38</v>
      </c>
      <c r="C665" s="140" t="s">
        <v>54</v>
      </c>
      <c r="D665" s="140" t="s">
        <v>55</v>
      </c>
      <c r="E665" s="140" t="s">
        <v>115</v>
      </c>
      <c r="F665" s="140" t="s">
        <v>779</v>
      </c>
      <c r="G665" s="140" t="s">
        <v>779</v>
      </c>
      <c r="H665" s="140" t="s">
        <v>779</v>
      </c>
      <c r="I665" s="184" t="s">
        <v>204</v>
      </c>
      <c r="J665" s="140" t="s">
        <v>577</v>
      </c>
      <c r="K665" s="140" t="s">
        <v>578</v>
      </c>
      <c r="L665" s="140" t="s">
        <v>780</v>
      </c>
      <c r="M665" s="140" t="s">
        <v>46</v>
      </c>
      <c r="N665" s="157">
        <v>0.05</v>
      </c>
      <c r="O665" s="156" t="s">
        <v>51</v>
      </c>
      <c r="P665" s="156"/>
      <c r="Q665" s="158">
        <v>0</v>
      </c>
      <c r="R665" s="158">
        <v>0</v>
      </c>
      <c r="S665" s="158">
        <v>3082.17</v>
      </c>
      <c r="T665" s="158">
        <f t="shared" si="123"/>
        <v>154.1085</v>
      </c>
      <c r="U665" s="158">
        <f t="shared" si="127"/>
        <v>3236.2785</v>
      </c>
      <c r="V665" s="158">
        <v>10200</v>
      </c>
      <c r="W665" s="158">
        <f t="shared" si="128"/>
        <v>-6963.7215</v>
      </c>
      <c r="X665" s="158">
        <f t="shared" si="124"/>
        <v>-6632.11571428571</v>
      </c>
      <c r="Y665" s="158">
        <f t="shared" si="129"/>
        <v>-331.605785714286</v>
      </c>
      <c r="Z665" s="158">
        <v>3236.28</v>
      </c>
      <c r="AA665" s="158">
        <f t="shared" si="125"/>
        <v>6963.72</v>
      </c>
      <c r="AB665" s="167">
        <f t="shared" si="132"/>
        <v>3082.17142857143</v>
      </c>
      <c r="AC665" s="168">
        <f t="shared" si="126"/>
        <v>154.108571428571</v>
      </c>
      <c r="AD665" s="158">
        <f t="shared" si="133"/>
        <v>3172.45198575568</v>
      </c>
      <c r="AE665" s="159">
        <v>0.1077</v>
      </c>
      <c r="AF665" s="158">
        <f t="shared" si="122"/>
        <v>341.673078865887</v>
      </c>
      <c r="AG665" s="158">
        <v>194.438784571429</v>
      </c>
      <c r="AH665" s="175"/>
      <c r="AI665" s="175"/>
      <c r="AJ665" s="156" t="s">
        <v>63</v>
      </c>
      <c r="AK665" s="140" t="s">
        <v>63</v>
      </c>
      <c r="AM665" s="152"/>
    </row>
    <row r="666" s="140" customFormat="1" ht="15" hidden="1" customHeight="1" spans="1:39">
      <c r="A666" s="140">
        <v>2017</v>
      </c>
      <c r="B666" s="140" t="s">
        <v>38</v>
      </c>
      <c r="C666" s="140" t="s">
        <v>54</v>
      </c>
      <c r="D666" s="140" t="s">
        <v>55</v>
      </c>
      <c r="E666" s="140" t="s">
        <v>368</v>
      </c>
      <c r="F666" s="140" t="s">
        <v>781</v>
      </c>
      <c r="G666" s="140" t="s">
        <v>781</v>
      </c>
      <c r="H666" s="140" t="s">
        <v>781</v>
      </c>
      <c r="I666" s="184" t="s">
        <v>204</v>
      </c>
      <c r="J666" s="140" t="s">
        <v>577</v>
      </c>
      <c r="K666" s="140" t="s">
        <v>578</v>
      </c>
      <c r="L666" s="140" t="s">
        <v>65</v>
      </c>
      <c r="M666" s="140" t="s">
        <v>46</v>
      </c>
      <c r="N666" s="157">
        <v>0.02</v>
      </c>
      <c r="O666" s="156" t="s">
        <v>51</v>
      </c>
      <c r="P666" s="156"/>
      <c r="Q666" s="158">
        <v>0</v>
      </c>
      <c r="R666" s="158">
        <v>0</v>
      </c>
      <c r="S666" s="158">
        <v>2398519.1</v>
      </c>
      <c r="T666" s="158">
        <f t="shared" si="123"/>
        <v>47970.382</v>
      </c>
      <c r="U666" s="158">
        <f t="shared" si="127"/>
        <v>2446489.482</v>
      </c>
      <c r="V666" s="158">
        <v>0</v>
      </c>
      <c r="W666" s="158">
        <f t="shared" si="128"/>
        <v>2446489.482</v>
      </c>
      <c r="X666" s="158">
        <f t="shared" si="124"/>
        <v>2398519.1</v>
      </c>
      <c r="Y666" s="158">
        <f t="shared" si="129"/>
        <v>47970.3820000002</v>
      </c>
      <c r="Z666" s="158">
        <v>0</v>
      </c>
      <c r="AA666" s="158">
        <f t="shared" si="125"/>
        <v>0</v>
      </c>
      <c r="AB666" s="167">
        <f t="shared" si="132"/>
        <v>0</v>
      </c>
      <c r="AC666" s="168">
        <f t="shared" si="126"/>
        <v>0</v>
      </c>
      <c r="AD666" s="158">
        <f t="shared" si="133"/>
        <v>0</v>
      </c>
      <c r="AE666" s="159">
        <v>0.1077</v>
      </c>
      <c r="AF666" s="158">
        <f t="shared" si="122"/>
        <v>0</v>
      </c>
      <c r="AG666" s="158">
        <v>0</v>
      </c>
      <c r="AH666" s="175"/>
      <c r="AI666" s="175"/>
      <c r="AJ666" s="156" t="s">
        <v>173</v>
      </c>
      <c r="AK666" s="140" t="s">
        <v>173</v>
      </c>
      <c r="AM666" s="152"/>
    </row>
    <row r="667" s="140" customFormat="1" ht="15" hidden="1" customHeight="1" spans="1:39">
      <c r="A667" s="140">
        <v>2017</v>
      </c>
      <c r="B667" s="140" t="s">
        <v>38</v>
      </c>
      <c r="C667" s="140" t="s">
        <v>54</v>
      </c>
      <c r="D667" s="140" t="s">
        <v>55</v>
      </c>
      <c r="E667" s="140" t="s">
        <v>368</v>
      </c>
      <c r="F667" s="140" t="s">
        <v>781</v>
      </c>
      <c r="G667" s="140" t="s">
        <v>781</v>
      </c>
      <c r="H667" s="140" t="s">
        <v>781</v>
      </c>
      <c r="I667" s="184" t="s">
        <v>204</v>
      </c>
      <c r="J667" s="140" t="s">
        <v>577</v>
      </c>
      <c r="K667" s="140" t="s">
        <v>578</v>
      </c>
      <c r="L667" s="140" t="s">
        <v>65</v>
      </c>
      <c r="M667" s="140" t="s">
        <v>185</v>
      </c>
      <c r="N667" s="157">
        <v>0.08</v>
      </c>
      <c r="O667" s="156" t="s">
        <v>51</v>
      </c>
      <c r="P667" s="156"/>
      <c r="Q667" s="158">
        <v>0</v>
      </c>
      <c r="R667" s="158">
        <v>0</v>
      </c>
      <c r="S667" s="158">
        <v>3820894.33</v>
      </c>
      <c r="T667" s="158">
        <f t="shared" si="123"/>
        <v>305671.5464</v>
      </c>
      <c r="U667" s="158">
        <f t="shared" si="127"/>
        <v>4126565.8764</v>
      </c>
      <c r="V667" s="158">
        <v>0</v>
      </c>
      <c r="W667" s="158">
        <f t="shared" si="128"/>
        <v>4126565.8764</v>
      </c>
      <c r="X667" s="158">
        <f t="shared" si="124"/>
        <v>3820894.33</v>
      </c>
      <c r="Y667" s="158">
        <f t="shared" si="129"/>
        <v>305671.5464</v>
      </c>
      <c r="Z667" s="158">
        <v>0</v>
      </c>
      <c r="AA667" s="158">
        <f t="shared" si="125"/>
        <v>0</v>
      </c>
      <c r="AB667" s="167">
        <f t="shared" si="132"/>
        <v>0</v>
      </c>
      <c r="AC667" s="168">
        <f t="shared" si="126"/>
        <v>0</v>
      </c>
      <c r="AD667" s="158">
        <f t="shared" si="133"/>
        <v>0</v>
      </c>
      <c r="AE667" s="159">
        <v>0.3156</v>
      </c>
      <c r="AF667" s="158">
        <f t="shared" si="122"/>
        <v>0</v>
      </c>
      <c r="AG667" s="158">
        <v>0</v>
      </c>
      <c r="AH667" s="175"/>
      <c r="AI667" s="175"/>
      <c r="AJ667" s="156" t="s">
        <v>53</v>
      </c>
      <c r="AK667" s="140" t="s">
        <v>53</v>
      </c>
      <c r="AM667" s="152"/>
    </row>
    <row r="668" s="140" customFormat="1" ht="15" hidden="1" customHeight="1" spans="1:39">
      <c r="A668" s="140">
        <v>2017</v>
      </c>
      <c r="B668" s="140" t="s">
        <v>38</v>
      </c>
      <c r="C668" s="140" t="s">
        <v>54</v>
      </c>
      <c r="D668" s="140" t="s">
        <v>55</v>
      </c>
      <c r="E668" s="140" t="s">
        <v>368</v>
      </c>
      <c r="F668" s="140" t="s">
        <v>782</v>
      </c>
      <c r="G668" s="140" t="s">
        <v>782</v>
      </c>
      <c r="H668" s="140" t="s">
        <v>782</v>
      </c>
      <c r="I668" s="184" t="s">
        <v>204</v>
      </c>
      <c r="J668" s="140" t="s">
        <v>577</v>
      </c>
      <c r="K668" s="140" t="s">
        <v>578</v>
      </c>
      <c r="L668" s="140" t="s">
        <v>783</v>
      </c>
      <c r="M668" s="140" t="s">
        <v>46</v>
      </c>
      <c r="N668" s="157">
        <v>0.02</v>
      </c>
      <c r="O668" s="156" t="s">
        <v>51</v>
      </c>
      <c r="P668" s="156"/>
      <c r="Q668" s="158">
        <v>0</v>
      </c>
      <c r="R668" s="158">
        <v>0</v>
      </c>
      <c r="S668" s="158">
        <v>26618.04</v>
      </c>
      <c r="T668" s="158">
        <f t="shared" si="123"/>
        <v>532.3608</v>
      </c>
      <c r="U668" s="158">
        <f t="shared" si="127"/>
        <v>27150.4008</v>
      </c>
      <c r="V668" s="158">
        <v>81600</v>
      </c>
      <c r="W668" s="158">
        <f t="shared" si="128"/>
        <v>-54449.5992</v>
      </c>
      <c r="X668" s="158">
        <f t="shared" si="124"/>
        <v>-53381.96</v>
      </c>
      <c r="Y668" s="158">
        <f t="shared" si="129"/>
        <v>-1067.6392</v>
      </c>
      <c r="Z668" s="158">
        <v>27150.4</v>
      </c>
      <c r="AA668" s="158">
        <f t="shared" si="125"/>
        <v>54449.6</v>
      </c>
      <c r="AB668" s="167">
        <f t="shared" si="132"/>
        <v>26618.0392156863</v>
      </c>
      <c r="AC668" s="168">
        <f t="shared" si="126"/>
        <v>532.360784313725</v>
      </c>
      <c r="AD668" s="158">
        <f t="shared" si="133"/>
        <v>26614.9221927834</v>
      </c>
      <c r="AE668" s="159">
        <v>0.1077</v>
      </c>
      <c r="AF668" s="158">
        <f t="shared" si="122"/>
        <v>2866.42712016277</v>
      </c>
      <c r="AG668" s="158">
        <v>2391.73729568628</v>
      </c>
      <c r="AH668" s="175"/>
      <c r="AI668" s="175"/>
      <c r="AJ668" s="156" t="s">
        <v>173</v>
      </c>
      <c r="AK668" s="140" t="s">
        <v>173</v>
      </c>
      <c r="AM668" s="152"/>
    </row>
    <row r="669" s="140" customFormat="1" ht="15" hidden="1" customHeight="1" spans="1:39">
      <c r="A669" s="140">
        <v>2017</v>
      </c>
      <c r="B669" s="140" t="s">
        <v>38</v>
      </c>
      <c r="C669" s="140" t="s">
        <v>54</v>
      </c>
      <c r="D669" s="140" t="s">
        <v>55</v>
      </c>
      <c r="E669" s="140" t="s">
        <v>368</v>
      </c>
      <c r="F669" s="140" t="s">
        <v>782</v>
      </c>
      <c r="G669" s="140" t="s">
        <v>782</v>
      </c>
      <c r="H669" s="140" t="s">
        <v>782</v>
      </c>
      <c r="I669" s="184" t="s">
        <v>204</v>
      </c>
      <c r="J669" s="140" t="s">
        <v>577</v>
      </c>
      <c r="K669" s="140" t="s">
        <v>578</v>
      </c>
      <c r="L669" s="140" t="s">
        <v>783</v>
      </c>
      <c r="M669" s="140" t="s">
        <v>185</v>
      </c>
      <c r="N669" s="157">
        <v>0.08</v>
      </c>
      <c r="O669" s="156" t="s">
        <v>51</v>
      </c>
      <c r="P669" s="156"/>
      <c r="Q669" s="158">
        <v>0</v>
      </c>
      <c r="R669" s="158">
        <v>0</v>
      </c>
      <c r="S669" s="158">
        <v>7212.06</v>
      </c>
      <c r="T669" s="158">
        <f t="shared" si="123"/>
        <v>576.9648</v>
      </c>
      <c r="U669" s="158">
        <f t="shared" si="127"/>
        <v>7789.0248</v>
      </c>
      <c r="V669" s="158">
        <v>0</v>
      </c>
      <c r="W669" s="158">
        <f t="shared" si="128"/>
        <v>7789.0248</v>
      </c>
      <c r="X669" s="158">
        <f t="shared" si="124"/>
        <v>7212.06</v>
      </c>
      <c r="Y669" s="158">
        <f t="shared" si="129"/>
        <v>576.964800000001</v>
      </c>
      <c r="Z669" s="158">
        <v>7356.3</v>
      </c>
      <c r="AA669" s="158">
        <f t="shared" si="125"/>
        <v>-7356.3</v>
      </c>
      <c r="AB669" s="167">
        <f t="shared" si="132"/>
        <v>6811.38888888889</v>
      </c>
      <c r="AC669" s="168">
        <f t="shared" si="126"/>
        <v>544.911111111111</v>
      </c>
      <c r="AD669" s="158">
        <f t="shared" si="133"/>
        <v>7211.21427775548</v>
      </c>
      <c r="AE669" s="159">
        <v>0.3156</v>
      </c>
      <c r="AF669" s="158">
        <f t="shared" si="122"/>
        <v>2275.85922605963</v>
      </c>
      <c r="AG669" s="158">
        <v>1776.73716888889</v>
      </c>
      <c r="AH669" s="175"/>
      <c r="AI669" s="175"/>
      <c r="AJ669" s="156" t="s">
        <v>53</v>
      </c>
      <c r="AK669" s="140" t="s">
        <v>53</v>
      </c>
      <c r="AM669" s="152"/>
    </row>
    <row r="670" s="140" customFormat="1" ht="15" hidden="1" customHeight="1" spans="1:39">
      <c r="A670" s="140">
        <v>2017</v>
      </c>
      <c r="B670" s="140" t="s">
        <v>38</v>
      </c>
      <c r="C670" s="140" t="s">
        <v>54</v>
      </c>
      <c r="D670" s="140" t="s">
        <v>55</v>
      </c>
      <c r="E670" s="140" t="s">
        <v>368</v>
      </c>
      <c r="F670" s="140" t="s">
        <v>65</v>
      </c>
      <c r="G670" s="140" t="s">
        <v>65</v>
      </c>
      <c r="H670" s="140" t="s">
        <v>65</v>
      </c>
      <c r="I670" s="184" t="s">
        <v>204</v>
      </c>
      <c r="J670" s="140" t="s">
        <v>577</v>
      </c>
      <c r="K670" s="140" t="s">
        <v>578</v>
      </c>
      <c r="L670" s="140" t="s">
        <v>65</v>
      </c>
      <c r="M670" s="140" t="s">
        <v>46</v>
      </c>
      <c r="N670" s="157">
        <v>0.02</v>
      </c>
      <c r="O670" s="156" t="s">
        <v>51</v>
      </c>
      <c r="P670" s="156" t="s">
        <v>15</v>
      </c>
      <c r="Q670" s="158">
        <v>122671.91</v>
      </c>
      <c r="R670" s="158">
        <v>0</v>
      </c>
      <c r="S670" s="158">
        <v>2537839.97</v>
      </c>
      <c r="T670" s="158">
        <f t="shared" si="123"/>
        <v>50756.7994</v>
      </c>
      <c r="U670" s="158">
        <f t="shared" si="127"/>
        <v>2588596.7694</v>
      </c>
      <c r="V670" s="158">
        <v>35527137.96</v>
      </c>
      <c r="W670" s="158">
        <f t="shared" si="128"/>
        <v>-32938541.1906</v>
      </c>
      <c r="X670" s="158">
        <f t="shared" si="124"/>
        <v>-32292687.4417647</v>
      </c>
      <c r="Y670" s="158">
        <f t="shared" si="129"/>
        <v>-645853.748835295</v>
      </c>
      <c r="Z670" s="158">
        <v>4857498.75</v>
      </c>
      <c r="AA670" s="158">
        <f t="shared" si="125"/>
        <v>30792311.12</v>
      </c>
      <c r="AB670" s="167">
        <f>IF(O670="返货",(Z670-196413-Q670)/(1+N670),IF(O670="返现",Z670,IF(O670="折扣",Z670*N670,IF(O670="无",Z670))))</f>
        <v>4449425.33333333</v>
      </c>
      <c r="AC670" s="168">
        <f t="shared" si="126"/>
        <v>408073.416666667</v>
      </c>
      <c r="AD670" s="158">
        <f t="shared" si="133"/>
        <v>4761696.00752816</v>
      </c>
      <c r="AE670" s="159">
        <v>0.1077</v>
      </c>
      <c r="AF670" s="158">
        <f t="shared" si="122"/>
        <v>512834.660010783</v>
      </c>
      <c r="AG670" s="158">
        <v>427907.541845588</v>
      </c>
      <c r="AH670" s="175"/>
      <c r="AI670" s="175"/>
      <c r="AJ670" s="156" t="s">
        <v>173</v>
      </c>
      <c r="AK670" s="140" t="s">
        <v>173</v>
      </c>
      <c r="AM670" s="152"/>
    </row>
    <row r="671" s="140" customFormat="1" ht="15" hidden="1" customHeight="1" spans="1:39">
      <c r="A671" s="140">
        <v>2017</v>
      </c>
      <c r="B671" s="140" t="s">
        <v>38</v>
      </c>
      <c r="C671" s="140" t="s">
        <v>54</v>
      </c>
      <c r="D671" s="140" t="s">
        <v>55</v>
      </c>
      <c r="E671" s="140" t="s">
        <v>368</v>
      </c>
      <c r="F671" s="140" t="s">
        <v>65</v>
      </c>
      <c r="G671" s="140" t="s">
        <v>65</v>
      </c>
      <c r="H671" s="140" t="s">
        <v>65</v>
      </c>
      <c r="I671" s="184" t="s">
        <v>204</v>
      </c>
      <c r="J671" s="140" t="s">
        <v>577</v>
      </c>
      <c r="K671" s="140" t="s">
        <v>578</v>
      </c>
      <c r="L671" s="140" t="s">
        <v>65</v>
      </c>
      <c r="M671" s="140" t="s">
        <v>185</v>
      </c>
      <c r="N671" s="157">
        <v>0.08</v>
      </c>
      <c r="O671" s="156" t="s">
        <v>51</v>
      </c>
      <c r="P671" s="156"/>
      <c r="Q671" s="158">
        <v>486237.5371</v>
      </c>
      <c r="R671" s="158">
        <v>0</v>
      </c>
      <c r="S671" s="158">
        <v>24698066.5</v>
      </c>
      <c r="T671" s="158">
        <f t="shared" si="123"/>
        <v>1975845.32</v>
      </c>
      <c r="U671" s="158">
        <f t="shared" si="127"/>
        <v>26673911.82</v>
      </c>
      <c r="V671" s="158">
        <v>0</v>
      </c>
      <c r="W671" s="158">
        <f t="shared" si="128"/>
        <v>26673911.82</v>
      </c>
      <c r="X671" s="158">
        <f t="shared" si="124"/>
        <v>24698066.5</v>
      </c>
      <c r="Y671" s="158">
        <f t="shared" si="129"/>
        <v>1975845.32</v>
      </c>
      <c r="Z671" s="158">
        <v>31253874.58</v>
      </c>
      <c r="AA671" s="158">
        <f t="shared" si="125"/>
        <v>-30767637.0429</v>
      </c>
      <c r="AB671" s="167">
        <f>IF(O671="返货",(Z671-Q671)/(1+N671),IF(O671="返现",(Z671-Q671),IF(O671="折扣",(Z671-Q671)*N671,IF(O671="无",(Z671-Q671)))))</f>
        <v>28488552.8175</v>
      </c>
      <c r="AC671" s="168">
        <f t="shared" si="126"/>
        <v>2765321.7625</v>
      </c>
      <c r="AD671" s="158">
        <f t="shared" si="133"/>
        <v>30637465.3842931</v>
      </c>
      <c r="AE671" s="159">
        <v>0.3156</v>
      </c>
      <c r="AF671" s="158">
        <f t="shared" si="122"/>
        <v>9669184.07528289</v>
      </c>
      <c r="AG671" s="158">
        <v>7548620.99670726</v>
      </c>
      <c r="AH671" s="175"/>
      <c r="AI671" s="175"/>
      <c r="AJ671" s="156" t="s">
        <v>53</v>
      </c>
      <c r="AK671" s="140" t="s">
        <v>53</v>
      </c>
      <c r="AM671" s="152"/>
    </row>
    <row r="672" s="140" customFormat="1" ht="15" hidden="1" customHeight="1" spans="1:39">
      <c r="A672" s="140">
        <v>2017</v>
      </c>
      <c r="B672" s="140" t="s">
        <v>38</v>
      </c>
      <c r="C672" s="140" t="s">
        <v>54</v>
      </c>
      <c r="D672" s="140" t="s">
        <v>55</v>
      </c>
      <c r="E672" s="140" t="s">
        <v>368</v>
      </c>
      <c r="F672" s="140" t="s">
        <v>65</v>
      </c>
      <c r="G672" s="140" t="s">
        <v>65</v>
      </c>
      <c r="H672" s="140" t="s">
        <v>65</v>
      </c>
      <c r="I672" s="184" t="s">
        <v>204</v>
      </c>
      <c r="J672" s="140" t="s">
        <v>577</v>
      </c>
      <c r="K672" s="140" t="s">
        <v>578</v>
      </c>
      <c r="L672" s="140" t="s">
        <v>65</v>
      </c>
      <c r="M672" s="140" t="s">
        <v>597</v>
      </c>
      <c r="N672" s="157">
        <v>0</v>
      </c>
      <c r="O672" s="156" t="s">
        <v>47</v>
      </c>
      <c r="P672" s="156"/>
      <c r="Q672" s="158">
        <v>0</v>
      </c>
      <c r="R672" s="158">
        <v>0</v>
      </c>
      <c r="S672" s="158">
        <v>2982000</v>
      </c>
      <c r="T672" s="158">
        <f t="shared" si="123"/>
        <v>0</v>
      </c>
      <c r="U672" s="158">
        <f t="shared" si="127"/>
        <v>2982000</v>
      </c>
      <c r="V672" s="158">
        <v>2982000</v>
      </c>
      <c r="W672" s="158">
        <f t="shared" si="128"/>
        <v>0</v>
      </c>
      <c r="X672" s="158">
        <f t="shared" si="124"/>
        <v>0</v>
      </c>
      <c r="Y672" s="158">
        <f t="shared" si="129"/>
        <v>0</v>
      </c>
      <c r="Z672" s="158">
        <v>2982000</v>
      </c>
      <c r="AA672" s="158">
        <f t="shared" si="125"/>
        <v>0</v>
      </c>
      <c r="AB672" s="167">
        <f t="shared" ref="AB672:AB701" si="134">IF(O672="返货",Z672/(1+N672),IF(O672="返现",Z672,IF(O672="折扣",Z672*N672,IF(O672="无",Z672))))</f>
        <v>2982000</v>
      </c>
      <c r="AC672" s="168">
        <f t="shared" si="126"/>
        <v>0</v>
      </c>
      <c r="AD672" s="158">
        <f t="shared" si="133"/>
        <v>2923187.06092286</v>
      </c>
      <c r="AE672" s="159">
        <v>0.3534</v>
      </c>
      <c r="AF672" s="158">
        <f t="shared" si="122"/>
        <v>1033054.30733014</v>
      </c>
      <c r="AG672" s="158">
        <v>280727.688888889</v>
      </c>
      <c r="AH672" s="175"/>
      <c r="AI672" s="175"/>
      <c r="AJ672" s="157">
        <v>0.35</v>
      </c>
      <c r="AK672" s="177">
        <v>0.35</v>
      </c>
      <c r="AM672" s="152"/>
    </row>
    <row r="673" s="140" customFormat="1" ht="15" hidden="1" customHeight="1" spans="1:39">
      <c r="A673" s="140">
        <v>2017</v>
      </c>
      <c r="B673" s="140" t="s">
        <v>38</v>
      </c>
      <c r="C673" s="140" t="s">
        <v>54</v>
      </c>
      <c r="D673" s="140" t="s">
        <v>55</v>
      </c>
      <c r="E673" s="140" t="s">
        <v>368</v>
      </c>
      <c r="F673" s="140" t="s">
        <v>784</v>
      </c>
      <c r="G673" s="140" t="s">
        <v>784</v>
      </c>
      <c r="H673" s="140" t="s">
        <v>784</v>
      </c>
      <c r="I673" s="184" t="s">
        <v>204</v>
      </c>
      <c r="J673" s="140" t="s">
        <v>577</v>
      </c>
      <c r="K673" s="140" t="s">
        <v>578</v>
      </c>
      <c r="L673" s="140" t="s">
        <v>785</v>
      </c>
      <c r="M673" s="140" t="s">
        <v>185</v>
      </c>
      <c r="N673" s="157">
        <v>0.1</v>
      </c>
      <c r="O673" s="156" t="s">
        <v>51</v>
      </c>
      <c r="P673" s="156"/>
      <c r="Q673" s="158">
        <v>0</v>
      </c>
      <c r="R673" s="158">
        <v>0</v>
      </c>
      <c r="S673" s="158">
        <v>48273.92</v>
      </c>
      <c r="T673" s="158">
        <f t="shared" si="123"/>
        <v>4827.392</v>
      </c>
      <c r="U673" s="158">
        <f t="shared" si="127"/>
        <v>53101.312</v>
      </c>
      <c r="V673" s="158">
        <v>0</v>
      </c>
      <c r="W673" s="158">
        <f t="shared" si="128"/>
        <v>53101.312</v>
      </c>
      <c r="X673" s="158">
        <f t="shared" si="124"/>
        <v>48273.92</v>
      </c>
      <c r="Y673" s="158">
        <f t="shared" si="129"/>
        <v>4827.39200000001</v>
      </c>
      <c r="Z673" s="158">
        <v>48273.92</v>
      </c>
      <c r="AA673" s="158">
        <f t="shared" si="125"/>
        <v>-48273.92</v>
      </c>
      <c r="AB673" s="167">
        <f t="shared" si="134"/>
        <v>43885.3818181818</v>
      </c>
      <c r="AC673" s="168">
        <f t="shared" si="126"/>
        <v>4388.53818181818</v>
      </c>
      <c r="AD673" s="158">
        <f t="shared" si="133"/>
        <v>47321.8304238851</v>
      </c>
      <c r="AE673" s="159">
        <v>0.3156</v>
      </c>
      <c r="AF673" s="158">
        <f t="shared" si="122"/>
        <v>14934.7696817781</v>
      </c>
      <c r="AG673" s="158">
        <v>10846.7109701818</v>
      </c>
      <c r="AH673" s="175"/>
      <c r="AI673" s="175"/>
      <c r="AJ673" s="156" t="s">
        <v>69</v>
      </c>
      <c r="AK673" s="140" t="s">
        <v>69</v>
      </c>
      <c r="AM673" s="152"/>
    </row>
    <row r="674" s="140" customFormat="1" ht="15" hidden="1" customHeight="1" spans="1:39">
      <c r="A674" s="140">
        <v>2017</v>
      </c>
      <c r="B674" s="140" t="s">
        <v>38</v>
      </c>
      <c r="C674" s="140" t="s">
        <v>54</v>
      </c>
      <c r="D674" s="140" t="s">
        <v>55</v>
      </c>
      <c r="E674" s="140" t="s">
        <v>368</v>
      </c>
      <c r="F674" s="140" t="s">
        <v>784</v>
      </c>
      <c r="G674" s="140" t="s">
        <v>784</v>
      </c>
      <c r="H674" s="140" t="s">
        <v>784</v>
      </c>
      <c r="I674" s="184" t="s">
        <v>204</v>
      </c>
      <c r="J674" s="140" t="s">
        <v>577</v>
      </c>
      <c r="K674" s="140" t="s">
        <v>578</v>
      </c>
      <c r="L674" s="140" t="s">
        <v>785</v>
      </c>
      <c r="M674" s="140" t="s">
        <v>46</v>
      </c>
      <c r="N674" s="157">
        <v>0.03</v>
      </c>
      <c r="O674" s="156" t="s">
        <v>51</v>
      </c>
      <c r="P674" s="156"/>
      <c r="Q674" s="158">
        <v>0</v>
      </c>
      <c r="R674" s="158">
        <v>0</v>
      </c>
      <c r="S674" s="158">
        <v>20250.54</v>
      </c>
      <c r="T674" s="158">
        <f t="shared" si="123"/>
        <v>607.5162</v>
      </c>
      <c r="U674" s="158">
        <f t="shared" si="127"/>
        <v>20858.0562</v>
      </c>
      <c r="V674" s="158">
        <v>70000</v>
      </c>
      <c r="W674" s="158">
        <f t="shared" si="128"/>
        <v>-49141.9438</v>
      </c>
      <c r="X674" s="158">
        <f t="shared" si="124"/>
        <v>-47710.6250485437</v>
      </c>
      <c r="Y674" s="158">
        <f t="shared" si="129"/>
        <v>-1431.31875145631</v>
      </c>
      <c r="Z674" s="158">
        <v>20250.54</v>
      </c>
      <c r="AA674" s="158">
        <f t="shared" si="125"/>
        <v>49749.46</v>
      </c>
      <c r="AB674" s="167">
        <f t="shared" si="134"/>
        <v>19660.7184466019</v>
      </c>
      <c r="AC674" s="168">
        <f t="shared" si="126"/>
        <v>589.821553398058</v>
      </c>
      <c r="AD674" s="158">
        <f t="shared" si="133"/>
        <v>19851.1457091552</v>
      </c>
      <c r="AE674" s="159">
        <v>0.1077</v>
      </c>
      <c r="AF674" s="158">
        <f t="shared" si="122"/>
        <v>2137.96839287602</v>
      </c>
      <c r="AG674" s="158">
        <v>1591.16160460194</v>
      </c>
      <c r="AH674" s="175"/>
      <c r="AI674" s="175"/>
      <c r="AJ674" s="156" t="s">
        <v>189</v>
      </c>
      <c r="AK674" s="140" t="s">
        <v>189</v>
      </c>
      <c r="AM674" s="152"/>
    </row>
    <row r="675" s="140" customFormat="1" ht="15" hidden="1" customHeight="1" spans="1:39">
      <c r="A675" s="140">
        <v>2017</v>
      </c>
      <c r="B675" s="140" t="s">
        <v>38</v>
      </c>
      <c r="C675" s="140" t="s">
        <v>54</v>
      </c>
      <c r="D675" s="140" t="s">
        <v>55</v>
      </c>
      <c r="E675" s="140" t="s">
        <v>368</v>
      </c>
      <c r="F675" s="140" t="s">
        <v>786</v>
      </c>
      <c r="G675" s="140" t="s">
        <v>786</v>
      </c>
      <c r="H675" s="140" t="s">
        <v>786</v>
      </c>
      <c r="I675" s="184" t="s">
        <v>204</v>
      </c>
      <c r="J675" s="140" t="s">
        <v>577</v>
      </c>
      <c r="K675" s="140" t="s">
        <v>578</v>
      </c>
      <c r="L675" s="140" t="s">
        <v>786</v>
      </c>
      <c r="M675" s="140" t="s">
        <v>46</v>
      </c>
      <c r="N675" s="157">
        <v>0.02</v>
      </c>
      <c r="O675" s="156" t="s">
        <v>51</v>
      </c>
      <c r="P675" s="156"/>
      <c r="Q675" s="158">
        <v>0</v>
      </c>
      <c r="R675" s="158">
        <v>0</v>
      </c>
      <c r="S675" s="158">
        <v>9353.2</v>
      </c>
      <c r="T675" s="158">
        <f t="shared" si="123"/>
        <v>187.064</v>
      </c>
      <c r="U675" s="158">
        <f t="shared" si="127"/>
        <v>9540.264</v>
      </c>
      <c r="V675" s="158">
        <v>10000</v>
      </c>
      <c r="W675" s="158">
        <f t="shared" si="128"/>
        <v>-459.735999999999</v>
      </c>
      <c r="X675" s="158">
        <f t="shared" si="124"/>
        <v>-450.72156862745</v>
      </c>
      <c r="Y675" s="158">
        <f t="shared" si="129"/>
        <v>-9.01443137254898</v>
      </c>
      <c r="Z675" s="158">
        <v>9353.2</v>
      </c>
      <c r="AA675" s="158">
        <f t="shared" si="125"/>
        <v>646.799999999999</v>
      </c>
      <c r="AB675" s="167">
        <f t="shared" si="134"/>
        <v>9169.80392156863</v>
      </c>
      <c r="AC675" s="168">
        <f t="shared" si="126"/>
        <v>183.396078431373</v>
      </c>
      <c r="AD675" s="158">
        <f t="shared" si="133"/>
        <v>9168.73012012868</v>
      </c>
      <c r="AE675" s="159">
        <v>0.1077</v>
      </c>
      <c r="AF675" s="158">
        <f t="shared" si="122"/>
        <v>987.472233937859</v>
      </c>
      <c r="AG675" s="158">
        <v>823.943561568627</v>
      </c>
      <c r="AH675" s="175"/>
      <c r="AI675" s="175"/>
      <c r="AJ675" s="156" t="s">
        <v>173</v>
      </c>
      <c r="AK675" s="140" t="s">
        <v>173</v>
      </c>
      <c r="AM675" s="152"/>
    </row>
    <row r="676" s="140" customFormat="1" ht="15" hidden="1" customHeight="1" spans="1:39">
      <c r="A676" s="140">
        <v>2017</v>
      </c>
      <c r="B676" s="140" t="s">
        <v>38</v>
      </c>
      <c r="C676" s="140" t="s">
        <v>54</v>
      </c>
      <c r="D676" s="140" t="s">
        <v>55</v>
      </c>
      <c r="E676" s="140" t="s">
        <v>368</v>
      </c>
      <c r="F676" s="140" t="s">
        <v>786</v>
      </c>
      <c r="G676" s="140" t="s">
        <v>786</v>
      </c>
      <c r="H676" s="140" t="s">
        <v>786</v>
      </c>
      <c r="I676" s="184" t="s">
        <v>204</v>
      </c>
      <c r="J676" s="140" t="s">
        <v>577</v>
      </c>
      <c r="K676" s="140" t="s">
        <v>578</v>
      </c>
      <c r="L676" s="140" t="s">
        <v>786</v>
      </c>
      <c r="M676" s="140" t="s">
        <v>185</v>
      </c>
      <c r="N676" s="157">
        <v>0.08</v>
      </c>
      <c r="O676" s="156" t="s">
        <v>51</v>
      </c>
      <c r="P676" s="156"/>
      <c r="Q676" s="158">
        <v>0</v>
      </c>
      <c r="R676" s="158">
        <v>0</v>
      </c>
      <c r="S676" s="158">
        <v>646.8</v>
      </c>
      <c r="T676" s="158">
        <f t="shared" si="123"/>
        <v>51.744</v>
      </c>
      <c r="U676" s="158">
        <f t="shared" si="127"/>
        <v>698.544</v>
      </c>
      <c r="V676" s="158">
        <v>0</v>
      </c>
      <c r="W676" s="158">
        <f t="shared" si="128"/>
        <v>698.544</v>
      </c>
      <c r="X676" s="158">
        <f t="shared" si="124"/>
        <v>646.8</v>
      </c>
      <c r="Y676" s="158">
        <f t="shared" si="129"/>
        <v>51.744</v>
      </c>
      <c r="Z676" s="158">
        <v>646.8</v>
      </c>
      <c r="AA676" s="158">
        <f t="shared" si="125"/>
        <v>-646.8</v>
      </c>
      <c r="AB676" s="167">
        <f t="shared" si="134"/>
        <v>598.888888888889</v>
      </c>
      <c r="AC676" s="168">
        <f t="shared" si="126"/>
        <v>47.9111111111112</v>
      </c>
      <c r="AD676" s="158">
        <f t="shared" si="133"/>
        <v>634.043390679043</v>
      </c>
      <c r="AE676" s="159">
        <v>0.3156</v>
      </c>
      <c r="AF676" s="158">
        <f t="shared" si="122"/>
        <v>200.104094098306</v>
      </c>
      <c r="AG676" s="158">
        <v>156.218968888889</v>
      </c>
      <c r="AH676" s="175"/>
      <c r="AI676" s="175"/>
      <c r="AJ676" s="156" t="s">
        <v>53</v>
      </c>
      <c r="AK676" s="140" t="s">
        <v>53</v>
      </c>
      <c r="AM676" s="152"/>
    </row>
    <row r="677" s="140" customFormat="1" ht="15" hidden="1" customHeight="1" spans="1:39">
      <c r="A677" s="140">
        <v>2017</v>
      </c>
      <c r="B677" s="140" t="s">
        <v>38</v>
      </c>
      <c r="C677" s="140" t="s">
        <v>54</v>
      </c>
      <c r="D677" s="140" t="s">
        <v>55</v>
      </c>
      <c r="E677" s="140" t="s">
        <v>368</v>
      </c>
      <c r="F677" s="140" t="s">
        <v>489</v>
      </c>
      <c r="G677" s="140" t="s">
        <v>489</v>
      </c>
      <c r="H677" s="140" t="s">
        <v>489</v>
      </c>
      <c r="I677" s="184" t="s">
        <v>204</v>
      </c>
      <c r="J677" s="140" t="s">
        <v>577</v>
      </c>
      <c r="K677" s="140" t="s">
        <v>578</v>
      </c>
      <c r="L677" s="140" t="s">
        <v>787</v>
      </c>
      <c r="M677" s="140" t="s">
        <v>185</v>
      </c>
      <c r="N677" s="157">
        <v>0.15</v>
      </c>
      <c r="O677" s="156" t="s">
        <v>51</v>
      </c>
      <c r="P677" s="156"/>
      <c r="Q677" s="158">
        <v>0</v>
      </c>
      <c r="R677" s="158">
        <v>0</v>
      </c>
      <c r="S677" s="158">
        <v>17739.13</v>
      </c>
      <c r="T677" s="158">
        <f t="shared" si="123"/>
        <v>2660.8695</v>
      </c>
      <c r="U677" s="158">
        <f t="shared" si="127"/>
        <v>20399.9995</v>
      </c>
      <c r="V677" s="158">
        <v>0</v>
      </c>
      <c r="W677" s="158">
        <f t="shared" si="128"/>
        <v>20399.9995</v>
      </c>
      <c r="X677" s="158">
        <f t="shared" si="124"/>
        <v>17739.13</v>
      </c>
      <c r="Y677" s="158">
        <f t="shared" si="129"/>
        <v>2660.8695</v>
      </c>
      <c r="Z677" s="158">
        <v>49887.58</v>
      </c>
      <c r="AA677" s="158">
        <f t="shared" si="125"/>
        <v>-49887.58</v>
      </c>
      <c r="AB677" s="167">
        <f t="shared" si="134"/>
        <v>43380.5043478261</v>
      </c>
      <c r="AC677" s="168">
        <f t="shared" si="126"/>
        <v>6507.07565217391</v>
      </c>
      <c r="AD677" s="158">
        <f t="shared" si="133"/>
        <v>48903.6647742301</v>
      </c>
      <c r="AE677" s="159">
        <v>0.3156</v>
      </c>
      <c r="AF677" s="158">
        <f t="shared" si="122"/>
        <v>15433.996602747</v>
      </c>
      <c r="AG677" s="158">
        <v>9237.44459582609</v>
      </c>
      <c r="AH677" s="175"/>
      <c r="AI677" s="175"/>
      <c r="AJ677" s="156" t="s">
        <v>664</v>
      </c>
      <c r="AK677" s="140" t="s">
        <v>664</v>
      </c>
      <c r="AM677" s="152"/>
    </row>
    <row r="678" s="140" customFormat="1" ht="15" hidden="1" customHeight="1" spans="1:39">
      <c r="A678" s="140">
        <v>2017</v>
      </c>
      <c r="B678" s="140" t="s">
        <v>38</v>
      </c>
      <c r="C678" s="140" t="s">
        <v>54</v>
      </c>
      <c r="D678" s="140" t="s">
        <v>55</v>
      </c>
      <c r="E678" s="140" t="s">
        <v>368</v>
      </c>
      <c r="F678" s="140" t="s">
        <v>489</v>
      </c>
      <c r="G678" s="140" t="s">
        <v>489</v>
      </c>
      <c r="H678" s="140" t="s">
        <v>489</v>
      </c>
      <c r="I678" s="184" t="s">
        <v>204</v>
      </c>
      <c r="J678" s="140" t="s">
        <v>577</v>
      </c>
      <c r="K678" s="140" t="s">
        <v>578</v>
      </c>
      <c r="L678" s="140" t="s">
        <v>787</v>
      </c>
      <c r="M678" s="140" t="s">
        <v>46</v>
      </c>
      <c r="N678" s="157">
        <v>0.05</v>
      </c>
      <c r="O678" s="156" t="s">
        <v>51</v>
      </c>
      <c r="P678" s="156" t="s">
        <v>440</v>
      </c>
      <c r="Q678" s="158">
        <v>0</v>
      </c>
      <c r="R678" s="158">
        <v>0</v>
      </c>
      <c r="S678" s="158">
        <v>799984.93</v>
      </c>
      <c r="T678" s="158">
        <f t="shared" si="123"/>
        <v>39999.2465</v>
      </c>
      <c r="U678" s="158">
        <f t="shared" si="127"/>
        <v>839984.1765</v>
      </c>
      <c r="V678" s="158">
        <v>1113100</v>
      </c>
      <c r="W678" s="158">
        <f t="shared" si="128"/>
        <v>-273115.8235</v>
      </c>
      <c r="X678" s="158">
        <f t="shared" si="124"/>
        <v>-260110.308095238</v>
      </c>
      <c r="Y678" s="158">
        <f t="shared" si="129"/>
        <v>-13005.5154047619</v>
      </c>
      <c r="Z678" s="158">
        <v>809084.17</v>
      </c>
      <c r="AA678" s="158">
        <f t="shared" si="125"/>
        <v>304015.83</v>
      </c>
      <c r="AB678" s="167">
        <f t="shared" si="134"/>
        <v>770556.352380952</v>
      </c>
      <c r="AC678" s="168">
        <f t="shared" si="126"/>
        <v>38527.8176190477</v>
      </c>
      <c r="AD678" s="158">
        <f t="shared" si="133"/>
        <v>793126.886968985</v>
      </c>
      <c r="AE678" s="159">
        <v>0.1077</v>
      </c>
      <c r="AF678" s="158">
        <f t="shared" si="122"/>
        <v>85419.7657265597</v>
      </c>
      <c r="AG678" s="158">
        <v>50467.0495193333</v>
      </c>
      <c r="AH678" s="175"/>
      <c r="AI678" s="175"/>
      <c r="AJ678" s="156" t="s">
        <v>63</v>
      </c>
      <c r="AK678" s="140" t="s">
        <v>63</v>
      </c>
      <c r="AM678" s="152"/>
    </row>
    <row r="679" s="140" customFormat="1" ht="15" hidden="1" customHeight="1" spans="1:39">
      <c r="A679" s="140">
        <v>2017</v>
      </c>
      <c r="B679" s="140" t="s">
        <v>38</v>
      </c>
      <c r="C679" s="140" t="s">
        <v>54</v>
      </c>
      <c r="D679" s="140" t="s">
        <v>55</v>
      </c>
      <c r="E679" s="140" t="s">
        <v>368</v>
      </c>
      <c r="F679" s="140" t="s">
        <v>788</v>
      </c>
      <c r="G679" s="140" t="s">
        <v>788</v>
      </c>
      <c r="H679" s="140" t="s">
        <v>788</v>
      </c>
      <c r="I679" s="184" t="s">
        <v>204</v>
      </c>
      <c r="J679" s="140" t="s">
        <v>577</v>
      </c>
      <c r="K679" s="140" t="s">
        <v>578</v>
      </c>
      <c r="L679" s="140" t="s">
        <v>789</v>
      </c>
      <c r="M679" s="140" t="s">
        <v>46</v>
      </c>
      <c r="N679" s="157">
        <v>0.02</v>
      </c>
      <c r="O679" s="156" t="s">
        <v>51</v>
      </c>
      <c r="P679" s="156"/>
      <c r="Q679" s="158">
        <v>0</v>
      </c>
      <c r="R679" s="158">
        <v>0</v>
      </c>
      <c r="S679" s="158">
        <v>7686.1</v>
      </c>
      <c r="T679" s="158">
        <f t="shared" si="123"/>
        <v>153.722</v>
      </c>
      <c r="U679" s="158">
        <f t="shared" si="127"/>
        <v>7839.822</v>
      </c>
      <c r="V679" s="158">
        <v>10000</v>
      </c>
      <c r="W679" s="158">
        <f t="shared" si="128"/>
        <v>-2160.178</v>
      </c>
      <c r="X679" s="158">
        <f t="shared" si="124"/>
        <v>-2117.82156862745</v>
      </c>
      <c r="Y679" s="158">
        <f t="shared" si="129"/>
        <v>-42.3564313725492</v>
      </c>
      <c r="Z679" s="158">
        <v>7686.1</v>
      </c>
      <c r="AA679" s="158">
        <f t="shared" si="125"/>
        <v>2313.9</v>
      </c>
      <c r="AB679" s="167">
        <f t="shared" si="134"/>
        <v>7535.39215686275</v>
      </c>
      <c r="AC679" s="168">
        <f t="shared" si="126"/>
        <v>150.707843137255</v>
      </c>
      <c r="AD679" s="158">
        <f t="shared" si="133"/>
        <v>7534.50974814192</v>
      </c>
      <c r="AE679" s="159">
        <v>0.1077</v>
      </c>
      <c r="AF679" s="158">
        <f t="shared" si="122"/>
        <v>811.466699874885</v>
      </c>
      <c r="AG679" s="158">
        <v>677.085126862745</v>
      </c>
      <c r="AH679" s="175"/>
      <c r="AI679" s="175"/>
      <c r="AJ679" s="156" t="s">
        <v>173</v>
      </c>
      <c r="AK679" s="140" t="s">
        <v>173</v>
      </c>
      <c r="AM679" s="152"/>
    </row>
    <row r="680" s="140" customFormat="1" ht="15" hidden="1" customHeight="1" spans="1:39">
      <c r="A680" s="140">
        <v>2017</v>
      </c>
      <c r="B680" s="140" t="s">
        <v>38</v>
      </c>
      <c r="C680" s="140" t="s">
        <v>54</v>
      </c>
      <c r="D680" s="140" t="s">
        <v>55</v>
      </c>
      <c r="E680" s="140" t="s">
        <v>368</v>
      </c>
      <c r="F680" s="140" t="s">
        <v>788</v>
      </c>
      <c r="G680" s="140" t="s">
        <v>790</v>
      </c>
      <c r="H680" s="140" t="s">
        <v>790</v>
      </c>
      <c r="I680" s="184" t="s">
        <v>204</v>
      </c>
      <c r="J680" s="140" t="s">
        <v>577</v>
      </c>
      <c r="K680" s="140" t="s">
        <v>578</v>
      </c>
      <c r="L680" s="140" t="s">
        <v>791</v>
      </c>
      <c r="M680" s="140" t="s">
        <v>46</v>
      </c>
      <c r="N680" s="157">
        <v>0.02</v>
      </c>
      <c r="O680" s="156" t="s">
        <v>51</v>
      </c>
      <c r="P680" s="156"/>
      <c r="Q680" s="158">
        <v>0</v>
      </c>
      <c r="R680" s="158">
        <v>0</v>
      </c>
      <c r="S680" s="158">
        <v>4200</v>
      </c>
      <c r="T680" s="158">
        <f t="shared" si="123"/>
        <v>84</v>
      </c>
      <c r="U680" s="158">
        <f t="shared" si="127"/>
        <v>4284</v>
      </c>
      <c r="V680" s="158">
        <v>10000</v>
      </c>
      <c r="W680" s="158">
        <f t="shared" si="128"/>
        <v>-5716</v>
      </c>
      <c r="X680" s="158">
        <f t="shared" si="124"/>
        <v>-5603.92156862745</v>
      </c>
      <c r="Y680" s="158">
        <f t="shared" si="129"/>
        <v>-112.078431372549</v>
      </c>
      <c r="Z680" s="158">
        <v>4200</v>
      </c>
      <c r="AA680" s="158">
        <f t="shared" si="125"/>
        <v>5800</v>
      </c>
      <c r="AB680" s="167">
        <f t="shared" si="134"/>
        <v>4117.64705882353</v>
      </c>
      <c r="AC680" s="168">
        <f t="shared" si="126"/>
        <v>82.3529411764703</v>
      </c>
      <c r="AD680" s="158">
        <f t="shared" si="133"/>
        <v>4117.16487453924</v>
      </c>
      <c r="AE680" s="159">
        <v>0.1077</v>
      </c>
      <c r="AF680" s="158">
        <f t="shared" si="122"/>
        <v>443.418656987876</v>
      </c>
      <c r="AG680" s="158">
        <v>369.98705882353</v>
      </c>
      <c r="AH680" s="175"/>
      <c r="AI680" s="175"/>
      <c r="AJ680" s="156" t="s">
        <v>173</v>
      </c>
      <c r="AK680" s="140" t="s">
        <v>173</v>
      </c>
      <c r="AM680" s="152"/>
    </row>
    <row r="681" s="140" customFormat="1" ht="15" hidden="1" customHeight="1" spans="1:39">
      <c r="A681" s="140">
        <v>2017</v>
      </c>
      <c r="B681" s="140" t="s">
        <v>38</v>
      </c>
      <c r="C681" s="140" t="s">
        <v>54</v>
      </c>
      <c r="D681" s="140" t="s">
        <v>55</v>
      </c>
      <c r="E681" s="140" t="s">
        <v>368</v>
      </c>
      <c r="F681" s="140" t="s">
        <v>788</v>
      </c>
      <c r="G681" s="140" t="s">
        <v>790</v>
      </c>
      <c r="H681" s="140" t="s">
        <v>790</v>
      </c>
      <c r="I681" s="184" t="s">
        <v>204</v>
      </c>
      <c r="J681" s="140" t="s">
        <v>577</v>
      </c>
      <c r="K681" s="140" t="s">
        <v>578</v>
      </c>
      <c r="L681" s="140" t="s">
        <v>789</v>
      </c>
      <c r="M681" s="140" t="s">
        <v>185</v>
      </c>
      <c r="N681" s="157">
        <v>0.08</v>
      </c>
      <c r="O681" s="156" t="s">
        <v>51</v>
      </c>
      <c r="P681" s="156"/>
      <c r="Q681" s="158">
        <v>0</v>
      </c>
      <c r="R681" s="158">
        <v>0</v>
      </c>
      <c r="S681" s="158">
        <v>5800</v>
      </c>
      <c r="T681" s="158">
        <f t="shared" si="123"/>
        <v>464</v>
      </c>
      <c r="U681" s="158">
        <f t="shared" si="127"/>
        <v>6264</v>
      </c>
      <c r="V681" s="158">
        <v>0</v>
      </c>
      <c r="W681" s="158">
        <f t="shared" si="128"/>
        <v>6264</v>
      </c>
      <c r="X681" s="158">
        <f t="shared" si="124"/>
        <v>5800</v>
      </c>
      <c r="Y681" s="158">
        <f t="shared" si="129"/>
        <v>464</v>
      </c>
      <c r="Z681" s="158">
        <v>0</v>
      </c>
      <c r="AA681" s="158">
        <f t="shared" si="125"/>
        <v>0</v>
      </c>
      <c r="AB681" s="167">
        <f t="shared" si="134"/>
        <v>0</v>
      </c>
      <c r="AC681" s="168">
        <f t="shared" si="126"/>
        <v>0</v>
      </c>
      <c r="AD681" s="158">
        <f t="shared" si="133"/>
        <v>0</v>
      </c>
      <c r="AE681" s="159">
        <v>0.3156</v>
      </c>
      <c r="AF681" s="158">
        <f t="shared" si="122"/>
        <v>0</v>
      </c>
      <c r="AG681" s="158">
        <v>0</v>
      </c>
      <c r="AH681" s="175"/>
      <c r="AI681" s="175"/>
      <c r="AJ681" s="156" t="s">
        <v>53</v>
      </c>
      <c r="AK681" s="140" t="s">
        <v>53</v>
      </c>
      <c r="AM681" s="152"/>
    </row>
    <row r="682" s="140" customFormat="1" ht="15" hidden="1" customHeight="1" spans="1:39">
      <c r="A682" s="140">
        <v>2017</v>
      </c>
      <c r="B682" s="140" t="s">
        <v>333</v>
      </c>
      <c r="C682" s="140" t="s">
        <v>54</v>
      </c>
      <c r="D682" s="140" t="s">
        <v>55</v>
      </c>
      <c r="E682" s="140" t="s">
        <v>368</v>
      </c>
      <c r="F682" s="140" t="s">
        <v>792</v>
      </c>
      <c r="G682" s="140" t="s">
        <v>793</v>
      </c>
      <c r="H682" s="140" t="s">
        <v>793</v>
      </c>
      <c r="I682" s="184" t="s">
        <v>204</v>
      </c>
      <c r="J682" s="140" t="s">
        <v>605</v>
      </c>
      <c r="K682" s="140" t="s">
        <v>641</v>
      </c>
      <c r="L682" s="140" t="s">
        <v>792</v>
      </c>
      <c r="M682" s="140" t="s">
        <v>46</v>
      </c>
      <c r="N682" s="157">
        <v>0.02</v>
      </c>
      <c r="O682" s="156" t="s">
        <v>51</v>
      </c>
      <c r="P682" s="156"/>
      <c r="Q682" s="158">
        <v>0</v>
      </c>
      <c r="R682" s="158">
        <v>0</v>
      </c>
      <c r="S682" s="158">
        <v>8492.23</v>
      </c>
      <c r="T682" s="158">
        <f t="shared" si="123"/>
        <v>169.8446</v>
      </c>
      <c r="U682" s="158">
        <f t="shared" si="127"/>
        <v>8662.0746</v>
      </c>
      <c r="V682" s="158">
        <v>10200</v>
      </c>
      <c r="W682" s="158">
        <f t="shared" si="128"/>
        <v>-1537.9254</v>
      </c>
      <c r="X682" s="158">
        <f t="shared" si="124"/>
        <v>-1507.77</v>
      </c>
      <c r="Y682" s="158">
        <f t="shared" si="129"/>
        <v>-30.1554000000001</v>
      </c>
      <c r="Z682" s="158">
        <v>8662.07</v>
      </c>
      <c r="AA682" s="158">
        <f t="shared" si="125"/>
        <v>1537.93</v>
      </c>
      <c r="AB682" s="167">
        <f t="shared" si="134"/>
        <v>8492.22549019608</v>
      </c>
      <c r="AC682" s="168">
        <f t="shared" si="126"/>
        <v>169.844509803921</v>
      </c>
      <c r="AD682" s="158">
        <v>8662.07</v>
      </c>
      <c r="AE682" s="159">
        <v>0.07</v>
      </c>
      <c r="AF682" s="158">
        <f t="shared" si="122"/>
        <v>606.3449</v>
      </c>
      <c r="AG682" s="158">
        <v>436.500390196079</v>
      </c>
      <c r="AH682" s="175"/>
      <c r="AI682" s="175"/>
      <c r="AJ682" s="156" t="s">
        <v>173</v>
      </c>
      <c r="AK682" s="140" t="s">
        <v>173</v>
      </c>
      <c r="AM682" s="152"/>
    </row>
    <row r="683" s="140" customFormat="1" ht="15" hidden="1" customHeight="1" spans="1:39">
      <c r="A683" s="140">
        <v>2017</v>
      </c>
      <c r="B683" s="140" t="s">
        <v>333</v>
      </c>
      <c r="C683" s="140" t="s">
        <v>54</v>
      </c>
      <c r="D683" s="140" t="s">
        <v>55</v>
      </c>
      <c r="E683" s="140" t="s">
        <v>368</v>
      </c>
      <c r="F683" s="140" t="s">
        <v>792</v>
      </c>
      <c r="G683" s="140" t="s">
        <v>793</v>
      </c>
      <c r="H683" s="140" t="s">
        <v>793</v>
      </c>
      <c r="I683" s="184" t="s">
        <v>204</v>
      </c>
      <c r="J683" s="140" t="s">
        <v>605</v>
      </c>
      <c r="K683" s="140" t="s">
        <v>641</v>
      </c>
      <c r="L683" s="140" t="s">
        <v>792</v>
      </c>
      <c r="M683" s="140" t="s">
        <v>185</v>
      </c>
      <c r="N683" s="157">
        <v>0.08</v>
      </c>
      <c r="O683" s="156" t="s">
        <v>51</v>
      </c>
      <c r="P683" s="156"/>
      <c r="Q683" s="158">
        <v>0</v>
      </c>
      <c r="R683" s="158">
        <v>0</v>
      </c>
      <c r="S683" s="158">
        <v>1507.77</v>
      </c>
      <c r="T683" s="158">
        <f t="shared" si="123"/>
        <v>120.6216</v>
      </c>
      <c r="U683" s="158">
        <f t="shared" si="127"/>
        <v>1628.3916</v>
      </c>
      <c r="V683" s="158">
        <v>0</v>
      </c>
      <c r="W683" s="158">
        <f t="shared" si="128"/>
        <v>1628.3916</v>
      </c>
      <c r="X683" s="158">
        <f t="shared" si="124"/>
        <v>1507.77</v>
      </c>
      <c r="Y683" s="158">
        <f t="shared" si="129"/>
        <v>120.6216</v>
      </c>
      <c r="Z683" s="158">
        <v>1537.93</v>
      </c>
      <c r="AA683" s="158">
        <f t="shared" si="125"/>
        <v>-1537.93</v>
      </c>
      <c r="AB683" s="167">
        <f t="shared" si="134"/>
        <v>1424.00925925926</v>
      </c>
      <c r="AC683" s="168">
        <f t="shared" si="126"/>
        <v>113.920740740741</v>
      </c>
      <c r="AD683" s="158">
        <v>1537.93</v>
      </c>
      <c r="AE683" s="159">
        <v>0.2</v>
      </c>
      <c r="AF683" s="158">
        <f t="shared" si="122"/>
        <v>307.586</v>
      </c>
      <c r="AG683" s="158">
        <v>193.665259259259</v>
      </c>
      <c r="AH683" s="175"/>
      <c r="AI683" s="175"/>
      <c r="AJ683" s="156" t="s">
        <v>53</v>
      </c>
      <c r="AK683" s="140" t="s">
        <v>53</v>
      </c>
      <c r="AM683" s="152"/>
    </row>
    <row r="684" s="140" customFormat="1" ht="15" hidden="1" customHeight="1" spans="1:39">
      <c r="A684" s="140">
        <v>2017</v>
      </c>
      <c r="B684" s="140" t="s">
        <v>38</v>
      </c>
      <c r="C684" s="140" t="s">
        <v>54</v>
      </c>
      <c r="D684" s="140" t="s">
        <v>55</v>
      </c>
      <c r="E684" s="140" t="s">
        <v>368</v>
      </c>
      <c r="F684" s="140" t="s">
        <v>794</v>
      </c>
      <c r="G684" s="140" t="s">
        <v>794</v>
      </c>
      <c r="H684" s="140" t="s">
        <v>794</v>
      </c>
      <c r="I684" s="184" t="s">
        <v>204</v>
      </c>
      <c r="J684" s="140" t="s">
        <v>577</v>
      </c>
      <c r="K684" s="140" t="s">
        <v>578</v>
      </c>
      <c r="L684" s="140" t="s">
        <v>794</v>
      </c>
      <c r="M684" s="140" t="s">
        <v>46</v>
      </c>
      <c r="N684" s="157">
        <v>0.02</v>
      </c>
      <c r="O684" s="156" t="s">
        <v>51</v>
      </c>
      <c r="P684" s="156"/>
      <c r="Q684" s="158">
        <v>0</v>
      </c>
      <c r="R684" s="158">
        <v>0</v>
      </c>
      <c r="S684" s="158">
        <v>5206.11</v>
      </c>
      <c r="T684" s="158">
        <f t="shared" si="123"/>
        <v>104.1222</v>
      </c>
      <c r="U684" s="158">
        <f t="shared" si="127"/>
        <v>5310.2322</v>
      </c>
      <c r="V684" s="158">
        <v>30000</v>
      </c>
      <c r="W684" s="158">
        <f t="shared" si="128"/>
        <v>-24689.7678</v>
      </c>
      <c r="X684" s="158">
        <f t="shared" si="124"/>
        <v>-24205.6547058824</v>
      </c>
      <c r="Y684" s="158">
        <f t="shared" si="129"/>
        <v>-484.113094117649</v>
      </c>
      <c r="Z684" s="158">
        <v>5206.11</v>
      </c>
      <c r="AA684" s="158">
        <f t="shared" si="125"/>
        <v>24793.89</v>
      </c>
      <c r="AB684" s="167">
        <f t="shared" si="134"/>
        <v>5104.02941176471</v>
      </c>
      <c r="AC684" s="168">
        <f t="shared" si="126"/>
        <v>102.080588235294</v>
      </c>
      <c r="AD684" s="158">
        <f t="shared" ref="AD684:AD700" si="135">Z684*0.980277351080772</f>
        <v>5103.43172023512</v>
      </c>
      <c r="AE684" s="159">
        <v>0.1077</v>
      </c>
      <c r="AF684" s="158">
        <f t="shared" si="122"/>
        <v>549.639596269322</v>
      </c>
      <c r="AG684" s="158">
        <v>458.617458764706</v>
      </c>
      <c r="AH684" s="175"/>
      <c r="AI684" s="175"/>
      <c r="AJ684" s="156" t="s">
        <v>173</v>
      </c>
      <c r="AK684" s="140" t="s">
        <v>173</v>
      </c>
      <c r="AM684" s="152"/>
    </row>
    <row r="685" s="140" customFormat="1" ht="15" hidden="1" customHeight="1" spans="1:39">
      <c r="A685" s="140">
        <v>2017</v>
      </c>
      <c r="B685" s="140" t="s">
        <v>199</v>
      </c>
      <c r="C685" s="140" t="s">
        <v>54</v>
      </c>
      <c r="D685" s="140" t="s">
        <v>55</v>
      </c>
      <c r="E685" s="140" t="s">
        <v>64</v>
      </c>
      <c r="F685" s="140" t="s">
        <v>496</v>
      </c>
      <c r="G685" s="140" t="s">
        <v>497</v>
      </c>
      <c r="H685" s="184" t="s">
        <v>498</v>
      </c>
      <c r="I685" s="184" t="s">
        <v>204</v>
      </c>
      <c r="J685" s="140" t="s">
        <v>577</v>
      </c>
      <c r="K685" s="140" t="s">
        <v>578</v>
      </c>
      <c r="L685" s="140" t="s">
        <v>499</v>
      </c>
      <c r="M685" s="140" t="s">
        <v>46</v>
      </c>
      <c r="N685" s="157">
        <v>0.02</v>
      </c>
      <c r="O685" s="156" t="s">
        <v>51</v>
      </c>
      <c r="P685" s="156"/>
      <c r="Q685" s="158">
        <v>0</v>
      </c>
      <c r="R685" s="158">
        <v>0</v>
      </c>
      <c r="S685" s="158">
        <v>1654312.28</v>
      </c>
      <c r="T685" s="158">
        <f t="shared" si="123"/>
        <v>33086.2456</v>
      </c>
      <c r="U685" s="158">
        <f t="shared" si="127"/>
        <v>1687398.5256</v>
      </c>
      <c r="V685" s="158">
        <v>1676000</v>
      </c>
      <c r="W685" s="158">
        <f t="shared" si="128"/>
        <v>11398.5256000001</v>
      </c>
      <c r="X685" s="158">
        <f t="shared" si="124"/>
        <v>11175.0250980393</v>
      </c>
      <c r="Y685" s="158">
        <f t="shared" si="129"/>
        <v>223.500501960785</v>
      </c>
      <c r="Z685" s="158">
        <v>1424827.33</v>
      </c>
      <c r="AA685" s="158">
        <f t="shared" si="125"/>
        <v>251172.67</v>
      </c>
      <c r="AB685" s="167">
        <f t="shared" si="134"/>
        <v>1396889.53921569</v>
      </c>
      <c r="AC685" s="168">
        <f t="shared" si="126"/>
        <v>27937.7907843138</v>
      </c>
      <c r="AD685" s="158">
        <f t="shared" si="135"/>
        <v>1396725.96079989</v>
      </c>
      <c r="AE685" s="159">
        <v>0.1077</v>
      </c>
      <c r="AF685" s="158">
        <f t="shared" si="122"/>
        <v>150427.385978148</v>
      </c>
      <c r="AG685" s="158">
        <v>125516.112656686</v>
      </c>
      <c r="AH685" s="175"/>
      <c r="AI685" s="175"/>
      <c r="AJ685" s="156" t="s">
        <v>173</v>
      </c>
      <c r="AK685" s="140" t="s">
        <v>173</v>
      </c>
      <c r="AM685" s="152"/>
    </row>
    <row r="686" s="140" customFormat="1" ht="15" hidden="1" customHeight="1" spans="1:39">
      <c r="A686" s="140">
        <v>2017</v>
      </c>
      <c r="B686" s="140" t="s">
        <v>199</v>
      </c>
      <c r="C686" s="140" t="s">
        <v>54</v>
      </c>
      <c r="D686" s="140" t="s">
        <v>55</v>
      </c>
      <c r="E686" s="140" t="s">
        <v>64</v>
      </c>
      <c r="F686" s="140" t="s">
        <v>496</v>
      </c>
      <c r="G686" s="140" t="s">
        <v>497</v>
      </c>
      <c r="H686" s="184" t="s">
        <v>498</v>
      </c>
      <c r="I686" s="184" t="s">
        <v>204</v>
      </c>
      <c r="J686" s="140" t="s">
        <v>577</v>
      </c>
      <c r="K686" s="140" t="s">
        <v>578</v>
      </c>
      <c r="L686" s="140" t="s">
        <v>499</v>
      </c>
      <c r="M686" s="140" t="s">
        <v>185</v>
      </c>
      <c r="N686" s="157">
        <v>0.08</v>
      </c>
      <c r="O686" s="156" t="s">
        <v>51</v>
      </c>
      <c r="P686" s="156"/>
      <c r="Q686" s="158">
        <v>0</v>
      </c>
      <c r="R686" s="158">
        <v>0</v>
      </c>
      <c r="S686" s="158">
        <v>505525.5</v>
      </c>
      <c r="T686" s="158">
        <f t="shared" si="123"/>
        <v>40442.04</v>
      </c>
      <c r="U686" s="158">
        <f t="shared" si="127"/>
        <v>545967.54</v>
      </c>
      <c r="V686" s="158">
        <v>0</v>
      </c>
      <c r="W686" s="158">
        <f t="shared" si="128"/>
        <v>545967.54</v>
      </c>
      <c r="X686" s="158">
        <f t="shared" si="124"/>
        <v>505525.5</v>
      </c>
      <c r="Y686" s="158">
        <f t="shared" si="129"/>
        <v>40442.04</v>
      </c>
      <c r="Z686" s="158">
        <v>23052.16</v>
      </c>
      <c r="AA686" s="158">
        <f t="shared" si="125"/>
        <v>-23052.16</v>
      </c>
      <c r="AB686" s="167">
        <f t="shared" si="134"/>
        <v>21344.5925925926</v>
      </c>
      <c r="AC686" s="168">
        <f t="shared" si="126"/>
        <v>1707.56740740741</v>
      </c>
      <c r="AD686" s="158">
        <f t="shared" si="135"/>
        <v>22597.5103414901</v>
      </c>
      <c r="AE686" s="159">
        <v>0.3156</v>
      </c>
      <c r="AF686" s="158">
        <f t="shared" si="122"/>
        <v>7131.77426377428</v>
      </c>
      <c r="AG686" s="158">
        <v>5567.69428859259</v>
      </c>
      <c r="AH686" s="175"/>
      <c r="AI686" s="175"/>
      <c r="AJ686" s="156" t="s">
        <v>53</v>
      </c>
      <c r="AK686" s="140" t="s">
        <v>53</v>
      </c>
      <c r="AM686" s="152"/>
    </row>
    <row r="687" s="140" customFormat="1" ht="15" hidden="1" customHeight="1" spans="1:39">
      <c r="A687" s="140">
        <v>2017</v>
      </c>
      <c r="B687" s="140" t="s">
        <v>38</v>
      </c>
      <c r="C687" s="140" t="s">
        <v>54</v>
      </c>
      <c r="D687" s="140" t="s">
        <v>55</v>
      </c>
      <c r="E687" s="140" t="s">
        <v>64</v>
      </c>
      <c r="F687" s="140" t="s">
        <v>795</v>
      </c>
      <c r="G687" s="140" t="s">
        <v>795</v>
      </c>
      <c r="H687" s="140" t="s">
        <v>795</v>
      </c>
      <c r="I687" s="184" t="s">
        <v>204</v>
      </c>
      <c r="J687" s="140" t="s">
        <v>577</v>
      </c>
      <c r="K687" s="140" t="s">
        <v>578</v>
      </c>
      <c r="L687" s="140" t="s">
        <v>795</v>
      </c>
      <c r="M687" s="140" t="s">
        <v>46</v>
      </c>
      <c r="N687" s="157">
        <v>0.02</v>
      </c>
      <c r="O687" s="156" t="s">
        <v>51</v>
      </c>
      <c r="P687" s="156"/>
      <c r="Q687" s="158">
        <v>0</v>
      </c>
      <c r="R687" s="158">
        <v>0</v>
      </c>
      <c r="S687" s="158">
        <v>10000</v>
      </c>
      <c r="T687" s="158">
        <f t="shared" si="123"/>
        <v>200</v>
      </c>
      <c r="U687" s="158">
        <f t="shared" si="127"/>
        <v>10200</v>
      </c>
      <c r="V687" s="158">
        <v>10000</v>
      </c>
      <c r="W687" s="158">
        <f t="shared" si="128"/>
        <v>200</v>
      </c>
      <c r="X687" s="158">
        <f t="shared" si="124"/>
        <v>196.078431372549</v>
      </c>
      <c r="Y687" s="158">
        <f t="shared" si="129"/>
        <v>3.92156862745099</v>
      </c>
      <c r="Z687" s="158">
        <v>10000</v>
      </c>
      <c r="AA687" s="158">
        <f t="shared" si="125"/>
        <v>0</v>
      </c>
      <c r="AB687" s="167">
        <f t="shared" si="134"/>
        <v>9803.92156862745</v>
      </c>
      <c r="AC687" s="168">
        <f t="shared" si="126"/>
        <v>196.078431372549</v>
      </c>
      <c r="AD687" s="158">
        <f t="shared" si="135"/>
        <v>9802.77351080772</v>
      </c>
      <c r="AE687" s="159">
        <v>0.1077</v>
      </c>
      <c r="AF687" s="158">
        <f t="shared" ref="AF687:AF750" si="136">AD687*AE687</f>
        <v>1055.75870711399</v>
      </c>
      <c r="AG687" s="158">
        <v>880.921568627451</v>
      </c>
      <c r="AH687" s="175"/>
      <c r="AI687" s="175"/>
      <c r="AJ687" s="156" t="s">
        <v>173</v>
      </c>
      <c r="AK687" s="140" t="s">
        <v>173</v>
      </c>
      <c r="AM687" s="152"/>
    </row>
    <row r="688" s="140" customFormat="1" ht="15" hidden="1" customHeight="1" spans="1:39">
      <c r="A688" s="140">
        <v>2017</v>
      </c>
      <c r="B688" s="140" t="s">
        <v>333</v>
      </c>
      <c r="C688" s="140" t="s">
        <v>54</v>
      </c>
      <c r="D688" s="140" t="s">
        <v>55</v>
      </c>
      <c r="E688" s="140" t="s">
        <v>64</v>
      </c>
      <c r="F688" s="140" t="s">
        <v>376</v>
      </c>
      <c r="G688" s="140" t="s">
        <v>796</v>
      </c>
      <c r="H688" s="140" t="s">
        <v>796</v>
      </c>
      <c r="I688" s="184" t="s">
        <v>204</v>
      </c>
      <c r="J688" s="140" t="s">
        <v>577</v>
      </c>
      <c r="K688" s="140" t="s">
        <v>578</v>
      </c>
      <c r="L688" s="140" t="s">
        <v>376</v>
      </c>
      <c r="M688" s="140" t="s">
        <v>46</v>
      </c>
      <c r="N688" s="157">
        <v>0.02</v>
      </c>
      <c r="O688" s="156" t="s">
        <v>51</v>
      </c>
      <c r="P688" s="156"/>
      <c r="Q688" s="158">
        <v>0</v>
      </c>
      <c r="R688" s="158">
        <v>0</v>
      </c>
      <c r="S688" s="158">
        <v>8485.87</v>
      </c>
      <c r="T688" s="158">
        <f t="shared" si="123"/>
        <v>169.7174</v>
      </c>
      <c r="U688" s="158">
        <f t="shared" si="127"/>
        <v>8655.5874</v>
      </c>
      <c r="V688" s="158">
        <v>30200</v>
      </c>
      <c r="W688" s="158">
        <f t="shared" si="128"/>
        <v>-21544.4126</v>
      </c>
      <c r="X688" s="158">
        <f t="shared" si="124"/>
        <v>-21121.9731372549</v>
      </c>
      <c r="Y688" s="158">
        <f t="shared" si="129"/>
        <v>-422.4394627451</v>
      </c>
      <c r="Z688" s="158">
        <v>8485.87</v>
      </c>
      <c r="AA688" s="158">
        <f t="shared" si="125"/>
        <v>21714.13</v>
      </c>
      <c r="AB688" s="167">
        <f t="shared" si="134"/>
        <v>8319.48039215686</v>
      </c>
      <c r="AC688" s="168">
        <f t="shared" si="126"/>
        <v>166.389607843137</v>
      </c>
      <c r="AD688" s="158">
        <f t="shared" si="135"/>
        <v>8318.50616521579</v>
      </c>
      <c r="AE688" s="159">
        <v>0.1077</v>
      </c>
      <c r="AF688" s="158">
        <f t="shared" si="136"/>
        <v>895.903113993741</v>
      </c>
      <c r="AG688" s="158">
        <v>747.538591156863</v>
      </c>
      <c r="AH688" s="175"/>
      <c r="AI688" s="175"/>
      <c r="AJ688" s="156" t="s">
        <v>173</v>
      </c>
      <c r="AK688" s="140" t="s">
        <v>173</v>
      </c>
      <c r="AM688" s="152"/>
    </row>
    <row r="689" s="140" customFormat="1" ht="15" hidden="1" customHeight="1" spans="1:39">
      <c r="A689" s="140">
        <v>2017</v>
      </c>
      <c r="B689" s="140" t="s">
        <v>333</v>
      </c>
      <c r="C689" s="140" t="s">
        <v>54</v>
      </c>
      <c r="D689" s="140" t="s">
        <v>55</v>
      </c>
      <c r="E689" s="140" t="s">
        <v>64</v>
      </c>
      <c r="F689" s="140" t="s">
        <v>376</v>
      </c>
      <c r="G689" s="140" t="s">
        <v>796</v>
      </c>
      <c r="H689" s="140" t="s">
        <v>796</v>
      </c>
      <c r="I689" s="184" t="s">
        <v>204</v>
      </c>
      <c r="J689" s="140" t="s">
        <v>577</v>
      </c>
      <c r="K689" s="140" t="s">
        <v>578</v>
      </c>
      <c r="L689" s="140" t="s">
        <v>376</v>
      </c>
      <c r="M689" s="140" t="s">
        <v>185</v>
      </c>
      <c r="N689" s="157">
        <v>0.08</v>
      </c>
      <c r="O689" s="156" t="s">
        <v>51</v>
      </c>
      <c r="P689" s="156"/>
      <c r="Q689" s="158">
        <v>0</v>
      </c>
      <c r="R689" s="158">
        <v>0</v>
      </c>
      <c r="S689" s="158">
        <v>10886.82</v>
      </c>
      <c r="T689" s="158">
        <f t="shared" si="123"/>
        <v>870.9456</v>
      </c>
      <c r="U689" s="158">
        <f t="shared" si="127"/>
        <v>11757.7656</v>
      </c>
      <c r="V689" s="158">
        <v>0</v>
      </c>
      <c r="W689" s="158">
        <f t="shared" si="128"/>
        <v>11757.7656</v>
      </c>
      <c r="X689" s="158">
        <f t="shared" si="124"/>
        <v>10886.82</v>
      </c>
      <c r="Y689" s="158">
        <f t="shared" si="129"/>
        <v>870.945600000001</v>
      </c>
      <c r="Z689" s="158">
        <v>10886.82</v>
      </c>
      <c r="AA689" s="158">
        <f t="shared" si="125"/>
        <v>-10886.82</v>
      </c>
      <c r="AB689" s="167">
        <f t="shared" si="134"/>
        <v>10080.3888888889</v>
      </c>
      <c r="AC689" s="168">
        <f t="shared" si="126"/>
        <v>806.431111111111</v>
      </c>
      <c r="AD689" s="158">
        <f t="shared" si="135"/>
        <v>10672.1030712932</v>
      </c>
      <c r="AE689" s="159">
        <v>0.3156</v>
      </c>
      <c r="AF689" s="158">
        <f t="shared" si="136"/>
        <v>3368.11572930012</v>
      </c>
      <c r="AG689" s="158">
        <v>2629.44928088889</v>
      </c>
      <c r="AH689" s="175"/>
      <c r="AI689" s="175"/>
      <c r="AJ689" s="156" t="s">
        <v>53</v>
      </c>
      <c r="AK689" s="140" t="s">
        <v>53</v>
      </c>
      <c r="AM689" s="152"/>
    </row>
    <row r="690" s="140" customFormat="1" ht="15" hidden="1" customHeight="1" spans="1:39">
      <c r="A690" s="140">
        <v>2017</v>
      </c>
      <c r="B690" s="140" t="s">
        <v>38</v>
      </c>
      <c r="C690" s="140" t="s">
        <v>54</v>
      </c>
      <c r="D690" s="140" t="s">
        <v>55</v>
      </c>
      <c r="E690" s="140" t="s">
        <v>64</v>
      </c>
      <c r="F690" s="140" t="s">
        <v>135</v>
      </c>
      <c r="G690" s="140" t="s">
        <v>135</v>
      </c>
      <c r="H690" s="140" t="s">
        <v>135</v>
      </c>
      <c r="I690" s="184" t="s">
        <v>204</v>
      </c>
      <c r="J690" s="140" t="s">
        <v>577</v>
      </c>
      <c r="K690" s="140" t="s">
        <v>578</v>
      </c>
      <c r="L690" s="140" t="s">
        <v>135</v>
      </c>
      <c r="M690" s="140" t="s">
        <v>46</v>
      </c>
      <c r="N690" s="157">
        <v>0.02</v>
      </c>
      <c r="O690" s="156" t="s">
        <v>51</v>
      </c>
      <c r="P690" s="156"/>
      <c r="Q690" s="158">
        <v>0</v>
      </c>
      <c r="R690" s="158">
        <v>0</v>
      </c>
      <c r="S690" s="158">
        <v>15750.71</v>
      </c>
      <c r="T690" s="158">
        <f t="shared" si="123"/>
        <v>315.0142</v>
      </c>
      <c r="U690" s="158">
        <f t="shared" si="127"/>
        <v>16065.7242</v>
      </c>
      <c r="V690" s="158">
        <v>16750.71</v>
      </c>
      <c r="W690" s="158">
        <f t="shared" si="128"/>
        <v>-684.9858</v>
      </c>
      <c r="X690" s="158">
        <f t="shared" si="124"/>
        <v>-671.554705882353</v>
      </c>
      <c r="Y690" s="158">
        <f t="shared" si="129"/>
        <v>-13.431094117647</v>
      </c>
      <c r="Z690" s="158">
        <v>15750.71</v>
      </c>
      <c r="AA690" s="158">
        <f t="shared" si="125"/>
        <v>1000</v>
      </c>
      <c r="AB690" s="167">
        <f t="shared" si="134"/>
        <v>15441.8725490196</v>
      </c>
      <c r="AC690" s="168">
        <f t="shared" si="126"/>
        <v>308.837450980393</v>
      </c>
      <c r="AD690" s="158">
        <f t="shared" si="135"/>
        <v>15440.0642764414</v>
      </c>
      <c r="AE690" s="159">
        <v>0.1077</v>
      </c>
      <c r="AF690" s="158">
        <f t="shared" si="136"/>
        <v>1662.89492257274</v>
      </c>
      <c r="AG690" s="158">
        <v>1387.51401601961</v>
      </c>
      <c r="AH690" s="175"/>
      <c r="AI690" s="175"/>
      <c r="AJ690" s="156" t="s">
        <v>173</v>
      </c>
      <c r="AK690" s="140" t="s">
        <v>173</v>
      </c>
      <c r="AM690" s="152"/>
    </row>
    <row r="691" s="140" customFormat="1" ht="15" hidden="1" customHeight="1" spans="1:39">
      <c r="A691" s="140">
        <v>2017</v>
      </c>
      <c r="B691" s="140" t="s">
        <v>38</v>
      </c>
      <c r="C691" s="140" t="s">
        <v>54</v>
      </c>
      <c r="D691" s="140" t="s">
        <v>55</v>
      </c>
      <c r="E691" s="140" t="s">
        <v>64</v>
      </c>
      <c r="F691" s="140" t="s">
        <v>135</v>
      </c>
      <c r="G691" s="140" t="s">
        <v>135</v>
      </c>
      <c r="H691" s="140" t="s">
        <v>135</v>
      </c>
      <c r="I691" s="184" t="s">
        <v>204</v>
      </c>
      <c r="J691" s="140" t="s">
        <v>577</v>
      </c>
      <c r="K691" s="140" t="s">
        <v>578</v>
      </c>
      <c r="L691" s="140" t="s">
        <v>135</v>
      </c>
      <c r="M691" s="140" t="s">
        <v>185</v>
      </c>
      <c r="N691" s="157">
        <v>0.08</v>
      </c>
      <c r="O691" s="156" t="s">
        <v>51</v>
      </c>
      <c r="P691" s="156"/>
      <c r="Q691" s="158">
        <v>0</v>
      </c>
      <c r="R691" s="158">
        <v>0</v>
      </c>
      <c r="S691" s="158">
        <v>1000</v>
      </c>
      <c r="T691" s="158">
        <f t="shared" si="123"/>
        <v>80</v>
      </c>
      <c r="U691" s="158">
        <f t="shared" si="127"/>
        <v>1080</v>
      </c>
      <c r="V691" s="158">
        <v>0</v>
      </c>
      <c r="W691" s="158">
        <f t="shared" si="128"/>
        <v>1080</v>
      </c>
      <c r="X691" s="158">
        <f t="shared" si="124"/>
        <v>1000</v>
      </c>
      <c r="Y691" s="158">
        <f t="shared" si="129"/>
        <v>80.0000000000001</v>
      </c>
      <c r="Z691" s="158">
        <v>1000</v>
      </c>
      <c r="AA691" s="158">
        <f t="shared" si="125"/>
        <v>-1000</v>
      </c>
      <c r="AB691" s="167">
        <f t="shared" si="134"/>
        <v>925.925925925926</v>
      </c>
      <c r="AC691" s="168">
        <f t="shared" si="126"/>
        <v>74.0740740740741</v>
      </c>
      <c r="AD691" s="158">
        <f t="shared" si="135"/>
        <v>980.277351080772</v>
      </c>
      <c r="AE691" s="159">
        <v>0.3156</v>
      </c>
      <c r="AF691" s="158">
        <f t="shared" si="136"/>
        <v>309.375532001092</v>
      </c>
      <c r="AG691" s="158">
        <v>241.525925925926</v>
      </c>
      <c r="AH691" s="175"/>
      <c r="AI691" s="175"/>
      <c r="AJ691" s="156" t="s">
        <v>53</v>
      </c>
      <c r="AK691" s="140" t="s">
        <v>53</v>
      </c>
      <c r="AM691" s="152"/>
    </row>
    <row r="692" s="140" customFormat="1" ht="15" hidden="1" customHeight="1" spans="1:39">
      <c r="A692" s="140">
        <v>2017</v>
      </c>
      <c r="B692" s="140" t="s">
        <v>38</v>
      </c>
      <c r="C692" s="140" t="s">
        <v>54</v>
      </c>
      <c r="D692" s="140" t="s">
        <v>55</v>
      </c>
      <c r="E692" s="140" t="s">
        <v>64</v>
      </c>
      <c r="F692" s="140" t="s">
        <v>797</v>
      </c>
      <c r="G692" s="140" t="s">
        <v>797</v>
      </c>
      <c r="H692" s="140" t="s">
        <v>797</v>
      </c>
      <c r="I692" s="184" t="s">
        <v>204</v>
      </c>
      <c r="J692" s="140" t="s">
        <v>577</v>
      </c>
      <c r="K692" s="140" t="s">
        <v>578</v>
      </c>
      <c r="L692" s="140" t="s">
        <v>797</v>
      </c>
      <c r="M692" s="140" t="s">
        <v>46</v>
      </c>
      <c r="N692" s="157">
        <v>0.02</v>
      </c>
      <c r="O692" s="156" t="s">
        <v>51</v>
      </c>
      <c r="P692" s="156"/>
      <c r="Q692" s="158">
        <v>0</v>
      </c>
      <c r="R692" s="158">
        <v>0</v>
      </c>
      <c r="S692" s="158">
        <v>205214.6</v>
      </c>
      <c r="T692" s="158">
        <f t="shared" si="123"/>
        <v>4104.292</v>
      </c>
      <c r="U692" s="158">
        <f t="shared" si="127"/>
        <v>209318.892</v>
      </c>
      <c r="V692" s="158">
        <v>230000</v>
      </c>
      <c r="W692" s="158">
        <f t="shared" si="128"/>
        <v>-20681.108</v>
      </c>
      <c r="X692" s="158">
        <f t="shared" si="124"/>
        <v>-20275.5960784314</v>
      </c>
      <c r="Y692" s="158">
        <f t="shared" si="129"/>
        <v>-405.511921568628</v>
      </c>
      <c r="Z692" s="158">
        <v>184926.5</v>
      </c>
      <c r="AA692" s="158">
        <f t="shared" si="125"/>
        <v>45073.5</v>
      </c>
      <c r="AB692" s="167">
        <f t="shared" si="134"/>
        <v>181300.490196078</v>
      </c>
      <c r="AC692" s="168">
        <f t="shared" si="126"/>
        <v>3626.00980392157</v>
      </c>
      <c r="AD692" s="158">
        <f t="shared" si="135"/>
        <v>181279.259564638</v>
      </c>
      <c r="AE692" s="159">
        <v>0.1077</v>
      </c>
      <c r="AF692" s="158">
        <f t="shared" si="136"/>
        <v>19523.7762551116</v>
      </c>
      <c r="AG692" s="158">
        <v>16290.5742460784</v>
      </c>
      <c r="AH692" s="175"/>
      <c r="AI692" s="175"/>
      <c r="AJ692" s="156" t="s">
        <v>173</v>
      </c>
      <c r="AK692" s="140" t="s">
        <v>173</v>
      </c>
      <c r="AM692" s="152"/>
    </row>
    <row r="693" s="140" customFormat="1" ht="15" hidden="1" customHeight="1" spans="1:39">
      <c r="A693" s="140">
        <v>2017</v>
      </c>
      <c r="B693" s="140" t="s">
        <v>38</v>
      </c>
      <c r="C693" s="140" t="s">
        <v>54</v>
      </c>
      <c r="D693" s="140" t="s">
        <v>55</v>
      </c>
      <c r="E693" s="140" t="s">
        <v>64</v>
      </c>
      <c r="F693" s="140" t="s">
        <v>797</v>
      </c>
      <c r="G693" s="140" t="s">
        <v>797</v>
      </c>
      <c r="H693" s="140" t="s">
        <v>797</v>
      </c>
      <c r="I693" s="184" t="s">
        <v>204</v>
      </c>
      <c r="J693" s="140" t="s">
        <v>577</v>
      </c>
      <c r="K693" s="140" t="s">
        <v>578</v>
      </c>
      <c r="L693" s="140" t="s">
        <v>797</v>
      </c>
      <c r="M693" s="140" t="s">
        <v>185</v>
      </c>
      <c r="N693" s="157">
        <v>0.08</v>
      </c>
      <c r="O693" s="156" t="s">
        <v>51</v>
      </c>
      <c r="P693" s="156"/>
      <c r="Q693" s="158">
        <v>0</v>
      </c>
      <c r="R693" s="158">
        <v>0</v>
      </c>
      <c r="S693" s="158">
        <v>45073.5</v>
      </c>
      <c r="T693" s="158">
        <f t="shared" si="123"/>
        <v>3605.88</v>
      </c>
      <c r="U693" s="158">
        <f t="shared" si="127"/>
        <v>48679.38</v>
      </c>
      <c r="V693" s="158">
        <v>0</v>
      </c>
      <c r="W693" s="158">
        <f t="shared" si="128"/>
        <v>48679.38</v>
      </c>
      <c r="X693" s="158">
        <f t="shared" si="124"/>
        <v>45073.5</v>
      </c>
      <c r="Y693" s="158">
        <f t="shared" si="129"/>
        <v>3605.88</v>
      </c>
      <c r="Z693" s="158">
        <v>45073.5</v>
      </c>
      <c r="AA693" s="158">
        <f t="shared" si="125"/>
        <v>-45073.5</v>
      </c>
      <c r="AB693" s="167">
        <f t="shared" si="134"/>
        <v>41734.7222222222</v>
      </c>
      <c r="AC693" s="168">
        <f t="shared" si="126"/>
        <v>3338.77777777778</v>
      </c>
      <c r="AD693" s="158">
        <f t="shared" si="135"/>
        <v>44184.5311839392</v>
      </c>
      <c r="AE693" s="159">
        <v>0.3156</v>
      </c>
      <c r="AF693" s="158">
        <f t="shared" si="136"/>
        <v>13944.6380416512</v>
      </c>
      <c r="AG693" s="158">
        <v>10886.4188222222</v>
      </c>
      <c r="AH693" s="175"/>
      <c r="AI693" s="175"/>
      <c r="AJ693" s="156" t="s">
        <v>53</v>
      </c>
      <c r="AK693" s="140" t="s">
        <v>53</v>
      </c>
      <c r="AM693" s="152"/>
    </row>
    <row r="694" s="140" customFormat="1" ht="15" hidden="1" customHeight="1" spans="1:39">
      <c r="A694" s="140">
        <v>2017</v>
      </c>
      <c r="B694" s="140" t="s">
        <v>38</v>
      </c>
      <c r="C694" s="140" t="s">
        <v>54</v>
      </c>
      <c r="D694" s="140" t="s">
        <v>55</v>
      </c>
      <c r="E694" s="140" t="s">
        <v>64</v>
      </c>
      <c r="F694" s="140" t="s">
        <v>798</v>
      </c>
      <c r="G694" s="140" t="s">
        <v>798</v>
      </c>
      <c r="H694" s="140" t="s">
        <v>798</v>
      </c>
      <c r="I694" s="184" t="s">
        <v>204</v>
      </c>
      <c r="J694" s="140" t="s">
        <v>577</v>
      </c>
      <c r="K694" s="140" t="s">
        <v>578</v>
      </c>
      <c r="L694" s="140" t="s">
        <v>799</v>
      </c>
      <c r="M694" s="140" t="s">
        <v>46</v>
      </c>
      <c r="N694" s="157">
        <v>0.02</v>
      </c>
      <c r="O694" s="156" t="s">
        <v>51</v>
      </c>
      <c r="P694" s="156"/>
      <c r="Q694" s="158">
        <v>0</v>
      </c>
      <c r="R694" s="158">
        <v>0</v>
      </c>
      <c r="S694" s="158">
        <v>49770.5</v>
      </c>
      <c r="T694" s="158">
        <f t="shared" si="123"/>
        <v>995.41</v>
      </c>
      <c r="U694" s="158">
        <f t="shared" si="127"/>
        <v>50765.91</v>
      </c>
      <c r="V694" s="158">
        <v>60000</v>
      </c>
      <c r="W694" s="158">
        <f t="shared" si="128"/>
        <v>-9234.09</v>
      </c>
      <c r="X694" s="158">
        <f t="shared" si="124"/>
        <v>-9053.0294117647</v>
      </c>
      <c r="Y694" s="158">
        <f t="shared" si="129"/>
        <v>-181.060588235294</v>
      </c>
      <c r="Z694" s="158">
        <v>49770.5</v>
      </c>
      <c r="AA694" s="158">
        <f t="shared" si="125"/>
        <v>10229.5</v>
      </c>
      <c r="AB694" s="167">
        <f t="shared" si="134"/>
        <v>48794.6078431373</v>
      </c>
      <c r="AC694" s="168">
        <f t="shared" si="126"/>
        <v>975.892156862748</v>
      </c>
      <c r="AD694" s="158">
        <f t="shared" si="135"/>
        <v>48788.8939019656</v>
      </c>
      <c r="AE694" s="159">
        <v>0.1077</v>
      </c>
      <c r="AF694" s="158">
        <f t="shared" si="136"/>
        <v>5254.56387324169</v>
      </c>
      <c r="AG694" s="158">
        <v>4384.39069313725</v>
      </c>
      <c r="AH694" s="175"/>
      <c r="AI694" s="175"/>
      <c r="AJ694" s="156" t="s">
        <v>173</v>
      </c>
      <c r="AK694" s="140" t="s">
        <v>173</v>
      </c>
      <c r="AM694" s="152"/>
    </row>
    <row r="695" s="140" customFormat="1" ht="15" hidden="1" customHeight="1" spans="1:39">
      <c r="A695" s="140">
        <v>2017</v>
      </c>
      <c r="B695" s="140" t="s">
        <v>38</v>
      </c>
      <c r="C695" s="140" t="s">
        <v>54</v>
      </c>
      <c r="D695" s="140" t="s">
        <v>55</v>
      </c>
      <c r="E695" s="140" t="s">
        <v>64</v>
      </c>
      <c r="F695" s="140" t="s">
        <v>800</v>
      </c>
      <c r="G695" s="140" t="s">
        <v>800</v>
      </c>
      <c r="H695" s="140" t="s">
        <v>800</v>
      </c>
      <c r="I695" s="184" t="s">
        <v>204</v>
      </c>
      <c r="J695" s="140" t="s">
        <v>577</v>
      </c>
      <c r="K695" s="140" t="s">
        <v>578</v>
      </c>
      <c r="L695" s="140" t="s">
        <v>800</v>
      </c>
      <c r="M695" s="140" t="s">
        <v>46</v>
      </c>
      <c r="N695" s="157">
        <v>0.03</v>
      </c>
      <c r="O695" s="156" t="s">
        <v>51</v>
      </c>
      <c r="P695" s="156"/>
      <c r="Q695" s="158">
        <v>0</v>
      </c>
      <c r="R695" s="158">
        <v>0</v>
      </c>
      <c r="S695" s="158">
        <v>13369.22</v>
      </c>
      <c r="T695" s="158">
        <f t="shared" si="123"/>
        <v>401.0766</v>
      </c>
      <c r="U695" s="158">
        <f t="shared" si="127"/>
        <v>13770.2966</v>
      </c>
      <c r="V695" s="158">
        <v>30000</v>
      </c>
      <c r="W695" s="158">
        <f t="shared" si="128"/>
        <v>-16229.7034</v>
      </c>
      <c r="X695" s="158">
        <f t="shared" si="124"/>
        <v>-15756.993592233</v>
      </c>
      <c r="Y695" s="158">
        <f t="shared" si="129"/>
        <v>-472.709807766991</v>
      </c>
      <c r="Z695" s="158">
        <v>13770.3</v>
      </c>
      <c r="AA695" s="158">
        <f t="shared" si="125"/>
        <v>16229.7</v>
      </c>
      <c r="AB695" s="167">
        <f t="shared" si="134"/>
        <v>13369.2233009709</v>
      </c>
      <c r="AC695" s="168">
        <f t="shared" si="126"/>
        <v>401.076699029127</v>
      </c>
      <c r="AD695" s="158">
        <f t="shared" si="135"/>
        <v>13498.7132075876</v>
      </c>
      <c r="AE695" s="159">
        <v>0.1077</v>
      </c>
      <c r="AF695" s="158">
        <f t="shared" si="136"/>
        <v>1453.81141245718</v>
      </c>
      <c r="AG695" s="158">
        <v>1081.98461097087</v>
      </c>
      <c r="AH695" s="175"/>
      <c r="AI695" s="175"/>
      <c r="AJ695" s="157">
        <v>0.03</v>
      </c>
      <c r="AK695" s="177">
        <v>0.03</v>
      </c>
      <c r="AM695" s="152"/>
    </row>
    <row r="696" s="140" customFormat="1" ht="15" hidden="1" customHeight="1" spans="1:39">
      <c r="A696" s="140">
        <v>2017</v>
      </c>
      <c r="B696" s="140" t="s">
        <v>38</v>
      </c>
      <c r="C696" s="140" t="s">
        <v>54</v>
      </c>
      <c r="D696" s="140" t="s">
        <v>55</v>
      </c>
      <c r="E696" s="140" t="s">
        <v>64</v>
      </c>
      <c r="F696" s="140" t="s">
        <v>800</v>
      </c>
      <c r="G696" s="140" t="s">
        <v>800</v>
      </c>
      <c r="H696" s="140" t="s">
        <v>800</v>
      </c>
      <c r="I696" s="184" t="s">
        <v>204</v>
      </c>
      <c r="J696" s="140" t="s">
        <v>577</v>
      </c>
      <c r="K696" s="140" t="s">
        <v>578</v>
      </c>
      <c r="L696" s="140" t="s">
        <v>800</v>
      </c>
      <c r="M696" s="140" t="s">
        <v>185</v>
      </c>
      <c r="N696" s="157">
        <v>0.08</v>
      </c>
      <c r="O696" s="156" t="s">
        <v>51</v>
      </c>
      <c r="P696" s="156"/>
      <c r="Q696" s="158">
        <v>0</v>
      </c>
      <c r="R696" s="158">
        <v>0</v>
      </c>
      <c r="S696" s="158">
        <v>6785.63</v>
      </c>
      <c r="T696" s="158">
        <f t="shared" si="123"/>
        <v>542.8504</v>
      </c>
      <c r="U696" s="158">
        <f t="shared" si="127"/>
        <v>7328.4804</v>
      </c>
      <c r="V696" s="158">
        <v>0</v>
      </c>
      <c r="W696" s="158">
        <f t="shared" si="128"/>
        <v>7328.4804</v>
      </c>
      <c r="X696" s="158">
        <f t="shared" si="124"/>
        <v>6785.63</v>
      </c>
      <c r="Y696" s="158">
        <f t="shared" si="129"/>
        <v>542.8504</v>
      </c>
      <c r="Z696" s="158">
        <v>6989.2</v>
      </c>
      <c r="AA696" s="158">
        <f t="shared" si="125"/>
        <v>-6989.2</v>
      </c>
      <c r="AB696" s="167">
        <f t="shared" si="134"/>
        <v>6471.48148148148</v>
      </c>
      <c r="AC696" s="168">
        <f t="shared" si="126"/>
        <v>517.718518518519</v>
      </c>
      <c r="AD696" s="158">
        <f t="shared" si="135"/>
        <v>6851.35446217373</v>
      </c>
      <c r="AE696" s="159">
        <v>0.3156</v>
      </c>
      <c r="AF696" s="158">
        <f t="shared" si="136"/>
        <v>2162.28746826203</v>
      </c>
      <c r="AG696" s="158">
        <v>1688.07300148148</v>
      </c>
      <c r="AH696" s="175"/>
      <c r="AI696" s="175"/>
      <c r="AJ696" s="157">
        <v>0.08</v>
      </c>
      <c r="AK696" s="177">
        <v>0.08</v>
      </c>
      <c r="AM696" s="152"/>
    </row>
    <row r="697" s="140" customFormat="1" ht="15" hidden="1" customHeight="1" spans="1:39">
      <c r="A697" s="140">
        <v>2017</v>
      </c>
      <c r="B697" s="140" t="s">
        <v>38</v>
      </c>
      <c r="C697" s="140" t="s">
        <v>54</v>
      </c>
      <c r="D697" s="140" t="s">
        <v>55</v>
      </c>
      <c r="E697" s="140" t="s">
        <v>64</v>
      </c>
      <c r="F697" s="140" t="s">
        <v>224</v>
      </c>
      <c r="G697" s="140" t="s">
        <v>224</v>
      </c>
      <c r="H697" s="140" t="s">
        <v>224</v>
      </c>
      <c r="I697" s="184" t="s">
        <v>204</v>
      </c>
      <c r="J697" s="140" t="s">
        <v>577</v>
      </c>
      <c r="K697" s="140" t="s">
        <v>578</v>
      </c>
      <c r="L697" s="140" t="s">
        <v>224</v>
      </c>
      <c r="M697" s="140" t="s">
        <v>46</v>
      </c>
      <c r="N697" s="157">
        <v>0.04</v>
      </c>
      <c r="O697" s="156" t="s">
        <v>51</v>
      </c>
      <c r="P697" s="156"/>
      <c r="Q697" s="158">
        <v>0</v>
      </c>
      <c r="R697" s="158">
        <v>0</v>
      </c>
      <c r="S697" s="158">
        <v>51439.34</v>
      </c>
      <c r="T697" s="158">
        <f t="shared" si="123"/>
        <v>2057.5736</v>
      </c>
      <c r="U697" s="158">
        <f t="shared" si="127"/>
        <v>53496.9136</v>
      </c>
      <c r="V697" s="158">
        <v>71400</v>
      </c>
      <c r="W697" s="158">
        <f t="shared" si="128"/>
        <v>-17903.0864</v>
      </c>
      <c r="X697" s="158">
        <f t="shared" si="124"/>
        <v>-17214.5061538462</v>
      </c>
      <c r="Y697" s="158">
        <f t="shared" si="129"/>
        <v>-688.580246153848</v>
      </c>
      <c r="Z697" s="158">
        <v>54185.5</v>
      </c>
      <c r="AA697" s="158">
        <f t="shared" si="125"/>
        <v>17214.5</v>
      </c>
      <c r="AB697" s="167">
        <f t="shared" si="134"/>
        <v>52101.4423076923</v>
      </c>
      <c r="AC697" s="168">
        <f t="shared" si="126"/>
        <v>2084.0576923077</v>
      </c>
      <c r="AD697" s="158">
        <f t="shared" si="135"/>
        <v>53116.8184069872</v>
      </c>
      <c r="AE697" s="159">
        <v>0.1077</v>
      </c>
      <c r="AF697" s="158">
        <f t="shared" si="136"/>
        <v>5720.68134243252</v>
      </c>
      <c r="AG697" s="158">
        <v>3751.72065769231</v>
      </c>
      <c r="AH697" s="175"/>
      <c r="AI697" s="175"/>
      <c r="AJ697" s="157">
        <v>0.04</v>
      </c>
      <c r="AK697" s="177">
        <v>0.04</v>
      </c>
      <c r="AM697" s="152"/>
    </row>
    <row r="698" s="140" customFormat="1" ht="15" hidden="1" customHeight="1" spans="1:39">
      <c r="A698" s="140">
        <v>2017</v>
      </c>
      <c r="B698" s="140" t="s">
        <v>38</v>
      </c>
      <c r="C698" s="140" t="s">
        <v>54</v>
      </c>
      <c r="D698" s="140" t="s">
        <v>102</v>
      </c>
      <c r="E698" s="140" t="s">
        <v>115</v>
      </c>
      <c r="F698" s="140" t="s">
        <v>801</v>
      </c>
      <c r="G698" s="140" t="s">
        <v>801</v>
      </c>
      <c r="H698" s="140" t="s">
        <v>801</v>
      </c>
      <c r="I698" s="184" t="s">
        <v>204</v>
      </c>
      <c r="J698" s="140" t="s">
        <v>577</v>
      </c>
      <c r="K698" s="140" t="s">
        <v>578</v>
      </c>
      <c r="L698" s="140" t="s">
        <v>802</v>
      </c>
      <c r="M698" s="140" t="s">
        <v>185</v>
      </c>
      <c r="N698" s="157">
        <v>0.15</v>
      </c>
      <c r="O698" s="156" t="s">
        <v>51</v>
      </c>
      <c r="P698" s="156"/>
      <c r="Q698" s="158">
        <v>0</v>
      </c>
      <c r="R698" s="158">
        <v>0</v>
      </c>
      <c r="S698" s="158">
        <v>1153.6</v>
      </c>
      <c r="T698" s="158">
        <f t="shared" si="123"/>
        <v>173.04</v>
      </c>
      <c r="U698" s="158">
        <f t="shared" si="127"/>
        <v>1326.64</v>
      </c>
      <c r="V698" s="158">
        <v>0</v>
      </c>
      <c r="W698" s="158">
        <f t="shared" si="128"/>
        <v>1326.64</v>
      </c>
      <c r="X698" s="158">
        <f t="shared" si="124"/>
        <v>1153.6</v>
      </c>
      <c r="Y698" s="158">
        <f t="shared" si="129"/>
        <v>173.04</v>
      </c>
      <c r="Z698" s="158">
        <v>1153.6</v>
      </c>
      <c r="AA698" s="158">
        <f t="shared" si="125"/>
        <v>-1153.6</v>
      </c>
      <c r="AB698" s="167">
        <f t="shared" si="134"/>
        <v>1003.13043478261</v>
      </c>
      <c r="AC698" s="168">
        <f t="shared" si="126"/>
        <v>150.469565217391</v>
      </c>
      <c r="AD698" s="158">
        <f t="shared" si="135"/>
        <v>1130.84795220678</v>
      </c>
      <c r="AE698" s="159">
        <v>0.3156</v>
      </c>
      <c r="AF698" s="158">
        <f t="shared" si="136"/>
        <v>356.895613716459</v>
      </c>
      <c r="AG698" s="158">
        <v>213.606594782609</v>
      </c>
      <c r="AH698" s="175"/>
      <c r="AI698" s="175"/>
      <c r="AJ698" s="156" t="s">
        <v>664</v>
      </c>
      <c r="AK698" s="140" t="s">
        <v>664</v>
      </c>
      <c r="AM698" s="152"/>
    </row>
    <row r="699" s="140" customFormat="1" ht="15" hidden="1" customHeight="1" spans="1:39">
      <c r="A699" s="140">
        <v>2017</v>
      </c>
      <c r="B699" s="140" t="s">
        <v>38</v>
      </c>
      <c r="C699" s="140" t="s">
        <v>54</v>
      </c>
      <c r="D699" s="140" t="s">
        <v>102</v>
      </c>
      <c r="E699" s="140" t="s">
        <v>115</v>
      </c>
      <c r="F699" s="140" t="s">
        <v>801</v>
      </c>
      <c r="G699" s="140" t="s">
        <v>801</v>
      </c>
      <c r="H699" s="140" t="s">
        <v>801</v>
      </c>
      <c r="I699" s="184" t="s">
        <v>204</v>
      </c>
      <c r="J699" s="140" t="s">
        <v>577</v>
      </c>
      <c r="K699" s="140" t="s">
        <v>578</v>
      </c>
      <c r="L699" s="140" t="s">
        <v>802</v>
      </c>
      <c r="M699" s="140" t="s">
        <v>46</v>
      </c>
      <c r="N699" s="156">
        <v>0.05</v>
      </c>
      <c r="O699" s="156" t="s">
        <v>51</v>
      </c>
      <c r="P699" s="156"/>
      <c r="Q699" s="158">
        <v>0</v>
      </c>
      <c r="R699" s="158">
        <v>0</v>
      </c>
      <c r="S699" s="158">
        <v>8846.4</v>
      </c>
      <c r="T699" s="158">
        <f t="shared" si="123"/>
        <v>442.32</v>
      </c>
      <c r="U699" s="158">
        <f t="shared" si="127"/>
        <v>9288.72</v>
      </c>
      <c r="V699" s="158">
        <v>10000</v>
      </c>
      <c r="W699" s="158">
        <f t="shared" si="128"/>
        <v>-711.280000000001</v>
      </c>
      <c r="X699" s="158">
        <f t="shared" si="124"/>
        <v>-677.409523809524</v>
      </c>
      <c r="Y699" s="158">
        <f t="shared" si="129"/>
        <v>-33.8704761904762</v>
      </c>
      <c r="Z699" s="158">
        <v>8846.4</v>
      </c>
      <c r="AA699" s="158">
        <f t="shared" si="125"/>
        <v>1153.6</v>
      </c>
      <c r="AB699" s="167">
        <f t="shared" si="134"/>
        <v>8425.14285714286</v>
      </c>
      <c r="AC699" s="168">
        <f t="shared" si="126"/>
        <v>421.257142857143</v>
      </c>
      <c r="AD699" s="158">
        <f t="shared" si="135"/>
        <v>8671.92555860094</v>
      </c>
      <c r="AE699" s="159">
        <v>0.1077</v>
      </c>
      <c r="AF699" s="158">
        <f t="shared" si="136"/>
        <v>933.966382661321</v>
      </c>
      <c r="AG699" s="158">
        <v>531.500137142857</v>
      </c>
      <c r="AH699" s="175"/>
      <c r="AI699" s="175"/>
      <c r="AJ699" s="156" t="s">
        <v>63</v>
      </c>
      <c r="AK699" s="140" t="s">
        <v>63</v>
      </c>
      <c r="AM699" s="152"/>
    </row>
    <row r="700" s="140" customFormat="1" ht="15" hidden="1" customHeight="1" spans="1:39">
      <c r="A700" s="140">
        <v>2017</v>
      </c>
      <c r="B700" s="140" t="s">
        <v>38</v>
      </c>
      <c r="C700" s="140" t="s">
        <v>54</v>
      </c>
      <c r="D700" s="140" t="s">
        <v>102</v>
      </c>
      <c r="E700" s="140" t="s">
        <v>115</v>
      </c>
      <c r="F700" s="140" t="s">
        <v>116</v>
      </c>
      <c r="G700" s="140" t="s">
        <v>116</v>
      </c>
      <c r="H700" s="140" t="s">
        <v>116</v>
      </c>
      <c r="I700" s="184" t="s">
        <v>204</v>
      </c>
      <c r="J700" s="140" t="s">
        <v>577</v>
      </c>
      <c r="K700" s="140" t="s">
        <v>578</v>
      </c>
      <c r="L700" s="140" t="s">
        <v>803</v>
      </c>
      <c r="M700" s="140" t="s">
        <v>46</v>
      </c>
      <c r="N700" s="157">
        <v>0.07</v>
      </c>
      <c r="O700" s="156" t="s">
        <v>51</v>
      </c>
      <c r="P700" s="156"/>
      <c r="Q700" s="158">
        <v>0</v>
      </c>
      <c r="R700" s="158">
        <v>0</v>
      </c>
      <c r="S700" s="158">
        <v>27378.1</v>
      </c>
      <c r="T700" s="158">
        <f t="shared" si="123"/>
        <v>1916.467</v>
      </c>
      <c r="U700" s="158">
        <f t="shared" si="127"/>
        <v>29294.567</v>
      </c>
      <c r="V700" s="158">
        <v>40000</v>
      </c>
      <c r="W700" s="158">
        <f t="shared" si="128"/>
        <v>-10705.433</v>
      </c>
      <c r="X700" s="158">
        <f t="shared" si="124"/>
        <v>-10005.0775700935</v>
      </c>
      <c r="Y700" s="158">
        <f t="shared" si="129"/>
        <v>-700.355429906544</v>
      </c>
      <c r="Z700" s="158">
        <v>28747</v>
      </c>
      <c r="AA700" s="158">
        <f t="shared" si="125"/>
        <v>11253</v>
      </c>
      <c r="AB700" s="167">
        <f t="shared" si="134"/>
        <v>26866.3551401869</v>
      </c>
      <c r="AC700" s="168">
        <f t="shared" si="126"/>
        <v>1880.64485981308</v>
      </c>
      <c r="AD700" s="158">
        <f t="shared" si="135"/>
        <v>28180.0330115189</v>
      </c>
      <c r="AE700" s="159">
        <v>0.1077</v>
      </c>
      <c r="AF700" s="158">
        <f t="shared" si="136"/>
        <v>3034.98955534059</v>
      </c>
      <c r="AG700" s="158">
        <v>1215.40704018692</v>
      </c>
      <c r="AH700" s="175"/>
      <c r="AI700" s="175"/>
      <c r="AJ700" s="156" t="s">
        <v>509</v>
      </c>
      <c r="AK700" s="140" t="s">
        <v>509</v>
      </c>
      <c r="AM700" s="152"/>
    </row>
    <row r="701" s="140" customFormat="1" ht="15" hidden="1" customHeight="1" spans="1:39">
      <c r="A701" s="140">
        <v>2017</v>
      </c>
      <c r="B701" s="140" t="s">
        <v>38</v>
      </c>
      <c r="C701" s="140" t="s">
        <v>54</v>
      </c>
      <c r="D701" s="140" t="s">
        <v>102</v>
      </c>
      <c r="E701" s="140" t="s">
        <v>115</v>
      </c>
      <c r="F701" s="140" t="s">
        <v>804</v>
      </c>
      <c r="G701" s="140" t="s">
        <v>804</v>
      </c>
      <c r="H701" s="140" t="s">
        <v>804</v>
      </c>
      <c r="I701" s="184" t="s">
        <v>204</v>
      </c>
      <c r="J701" s="140" t="s">
        <v>605</v>
      </c>
      <c r="K701" s="140" t="s">
        <v>641</v>
      </c>
      <c r="L701" s="140" t="s">
        <v>804</v>
      </c>
      <c r="M701" s="140" t="s">
        <v>46</v>
      </c>
      <c r="N701" s="157">
        <v>0.02</v>
      </c>
      <c r="O701" s="156" t="s">
        <v>51</v>
      </c>
      <c r="P701" s="156"/>
      <c r="Q701" s="158">
        <v>0</v>
      </c>
      <c r="R701" s="158">
        <v>0</v>
      </c>
      <c r="S701" s="158">
        <v>10000</v>
      </c>
      <c r="T701" s="158">
        <f t="shared" si="123"/>
        <v>200</v>
      </c>
      <c r="U701" s="158">
        <f t="shared" si="127"/>
        <v>10200</v>
      </c>
      <c r="V701" s="158">
        <v>10000</v>
      </c>
      <c r="W701" s="158">
        <f t="shared" si="128"/>
        <v>200</v>
      </c>
      <c r="X701" s="158">
        <f t="shared" si="124"/>
        <v>196.078431372549</v>
      </c>
      <c r="Y701" s="158">
        <f t="shared" si="129"/>
        <v>3.92156862745099</v>
      </c>
      <c r="Z701" s="158">
        <v>10000</v>
      </c>
      <c r="AA701" s="158">
        <f t="shared" si="125"/>
        <v>0</v>
      </c>
      <c r="AB701" s="167">
        <f t="shared" si="134"/>
        <v>9803.92156862745</v>
      </c>
      <c r="AC701" s="168">
        <f t="shared" si="126"/>
        <v>196.078431372549</v>
      </c>
      <c r="AD701" s="158">
        <v>10000</v>
      </c>
      <c r="AE701" s="159">
        <v>0.07</v>
      </c>
      <c r="AF701" s="158">
        <f t="shared" si="136"/>
        <v>700</v>
      </c>
      <c r="AG701" s="158">
        <v>503.921568627451</v>
      </c>
      <c r="AH701" s="175"/>
      <c r="AI701" s="175"/>
      <c r="AJ701" s="156" t="s">
        <v>173</v>
      </c>
      <c r="AK701" s="140" t="s">
        <v>173</v>
      </c>
      <c r="AM701" s="152"/>
    </row>
    <row r="702" s="140" customFormat="1" ht="15" hidden="1" customHeight="1" spans="1:39">
      <c r="A702" s="140">
        <v>2017</v>
      </c>
      <c r="B702" s="140" t="s">
        <v>199</v>
      </c>
      <c r="C702" s="140" t="s">
        <v>54</v>
      </c>
      <c r="D702" s="140" t="s">
        <v>102</v>
      </c>
      <c r="E702" s="140" t="s">
        <v>103</v>
      </c>
      <c r="F702" s="140" t="s">
        <v>514</v>
      </c>
      <c r="G702" s="140" t="s">
        <v>805</v>
      </c>
      <c r="H702" s="140" t="s">
        <v>516</v>
      </c>
      <c r="I702" s="184" t="s">
        <v>204</v>
      </c>
      <c r="J702" s="140" t="s">
        <v>577</v>
      </c>
      <c r="K702" s="140" t="s">
        <v>578</v>
      </c>
      <c r="L702" s="140" t="s">
        <v>806</v>
      </c>
      <c r="M702" s="140" t="s">
        <v>46</v>
      </c>
      <c r="N702" s="157">
        <v>0.03</v>
      </c>
      <c r="O702" s="156" t="s">
        <v>51</v>
      </c>
      <c r="P702" s="156"/>
      <c r="Q702" s="158">
        <v>13240.02</v>
      </c>
      <c r="R702" s="158">
        <v>0</v>
      </c>
      <c r="S702" s="158">
        <v>445235.56</v>
      </c>
      <c r="T702" s="158">
        <f t="shared" si="123"/>
        <v>13357.0668</v>
      </c>
      <c r="U702" s="158">
        <f t="shared" si="127"/>
        <v>458592.6268</v>
      </c>
      <c r="V702" s="158">
        <v>536221.45</v>
      </c>
      <c r="W702" s="158">
        <f t="shared" si="128"/>
        <v>-77628.8232</v>
      </c>
      <c r="X702" s="158">
        <f t="shared" si="124"/>
        <v>-75367.7895145631</v>
      </c>
      <c r="Y702" s="158">
        <f t="shared" si="129"/>
        <v>-2261.03368543689</v>
      </c>
      <c r="Z702" s="158">
        <v>360025.06</v>
      </c>
      <c r="AA702" s="158">
        <f t="shared" si="125"/>
        <v>189436.41</v>
      </c>
      <c r="AB702" s="167">
        <f>IF(O702="返货",(Z702-Q702)/(1+N702),IF(O702="返现",(Z702-Q702),IF(O702="折扣",(Z702-Q702)*N702,IF(O702="无",(Z702-Q702)))))</f>
        <v>336684.504854369</v>
      </c>
      <c r="AC702" s="168">
        <f t="shared" si="126"/>
        <v>23340.5551456311</v>
      </c>
      <c r="AD702" s="158">
        <f t="shared" ref="AD702:AD714" si="137">Z702*0.980277351080772</f>
        <v>352924.412139496</v>
      </c>
      <c r="AE702" s="159">
        <v>0.1077</v>
      </c>
      <c r="AF702" s="158">
        <f t="shared" si="136"/>
        <v>38009.9591874237</v>
      </c>
      <c r="AG702" s="158">
        <v>28288.5321658835</v>
      </c>
      <c r="AH702" s="175"/>
      <c r="AI702" s="175"/>
      <c r="AJ702" s="156" t="s">
        <v>189</v>
      </c>
      <c r="AK702" s="140" t="s">
        <v>189</v>
      </c>
      <c r="AM702" s="152"/>
    </row>
    <row r="703" s="140" customFormat="1" ht="15" hidden="1" customHeight="1" spans="1:39">
      <c r="A703" s="140">
        <v>2017</v>
      </c>
      <c r="B703" s="140" t="s">
        <v>199</v>
      </c>
      <c r="C703" s="140" t="s">
        <v>54</v>
      </c>
      <c r="D703" s="140" t="s">
        <v>102</v>
      </c>
      <c r="E703" s="140" t="s">
        <v>103</v>
      </c>
      <c r="F703" s="140" t="s">
        <v>514</v>
      </c>
      <c r="G703" s="140" t="s">
        <v>805</v>
      </c>
      <c r="H703" s="140" t="s">
        <v>516</v>
      </c>
      <c r="I703" s="184" t="s">
        <v>204</v>
      </c>
      <c r="J703" s="140" t="s">
        <v>577</v>
      </c>
      <c r="K703" s="140" t="s">
        <v>578</v>
      </c>
      <c r="L703" s="140" t="s">
        <v>806</v>
      </c>
      <c r="M703" s="140" t="s">
        <v>185</v>
      </c>
      <c r="N703" s="157">
        <v>0.09</v>
      </c>
      <c r="O703" s="156" t="s">
        <v>51</v>
      </c>
      <c r="P703" s="156"/>
      <c r="Q703" s="158">
        <v>36600.32</v>
      </c>
      <c r="R703" s="158">
        <v>0</v>
      </c>
      <c r="S703" s="158">
        <v>182712.42</v>
      </c>
      <c r="T703" s="158">
        <f t="shared" si="123"/>
        <v>16444.1178</v>
      </c>
      <c r="U703" s="158">
        <f t="shared" si="127"/>
        <v>199156.5378</v>
      </c>
      <c r="V703" s="158">
        <v>0</v>
      </c>
      <c r="W703" s="158">
        <f t="shared" si="128"/>
        <v>199156.5378</v>
      </c>
      <c r="X703" s="158">
        <f t="shared" si="124"/>
        <v>182712.42</v>
      </c>
      <c r="Y703" s="158">
        <f t="shared" si="129"/>
        <v>16444.1178</v>
      </c>
      <c r="Z703" s="158">
        <v>219584.71</v>
      </c>
      <c r="AA703" s="158">
        <f t="shared" si="125"/>
        <v>-182984.39</v>
      </c>
      <c r="AB703" s="167">
        <f>IF(O703="返货",(Z703-Q703)/(1+N703),IF(O703="返现",(Z703-Q703),IF(O703="折扣",(Z703-Q703)*N703,IF(O703="无",(Z703-Q703)))))</f>
        <v>167875.587155963</v>
      </c>
      <c r="AC703" s="168">
        <f t="shared" si="126"/>
        <v>51709.1228440367</v>
      </c>
      <c r="AD703" s="158">
        <f t="shared" si="137"/>
        <v>215253.917856639</v>
      </c>
      <c r="AE703" s="159">
        <v>0.3156</v>
      </c>
      <c r="AF703" s="158">
        <f t="shared" si="136"/>
        <v>67934.1364755554</v>
      </c>
      <c r="AG703" s="158">
        <v>51170.0868613211</v>
      </c>
      <c r="AH703" s="175"/>
      <c r="AI703" s="175"/>
      <c r="AJ703" s="156" t="s">
        <v>238</v>
      </c>
      <c r="AK703" s="140" t="s">
        <v>238</v>
      </c>
      <c r="AM703" s="152"/>
    </row>
    <row r="704" s="140" customFormat="1" ht="15" hidden="1" customHeight="1" spans="1:39">
      <c r="A704" s="140">
        <v>2017</v>
      </c>
      <c r="B704" s="140" t="s">
        <v>199</v>
      </c>
      <c r="C704" s="140" t="s">
        <v>54</v>
      </c>
      <c r="D704" s="140" t="s">
        <v>102</v>
      </c>
      <c r="E704" s="140" t="s">
        <v>103</v>
      </c>
      <c r="F704" s="140" t="s">
        <v>807</v>
      </c>
      <c r="G704" s="140" t="s">
        <v>808</v>
      </c>
      <c r="H704" s="140" t="s">
        <v>809</v>
      </c>
      <c r="I704" s="184" t="s">
        <v>204</v>
      </c>
      <c r="J704" s="140" t="s">
        <v>577</v>
      </c>
      <c r="K704" s="140" t="s">
        <v>578</v>
      </c>
      <c r="L704" s="140" t="s">
        <v>807</v>
      </c>
      <c r="M704" s="140" t="s">
        <v>46</v>
      </c>
      <c r="N704" s="157">
        <v>0.03</v>
      </c>
      <c r="O704" s="156" t="s">
        <v>51</v>
      </c>
      <c r="P704" s="156"/>
      <c r="Q704" s="158">
        <v>0</v>
      </c>
      <c r="R704" s="158">
        <v>0</v>
      </c>
      <c r="S704" s="158">
        <v>80000</v>
      </c>
      <c r="T704" s="158">
        <f t="shared" si="123"/>
        <v>2400</v>
      </c>
      <c r="U704" s="158">
        <f t="shared" si="127"/>
        <v>82400</v>
      </c>
      <c r="V704" s="158">
        <v>19380.7</v>
      </c>
      <c r="W704" s="158">
        <f t="shared" si="128"/>
        <v>63019.3</v>
      </c>
      <c r="X704" s="158">
        <f t="shared" si="124"/>
        <v>61183.786407767</v>
      </c>
      <c r="Y704" s="158">
        <f t="shared" si="129"/>
        <v>1835.51359223301</v>
      </c>
      <c r="Z704" s="158">
        <v>12473.4</v>
      </c>
      <c r="AA704" s="158">
        <f t="shared" si="125"/>
        <v>6907.3</v>
      </c>
      <c r="AB704" s="167">
        <f>IF(O704="返货",Z704/(1+N704),IF(O704="返现",Z704,IF(O704="折扣",Z704*N704,IF(O704="无",Z704))))</f>
        <v>12110.0970873786</v>
      </c>
      <c r="AC704" s="168">
        <f t="shared" si="126"/>
        <v>363.302912621359</v>
      </c>
      <c r="AD704" s="158">
        <f t="shared" si="137"/>
        <v>12227.3915109709</v>
      </c>
      <c r="AE704" s="159">
        <v>0.1077</v>
      </c>
      <c r="AF704" s="158">
        <f t="shared" si="136"/>
        <v>1316.89006573157</v>
      </c>
      <c r="AG704" s="158">
        <v>980.082267378641</v>
      </c>
      <c r="AH704" s="175"/>
      <c r="AI704" s="175"/>
      <c r="AJ704" s="156" t="s">
        <v>189</v>
      </c>
      <c r="AK704" s="140" t="s">
        <v>189</v>
      </c>
      <c r="AM704" s="152"/>
    </row>
    <row r="705" s="140" customFormat="1" ht="15" hidden="1" customHeight="1" spans="1:39">
      <c r="A705" s="140">
        <v>2017</v>
      </c>
      <c r="B705" s="140" t="s">
        <v>199</v>
      </c>
      <c r="C705" s="140" t="s">
        <v>54</v>
      </c>
      <c r="D705" s="140" t="s">
        <v>102</v>
      </c>
      <c r="E705" s="140" t="s">
        <v>103</v>
      </c>
      <c r="F705" s="140" t="s">
        <v>807</v>
      </c>
      <c r="G705" s="140" t="s">
        <v>808</v>
      </c>
      <c r="H705" s="140" t="s">
        <v>809</v>
      </c>
      <c r="I705" s="184" t="s">
        <v>204</v>
      </c>
      <c r="J705" s="140" t="s">
        <v>577</v>
      </c>
      <c r="K705" s="140" t="s">
        <v>578</v>
      </c>
      <c r="L705" s="140" t="s">
        <v>807</v>
      </c>
      <c r="M705" s="140" t="s">
        <v>160</v>
      </c>
      <c r="N705" s="156">
        <v>0</v>
      </c>
      <c r="O705" s="156" t="s">
        <v>47</v>
      </c>
      <c r="P705" s="156"/>
      <c r="Q705" s="158">
        <v>0</v>
      </c>
      <c r="R705" s="158">
        <v>0</v>
      </c>
      <c r="S705" s="158">
        <v>50000</v>
      </c>
      <c r="T705" s="158">
        <f t="shared" si="123"/>
        <v>0</v>
      </c>
      <c r="U705" s="158">
        <f t="shared" si="127"/>
        <v>50000</v>
      </c>
      <c r="V705" s="158">
        <v>69354.84</v>
      </c>
      <c r="W705" s="158">
        <f t="shared" si="128"/>
        <v>-19354.84</v>
      </c>
      <c r="X705" s="158">
        <f t="shared" si="124"/>
        <v>-19354.84</v>
      </c>
      <c r="Y705" s="158">
        <f t="shared" si="129"/>
        <v>0</v>
      </c>
      <c r="Z705" s="158">
        <v>69354.84</v>
      </c>
      <c r="AA705" s="158">
        <f t="shared" si="125"/>
        <v>0</v>
      </c>
      <c r="AB705" s="167">
        <f>IF(O705="返货",Z705/(1+N705),IF(O705="返现",Z705,IF(O705="折扣",Z705*N705,IF(O705="无",Z705))))</f>
        <v>69354.84</v>
      </c>
      <c r="AC705" s="168">
        <f t="shared" si="126"/>
        <v>0</v>
      </c>
      <c r="AD705" s="158">
        <f t="shared" si="137"/>
        <v>67986.9788398308</v>
      </c>
      <c r="AE705" s="159">
        <v>0.1077</v>
      </c>
      <c r="AF705" s="158">
        <f t="shared" si="136"/>
        <v>7322.19762104977</v>
      </c>
      <c r="AG705" s="158">
        <v>7469.516268</v>
      </c>
      <c r="AH705" s="175"/>
      <c r="AI705" s="175"/>
      <c r="AJ705" s="156" t="s">
        <v>47</v>
      </c>
      <c r="AK705" s="140" t="s">
        <v>47</v>
      </c>
      <c r="AM705" s="152"/>
    </row>
    <row r="706" s="140" customFormat="1" ht="15" hidden="1" customHeight="1" spans="1:39">
      <c r="A706" s="140">
        <v>2017</v>
      </c>
      <c r="B706" s="140" t="s">
        <v>199</v>
      </c>
      <c r="C706" s="140" t="s">
        <v>54</v>
      </c>
      <c r="D706" s="140" t="s">
        <v>102</v>
      </c>
      <c r="E706" s="140" t="s">
        <v>103</v>
      </c>
      <c r="F706" s="140" t="s">
        <v>389</v>
      </c>
      <c r="G706" s="140" t="s">
        <v>390</v>
      </c>
      <c r="H706" s="140" t="s">
        <v>391</v>
      </c>
      <c r="I706" s="184" t="s">
        <v>204</v>
      </c>
      <c r="J706" s="140" t="s">
        <v>577</v>
      </c>
      <c r="K706" s="140" t="s">
        <v>578</v>
      </c>
      <c r="L706" s="140" t="s">
        <v>810</v>
      </c>
      <c r="M706" s="140" t="s">
        <v>597</v>
      </c>
      <c r="N706" s="157">
        <v>0</v>
      </c>
      <c r="O706" s="156" t="s">
        <v>47</v>
      </c>
      <c r="P706" s="156"/>
      <c r="Q706" s="158">
        <v>0</v>
      </c>
      <c r="R706" s="158">
        <v>0</v>
      </c>
      <c r="S706" s="158">
        <v>81900</v>
      </c>
      <c r="T706" s="158">
        <f t="shared" ref="T706:T769" si="138">S706*N706</f>
        <v>0</v>
      </c>
      <c r="U706" s="158">
        <f t="shared" si="127"/>
        <v>81900</v>
      </c>
      <c r="V706" s="158">
        <v>81900</v>
      </c>
      <c r="W706" s="158">
        <f t="shared" si="128"/>
        <v>0</v>
      </c>
      <c r="X706" s="158">
        <f t="shared" ref="X706:X769" si="139">W706/(1+N706)</f>
        <v>0</v>
      </c>
      <c r="Y706" s="158">
        <f t="shared" si="129"/>
        <v>0</v>
      </c>
      <c r="Z706" s="158">
        <v>81900</v>
      </c>
      <c r="AA706" s="158">
        <f t="shared" ref="AA706:AA769" si="140">Q706+V706-Z706</f>
        <v>0</v>
      </c>
      <c r="AB706" s="167">
        <f>IF(O706="返货",Z706/(1+N706),IF(O706="返现",Z706,IF(O706="折扣",Z706*N706,IF(O706="无",Z706))))</f>
        <v>81900</v>
      </c>
      <c r="AC706" s="168">
        <f t="shared" ref="AC706:AC769" si="141">IF(O706="返现",Z706*N706,Z706-AB706)</f>
        <v>0</v>
      </c>
      <c r="AD706" s="158">
        <f t="shared" si="137"/>
        <v>80284.7150535152</v>
      </c>
      <c r="AE706" s="159">
        <v>0.3534</v>
      </c>
      <c r="AF706" s="158">
        <f t="shared" si="136"/>
        <v>28372.6182999123</v>
      </c>
      <c r="AG706" s="158">
        <v>28943.46</v>
      </c>
      <c r="AH706" s="175"/>
      <c r="AI706" s="175"/>
      <c r="AJ706" s="157">
        <v>1</v>
      </c>
      <c r="AK706" s="177">
        <v>1</v>
      </c>
      <c r="AM706" s="152"/>
    </row>
    <row r="707" s="140" customFormat="1" ht="15" hidden="1" customHeight="1" spans="1:39">
      <c r="A707" s="140">
        <v>2017</v>
      </c>
      <c r="B707" s="140" t="s">
        <v>199</v>
      </c>
      <c r="C707" s="140" t="s">
        <v>54</v>
      </c>
      <c r="D707" s="140" t="s">
        <v>102</v>
      </c>
      <c r="E707" s="140" t="s">
        <v>103</v>
      </c>
      <c r="F707" s="140" t="s">
        <v>389</v>
      </c>
      <c r="G707" s="140" t="s">
        <v>390</v>
      </c>
      <c r="H707" s="140" t="s">
        <v>391</v>
      </c>
      <c r="I707" s="184" t="s">
        <v>204</v>
      </c>
      <c r="J707" s="140" t="s">
        <v>577</v>
      </c>
      <c r="K707" s="140" t="s">
        <v>578</v>
      </c>
      <c r="L707" s="140" t="s">
        <v>810</v>
      </c>
      <c r="M707" s="140" t="s">
        <v>46</v>
      </c>
      <c r="N707" s="157">
        <v>0.03</v>
      </c>
      <c r="O707" s="156" t="s">
        <v>51</v>
      </c>
      <c r="P707" s="156"/>
      <c r="Q707" s="158">
        <v>75999.916</v>
      </c>
      <c r="R707" s="158">
        <v>0</v>
      </c>
      <c r="S707" s="158">
        <v>4857433.93</v>
      </c>
      <c r="T707" s="158">
        <f t="shared" si="138"/>
        <v>145723.0179</v>
      </c>
      <c r="U707" s="158">
        <f t="shared" ref="U707:U770" si="142">R707+S707+T707</f>
        <v>5003156.9479</v>
      </c>
      <c r="V707" s="158">
        <v>5595569.17</v>
      </c>
      <c r="W707" s="158">
        <f t="shared" ref="W707:W770" si="143">U707-V707</f>
        <v>-592412.2221</v>
      </c>
      <c r="X707" s="158">
        <f t="shared" si="139"/>
        <v>-575157.497184466</v>
      </c>
      <c r="Y707" s="158">
        <f t="shared" ref="Y707:Y770" si="144">W707-X707</f>
        <v>-17254.724915534</v>
      </c>
      <c r="Z707" s="158">
        <v>4919186.98</v>
      </c>
      <c r="AA707" s="158">
        <f t="shared" si="140"/>
        <v>752382.106</v>
      </c>
      <c r="AB707" s="167">
        <f>IF(O707="返货",(Z707-Q707)/(1+N707),IF(O707="返现",(Z707-Q707),IF(O707="折扣",(Z707-Q707)*N707,IF(O707="无",(Z707-Q707)))))</f>
        <v>4702123.3631068</v>
      </c>
      <c r="AC707" s="168">
        <f t="shared" si="141"/>
        <v>217063.616893204</v>
      </c>
      <c r="AD707" s="158">
        <f t="shared" si="137"/>
        <v>4822167.58222542</v>
      </c>
      <c r="AE707" s="159">
        <v>0.1077</v>
      </c>
      <c r="AF707" s="158">
        <f t="shared" si="136"/>
        <v>519347.448605678</v>
      </c>
      <c r="AG707" s="158">
        <v>386519.147066388</v>
      </c>
      <c r="AH707" s="175"/>
      <c r="AI707" s="175"/>
      <c r="AJ707" s="156" t="s">
        <v>189</v>
      </c>
      <c r="AK707" s="140" t="s">
        <v>189</v>
      </c>
      <c r="AM707" s="152"/>
    </row>
    <row r="708" s="140" customFormat="1" ht="15" hidden="1" customHeight="1" spans="1:39">
      <c r="A708" s="140">
        <v>2017</v>
      </c>
      <c r="B708" s="140" t="s">
        <v>199</v>
      </c>
      <c r="C708" s="140" t="s">
        <v>54</v>
      </c>
      <c r="D708" s="140" t="s">
        <v>102</v>
      </c>
      <c r="E708" s="140" t="s">
        <v>103</v>
      </c>
      <c r="F708" s="140" t="s">
        <v>389</v>
      </c>
      <c r="G708" s="140" t="s">
        <v>390</v>
      </c>
      <c r="H708" s="140" t="s">
        <v>391</v>
      </c>
      <c r="I708" s="184" t="s">
        <v>204</v>
      </c>
      <c r="J708" s="140" t="s">
        <v>577</v>
      </c>
      <c r="K708" s="140" t="s">
        <v>578</v>
      </c>
      <c r="L708" s="140" t="s">
        <v>810</v>
      </c>
      <c r="M708" s="140" t="s">
        <v>185</v>
      </c>
      <c r="N708" s="157">
        <v>0.09</v>
      </c>
      <c r="O708" s="156" t="s">
        <v>51</v>
      </c>
      <c r="P708" s="156"/>
      <c r="Q708" s="158">
        <v>28783.91904</v>
      </c>
      <c r="R708" s="158">
        <v>0</v>
      </c>
      <c r="S708" s="158">
        <v>560356.05</v>
      </c>
      <c r="T708" s="158">
        <f t="shared" si="138"/>
        <v>50432.0445</v>
      </c>
      <c r="U708" s="158">
        <f t="shared" si="142"/>
        <v>610788.0945</v>
      </c>
      <c r="V708" s="158">
        <v>0</v>
      </c>
      <c r="W708" s="158">
        <f t="shared" si="143"/>
        <v>610788.0945</v>
      </c>
      <c r="X708" s="158">
        <f t="shared" si="139"/>
        <v>560356.05</v>
      </c>
      <c r="Y708" s="158">
        <f t="shared" si="144"/>
        <v>50432.0445000001</v>
      </c>
      <c r="Z708" s="158">
        <v>573004.95</v>
      </c>
      <c r="AA708" s="158">
        <f t="shared" si="140"/>
        <v>-544221.03096</v>
      </c>
      <c r="AB708" s="167">
        <f>IF(O708="返货",(Z708-Q708)/(1+N708),IF(O708="返现",(Z708-Q708),IF(O708="折扣",(Z708-Q708)*N708,IF(O708="无",(Z708-Q708)))))</f>
        <v>499285.349504587</v>
      </c>
      <c r="AC708" s="168">
        <f t="shared" si="141"/>
        <v>73719.6004954128</v>
      </c>
      <c r="AD708" s="158">
        <f t="shared" si="137"/>
        <v>561703.77454217</v>
      </c>
      <c r="AE708" s="159">
        <v>0.3156</v>
      </c>
      <c r="AF708" s="158">
        <f t="shared" si="136"/>
        <v>177273.711245509</v>
      </c>
      <c r="AG708" s="158">
        <v>133528.026898899</v>
      </c>
      <c r="AH708" s="175"/>
      <c r="AI708" s="175"/>
      <c r="AJ708" s="156" t="s">
        <v>238</v>
      </c>
      <c r="AK708" s="140" t="s">
        <v>238</v>
      </c>
      <c r="AM708" s="152"/>
    </row>
    <row r="709" s="140" customFormat="1" ht="15" hidden="1" customHeight="1" spans="1:39">
      <c r="A709" s="140">
        <v>2017</v>
      </c>
      <c r="B709" s="140" t="s">
        <v>199</v>
      </c>
      <c r="C709" s="140" t="s">
        <v>54</v>
      </c>
      <c r="D709" s="140" t="s">
        <v>102</v>
      </c>
      <c r="E709" s="140" t="s">
        <v>103</v>
      </c>
      <c r="F709" s="140" t="s">
        <v>389</v>
      </c>
      <c r="G709" s="140" t="s">
        <v>390</v>
      </c>
      <c r="H709" s="140" t="s">
        <v>391</v>
      </c>
      <c r="I709" s="184" t="s">
        <v>204</v>
      </c>
      <c r="J709" s="140" t="s">
        <v>577</v>
      </c>
      <c r="K709" s="140" t="s">
        <v>578</v>
      </c>
      <c r="L709" s="140" t="s">
        <v>810</v>
      </c>
      <c r="M709" s="140" t="s">
        <v>160</v>
      </c>
      <c r="N709" s="156">
        <v>0</v>
      </c>
      <c r="O709" s="156" t="s">
        <v>47</v>
      </c>
      <c r="P709" s="156"/>
      <c r="Q709" s="158">
        <v>0</v>
      </c>
      <c r="R709" s="158">
        <v>0</v>
      </c>
      <c r="S709" s="158">
        <v>269354.84</v>
      </c>
      <c r="T709" s="158">
        <f t="shared" si="138"/>
        <v>0</v>
      </c>
      <c r="U709" s="158">
        <f t="shared" si="142"/>
        <v>269354.84</v>
      </c>
      <c r="V709" s="158">
        <v>266129.03</v>
      </c>
      <c r="W709" s="158">
        <f t="shared" si="143"/>
        <v>3225.81</v>
      </c>
      <c r="X709" s="158">
        <f t="shared" si="139"/>
        <v>3225.81</v>
      </c>
      <c r="Y709" s="158">
        <f t="shared" si="144"/>
        <v>0</v>
      </c>
      <c r="Z709" s="158">
        <v>266129.03</v>
      </c>
      <c r="AA709" s="158">
        <f t="shared" si="140"/>
        <v>0</v>
      </c>
      <c r="AB709" s="167">
        <f>IF(O709="返货",Z709/(1+N709),IF(O709="返现",Z709,IF(O709="折扣",Z709*N709,IF(O709="无",Z709))))</f>
        <v>266129.03</v>
      </c>
      <c r="AC709" s="168">
        <f t="shared" si="141"/>
        <v>0</v>
      </c>
      <c r="AD709" s="158">
        <f t="shared" si="137"/>
        <v>260880.260574095</v>
      </c>
      <c r="AE709" s="159">
        <v>0.1077</v>
      </c>
      <c r="AF709" s="158">
        <f t="shared" si="136"/>
        <v>28096.8040638301</v>
      </c>
      <c r="AG709" s="158">
        <v>28662.096531</v>
      </c>
      <c r="AH709" s="175"/>
      <c r="AI709" s="175"/>
      <c r="AJ709" s="156" t="s">
        <v>47</v>
      </c>
      <c r="AK709" s="140" t="s">
        <v>47</v>
      </c>
      <c r="AM709" s="152"/>
    </row>
    <row r="710" s="140" customFormat="1" ht="15" hidden="1" customHeight="1" spans="1:39">
      <c r="A710" s="140">
        <v>2017</v>
      </c>
      <c r="B710" s="140" t="s">
        <v>38</v>
      </c>
      <c r="C710" s="140" t="s">
        <v>54</v>
      </c>
      <c r="D710" s="140" t="s">
        <v>102</v>
      </c>
      <c r="E710" s="140" t="s">
        <v>103</v>
      </c>
      <c r="F710" s="140" t="s">
        <v>395</v>
      </c>
      <c r="G710" s="140" t="s">
        <v>395</v>
      </c>
      <c r="H710" s="140" t="s">
        <v>395</v>
      </c>
      <c r="I710" s="184" t="s">
        <v>204</v>
      </c>
      <c r="J710" s="140" t="s">
        <v>577</v>
      </c>
      <c r="K710" s="140" t="s">
        <v>578</v>
      </c>
      <c r="L710" s="140" t="s">
        <v>395</v>
      </c>
      <c r="M710" s="140" t="s">
        <v>46</v>
      </c>
      <c r="N710" s="157">
        <v>0.02</v>
      </c>
      <c r="O710" s="156" t="s">
        <v>51</v>
      </c>
      <c r="P710" s="156"/>
      <c r="Q710" s="158">
        <v>0</v>
      </c>
      <c r="R710" s="158">
        <v>0</v>
      </c>
      <c r="S710" s="158">
        <v>10114926.99</v>
      </c>
      <c r="T710" s="158">
        <f t="shared" si="138"/>
        <v>202298.5398</v>
      </c>
      <c r="U710" s="158">
        <f t="shared" si="142"/>
        <v>10317225.5298</v>
      </c>
      <c r="V710" s="158">
        <v>11520483.86</v>
      </c>
      <c r="W710" s="158">
        <f t="shared" si="143"/>
        <v>-1203258.3302</v>
      </c>
      <c r="X710" s="158">
        <f t="shared" si="139"/>
        <v>-1179665.02960784</v>
      </c>
      <c r="Y710" s="158">
        <f t="shared" si="144"/>
        <v>-23593.3005921568</v>
      </c>
      <c r="Z710" s="158">
        <v>10185410.85</v>
      </c>
      <c r="AA710" s="158">
        <f t="shared" si="140"/>
        <v>1335073.01</v>
      </c>
      <c r="AB710" s="167">
        <f>IF(O710="返货",Z710/(1+N710),IF(O710="返现",Z710,IF(O710="折扣",Z710*N710,IF(O710="无",Z710))))</f>
        <v>9985696.91176471</v>
      </c>
      <c r="AC710" s="168">
        <f t="shared" si="141"/>
        <v>199713.938235294</v>
      </c>
      <c r="AD710" s="158">
        <f t="shared" si="137"/>
        <v>9984527.56770735</v>
      </c>
      <c r="AE710" s="159">
        <v>0.1077</v>
      </c>
      <c r="AF710" s="158">
        <f t="shared" si="136"/>
        <v>1075333.61904208</v>
      </c>
      <c r="AG710" s="158">
        <v>897254.810309706</v>
      </c>
      <c r="AH710" s="175"/>
      <c r="AI710" s="175"/>
      <c r="AJ710" s="156" t="s">
        <v>173</v>
      </c>
      <c r="AK710" s="140" t="s">
        <v>173</v>
      </c>
      <c r="AM710" s="152"/>
    </row>
    <row r="711" s="140" customFormat="1" ht="15" hidden="1" customHeight="1" spans="1:39">
      <c r="A711" s="140">
        <v>2017</v>
      </c>
      <c r="B711" s="140" t="s">
        <v>38</v>
      </c>
      <c r="C711" s="140" t="s">
        <v>54</v>
      </c>
      <c r="D711" s="140" t="s">
        <v>102</v>
      </c>
      <c r="E711" s="140" t="s">
        <v>103</v>
      </c>
      <c r="F711" s="140" t="s">
        <v>395</v>
      </c>
      <c r="G711" s="140" t="s">
        <v>395</v>
      </c>
      <c r="H711" s="140" t="s">
        <v>395</v>
      </c>
      <c r="I711" s="184" t="s">
        <v>204</v>
      </c>
      <c r="J711" s="140" t="s">
        <v>577</v>
      </c>
      <c r="K711" s="140" t="s">
        <v>578</v>
      </c>
      <c r="L711" s="140" t="s">
        <v>395</v>
      </c>
      <c r="M711" s="140" t="s">
        <v>185</v>
      </c>
      <c r="N711" s="157">
        <v>0.08</v>
      </c>
      <c r="O711" s="156" t="s">
        <v>51</v>
      </c>
      <c r="P711" s="156"/>
      <c r="Q711" s="158">
        <v>0</v>
      </c>
      <c r="R711" s="158">
        <v>0</v>
      </c>
      <c r="S711" s="158">
        <v>965799.51</v>
      </c>
      <c r="T711" s="158">
        <f t="shared" si="138"/>
        <v>77263.9608</v>
      </c>
      <c r="U711" s="158">
        <f t="shared" si="142"/>
        <v>1043063.4708</v>
      </c>
      <c r="V711" s="158">
        <v>0</v>
      </c>
      <c r="W711" s="158">
        <f t="shared" si="143"/>
        <v>1043063.4708</v>
      </c>
      <c r="X711" s="158">
        <f t="shared" si="139"/>
        <v>965799.51</v>
      </c>
      <c r="Y711" s="158">
        <f t="shared" si="144"/>
        <v>77263.9608000001</v>
      </c>
      <c r="Z711" s="158">
        <v>965799.51</v>
      </c>
      <c r="AA711" s="158">
        <f t="shared" si="140"/>
        <v>-965799.51</v>
      </c>
      <c r="AB711" s="167">
        <f>IF(O711="返货",Z711/(1+N711),IF(O711="返现",Z711,IF(O711="折扣",Z711*N711,IF(O711="无",Z711))))</f>
        <v>894258.805555556</v>
      </c>
      <c r="AC711" s="168">
        <f t="shared" si="141"/>
        <v>71540.7044444445</v>
      </c>
      <c r="AD711" s="158">
        <f t="shared" si="137"/>
        <v>946751.385337908</v>
      </c>
      <c r="AE711" s="159">
        <v>0.3156</v>
      </c>
      <c r="AF711" s="158">
        <f t="shared" si="136"/>
        <v>298794.737212644</v>
      </c>
      <c r="AG711" s="158">
        <v>233265.620911555</v>
      </c>
      <c r="AH711" s="175"/>
      <c r="AI711" s="175"/>
      <c r="AJ711" s="156" t="s">
        <v>53</v>
      </c>
      <c r="AK711" s="140" t="s">
        <v>53</v>
      </c>
      <c r="AM711" s="152"/>
    </row>
    <row r="712" s="140" customFormat="1" ht="15" hidden="1" customHeight="1" spans="1:39">
      <c r="A712" s="140">
        <v>2017</v>
      </c>
      <c r="B712" s="140" t="s">
        <v>38</v>
      </c>
      <c r="C712" s="140" t="s">
        <v>54</v>
      </c>
      <c r="D712" s="140" t="s">
        <v>102</v>
      </c>
      <c r="E712" s="140" t="s">
        <v>103</v>
      </c>
      <c r="F712" s="140" t="s">
        <v>637</v>
      </c>
      <c r="G712" s="140" t="s">
        <v>637</v>
      </c>
      <c r="H712" s="140" t="s">
        <v>637</v>
      </c>
      <c r="I712" s="184" t="s">
        <v>204</v>
      </c>
      <c r="J712" s="140" t="s">
        <v>577</v>
      </c>
      <c r="K712" s="140" t="s">
        <v>578</v>
      </c>
      <c r="L712" s="140" t="s">
        <v>637</v>
      </c>
      <c r="M712" s="140" t="s">
        <v>46</v>
      </c>
      <c r="N712" s="157">
        <v>0.02</v>
      </c>
      <c r="O712" s="156" t="s">
        <v>51</v>
      </c>
      <c r="P712" s="156" t="s">
        <v>161</v>
      </c>
      <c r="Q712" s="158">
        <v>0</v>
      </c>
      <c r="R712" s="158">
        <v>0</v>
      </c>
      <c r="S712" s="158">
        <v>141557.03</v>
      </c>
      <c r="T712" s="158">
        <f t="shared" si="138"/>
        <v>2831.1406</v>
      </c>
      <c r="U712" s="158">
        <f t="shared" si="142"/>
        <v>144388.1706</v>
      </c>
      <c r="V712" s="158">
        <v>250000</v>
      </c>
      <c r="W712" s="158">
        <f t="shared" si="143"/>
        <v>-105611.8294</v>
      </c>
      <c r="X712" s="158">
        <f t="shared" si="139"/>
        <v>-103541.009215686</v>
      </c>
      <c r="Y712" s="158">
        <f t="shared" si="144"/>
        <v>-2070.82018431372</v>
      </c>
      <c r="Z712" s="158">
        <v>129057.03</v>
      </c>
      <c r="AA712" s="158">
        <f t="shared" si="140"/>
        <v>120942.97</v>
      </c>
      <c r="AB712" s="167">
        <f>Z712/(1+N712)*(1+5%)</f>
        <v>132852.825</v>
      </c>
      <c r="AC712" s="168">
        <f t="shared" si="141"/>
        <v>-3795.79500000001</v>
      </c>
      <c r="AD712" s="158">
        <f t="shared" si="137"/>
        <v>126511.683506752</v>
      </c>
      <c r="AE712" s="159">
        <v>0.1077</v>
      </c>
      <c r="AF712" s="158">
        <f t="shared" si="136"/>
        <v>13625.3083136772</v>
      </c>
      <c r="AG712" s="158">
        <v>11368.912131</v>
      </c>
      <c r="AH712" s="175"/>
      <c r="AI712" s="175"/>
      <c r="AJ712" s="156" t="s">
        <v>173</v>
      </c>
      <c r="AK712" s="140" t="s">
        <v>173</v>
      </c>
      <c r="AM712" s="152"/>
    </row>
    <row r="713" s="140" customFormat="1" ht="15" hidden="1" customHeight="1" spans="1:39">
      <c r="A713" s="140">
        <v>2017</v>
      </c>
      <c r="B713" s="140" t="s">
        <v>38</v>
      </c>
      <c r="C713" s="140" t="s">
        <v>54</v>
      </c>
      <c r="D713" s="140" t="s">
        <v>102</v>
      </c>
      <c r="E713" s="140" t="s">
        <v>103</v>
      </c>
      <c r="F713" s="140" t="s">
        <v>637</v>
      </c>
      <c r="G713" s="140" t="s">
        <v>637</v>
      </c>
      <c r="H713" s="140" t="s">
        <v>637</v>
      </c>
      <c r="I713" s="184" t="s">
        <v>204</v>
      </c>
      <c r="J713" s="140" t="s">
        <v>577</v>
      </c>
      <c r="K713" s="140" t="s">
        <v>578</v>
      </c>
      <c r="L713" s="140" t="s">
        <v>811</v>
      </c>
      <c r="M713" s="140" t="s">
        <v>185</v>
      </c>
      <c r="N713" s="157">
        <v>0.08</v>
      </c>
      <c r="O713" s="156" t="s">
        <v>51</v>
      </c>
      <c r="P713" s="156" t="s">
        <v>161</v>
      </c>
      <c r="Q713" s="158">
        <v>0</v>
      </c>
      <c r="R713" s="158">
        <v>0</v>
      </c>
      <c r="S713" s="158">
        <v>120942.97</v>
      </c>
      <c r="T713" s="158">
        <f t="shared" si="138"/>
        <v>9675.4376</v>
      </c>
      <c r="U713" s="158">
        <f t="shared" si="142"/>
        <v>130618.4076</v>
      </c>
      <c r="V713" s="158">
        <v>0</v>
      </c>
      <c r="W713" s="158">
        <f t="shared" si="143"/>
        <v>130618.4076</v>
      </c>
      <c r="X713" s="158">
        <f t="shared" si="139"/>
        <v>120942.97</v>
      </c>
      <c r="Y713" s="158">
        <f t="shared" si="144"/>
        <v>9675.4376</v>
      </c>
      <c r="Z713" s="158">
        <v>120942.97</v>
      </c>
      <c r="AA713" s="158">
        <f t="shared" si="140"/>
        <v>-120942.97</v>
      </c>
      <c r="AB713" s="167">
        <f>Z713/(1+N713)*(1+5%)</f>
        <v>117583.443055556</v>
      </c>
      <c r="AC713" s="168">
        <f t="shared" si="141"/>
        <v>3359.52694444444</v>
      </c>
      <c r="AD713" s="158">
        <f t="shared" si="137"/>
        <v>118557.654263441</v>
      </c>
      <c r="AE713" s="159">
        <v>0.3156</v>
      </c>
      <c r="AF713" s="158">
        <f t="shared" si="136"/>
        <v>37416.7956855421</v>
      </c>
      <c r="AG713" s="158">
        <v>29210.8628134815</v>
      </c>
      <c r="AH713" s="175"/>
      <c r="AI713" s="175"/>
      <c r="AJ713" s="156" t="s">
        <v>53</v>
      </c>
      <c r="AK713" s="140" t="s">
        <v>53</v>
      </c>
      <c r="AM713" s="152"/>
    </row>
    <row r="714" s="140" customFormat="1" ht="15" hidden="1" customHeight="1" spans="1:39">
      <c r="A714" s="140">
        <v>2017</v>
      </c>
      <c r="B714" s="140" t="s">
        <v>38</v>
      </c>
      <c r="C714" s="140" t="s">
        <v>200</v>
      </c>
      <c r="D714" s="140" t="s">
        <v>201</v>
      </c>
      <c r="E714" s="140" t="s">
        <v>812</v>
      </c>
      <c r="F714" s="140" t="s">
        <v>813</v>
      </c>
      <c r="G714" s="140" t="s">
        <v>813</v>
      </c>
      <c r="H714" s="140" t="s">
        <v>813</v>
      </c>
      <c r="I714" s="184" t="s">
        <v>204</v>
      </c>
      <c r="J714" s="140" t="s">
        <v>577</v>
      </c>
      <c r="K714" s="140" t="s">
        <v>578</v>
      </c>
      <c r="L714" s="140" t="s">
        <v>813</v>
      </c>
      <c r="M714" s="140" t="s">
        <v>46</v>
      </c>
      <c r="N714" s="157">
        <v>0.02</v>
      </c>
      <c r="O714" s="156" t="s">
        <v>51</v>
      </c>
      <c r="P714" s="156"/>
      <c r="Q714" s="158">
        <v>0</v>
      </c>
      <c r="R714" s="158">
        <v>0</v>
      </c>
      <c r="S714" s="158">
        <v>7304.9</v>
      </c>
      <c r="T714" s="158">
        <f t="shared" si="138"/>
        <v>146.098</v>
      </c>
      <c r="U714" s="158">
        <f t="shared" si="142"/>
        <v>7450.998</v>
      </c>
      <c r="V714" s="158">
        <v>10000</v>
      </c>
      <c r="W714" s="158">
        <f t="shared" si="143"/>
        <v>-2549.002</v>
      </c>
      <c r="X714" s="158">
        <f t="shared" si="139"/>
        <v>-2499.02156862745</v>
      </c>
      <c r="Y714" s="158">
        <f t="shared" si="144"/>
        <v>-49.980431372549</v>
      </c>
      <c r="Z714" s="158">
        <v>7304.9</v>
      </c>
      <c r="AA714" s="158">
        <f t="shared" si="140"/>
        <v>2695.1</v>
      </c>
      <c r="AB714" s="167">
        <f t="shared" ref="AB714:AB724" si="145">IF(O714="返货",Z714/(1+N714),IF(O714="返现",Z714,IF(O714="折扣",Z714*N714,IF(O714="无",Z714))))</f>
        <v>7161.66666666667</v>
      </c>
      <c r="AC714" s="168">
        <f t="shared" si="141"/>
        <v>143.233333333334</v>
      </c>
      <c r="AD714" s="158">
        <f t="shared" si="137"/>
        <v>7160.82802190993</v>
      </c>
      <c r="AE714" s="159">
        <v>0.1077</v>
      </c>
      <c r="AF714" s="158">
        <f t="shared" si="136"/>
        <v>771.2211779597</v>
      </c>
      <c r="AG714" s="158">
        <v>643.504396666666</v>
      </c>
      <c r="AH714" s="175"/>
      <c r="AI714" s="175"/>
      <c r="AJ714" s="156" t="s">
        <v>173</v>
      </c>
      <c r="AK714" s="140" t="s">
        <v>173</v>
      </c>
      <c r="AM714" s="152"/>
    </row>
    <row r="715" s="140" customFormat="1" ht="15" hidden="1" customHeight="1" spans="1:39">
      <c r="A715" s="140">
        <v>2017</v>
      </c>
      <c r="B715" s="140" t="s">
        <v>199</v>
      </c>
      <c r="C715" s="140" t="s">
        <v>200</v>
      </c>
      <c r="D715" s="140" t="s">
        <v>201</v>
      </c>
      <c r="E715" s="140" t="s">
        <v>814</v>
      </c>
      <c r="F715" s="140" t="s">
        <v>202</v>
      </c>
      <c r="G715" s="140" t="s">
        <v>203</v>
      </c>
      <c r="H715" s="140" t="s">
        <v>203</v>
      </c>
      <c r="I715" s="184" t="s">
        <v>204</v>
      </c>
      <c r="J715" s="140" t="s">
        <v>205</v>
      </c>
      <c r="K715" s="140" t="s">
        <v>206</v>
      </c>
      <c r="L715" s="140" t="s">
        <v>207</v>
      </c>
      <c r="M715" s="140" t="s">
        <v>46</v>
      </c>
      <c r="N715" s="157">
        <v>0.02</v>
      </c>
      <c r="O715" s="156" t="s">
        <v>51</v>
      </c>
      <c r="P715" s="156"/>
      <c r="Q715" s="158">
        <v>0</v>
      </c>
      <c r="R715" s="158">
        <v>0</v>
      </c>
      <c r="S715" s="158">
        <v>1200000</v>
      </c>
      <c r="T715" s="158">
        <f t="shared" si="138"/>
        <v>24000</v>
      </c>
      <c r="U715" s="158">
        <f t="shared" si="142"/>
        <v>1224000</v>
      </c>
      <c r="V715" s="158">
        <v>800000</v>
      </c>
      <c r="W715" s="158">
        <f t="shared" si="143"/>
        <v>424000</v>
      </c>
      <c r="X715" s="158">
        <f t="shared" si="139"/>
        <v>415686.274509804</v>
      </c>
      <c r="Y715" s="158">
        <f t="shared" si="144"/>
        <v>8313.72549019608</v>
      </c>
      <c r="Z715" s="158">
        <v>209813.42</v>
      </c>
      <c r="AA715" s="158">
        <f t="shared" si="140"/>
        <v>590186.58</v>
      </c>
      <c r="AB715" s="167">
        <f t="shared" si="145"/>
        <v>205699.431372549</v>
      </c>
      <c r="AC715" s="168">
        <f t="shared" si="141"/>
        <v>4113.98862745098</v>
      </c>
      <c r="AD715" s="158">
        <v>209813.42</v>
      </c>
      <c r="AE715" s="159">
        <v>0.07</v>
      </c>
      <c r="AF715" s="158">
        <f t="shared" si="136"/>
        <v>14686.9394</v>
      </c>
      <c r="AG715" s="158">
        <v>10572.950772549</v>
      </c>
      <c r="AH715" s="175"/>
      <c r="AI715" s="175"/>
      <c r="AJ715" s="156" t="s">
        <v>815</v>
      </c>
      <c r="AK715" s="140" t="s">
        <v>815</v>
      </c>
      <c r="AM715" s="152"/>
    </row>
    <row r="716" s="140" customFormat="1" ht="15" hidden="1" customHeight="1" spans="1:39">
      <c r="A716" s="140">
        <v>2017</v>
      </c>
      <c r="B716" s="140" t="s">
        <v>38</v>
      </c>
      <c r="C716" s="140" t="s">
        <v>200</v>
      </c>
      <c r="D716" s="140" t="s">
        <v>201</v>
      </c>
      <c r="E716" s="140" t="s">
        <v>399</v>
      </c>
      <c r="F716" s="140" t="s">
        <v>816</v>
      </c>
      <c r="G716" s="140" t="s">
        <v>816</v>
      </c>
      <c r="H716" s="140" t="s">
        <v>816</v>
      </c>
      <c r="I716" s="184" t="s">
        <v>204</v>
      </c>
      <c r="J716" s="140" t="s">
        <v>577</v>
      </c>
      <c r="K716" s="140" t="s">
        <v>578</v>
      </c>
      <c r="L716" s="140" t="s">
        <v>816</v>
      </c>
      <c r="M716" s="140" t="s">
        <v>185</v>
      </c>
      <c r="N716" s="157">
        <v>0.02</v>
      </c>
      <c r="O716" s="156" t="s">
        <v>51</v>
      </c>
      <c r="P716" s="156"/>
      <c r="Q716" s="158">
        <v>0</v>
      </c>
      <c r="R716" s="158">
        <v>0</v>
      </c>
      <c r="S716" s="158">
        <v>32255.63</v>
      </c>
      <c r="T716" s="158">
        <f t="shared" si="138"/>
        <v>645.1126</v>
      </c>
      <c r="U716" s="158">
        <f t="shared" si="142"/>
        <v>32900.7426</v>
      </c>
      <c r="V716" s="158">
        <v>0</v>
      </c>
      <c r="W716" s="158">
        <f t="shared" si="143"/>
        <v>32900.7426</v>
      </c>
      <c r="X716" s="158">
        <f t="shared" si="139"/>
        <v>32255.63</v>
      </c>
      <c r="Y716" s="158">
        <f t="shared" si="144"/>
        <v>645.1126</v>
      </c>
      <c r="Z716" s="158">
        <v>33206.74</v>
      </c>
      <c r="AA716" s="158">
        <f t="shared" si="140"/>
        <v>-33206.74</v>
      </c>
      <c r="AB716" s="167">
        <f t="shared" si="145"/>
        <v>32555.6274509804</v>
      </c>
      <c r="AC716" s="168">
        <f t="shared" si="141"/>
        <v>651.11254901961</v>
      </c>
      <c r="AD716" s="158">
        <f t="shared" ref="AD716:AD726" si="146">Z716*0.980277351080772</f>
        <v>32551.8151252279</v>
      </c>
      <c r="AE716" s="159">
        <v>0.3156</v>
      </c>
      <c r="AF716" s="158">
        <f t="shared" si="136"/>
        <v>10273.3528535219</v>
      </c>
      <c r="AG716" s="158">
        <v>9828.93459498039</v>
      </c>
      <c r="AH716" s="175"/>
      <c r="AI716" s="175"/>
      <c r="AJ716" s="156" t="s">
        <v>173</v>
      </c>
      <c r="AK716" s="140" t="s">
        <v>173</v>
      </c>
      <c r="AM716" s="152"/>
    </row>
    <row r="717" s="140" customFormat="1" ht="15" hidden="1" customHeight="1" spans="1:39">
      <c r="A717" s="140">
        <v>2017</v>
      </c>
      <c r="B717" s="140" t="s">
        <v>38</v>
      </c>
      <c r="C717" s="140" t="s">
        <v>200</v>
      </c>
      <c r="D717" s="140" t="s">
        <v>201</v>
      </c>
      <c r="E717" s="140" t="s">
        <v>399</v>
      </c>
      <c r="F717" s="140" t="s">
        <v>816</v>
      </c>
      <c r="G717" s="140" t="s">
        <v>816</v>
      </c>
      <c r="H717" s="140" t="s">
        <v>816</v>
      </c>
      <c r="I717" s="184" t="s">
        <v>204</v>
      </c>
      <c r="J717" s="140" t="s">
        <v>577</v>
      </c>
      <c r="K717" s="140" t="s">
        <v>578</v>
      </c>
      <c r="L717" s="140" t="s">
        <v>816</v>
      </c>
      <c r="M717" s="140" t="s">
        <v>46</v>
      </c>
      <c r="N717" s="157">
        <v>0.02</v>
      </c>
      <c r="O717" s="156" t="s">
        <v>51</v>
      </c>
      <c r="P717" s="156"/>
      <c r="Q717" s="158">
        <v>0</v>
      </c>
      <c r="R717" s="158">
        <v>0</v>
      </c>
      <c r="S717" s="158">
        <v>19148.14</v>
      </c>
      <c r="T717" s="158">
        <f t="shared" si="138"/>
        <v>382.9628</v>
      </c>
      <c r="U717" s="158">
        <f t="shared" si="142"/>
        <v>19531.1028</v>
      </c>
      <c r="V717" s="158">
        <v>61200</v>
      </c>
      <c r="W717" s="158">
        <f t="shared" si="143"/>
        <v>-41668.8972</v>
      </c>
      <c r="X717" s="158">
        <f t="shared" si="139"/>
        <v>-40851.86</v>
      </c>
      <c r="Y717" s="158">
        <f t="shared" si="144"/>
        <v>-817.037199999999</v>
      </c>
      <c r="Z717" s="158">
        <v>19531.1</v>
      </c>
      <c r="AA717" s="158">
        <f t="shared" si="140"/>
        <v>41668.9</v>
      </c>
      <c r="AB717" s="167">
        <f t="shared" si="145"/>
        <v>19148.137254902</v>
      </c>
      <c r="AC717" s="168">
        <f t="shared" si="141"/>
        <v>382.962745098041</v>
      </c>
      <c r="AD717" s="158">
        <f t="shared" si="146"/>
        <v>19145.8949716937</v>
      </c>
      <c r="AE717" s="159">
        <v>0.1077</v>
      </c>
      <c r="AF717" s="158">
        <f t="shared" si="136"/>
        <v>2062.01288845141</v>
      </c>
      <c r="AG717" s="158">
        <v>1720.53672490196</v>
      </c>
      <c r="AH717" s="175"/>
      <c r="AI717" s="175"/>
      <c r="AJ717" s="156" t="s">
        <v>173</v>
      </c>
      <c r="AK717" s="140" t="s">
        <v>173</v>
      </c>
      <c r="AM717" s="152"/>
    </row>
    <row r="718" s="140" customFormat="1" ht="15" hidden="1" customHeight="1" spans="1:39">
      <c r="A718" s="140">
        <v>2017</v>
      </c>
      <c r="B718" s="140" t="s">
        <v>199</v>
      </c>
      <c r="C718" s="140" t="s">
        <v>200</v>
      </c>
      <c r="D718" s="140" t="s">
        <v>201</v>
      </c>
      <c r="E718" s="140" t="s">
        <v>399</v>
      </c>
      <c r="F718" s="140" t="s">
        <v>817</v>
      </c>
      <c r="G718" s="140" t="s">
        <v>818</v>
      </c>
      <c r="H718" s="140" t="s">
        <v>818</v>
      </c>
      <c r="I718" s="184" t="s">
        <v>204</v>
      </c>
      <c r="J718" s="140" t="s">
        <v>577</v>
      </c>
      <c r="K718" s="140" t="s">
        <v>578</v>
      </c>
      <c r="L718" s="140" t="s">
        <v>817</v>
      </c>
      <c r="M718" s="140" t="s">
        <v>46</v>
      </c>
      <c r="N718" s="157">
        <v>0.02</v>
      </c>
      <c r="O718" s="156" t="s">
        <v>495</v>
      </c>
      <c r="P718" s="156"/>
      <c r="Q718" s="158">
        <v>0</v>
      </c>
      <c r="R718" s="158">
        <v>0</v>
      </c>
      <c r="S718" s="158">
        <v>30000</v>
      </c>
      <c r="T718" s="158">
        <f t="shared" si="138"/>
        <v>600</v>
      </c>
      <c r="U718" s="158">
        <f t="shared" si="142"/>
        <v>30600</v>
      </c>
      <c r="V718" s="158">
        <v>30000</v>
      </c>
      <c r="W718" s="158">
        <f t="shared" si="143"/>
        <v>600</v>
      </c>
      <c r="X718" s="158">
        <f t="shared" si="139"/>
        <v>588.235294117647</v>
      </c>
      <c r="Y718" s="158">
        <f t="shared" si="144"/>
        <v>11.7647058823529</v>
      </c>
      <c r="Z718" s="158">
        <v>0</v>
      </c>
      <c r="AA718" s="158">
        <f t="shared" si="140"/>
        <v>30000</v>
      </c>
      <c r="AB718" s="167">
        <f t="shared" si="145"/>
        <v>0</v>
      </c>
      <c r="AC718" s="168">
        <f t="shared" si="141"/>
        <v>0</v>
      </c>
      <c r="AD718" s="158">
        <f t="shared" si="146"/>
        <v>0</v>
      </c>
      <c r="AE718" s="159">
        <v>0.1077</v>
      </c>
      <c r="AF718" s="158">
        <f t="shared" si="136"/>
        <v>0</v>
      </c>
      <c r="AG718" s="158">
        <v>0</v>
      </c>
      <c r="AH718" s="175"/>
      <c r="AI718" s="175"/>
      <c r="AJ718" s="157">
        <v>0.02</v>
      </c>
      <c r="AK718" s="177">
        <v>0.02</v>
      </c>
      <c r="AM718" s="152"/>
    </row>
    <row r="719" s="140" customFormat="1" ht="15" hidden="1" customHeight="1" spans="1:39">
      <c r="A719" s="140">
        <v>2017</v>
      </c>
      <c r="B719" s="140" t="s">
        <v>199</v>
      </c>
      <c r="C719" s="140" t="s">
        <v>200</v>
      </c>
      <c r="D719" s="140" t="s">
        <v>201</v>
      </c>
      <c r="E719" s="140" t="s">
        <v>399</v>
      </c>
      <c r="F719" s="140" t="s">
        <v>819</v>
      </c>
      <c r="G719" s="140" t="s">
        <v>820</v>
      </c>
      <c r="H719" s="140" t="s">
        <v>820</v>
      </c>
      <c r="I719" s="184" t="s">
        <v>204</v>
      </c>
      <c r="J719" s="140" t="s">
        <v>577</v>
      </c>
      <c r="K719" s="140" t="s">
        <v>578</v>
      </c>
      <c r="L719" s="140" t="s">
        <v>821</v>
      </c>
      <c r="M719" s="140" t="s">
        <v>160</v>
      </c>
      <c r="N719" s="157">
        <v>0.05</v>
      </c>
      <c r="O719" s="156" t="s">
        <v>495</v>
      </c>
      <c r="P719" s="156"/>
      <c r="Q719" s="158">
        <v>0</v>
      </c>
      <c r="R719" s="158">
        <v>0</v>
      </c>
      <c r="S719" s="158">
        <v>200000</v>
      </c>
      <c r="T719" s="158">
        <f t="shared" si="138"/>
        <v>10000</v>
      </c>
      <c r="U719" s="158">
        <f t="shared" si="142"/>
        <v>210000</v>
      </c>
      <c r="V719" s="158">
        <v>305000</v>
      </c>
      <c r="W719" s="158">
        <f t="shared" si="143"/>
        <v>-95000</v>
      </c>
      <c r="X719" s="158">
        <f t="shared" si="139"/>
        <v>-90476.1904761905</v>
      </c>
      <c r="Y719" s="158">
        <f t="shared" si="144"/>
        <v>-4523.80952380953</v>
      </c>
      <c r="Z719" s="158">
        <v>305000</v>
      </c>
      <c r="AA719" s="158">
        <f t="shared" si="140"/>
        <v>0</v>
      </c>
      <c r="AB719" s="167">
        <f t="shared" si="145"/>
        <v>305000</v>
      </c>
      <c r="AC719" s="168">
        <f t="shared" si="141"/>
        <v>15250</v>
      </c>
      <c r="AD719" s="158">
        <f t="shared" si="146"/>
        <v>298984.592079635</v>
      </c>
      <c r="AE719" s="159">
        <v>0.1077</v>
      </c>
      <c r="AF719" s="158">
        <f t="shared" si="136"/>
        <v>32200.6405669767</v>
      </c>
      <c r="AG719" s="158">
        <v>18324.6904761905</v>
      </c>
      <c r="AH719" s="175"/>
      <c r="AI719" s="175"/>
      <c r="AJ719" s="157">
        <v>0.05</v>
      </c>
      <c r="AK719" s="140" t="s">
        <v>63</v>
      </c>
      <c r="AM719" s="152"/>
    </row>
    <row r="720" s="140" customFormat="1" ht="15" hidden="1" customHeight="1" spans="1:39">
      <c r="A720" s="140">
        <v>2017</v>
      </c>
      <c r="B720" s="140" t="s">
        <v>199</v>
      </c>
      <c r="C720" s="140" t="s">
        <v>200</v>
      </c>
      <c r="D720" s="140" t="s">
        <v>201</v>
      </c>
      <c r="E720" s="140" t="s">
        <v>399</v>
      </c>
      <c r="F720" s="140" t="s">
        <v>819</v>
      </c>
      <c r="G720" s="140" t="s">
        <v>820</v>
      </c>
      <c r="H720" s="140" t="s">
        <v>820</v>
      </c>
      <c r="I720" s="184" t="s">
        <v>204</v>
      </c>
      <c r="J720" s="140" t="s">
        <v>577</v>
      </c>
      <c r="K720" s="140" t="s">
        <v>578</v>
      </c>
      <c r="L720" s="140" t="s">
        <v>821</v>
      </c>
      <c r="M720" s="140" t="s">
        <v>185</v>
      </c>
      <c r="N720" s="157">
        <v>0.15</v>
      </c>
      <c r="O720" s="156" t="s">
        <v>495</v>
      </c>
      <c r="P720" s="156"/>
      <c r="Q720" s="158">
        <v>0</v>
      </c>
      <c r="R720" s="158">
        <v>0</v>
      </c>
      <c r="S720" s="158">
        <v>275759.5</v>
      </c>
      <c r="T720" s="158">
        <f t="shared" si="138"/>
        <v>41363.925</v>
      </c>
      <c r="U720" s="158">
        <f t="shared" si="142"/>
        <v>317123.425</v>
      </c>
      <c r="V720" s="158">
        <v>0</v>
      </c>
      <c r="W720" s="158">
        <f t="shared" si="143"/>
        <v>317123.425</v>
      </c>
      <c r="X720" s="158">
        <f t="shared" si="139"/>
        <v>275759.5</v>
      </c>
      <c r="Y720" s="158">
        <f t="shared" si="144"/>
        <v>41363.925</v>
      </c>
      <c r="Z720" s="158">
        <v>275759.5</v>
      </c>
      <c r="AA720" s="158">
        <f t="shared" si="140"/>
        <v>-275759.5</v>
      </c>
      <c r="AB720" s="167">
        <f t="shared" si="145"/>
        <v>275759.5</v>
      </c>
      <c r="AC720" s="168">
        <f t="shared" si="141"/>
        <v>41363.925</v>
      </c>
      <c r="AD720" s="158">
        <f t="shared" si="146"/>
        <v>270320.792195358</v>
      </c>
      <c r="AE720" s="159">
        <v>0.3156</v>
      </c>
      <c r="AF720" s="158">
        <f t="shared" si="136"/>
        <v>85313.242016855</v>
      </c>
      <c r="AG720" s="158">
        <v>51061.0677652174</v>
      </c>
      <c r="AH720" s="175"/>
      <c r="AI720" s="175"/>
      <c r="AJ720" s="157">
        <v>0.15</v>
      </c>
      <c r="AK720" s="177">
        <v>0.15</v>
      </c>
      <c r="AM720" s="152"/>
    </row>
    <row r="721" s="140" customFormat="1" ht="15" hidden="1" customHeight="1" spans="1:39">
      <c r="A721" s="140">
        <v>2017</v>
      </c>
      <c r="B721" s="140" t="s">
        <v>199</v>
      </c>
      <c r="C721" s="140" t="s">
        <v>200</v>
      </c>
      <c r="D721" s="140" t="s">
        <v>201</v>
      </c>
      <c r="E721" s="140" t="s">
        <v>399</v>
      </c>
      <c r="F721" s="140" t="s">
        <v>819</v>
      </c>
      <c r="G721" s="140" t="s">
        <v>820</v>
      </c>
      <c r="H721" s="140" t="s">
        <v>820</v>
      </c>
      <c r="I721" s="184" t="s">
        <v>204</v>
      </c>
      <c r="J721" s="140" t="s">
        <v>577</v>
      </c>
      <c r="K721" s="140" t="s">
        <v>578</v>
      </c>
      <c r="L721" s="140" t="s">
        <v>821</v>
      </c>
      <c r="M721" s="140" t="s">
        <v>46</v>
      </c>
      <c r="N721" s="157">
        <v>0.05</v>
      </c>
      <c r="O721" s="156" t="s">
        <v>495</v>
      </c>
      <c r="P721" s="156"/>
      <c r="Q721" s="158">
        <v>0</v>
      </c>
      <c r="R721" s="158">
        <v>0</v>
      </c>
      <c r="S721" s="158">
        <v>2263240.5</v>
      </c>
      <c r="T721" s="158">
        <f t="shared" si="138"/>
        <v>113162.025</v>
      </c>
      <c r="U721" s="158">
        <f t="shared" si="142"/>
        <v>2376402.525</v>
      </c>
      <c r="V721" s="158">
        <v>2539000</v>
      </c>
      <c r="W721" s="158">
        <f t="shared" si="143"/>
        <v>-162597.475</v>
      </c>
      <c r="X721" s="158">
        <f t="shared" si="139"/>
        <v>-154854.738095238</v>
      </c>
      <c r="Y721" s="158">
        <f t="shared" si="144"/>
        <v>-7742.73690476193</v>
      </c>
      <c r="Z721" s="158">
        <v>2358814.01</v>
      </c>
      <c r="AA721" s="158">
        <f t="shared" si="140"/>
        <v>180185.99</v>
      </c>
      <c r="AB721" s="167">
        <f t="shared" si="145"/>
        <v>2358814.01</v>
      </c>
      <c r="AC721" s="168">
        <f t="shared" si="141"/>
        <v>117940.7005</v>
      </c>
      <c r="AD721" s="158">
        <f t="shared" si="146"/>
        <v>2312291.94941501</v>
      </c>
      <c r="AE721" s="159">
        <v>0.1077</v>
      </c>
      <c r="AF721" s="158">
        <f t="shared" si="136"/>
        <v>249033.842951997</v>
      </c>
      <c r="AG721" s="158">
        <v>141719.792210333</v>
      </c>
      <c r="AH721" s="175"/>
      <c r="AI721" s="175"/>
      <c r="AJ721" s="157">
        <v>0.05</v>
      </c>
      <c r="AK721" s="177">
        <v>0.05</v>
      </c>
      <c r="AM721" s="152"/>
    </row>
    <row r="722" s="140" customFormat="1" ht="15" hidden="1" customHeight="1" spans="1:39">
      <c r="A722" s="140">
        <v>2017</v>
      </c>
      <c r="B722" s="140" t="s">
        <v>199</v>
      </c>
      <c r="C722" s="140" t="s">
        <v>200</v>
      </c>
      <c r="D722" s="140" t="s">
        <v>201</v>
      </c>
      <c r="E722" s="140" t="s">
        <v>399</v>
      </c>
      <c r="F722" s="140" t="s">
        <v>819</v>
      </c>
      <c r="G722" s="140" t="s">
        <v>820</v>
      </c>
      <c r="H722" s="140" t="s">
        <v>820</v>
      </c>
      <c r="I722" s="184" t="s">
        <v>204</v>
      </c>
      <c r="J722" s="140" t="s">
        <v>577</v>
      </c>
      <c r="K722" s="140" t="s">
        <v>578</v>
      </c>
      <c r="L722" s="140" t="s">
        <v>821</v>
      </c>
      <c r="M722" s="140" t="s">
        <v>597</v>
      </c>
      <c r="N722" s="157">
        <v>0.05</v>
      </c>
      <c r="O722" s="156" t="s">
        <v>495</v>
      </c>
      <c r="P722" s="156"/>
      <c r="Q722" s="158">
        <v>0</v>
      </c>
      <c r="R722" s="158">
        <v>0</v>
      </c>
      <c r="S722" s="158">
        <v>161000</v>
      </c>
      <c r="T722" s="158">
        <f t="shared" si="138"/>
        <v>8050</v>
      </c>
      <c r="U722" s="158">
        <f t="shared" si="142"/>
        <v>169050</v>
      </c>
      <c r="V722" s="158">
        <v>56000</v>
      </c>
      <c r="W722" s="158">
        <f t="shared" si="143"/>
        <v>113050</v>
      </c>
      <c r="X722" s="158">
        <f t="shared" si="139"/>
        <v>107666.666666667</v>
      </c>
      <c r="Y722" s="158">
        <f t="shared" si="144"/>
        <v>5383.33333333334</v>
      </c>
      <c r="Z722" s="158">
        <v>56000</v>
      </c>
      <c r="AA722" s="158">
        <f t="shared" si="140"/>
        <v>0</v>
      </c>
      <c r="AB722" s="167">
        <f t="shared" si="145"/>
        <v>56000</v>
      </c>
      <c r="AC722" s="168">
        <f t="shared" si="141"/>
        <v>2800</v>
      </c>
      <c r="AD722" s="158">
        <f t="shared" si="146"/>
        <v>54895.5316605232</v>
      </c>
      <c r="AE722" s="159">
        <v>0.3534</v>
      </c>
      <c r="AF722" s="158">
        <f t="shared" si="136"/>
        <v>19400.0808888289</v>
      </c>
      <c r="AG722" s="158">
        <v>17123.7333333333</v>
      </c>
      <c r="AH722" s="175"/>
      <c r="AI722" s="175"/>
      <c r="AJ722" s="157">
        <v>0.05</v>
      </c>
      <c r="AK722" s="177">
        <v>0.05</v>
      </c>
      <c r="AM722" s="152"/>
    </row>
    <row r="723" s="140" customFormat="1" ht="15" hidden="1" customHeight="1" spans="1:39">
      <c r="A723" s="140">
        <v>2017</v>
      </c>
      <c r="B723" s="140" t="s">
        <v>38</v>
      </c>
      <c r="C723" s="140" t="s">
        <v>200</v>
      </c>
      <c r="D723" s="140" t="s">
        <v>201</v>
      </c>
      <c r="E723" s="140" t="s">
        <v>822</v>
      </c>
      <c r="F723" s="140" t="s">
        <v>395</v>
      </c>
      <c r="G723" s="140" t="s">
        <v>823</v>
      </c>
      <c r="H723" s="140" t="s">
        <v>823</v>
      </c>
      <c r="I723" s="184" t="s">
        <v>204</v>
      </c>
      <c r="J723" s="140" t="s">
        <v>577</v>
      </c>
      <c r="K723" s="140" t="s">
        <v>578</v>
      </c>
      <c r="L723" s="140" t="s">
        <v>824</v>
      </c>
      <c r="M723" s="140" t="s">
        <v>46</v>
      </c>
      <c r="N723" s="157">
        <v>0.02</v>
      </c>
      <c r="O723" s="156" t="s">
        <v>495</v>
      </c>
      <c r="P723" s="156"/>
      <c r="Q723" s="158">
        <v>0</v>
      </c>
      <c r="R723" s="158">
        <v>0</v>
      </c>
      <c r="S723" s="158">
        <v>2506404.07</v>
      </c>
      <c r="T723" s="158">
        <f t="shared" si="138"/>
        <v>50128.0814</v>
      </c>
      <c r="U723" s="158">
        <f t="shared" si="142"/>
        <v>2556532.1514</v>
      </c>
      <c r="V723" s="158">
        <v>5396393.16</v>
      </c>
      <c r="W723" s="158">
        <f t="shared" si="143"/>
        <v>-2839861.0086</v>
      </c>
      <c r="X723" s="158">
        <f t="shared" si="139"/>
        <v>-2784177.45941176</v>
      </c>
      <c r="Y723" s="158">
        <f t="shared" si="144"/>
        <v>-55683.5491882353</v>
      </c>
      <c r="Z723" s="158">
        <v>2558397.3</v>
      </c>
      <c r="AA723" s="158">
        <f t="shared" si="140"/>
        <v>2837995.86</v>
      </c>
      <c r="AB723" s="167">
        <f t="shared" si="145"/>
        <v>2558397.3</v>
      </c>
      <c r="AC723" s="168">
        <f t="shared" si="141"/>
        <v>51167.946</v>
      </c>
      <c r="AD723" s="158">
        <f t="shared" si="146"/>
        <v>2507938.9282562</v>
      </c>
      <c r="AE723" s="159">
        <v>0.1077</v>
      </c>
      <c r="AF723" s="158">
        <f t="shared" si="136"/>
        <v>270105.022573193</v>
      </c>
      <c r="AG723" s="158">
        <v>225374.736268823</v>
      </c>
      <c r="AH723" s="175"/>
      <c r="AI723" s="175"/>
      <c r="AJ723" s="157">
        <v>0.02</v>
      </c>
      <c r="AK723" s="177">
        <v>0.02</v>
      </c>
      <c r="AM723" s="152"/>
    </row>
    <row r="724" s="140" customFormat="1" ht="15" hidden="1" customHeight="1" spans="1:39">
      <c r="A724" s="140">
        <v>2017</v>
      </c>
      <c r="B724" s="140" t="s">
        <v>38</v>
      </c>
      <c r="C724" s="140" t="s">
        <v>200</v>
      </c>
      <c r="D724" s="140" t="s">
        <v>201</v>
      </c>
      <c r="E724" s="140" t="s">
        <v>822</v>
      </c>
      <c r="F724" s="140" t="s">
        <v>395</v>
      </c>
      <c r="G724" s="140" t="s">
        <v>823</v>
      </c>
      <c r="H724" s="140" t="s">
        <v>823</v>
      </c>
      <c r="I724" s="184" t="s">
        <v>204</v>
      </c>
      <c r="J724" s="140" t="s">
        <v>577</v>
      </c>
      <c r="K724" s="140" t="s">
        <v>578</v>
      </c>
      <c r="L724" s="140" t="s">
        <v>824</v>
      </c>
      <c r="M724" s="140" t="s">
        <v>185</v>
      </c>
      <c r="N724" s="157">
        <v>0.08</v>
      </c>
      <c r="O724" s="156" t="s">
        <v>495</v>
      </c>
      <c r="P724" s="156"/>
      <c r="Q724" s="158">
        <v>0</v>
      </c>
      <c r="R724" s="158">
        <v>0</v>
      </c>
      <c r="S724" s="158">
        <v>2837995.86</v>
      </c>
      <c r="T724" s="158">
        <f t="shared" si="138"/>
        <v>227039.6688</v>
      </c>
      <c r="U724" s="158">
        <f t="shared" si="142"/>
        <v>3065035.5288</v>
      </c>
      <c r="V724" s="158">
        <v>0</v>
      </c>
      <c r="W724" s="158">
        <f t="shared" si="143"/>
        <v>3065035.5288</v>
      </c>
      <c r="X724" s="158">
        <f t="shared" si="139"/>
        <v>2837995.86</v>
      </c>
      <c r="Y724" s="158">
        <f t="shared" si="144"/>
        <v>227039.6688</v>
      </c>
      <c r="Z724" s="158">
        <v>2837995.86</v>
      </c>
      <c r="AA724" s="158">
        <f t="shared" si="140"/>
        <v>-2837995.86</v>
      </c>
      <c r="AB724" s="167">
        <f t="shared" si="145"/>
        <v>2837995.86</v>
      </c>
      <c r="AC724" s="168">
        <f t="shared" si="141"/>
        <v>227039.6688</v>
      </c>
      <c r="AD724" s="158">
        <f t="shared" si="146"/>
        <v>2782023.064019</v>
      </c>
      <c r="AE724" s="159">
        <v>0.3156</v>
      </c>
      <c r="AF724" s="158">
        <f t="shared" si="136"/>
        <v>878006.479004396</v>
      </c>
      <c r="AG724" s="158">
        <v>685449.577860444</v>
      </c>
      <c r="AH724" s="175"/>
      <c r="AI724" s="175"/>
      <c r="AJ724" s="157">
        <v>0.08</v>
      </c>
      <c r="AK724" s="177">
        <v>0.08</v>
      </c>
      <c r="AM724" s="152"/>
    </row>
    <row r="725" s="140" customFormat="1" ht="15" hidden="1" customHeight="1" spans="1:39">
      <c r="A725" s="140">
        <v>2017</v>
      </c>
      <c r="B725" s="140" t="s">
        <v>38</v>
      </c>
      <c r="C725" s="140" t="s">
        <v>200</v>
      </c>
      <c r="D725" s="140" t="s">
        <v>201</v>
      </c>
      <c r="E725" s="140" t="s">
        <v>822</v>
      </c>
      <c r="F725" s="140" t="s">
        <v>825</v>
      </c>
      <c r="G725" s="140" t="s">
        <v>825</v>
      </c>
      <c r="H725" s="140" t="s">
        <v>825</v>
      </c>
      <c r="I725" s="184" t="s">
        <v>204</v>
      </c>
      <c r="J725" s="140" t="s">
        <v>577</v>
      </c>
      <c r="K725" s="140" t="s">
        <v>578</v>
      </c>
      <c r="L725" s="140" t="s">
        <v>826</v>
      </c>
      <c r="M725" s="140" t="s">
        <v>46</v>
      </c>
      <c r="N725" s="157">
        <v>0.02</v>
      </c>
      <c r="O725" s="156" t="s">
        <v>51</v>
      </c>
      <c r="P725" s="156"/>
      <c r="Q725" s="158">
        <v>137213.8</v>
      </c>
      <c r="R725" s="158">
        <v>0</v>
      </c>
      <c r="S725" s="158">
        <v>4458303.54</v>
      </c>
      <c r="T725" s="158">
        <f t="shared" si="138"/>
        <v>89166.0708</v>
      </c>
      <c r="U725" s="158">
        <f t="shared" si="142"/>
        <v>4547469.6108</v>
      </c>
      <c r="V725" s="158">
        <v>5249691.13</v>
      </c>
      <c r="W725" s="158">
        <f t="shared" si="143"/>
        <v>-702221.5192</v>
      </c>
      <c r="X725" s="158">
        <f t="shared" si="139"/>
        <v>-688452.469803922</v>
      </c>
      <c r="Y725" s="158">
        <f t="shared" si="144"/>
        <v>-13769.0493960785</v>
      </c>
      <c r="Z725" s="158">
        <v>4819479.36</v>
      </c>
      <c r="AA725" s="158">
        <f t="shared" si="140"/>
        <v>567425.569999999</v>
      </c>
      <c r="AB725" s="167">
        <f>IF(O725="返货",(Z725-Q725)/(1+N725),IF(O725="返现",(Z725-Q725),IF(O725="折扣",(Z725-Q725)*N725,IF(O725="无",(Z725-Q725)))))</f>
        <v>4590456.43137255</v>
      </c>
      <c r="AC725" s="168">
        <f t="shared" si="141"/>
        <v>229022.928627451</v>
      </c>
      <c r="AD725" s="158">
        <f t="shared" si="146"/>
        <v>4724426.46060925</v>
      </c>
      <c r="AE725" s="159">
        <v>0.1077</v>
      </c>
      <c r="AF725" s="158">
        <f t="shared" si="136"/>
        <v>508820.729807617</v>
      </c>
      <c r="AG725" s="158">
        <v>424558.331777882</v>
      </c>
      <c r="AH725" s="175"/>
      <c r="AI725" s="175"/>
      <c r="AJ725" s="156" t="s">
        <v>173</v>
      </c>
      <c r="AK725" s="140" t="s">
        <v>173</v>
      </c>
      <c r="AL725" s="140" t="s">
        <v>613</v>
      </c>
      <c r="AM725" s="152"/>
    </row>
    <row r="726" s="140" customFormat="1" ht="15" hidden="1" customHeight="1" spans="1:39">
      <c r="A726" s="140">
        <v>2017</v>
      </c>
      <c r="B726" s="140" t="s">
        <v>38</v>
      </c>
      <c r="C726" s="140" t="s">
        <v>200</v>
      </c>
      <c r="D726" s="140" t="s">
        <v>201</v>
      </c>
      <c r="E726" s="140" t="s">
        <v>822</v>
      </c>
      <c r="F726" s="140" t="s">
        <v>825</v>
      </c>
      <c r="G726" s="140" t="s">
        <v>825</v>
      </c>
      <c r="H726" s="140" t="s">
        <v>825</v>
      </c>
      <c r="I726" s="184" t="s">
        <v>204</v>
      </c>
      <c r="J726" s="140" t="s">
        <v>577</v>
      </c>
      <c r="K726" s="140" t="s">
        <v>578</v>
      </c>
      <c r="L726" s="140" t="s">
        <v>826</v>
      </c>
      <c r="M726" s="140" t="s">
        <v>185</v>
      </c>
      <c r="N726" s="157">
        <v>0.08</v>
      </c>
      <c r="O726" s="156" t="s">
        <v>51</v>
      </c>
      <c r="P726" s="156"/>
      <c r="Q726" s="158">
        <v>147115.02104</v>
      </c>
      <c r="R726" s="158">
        <v>0</v>
      </c>
      <c r="S726" s="158">
        <v>567425.57</v>
      </c>
      <c r="T726" s="158">
        <f t="shared" si="138"/>
        <v>45394.0456</v>
      </c>
      <c r="U726" s="158">
        <f t="shared" si="142"/>
        <v>612819.6156</v>
      </c>
      <c r="V726" s="158">
        <v>0</v>
      </c>
      <c r="W726" s="158">
        <f t="shared" si="143"/>
        <v>612819.6156</v>
      </c>
      <c r="X726" s="158">
        <f t="shared" si="139"/>
        <v>567425.57</v>
      </c>
      <c r="Y726" s="158">
        <f t="shared" si="144"/>
        <v>45394.0456000001</v>
      </c>
      <c r="Z726" s="158">
        <v>714540.59</v>
      </c>
      <c r="AA726" s="158">
        <f t="shared" si="140"/>
        <v>-567425.56896</v>
      </c>
      <c r="AB726" s="167">
        <f>IF(O726="返货",(Z726-Q726)/(1+N726),IF(O726="返现",(Z726-Q726),IF(O726="折扣",(Z726-Q726)*N726,IF(O726="无",(Z726-Q726)))))</f>
        <v>525394.045333333</v>
      </c>
      <c r="AC726" s="168">
        <f t="shared" si="141"/>
        <v>189146.544666667</v>
      </c>
      <c r="AD726" s="158">
        <f t="shared" si="146"/>
        <v>700447.956804892</v>
      </c>
      <c r="AE726" s="159">
        <v>0.3156</v>
      </c>
      <c r="AF726" s="158">
        <f t="shared" si="136"/>
        <v>221061.375167624</v>
      </c>
      <c r="AG726" s="158">
        <v>172580.077611407</v>
      </c>
      <c r="AH726" s="175"/>
      <c r="AI726" s="175"/>
      <c r="AJ726" s="156" t="s">
        <v>53</v>
      </c>
      <c r="AK726" s="140" t="s">
        <v>53</v>
      </c>
      <c r="AM726" s="152"/>
    </row>
    <row r="727" s="140" customFormat="1" ht="15" hidden="1" customHeight="1" spans="1:39">
      <c r="A727" s="140">
        <v>2017</v>
      </c>
      <c r="B727" s="140" t="s">
        <v>199</v>
      </c>
      <c r="C727" s="140" t="s">
        <v>200</v>
      </c>
      <c r="D727" s="140" t="s">
        <v>201</v>
      </c>
      <c r="E727" s="140" t="s">
        <v>822</v>
      </c>
      <c r="F727" s="140" t="s">
        <v>202</v>
      </c>
      <c r="G727" s="140" t="s">
        <v>203</v>
      </c>
      <c r="H727" s="140" t="s">
        <v>203</v>
      </c>
      <c r="I727" s="184" t="s">
        <v>204</v>
      </c>
      <c r="J727" s="140" t="s">
        <v>605</v>
      </c>
      <c r="K727" s="140" t="s">
        <v>620</v>
      </c>
      <c r="L727" s="140" t="s">
        <v>207</v>
      </c>
      <c r="M727" s="140" t="s">
        <v>46</v>
      </c>
      <c r="N727" s="157">
        <v>0.02</v>
      </c>
      <c r="O727" s="156" t="s">
        <v>51</v>
      </c>
      <c r="P727" s="156"/>
      <c r="Q727" s="158">
        <v>0</v>
      </c>
      <c r="R727" s="158">
        <v>0</v>
      </c>
      <c r="S727" s="158">
        <v>50000</v>
      </c>
      <c r="T727" s="158">
        <f t="shared" si="138"/>
        <v>1000</v>
      </c>
      <c r="U727" s="158">
        <f t="shared" si="142"/>
        <v>51000</v>
      </c>
      <c r="V727" s="158">
        <v>450000</v>
      </c>
      <c r="W727" s="158">
        <f t="shared" si="143"/>
        <v>-399000</v>
      </c>
      <c r="X727" s="158">
        <f t="shared" si="139"/>
        <v>-391176.470588235</v>
      </c>
      <c r="Y727" s="158">
        <f t="shared" si="144"/>
        <v>-7823.5294117647</v>
      </c>
      <c r="Z727" s="158">
        <v>187159.16</v>
      </c>
      <c r="AA727" s="158">
        <f t="shared" si="140"/>
        <v>262840.84</v>
      </c>
      <c r="AB727" s="167">
        <f t="shared" ref="AB727:AB732" si="147">IF(O727="返货",Z727/(1+N727),IF(O727="返现",Z727,IF(O727="折扣",Z727*N727,IF(O727="无",Z727))))</f>
        <v>183489.37254902</v>
      </c>
      <c r="AC727" s="168">
        <f t="shared" si="141"/>
        <v>3669.7874509804</v>
      </c>
      <c r="AD727" s="158">
        <v>187159.16</v>
      </c>
      <c r="AE727" s="159">
        <v>0.07</v>
      </c>
      <c r="AF727" s="158">
        <f t="shared" si="136"/>
        <v>13101.1412</v>
      </c>
      <c r="AG727" s="158">
        <v>9431.35374901961</v>
      </c>
      <c r="AH727" s="175"/>
      <c r="AI727" s="175"/>
      <c r="AJ727" s="156" t="s">
        <v>815</v>
      </c>
      <c r="AK727" s="140" t="s">
        <v>815</v>
      </c>
      <c r="AM727" s="152"/>
    </row>
    <row r="728" s="140" customFormat="1" ht="15" hidden="1" customHeight="1" spans="1:39">
      <c r="A728" s="140">
        <v>2017</v>
      </c>
      <c r="B728" s="140" t="s">
        <v>199</v>
      </c>
      <c r="C728" s="140" t="s">
        <v>200</v>
      </c>
      <c r="D728" s="140" t="s">
        <v>201</v>
      </c>
      <c r="E728" s="140" t="s">
        <v>822</v>
      </c>
      <c r="F728" s="140" t="s">
        <v>202</v>
      </c>
      <c r="G728" s="140" t="s">
        <v>203</v>
      </c>
      <c r="H728" s="140" t="s">
        <v>203</v>
      </c>
      <c r="I728" s="184" t="s">
        <v>204</v>
      </c>
      <c r="J728" s="140" t="s">
        <v>577</v>
      </c>
      <c r="K728" s="140" t="s">
        <v>578</v>
      </c>
      <c r="L728" s="140" t="s">
        <v>827</v>
      </c>
      <c r="M728" s="140" t="s">
        <v>185</v>
      </c>
      <c r="N728" s="157">
        <v>0.03</v>
      </c>
      <c r="O728" s="156" t="s">
        <v>51</v>
      </c>
      <c r="P728" s="156"/>
      <c r="Q728" s="158">
        <v>0</v>
      </c>
      <c r="R728" s="158">
        <v>0</v>
      </c>
      <c r="S728" s="158">
        <v>58376.92</v>
      </c>
      <c r="T728" s="158">
        <f t="shared" si="138"/>
        <v>1751.3076</v>
      </c>
      <c r="U728" s="158">
        <f t="shared" si="142"/>
        <v>60128.2276</v>
      </c>
      <c r="V728" s="158">
        <v>0</v>
      </c>
      <c r="W728" s="158">
        <f t="shared" si="143"/>
        <v>60128.2276</v>
      </c>
      <c r="X728" s="158">
        <f t="shared" si="139"/>
        <v>58376.92</v>
      </c>
      <c r="Y728" s="158">
        <f t="shared" si="144"/>
        <v>1751.3076</v>
      </c>
      <c r="Z728" s="158">
        <v>58376.92</v>
      </c>
      <c r="AA728" s="158">
        <f t="shared" si="140"/>
        <v>-58376.92</v>
      </c>
      <c r="AB728" s="167">
        <f t="shared" si="147"/>
        <v>56676.6213592233</v>
      </c>
      <c r="AC728" s="168">
        <f t="shared" si="141"/>
        <v>1700.2986407767</v>
      </c>
      <c r="AD728" s="158">
        <f t="shared" ref="AD728:AD759" si="148">Z728*0.980277351080772</f>
        <v>57225.5725018541</v>
      </c>
      <c r="AE728" s="159">
        <v>0.3156</v>
      </c>
      <c r="AF728" s="158">
        <f t="shared" si="136"/>
        <v>18060.3906815852</v>
      </c>
      <c r="AG728" s="158">
        <v>16723.4573112233</v>
      </c>
      <c r="AH728" s="175"/>
      <c r="AI728" s="175"/>
      <c r="AJ728" s="156" t="s">
        <v>828</v>
      </c>
      <c r="AK728" s="140" t="s">
        <v>828</v>
      </c>
      <c r="AM728" s="152"/>
    </row>
    <row r="729" s="140" customFormat="1" ht="15" hidden="1" customHeight="1" spans="1:39">
      <c r="A729" s="140">
        <v>2017</v>
      </c>
      <c r="B729" s="140" t="s">
        <v>199</v>
      </c>
      <c r="C729" s="140" t="s">
        <v>200</v>
      </c>
      <c r="D729" s="140" t="s">
        <v>201</v>
      </c>
      <c r="E729" s="140" t="s">
        <v>822</v>
      </c>
      <c r="F729" s="140" t="s">
        <v>202</v>
      </c>
      <c r="G729" s="140" t="s">
        <v>203</v>
      </c>
      <c r="H729" s="140" t="s">
        <v>203</v>
      </c>
      <c r="I729" s="184" t="s">
        <v>204</v>
      </c>
      <c r="J729" s="140" t="s">
        <v>577</v>
      </c>
      <c r="K729" s="140" t="s">
        <v>578</v>
      </c>
      <c r="L729" s="140" t="s">
        <v>827</v>
      </c>
      <c r="M729" s="140" t="s">
        <v>46</v>
      </c>
      <c r="N729" s="157">
        <v>0.02</v>
      </c>
      <c r="O729" s="156" t="s">
        <v>51</v>
      </c>
      <c r="P729" s="156"/>
      <c r="Q729" s="158">
        <v>0</v>
      </c>
      <c r="R729" s="158">
        <v>0</v>
      </c>
      <c r="S729" s="158">
        <v>26623.08</v>
      </c>
      <c r="T729" s="158">
        <f t="shared" si="138"/>
        <v>532.4616</v>
      </c>
      <c r="U729" s="158">
        <f t="shared" si="142"/>
        <v>27155.5416</v>
      </c>
      <c r="V729" s="158">
        <v>60000</v>
      </c>
      <c r="W729" s="158">
        <f t="shared" si="143"/>
        <v>-32844.4584</v>
      </c>
      <c r="X729" s="158">
        <f t="shared" si="139"/>
        <v>-32200.4494117647</v>
      </c>
      <c r="Y729" s="158">
        <f t="shared" si="144"/>
        <v>-644.008988235295</v>
      </c>
      <c r="Z729" s="158">
        <v>1623.08</v>
      </c>
      <c r="AA729" s="158">
        <f t="shared" si="140"/>
        <v>58376.92</v>
      </c>
      <c r="AB729" s="167">
        <f t="shared" si="147"/>
        <v>1591.25490196078</v>
      </c>
      <c r="AC729" s="168">
        <f t="shared" si="141"/>
        <v>31.8250980392156</v>
      </c>
      <c r="AD729" s="158">
        <f t="shared" si="148"/>
        <v>1591.06856299218</v>
      </c>
      <c r="AE729" s="159">
        <v>0.1077</v>
      </c>
      <c r="AF729" s="158">
        <f t="shared" si="136"/>
        <v>171.358084234258</v>
      </c>
      <c r="AG729" s="158">
        <v>142.980617960784</v>
      </c>
      <c r="AH729" s="175"/>
      <c r="AI729" s="175"/>
      <c r="AJ729" s="156" t="s">
        <v>829</v>
      </c>
      <c r="AK729" s="140" t="s">
        <v>829</v>
      </c>
      <c r="AM729" s="152"/>
    </row>
    <row r="730" s="140" customFormat="1" ht="15" hidden="1" customHeight="1" spans="1:39">
      <c r="A730" s="140">
        <v>2017</v>
      </c>
      <c r="B730" s="140" t="s">
        <v>38</v>
      </c>
      <c r="C730" s="140" t="s">
        <v>200</v>
      </c>
      <c r="D730" s="140" t="s">
        <v>830</v>
      </c>
      <c r="E730" s="140" t="s">
        <v>822</v>
      </c>
      <c r="F730" s="140" t="s">
        <v>831</v>
      </c>
      <c r="G730" s="140" t="s">
        <v>831</v>
      </c>
      <c r="H730" s="140" t="s">
        <v>831</v>
      </c>
      <c r="I730" s="184" t="s">
        <v>204</v>
      </c>
      <c r="J730" s="140" t="s">
        <v>577</v>
      </c>
      <c r="K730" s="140" t="s">
        <v>578</v>
      </c>
      <c r="L730" s="140" t="s">
        <v>831</v>
      </c>
      <c r="M730" s="140" t="s">
        <v>185</v>
      </c>
      <c r="N730" s="157">
        <v>0.02</v>
      </c>
      <c r="O730" s="156" t="s">
        <v>51</v>
      </c>
      <c r="P730" s="156"/>
      <c r="Q730" s="158">
        <v>0</v>
      </c>
      <c r="R730" s="158">
        <v>0</v>
      </c>
      <c r="S730" s="158">
        <v>155.36</v>
      </c>
      <c r="T730" s="158">
        <f t="shared" si="138"/>
        <v>3.1072</v>
      </c>
      <c r="U730" s="158">
        <f t="shared" si="142"/>
        <v>158.4672</v>
      </c>
      <c r="V730" s="158">
        <v>0</v>
      </c>
      <c r="W730" s="158">
        <f t="shared" si="143"/>
        <v>158.4672</v>
      </c>
      <c r="X730" s="158">
        <f t="shared" si="139"/>
        <v>155.36</v>
      </c>
      <c r="Y730" s="158">
        <f t="shared" si="144"/>
        <v>3.10720000000001</v>
      </c>
      <c r="Z730" s="158">
        <v>155.36</v>
      </c>
      <c r="AA730" s="158">
        <f t="shared" si="140"/>
        <v>-155.36</v>
      </c>
      <c r="AB730" s="167">
        <f t="shared" si="147"/>
        <v>152.313725490196</v>
      </c>
      <c r="AC730" s="168">
        <f t="shared" si="141"/>
        <v>3.04627450980394</v>
      </c>
      <c r="AD730" s="158">
        <f t="shared" si="148"/>
        <v>152.295889263909</v>
      </c>
      <c r="AE730" s="159">
        <v>0.3156</v>
      </c>
      <c r="AF730" s="158">
        <f t="shared" si="136"/>
        <v>48.0645826516896</v>
      </c>
      <c r="AG730" s="158">
        <v>45.9853414901961</v>
      </c>
      <c r="AH730" s="175"/>
      <c r="AI730" s="175"/>
      <c r="AJ730" s="156" t="s">
        <v>173</v>
      </c>
      <c r="AK730" s="140" t="s">
        <v>173</v>
      </c>
      <c r="AM730" s="152"/>
    </row>
    <row r="731" s="140" customFormat="1" ht="15" hidden="1" customHeight="1" spans="1:39">
      <c r="A731" s="140">
        <v>2017</v>
      </c>
      <c r="B731" s="140" t="s">
        <v>38</v>
      </c>
      <c r="C731" s="140" t="s">
        <v>200</v>
      </c>
      <c r="D731" s="140" t="s">
        <v>830</v>
      </c>
      <c r="E731" s="140" t="s">
        <v>822</v>
      </c>
      <c r="F731" s="140" t="s">
        <v>831</v>
      </c>
      <c r="G731" s="140" t="s">
        <v>831</v>
      </c>
      <c r="H731" s="140" t="s">
        <v>831</v>
      </c>
      <c r="I731" s="184" t="s">
        <v>204</v>
      </c>
      <c r="J731" s="140" t="s">
        <v>577</v>
      </c>
      <c r="K731" s="140" t="s">
        <v>578</v>
      </c>
      <c r="L731" s="140" t="s">
        <v>831</v>
      </c>
      <c r="M731" s="140" t="s">
        <v>46</v>
      </c>
      <c r="N731" s="157">
        <v>0.02</v>
      </c>
      <c r="O731" s="156" t="s">
        <v>51</v>
      </c>
      <c r="P731" s="156"/>
      <c r="Q731" s="158">
        <v>0</v>
      </c>
      <c r="R731" s="158">
        <v>0</v>
      </c>
      <c r="S731" s="158">
        <v>9844.64</v>
      </c>
      <c r="T731" s="158">
        <f t="shared" si="138"/>
        <v>196.8928</v>
      </c>
      <c r="U731" s="158">
        <f t="shared" si="142"/>
        <v>10041.5328</v>
      </c>
      <c r="V731" s="158">
        <v>10000</v>
      </c>
      <c r="W731" s="158">
        <f t="shared" si="143"/>
        <v>41.532799999999</v>
      </c>
      <c r="X731" s="158">
        <f t="shared" si="139"/>
        <v>40.7184313725481</v>
      </c>
      <c r="Y731" s="158">
        <f t="shared" si="144"/>
        <v>0.814368627450961</v>
      </c>
      <c r="Z731" s="158">
        <v>9844.64</v>
      </c>
      <c r="AA731" s="158">
        <f t="shared" si="140"/>
        <v>155.360000000001</v>
      </c>
      <c r="AB731" s="167">
        <f t="shared" si="147"/>
        <v>9651.60784313725</v>
      </c>
      <c r="AC731" s="168">
        <f t="shared" si="141"/>
        <v>193.032156862746</v>
      </c>
      <c r="AD731" s="158">
        <f t="shared" si="148"/>
        <v>9650.47762154381</v>
      </c>
      <c r="AE731" s="159">
        <v>0.1077</v>
      </c>
      <c r="AF731" s="158">
        <f t="shared" si="136"/>
        <v>1039.35643984027</v>
      </c>
      <c r="AG731" s="158">
        <v>867.235571137254</v>
      </c>
      <c r="AH731" s="175"/>
      <c r="AI731" s="175"/>
      <c r="AJ731" s="156" t="s">
        <v>173</v>
      </c>
      <c r="AK731" s="140" t="s">
        <v>173</v>
      </c>
      <c r="AM731" s="152"/>
    </row>
    <row r="732" s="140" customFormat="1" ht="15" hidden="1" customHeight="1" spans="1:39">
      <c r="A732" s="140">
        <v>2017</v>
      </c>
      <c r="B732" s="140" t="s">
        <v>38</v>
      </c>
      <c r="C732" s="140" t="s">
        <v>59</v>
      </c>
      <c r="D732" s="140" t="s">
        <v>106</v>
      </c>
      <c r="F732" s="152" t="s">
        <v>197</v>
      </c>
      <c r="G732" s="152" t="s">
        <v>197</v>
      </c>
      <c r="H732" s="152" t="s">
        <v>197</v>
      </c>
      <c r="I732" s="152" t="s">
        <v>204</v>
      </c>
      <c r="J732" s="140" t="s">
        <v>577</v>
      </c>
      <c r="K732" s="140" t="s">
        <v>578</v>
      </c>
      <c r="L732" s="140" t="s">
        <v>197</v>
      </c>
      <c r="M732" s="140" t="s">
        <v>46</v>
      </c>
      <c r="N732" s="157">
        <v>0.02</v>
      </c>
      <c r="O732" s="156" t="s">
        <v>51</v>
      </c>
      <c r="P732" s="156"/>
      <c r="Q732" s="158">
        <v>0</v>
      </c>
      <c r="R732" s="158">
        <v>0</v>
      </c>
      <c r="S732" s="158"/>
      <c r="T732" s="158">
        <f t="shared" si="138"/>
        <v>0</v>
      </c>
      <c r="U732" s="158">
        <f t="shared" si="142"/>
        <v>0</v>
      </c>
      <c r="V732" s="158">
        <v>7820000</v>
      </c>
      <c r="W732" s="158">
        <f t="shared" si="143"/>
        <v>-7820000</v>
      </c>
      <c r="X732" s="158">
        <f t="shared" si="139"/>
        <v>-7666666.66666667</v>
      </c>
      <c r="Y732" s="158">
        <f t="shared" si="144"/>
        <v>-153333.333333333</v>
      </c>
      <c r="Z732" s="158">
        <v>1361931.7</v>
      </c>
      <c r="AA732" s="158">
        <f t="shared" si="140"/>
        <v>6458068.3</v>
      </c>
      <c r="AB732" s="167">
        <f t="shared" si="147"/>
        <v>1335227.15686275</v>
      </c>
      <c r="AC732" s="168">
        <f t="shared" si="141"/>
        <v>26704.5431372549</v>
      </c>
      <c r="AD732" s="158">
        <f t="shared" si="148"/>
        <v>1335070.79922893</v>
      </c>
      <c r="AE732" s="159">
        <v>0.1077</v>
      </c>
      <c r="AF732" s="158">
        <f t="shared" si="136"/>
        <v>143787.125076956</v>
      </c>
      <c r="AG732" s="158">
        <v>146680.04409</v>
      </c>
      <c r="AH732" s="175"/>
      <c r="AI732" s="175"/>
      <c r="AJ732" s="156" t="s">
        <v>173</v>
      </c>
      <c r="AM732" s="152" t="s">
        <v>208</v>
      </c>
    </row>
    <row r="733" s="140" customFormat="1" ht="15" hidden="1" customHeight="1" spans="1:39">
      <c r="A733" s="140">
        <v>2017</v>
      </c>
      <c r="B733" s="140" t="s">
        <v>199</v>
      </c>
      <c r="C733" s="140" t="s">
        <v>54</v>
      </c>
      <c r="D733" s="140" t="s">
        <v>55</v>
      </c>
      <c r="F733" s="152" t="s">
        <v>496</v>
      </c>
      <c r="G733" s="152" t="s">
        <v>497</v>
      </c>
      <c r="H733" s="179" t="s">
        <v>498</v>
      </c>
      <c r="I733" s="152" t="s">
        <v>204</v>
      </c>
      <c r="J733" s="140" t="s">
        <v>577</v>
      </c>
      <c r="K733" s="140" t="s">
        <v>578</v>
      </c>
      <c r="L733" s="140" t="s">
        <v>832</v>
      </c>
      <c r="M733" s="140" t="s">
        <v>46</v>
      </c>
      <c r="N733" s="157">
        <v>0.02</v>
      </c>
      <c r="O733" s="156" t="s">
        <v>51</v>
      </c>
      <c r="P733" s="156"/>
      <c r="Q733" s="158">
        <v>55221.8766</v>
      </c>
      <c r="R733" s="158">
        <v>0</v>
      </c>
      <c r="S733" s="158"/>
      <c r="T733" s="158">
        <f t="shared" si="138"/>
        <v>0</v>
      </c>
      <c r="U733" s="158">
        <f t="shared" si="142"/>
        <v>0</v>
      </c>
      <c r="V733" s="158">
        <v>1300000</v>
      </c>
      <c r="W733" s="158">
        <f t="shared" si="143"/>
        <v>-1300000</v>
      </c>
      <c r="X733" s="158">
        <f t="shared" si="139"/>
        <v>-1274509.80392157</v>
      </c>
      <c r="Y733" s="158">
        <f t="shared" si="144"/>
        <v>-25490.1960784313</v>
      </c>
      <c r="Z733" s="158">
        <v>284706.82</v>
      </c>
      <c r="AA733" s="158">
        <f t="shared" si="140"/>
        <v>1070515.0566</v>
      </c>
      <c r="AB733" s="167">
        <f>IF(O733="返货",(Z733-Q733)/(1+N733),IF(O733="返现",(Z733-Q733),IF(O733="折扣",(Z733-Q733)*N733,IF(O733="无",(Z733-Q733)))))</f>
        <v>224985.238627451</v>
      </c>
      <c r="AC733" s="168">
        <f t="shared" si="141"/>
        <v>59721.581372549</v>
      </c>
      <c r="AD733" s="158">
        <f t="shared" si="148"/>
        <v>279091.64734423</v>
      </c>
      <c r="AE733" s="159">
        <v>0.1077</v>
      </c>
      <c r="AF733" s="158">
        <f t="shared" si="136"/>
        <v>30058.1704189736</v>
      </c>
      <c r="AG733" s="158">
        <v>30662.924514</v>
      </c>
      <c r="AH733" s="175"/>
      <c r="AI733" s="175"/>
      <c r="AJ733" s="156" t="s">
        <v>173</v>
      </c>
      <c r="AM733" s="152" t="s">
        <v>208</v>
      </c>
    </row>
    <row r="734" s="140" customFormat="1" ht="15" hidden="1" customHeight="1" spans="1:39">
      <c r="A734" s="140">
        <v>2017</v>
      </c>
      <c r="B734" s="140" t="s">
        <v>38</v>
      </c>
      <c r="C734" s="140" t="s">
        <v>59</v>
      </c>
      <c r="D734" s="140" t="s">
        <v>154</v>
      </c>
      <c r="F734" s="152" t="s">
        <v>724</v>
      </c>
      <c r="G734" s="152" t="s">
        <v>725</v>
      </c>
      <c r="H734" s="152" t="s">
        <v>725</v>
      </c>
      <c r="I734" s="152" t="s">
        <v>204</v>
      </c>
      <c r="J734" s="140" t="s">
        <v>577</v>
      </c>
      <c r="K734" s="140" t="s">
        <v>578</v>
      </c>
      <c r="L734" s="140" t="s">
        <v>833</v>
      </c>
      <c r="M734" s="140" t="s">
        <v>46</v>
      </c>
      <c r="N734" s="157">
        <v>0.02</v>
      </c>
      <c r="O734" s="156" t="s">
        <v>51</v>
      </c>
      <c r="P734" s="156"/>
      <c r="Q734" s="158">
        <v>0</v>
      </c>
      <c r="R734" s="158">
        <v>0</v>
      </c>
      <c r="S734" s="158"/>
      <c r="T734" s="158">
        <f t="shared" si="138"/>
        <v>0</v>
      </c>
      <c r="U734" s="158">
        <f t="shared" si="142"/>
        <v>0</v>
      </c>
      <c r="V734" s="158">
        <v>272000</v>
      </c>
      <c r="W734" s="158">
        <f t="shared" si="143"/>
        <v>-272000</v>
      </c>
      <c r="X734" s="158">
        <f t="shared" si="139"/>
        <v>-266666.666666667</v>
      </c>
      <c r="Y734" s="158">
        <f t="shared" si="144"/>
        <v>-5333.33333333331</v>
      </c>
      <c r="Z734" s="158">
        <v>184519.1</v>
      </c>
      <c r="AA734" s="158">
        <f t="shared" si="140"/>
        <v>87480.9</v>
      </c>
      <c r="AB734" s="167">
        <f t="shared" ref="AB734:AB743" si="149">IF(O734="返货",Z734/(1+N734),IF(O734="返现",Z734,IF(O734="折扣",Z734*N734,IF(O734="无",Z734))))</f>
        <v>180901.078431373</v>
      </c>
      <c r="AC734" s="168">
        <f t="shared" si="141"/>
        <v>3618.02156862745</v>
      </c>
      <c r="AD734" s="158">
        <f t="shared" si="148"/>
        <v>180879.894571808</v>
      </c>
      <c r="AE734" s="159">
        <v>0.1077</v>
      </c>
      <c r="AF734" s="158">
        <f t="shared" si="136"/>
        <v>19480.7646453837</v>
      </c>
      <c r="AG734" s="158">
        <v>19872.70707</v>
      </c>
      <c r="AH734" s="175"/>
      <c r="AI734" s="175"/>
      <c r="AJ734" s="156" t="s">
        <v>173</v>
      </c>
      <c r="AM734" s="152" t="s">
        <v>208</v>
      </c>
    </row>
    <row r="735" s="140" customFormat="1" ht="15" hidden="1" customHeight="1" spans="1:39">
      <c r="A735" s="140">
        <v>2017</v>
      </c>
      <c r="B735" s="140" t="s">
        <v>38</v>
      </c>
      <c r="C735" s="140" t="s">
        <v>59</v>
      </c>
      <c r="D735" s="140" t="s">
        <v>154</v>
      </c>
      <c r="F735" s="152" t="s">
        <v>724</v>
      </c>
      <c r="G735" s="152" t="s">
        <v>725</v>
      </c>
      <c r="H735" s="152" t="s">
        <v>725</v>
      </c>
      <c r="I735" s="152" t="s">
        <v>204</v>
      </c>
      <c r="J735" s="140" t="s">
        <v>577</v>
      </c>
      <c r="K735" s="140" t="s">
        <v>578</v>
      </c>
      <c r="L735" s="140" t="s">
        <v>834</v>
      </c>
      <c r="M735" s="140" t="s">
        <v>46</v>
      </c>
      <c r="N735" s="157">
        <v>0.02</v>
      </c>
      <c r="O735" s="156" t="s">
        <v>51</v>
      </c>
      <c r="P735" s="156"/>
      <c r="Q735" s="158">
        <v>0</v>
      </c>
      <c r="R735" s="158">
        <v>0</v>
      </c>
      <c r="S735" s="158"/>
      <c r="T735" s="158">
        <f t="shared" si="138"/>
        <v>0</v>
      </c>
      <c r="U735" s="158">
        <f t="shared" si="142"/>
        <v>0</v>
      </c>
      <c r="V735" s="158">
        <v>224400</v>
      </c>
      <c r="W735" s="158">
        <f t="shared" si="143"/>
        <v>-224400</v>
      </c>
      <c r="X735" s="158">
        <f t="shared" si="139"/>
        <v>-220000</v>
      </c>
      <c r="Y735" s="158">
        <f t="shared" si="144"/>
        <v>-4400</v>
      </c>
      <c r="Z735" s="158">
        <v>127580.18</v>
      </c>
      <c r="AA735" s="158">
        <f t="shared" si="140"/>
        <v>96819.82</v>
      </c>
      <c r="AB735" s="167">
        <f t="shared" si="149"/>
        <v>125078.607843137</v>
      </c>
      <c r="AC735" s="168">
        <f t="shared" si="141"/>
        <v>2501.57215686275</v>
      </c>
      <c r="AD735" s="158">
        <f t="shared" si="148"/>
        <v>125063.960900808</v>
      </c>
      <c r="AE735" s="159">
        <v>0.1077</v>
      </c>
      <c r="AF735" s="158">
        <f t="shared" si="136"/>
        <v>13469.388589017</v>
      </c>
      <c r="AG735" s="158">
        <v>13740.385386</v>
      </c>
      <c r="AH735" s="175"/>
      <c r="AI735" s="175"/>
      <c r="AJ735" s="156" t="s">
        <v>173</v>
      </c>
      <c r="AM735" s="152" t="s">
        <v>208</v>
      </c>
    </row>
    <row r="736" s="140" customFormat="1" ht="15" hidden="1" customHeight="1" spans="1:39">
      <c r="A736" s="140">
        <v>2017</v>
      </c>
      <c r="B736" s="140" t="s">
        <v>38</v>
      </c>
      <c r="C736" s="140" t="s">
        <v>59</v>
      </c>
      <c r="D736" s="140" t="s">
        <v>835</v>
      </c>
      <c r="F736" s="152" t="s">
        <v>738</v>
      </c>
      <c r="G736" s="152" t="s">
        <v>738</v>
      </c>
      <c r="H736" s="152" t="s">
        <v>738</v>
      </c>
      <c r="I736" s="152" t="s">
        <v>204</v>
      </c>
      <c r="J736" s="140" t="s">
        <v>577</v>
      </c>
      <c r="K736" s="140" t="s">
        <v>578</v>
      </c>
      <c r="L736" s="140" t="s">
        <v>739</v>
      </c>
      <c r="M736" s="140" t="s">
        <v>46</v>
      </c>
      <c r="N736" s="157">
        <v>0.02</v>
      </c>
      <c r="O736" s="156" t="s">
        <v>51</v>
      </c>
      <c r="P736" s="156"/>
      <c r="Q736" s="158">
        <v>0</v>
      </c>
      <c r="R736" s="158">
        <v>0</v>
      </c>
      <c r="S736" s="158"/>
      <c r="T736" s="158">
        <f t="shared" si="138"/>
        <v>0</v>
      </c>
      <c r="U736" s="158">
        <f t="shared" si="142"/>
        <v>0</v>
      </c>
      <c r="V736" s="158">
        <v>173400</v>
      </c>
      <c r="W736" s="158">
        <f t="shared" si="143"/>
        <v>-173400</v>
      </c>
      <c r="X736" s="158">
        <f t="shared" si="139"/>
        <v>-170000</v>
      </c>
      <c r="Y736" s="158">
        <f t="shared" si="144"/>
        <v>-3400</v>
      </c>
      <c r="Z736" s="158">
        <v>0</v>
      </c>
      <c r="AA736" s="158">
        <f t="shared" si="140"/>
        <v>173400</v>
      </c>
      <c r="AB736" s="167">
        <f t="shared" si="149"/>
        <v>0</v>
      </c>
      <c r="AC736" s="168">
        <f t="shared" si="141"/>
        <v>0</v>
      </c>
      <c r="AD736" s="158">
        <f t="shared" si="148"/>
        <v>0</v>
      </c>
      <c r="AE736" s="159">
        <v>0.1077</v>
      </c>
      <c r="AF736" s="158">
        <f t="shared" si="136"/>
        <v>0</v>
      </c>
      <c r="AG736" s="158">
        <v>0</v>
      </c>
      <c r="AH736" s="175"/>
      <c r="AI736" s="175"/>
      <c r="AJ736" s="157">
        <v>0.02</v>
      </c>
      <c r="AM736" s="152" t="s">
        <v>208</v>
      </c>
    </row>
    <row r="737" s="140" customFormat="1" ht="15" hidden="1" customHeight="1" spans="1:39">
      <c r="A737" s="140">
        <v>2017</v>
      </c>
      <c r="B737" s="140" t="s">
        <v>38</v>
      </c>
      <c r="C737" s="140" t="s">
        <v>39</v>
      </c>
      <c r="D737" s="140" t="s">
        <v>836</v>
      </c>
      <c r="F737" s="152" t="s">
        <v>329</v>
      </c>
      <c r="G737" s="152" t="s">
        <v>329</v>
      </c>
      <c r="H737" s="152" t="s">
        <v>329</v>
      </c>
      <c r="I737" s="152" t="s">
        <v>204</v>
      </c>
      <c r="J737" s="140" t="s">
        <v>577</v>
      </c>
      <c r="K737" s="140" t="s">
        <v>578</v>
      </c>
      <c r="L737" s="140" t="s">
        <v>330</v>
      </c>
      <c r="M737" s="140" t="s">
        <v>46</v>
      </c>
      <c r="N737" s="157">
        <v>0.02</v>
      </c>
      <c r="O737" s="156" t="s">
        <v>51</v>
      </c>
      <c r="P737" s="156"/>
      <c r="Q737" s="158">
        <v>0</v>
      </c>
      <c r="R737" s="158">
        <v>0</v>
      </c>
      <c r="S737" s="158"/>
      <c r="T737" s="158">
        <f t="shared" si="138"/>
        <v>0</v>
      </c>
      <c r="U737" s="158">
        <f t="shared" si="142"/>
        <v>0</v>
      </c>
      <c r="V737" s="158">
        <v>102000</v>
      </c>
      <c r="W737" s="158">
        <f t="shared" si="143"/>
        <v>-102000</v>
      </c>
      <c r="X737" s="158">
        <f t="shared" si="139"/>
        <v>-100000</v>
      </c>
      <c r="Y737" s="158">
        <f t="shared" si="144"/>
        <v>-2000</v>
      </c>
      <c r="Z737" s="158">
        <v>79142.18</v>
      </c>
      <c r="AA737" s="158">
        <f t="shared" si="140"/>
        <v>22857.82</v>
      </c>
      <c r="AB737" s="167">
        <f t="shared" si="149"/>
        <v>77590.3725490196</v>
      </c>
      <c r="AC737" s="168">
        <f t="shared" si="141"/>
        <v>1551.8074509804</v>
      </c>
      <c r="AD737" s="158">
        <f t="shared" si="148"/>
        <v>77581.2865691576</v>
      </c>
      <c r="AE737" s="159">
        <v>0.1077</v>
      </c>
      <c r="AF737" s="158">
        <f t="shared" si="136"/>
        <v>8355.50456349828</v>
      </c>
      <c r="AG737" s="158">
        <v>8523.612786</v>
      </c>
      <c r="AH737" s="175"/>
      <c r="AI737" s="175"/>
      <c r="AJ737" s="156" t="s">
        <v>173</v>
      </c>
      <c r="AM737" s="152" t="s">
        <v>208</v>
      </c>
    </row>
    <row r="738" s="140" customFormat="1" ht="15" hidden="1" customHeight="1" spans="1:39">
      <c r="A738" s="140">
        <v>2017</v>
      </c>
      <c r="B738" s="152" t="s">
        <v>199</v>
      </c>
      <c r="C738" s="140" t="s">
        <v>54</v>
      </c>
      <c r="D738" s="140" t="s">
        <v>102</v>
      </c>
      <c r="F738" s="152" t="s">
        <v>389</v>
      </c>
      <c r="G738" s="152" t="s">
        <v>390</v>
      </c>
      <c r="H738" s="179" t="s">
        <v>391</v>
      </c>
      <c r="I738" s="152" t="s">
        <v>204</v>
      </c>
      <c r="J738" s="140" t="s">
        <v>577</v>
      </c>
      <c r="K738" s="140" t="s">
        <v>578</v>
      </c>
      <c r="L738" s="140" t="s">
        <v>565</v>
      </c>
      <c r="M738" s="140" t="s">
        <v>46</v>
      </c>
      <c r="N738" s="157">
        <v>0.03</v>
      </c>
      <c r="O738" s="156" t="s">
        <v>51</v>
      </c>
      <c r="P738" s="156"/>
      <c r="Q738" s="158">
        <v>0</v>
      </c>
      <c r="R738" s="158">
        <v>0</v>
      </c>
      <c r="S738" s="158"/>
      <c r="T738" s="158">
        <f t="shared" si="138"/>
        <v>0</v>
      </c>
      <c r="U738" s="158">
        <f t="shared" si="142"/>
        <v>0</v>
      </c>
      <c r="V738" s="158">
        <v>80000</v>
      </c>
      <c r="W738" s="158">
        <f t="shared" si="143"/>
        <v>-80000</v>
      </c>
      <c r="X738" s="158">
        <f t="shared" si="139"/>
        <v>-77669.9029126214</v>
      </c>
      <c r="Y738" s="158">
        <f t="shared" si="144"/>
        <v>-2330.09708737864</v>
      </c>
      <c r="Z738" s="158">
        <v>56150.93</v>
      </c>
      <c r="AA738" s="158">
        <f t="shared" si="140"/>
        <v>23849.07</v>
      </c>
      <c r="AB738" s="167">
        <f t="shared" si="149"/>
        <v>54515.4660194175</v>
      </c>
      <c r="AC738" s="168">
        <f t="shared" si="141"/>
        <v>1635.46398058253</v>
      </c>
      <c r="AD738" s="158">
        <f t="shared" si="148"/>
        <v>55043.4849211219</v>
      </c>
      <c r="AE738" s="159">
        <v>0.1077</v>
      </c>
      <c r="AF738" s="158">
        <f t="shared" si="136"/>
        <v>5928.18332600482</v>
      </c>
      <c r="AG738" s="158">
        <v>6047.455161</v>
      </c>
      <c r="AH738" s="175"/>
      <c r="AI738" s="175"/>
      <c r="AJ738" s="156" t="s">
        <v>189</v>
      </c>
      <c r="AM738" s="152" t="s">
        <v>208</v>
      </c>
    </row>
    <row r="739" s="140" customFormat="1" ht="15" hidden="1" customHeight="1" spans="1:39">
      <c r="A739" s="140">
        <v>2017</v>
      </c>
      <c r="B739" s="140" t="s">
        <v>38</v>
      </c>
      <c r="C739" s="140" t="s">
        <v>75</v>
      </c>
      <c r="D739" s="140" t="s">
        <v>518</v>
      </c>
      <c r="F739" s="152" t="s">
        <v>661</v>
      </c>
      <c r="G739" s="152" t="s">
        <v>661</v>
      </c>
      <c r="H739" s="152" t="s">
        <v>661</v>
      </c>
      <c r="I739" s="152" t="s">
        <v>204</v>
      </c>
      <c r="J739" s="140" t="s">
        <v>577</v>
      </c>
      <c r="K739" s="140" t="s">
        <v>578</v>
      </c>
      <c r="L739" s="140" t="s">
        <v>447</v>
      </c>
      <c r="M739" s="140" t="s">
        <v>46</v>
      </c>
      <c r="N739" s="157">
        <v>0.02</v>
      </c>
      <c r="O739" s="156" t="s">
        <v>51</v>
      </c>
      <c r="P739" s="156"/>
      <c r="Q739" s="158">
        <v>0</v>
      </c>
      <c r="R739" s="158">
        <v>0</v>
      </c>
      <c r="S739" s="158"/>
      <c r="T739" s="158">
        <f t="shared" si="138"/>
        <v>0</v>
      </c>
      <c r="U739" s="158">
        <f t="shared" si="142"/>
        <v>0</v>
      </c>
      <c r="V739" s="158">
        <v>71257.14</v>
      </c>
      <c r="W739" s="158">
        <f t="shared" si="143"/>
        <v>-71257.14</v>
      </c>
      <c r="X739" s="158">
        <f t="shared" si="139"/>
        <v>-69859.9411764706</v>
      </c>
      <c r="Y739" s="158">
        <f t="shared" si="144"/>
        <v>-1397.19882352941</v>
      </c>
      <c r="Z739" s="158">
        <v>71257.14</v>
      </c>
      <c r="AA739" s="158">
        <f t="shared" si="140"/>
        <v>0</v>
      </c>
      <c r="AB739" s="167">
        <f t="shared" si="149"/>
        <v>69859.9411764706</v>
      </c>
      <c r="AC739" s="168">
        <f t="shared" si="141"/>
        <v>1397.19882352941</v>
      </c>
      <c r="AD739" s="158">
        <f t="shared" si="148"/>
        <v>69851.7604447917</v>
      </c>
      <c r="AE739" s="159">
        <v>0.1077</v>
      </c>
      <c r="AF739" s="158">
        <f t="shared" si="136"/>
        <v>7523.03459990407</v>
      </c>
      <c r="AG739" s="158">
        <v>7674.393978</v>
      </c>
      <c r="AH739" s="175"/>
      <c r="AI739" s="175"/>
      <c r="AJ739" s="157">
        <v>0.02</v>
      </c>
      <c r="AM739" s="152" t="s">
        <v>208</v>
      </c>
    </row>
    <row r="740" s="140" customFormat="1" ht="15" hidden="1" customHeight="1" spans="1:39">
      <c r="A740" s="140">
        <v>2017</v>
      </c>
      <c r="B740" s="140" t="s">
        <v>199</v>
      </c>
      <c r="C740" s="140" t="s">
        <v>75</v>
      </c>
      <c r="D740" s="140" t="s">
        <v>518</v>
      </c>
      <c r="F740" s="152" t="s">
        <v>658</v>
      </c>
      <c r="G740" s="152" t="s">
        <v>659</v>
      </c>
      <c r="H740" s="179" t="s">
        <v>660</v>
      </c>
      <c r="I740" s="152" t="s">
        <v>204</v>
      </c>
      <c r="J740" s="140" t="s">
        <v>577</v>
      </c>
      <c r="K740" s="140" t="s">
        <v>578</v>
      </c>
      <c r="L740" s="140" t="s">
        <v>837</v>
      </c>
      <c r="M740" s="140" t="s">
        <v>46</v>
      </c>
      <c r="N740" s="157">
        <v>0.02</v>
      </c>
      <c r="O740" s="156" t="s">
        <v>51</v>
      </c>
      <c r="P740" s="156"/>
      <c r="Q740" s="158">
        <v>0</v>
      </c>
      <c r="R740" s="158">
        <v>0</v>
      </c>
      <c r="S740" s="158"/>
      <c r="T740" s="158">
        <f t="shared" si="138"/>
        <v>0</v>
      </c>
      <c r="U740" s="158">
        <f t="shared" si="142"/>
        <v>0</v>
      </c>
      <c r="V740" s="158">
        <v>50000</v>
      </c>
      <c r="W740" s="158">
        <f t="shared" si="143"/>
        <v>-50000</v>
      </c>
      <c r="X740" s="158">
        <f t="shared" si="139"/>
        <v>-49019.6078431373</v>
      </c>
      <c r="Y740" s="158">
        <f t="shared" si="144"/>
        <v>-980.392156862748</v>
      </c>
      <c r="Z740" s="158">
        <v>30973.31</v>
      </c>
      <c r="AA740" s="158">
        <f t="shared" si="140"/>
        <v>19026.69</v>
      </c>
      <c r="AB740" s="167">
        <f t="shared" si="149"/>
        <v>30365.9901960784</v>
      </c>
      <c r="AC740" s="168">
        <f t="shared" si="141"/>
        <v>607.319803921568</v>
      </c>
      <c r="AD740" s="158">
        <f t="shared" si="148"/>
        <v>30362.4342810036</v>
      </c>
      <c r="AE740" s="159">
        <v>0.1077</v>
      </c>
      <c r="AF740" s="158">
        <f t="shared" si="136"/>
        <v>3270.03417206409</v>
      </c>
      <c r="AG740" s="158">
        <v>3335.825487</v>
      </c>
      <c r="AH740" s="175"/>
      <c r="AI740" s="175"/>
      <c r="AJ740" s="156" t="s">
        <v>173</v>
      </c>
      <c r="AM740" s="152" t="s">
        <v>208</v>
      </c>
    </row>
    <row r="741" s="140" customFormat="1" ht="15" hidden="1" customHeight="1" spans="1:39">
      <c r="A741" s="140">
        <v>2017</v>
      </c>
      <c r="B741" s="140" t="s">
        <v>38</v>
      </c>
      <c r="C741" s="140" t="s">
        <v>54</v>
      </c>
      <c r="D741" s="140" t="s">
        <v>55</v>
      </c>
      <c r="F741" s="152" t="s">
        <v>797</v>
      </c>
      <c r="G741" s="152" t="s">
        <v>797</v>
      </c>
      <c r="H741" s="152" t="s">
        <v>797</v>
      </c>
      <c r="I741" s="152" t="s">
        <v>204</v>
      </c>
      <c r="J741" s="140" t="s">
        <v>577</v>
      </c>
      <c r="K741" s="140" t="s">
        <v>578</v>
      </c>
      <c r="L741" s="140" t="s">
        <v>838</v>
      </c>
      <c r="M741" s="140" t="s">
        <v>46</v>
      </c>
      <c r="N741" s="157">
        <v>0.02</v>
      </c>
      <c r="O741" s="156" t="s">
        <v>51</v>
      </c>
      <c r="P741" s="156"/>
      <c r="Q741" s="158">
        <v>0</v>
      </c>
      <c r="R741" s="158">
        <v>0</v>
      </c>
      <c r="S741" s="158"/>
      <c r="T741" s="158">
        <f t="shared" si="138"/>
        <v>0</v>
      </c>
      <c r="U741" s="158">
        <f t="shared" si="142"/>
        <v>0</v>
      </c>
      <c r="V741" s="158">
        <v>40000</v>
      </c>
      <c r="W741" s="158">
        <f t="shared" si="143"/>
        <v>-40000</v>
      </c>
      <c r="X741" s="158">
        <f t="shared" si="139"/>
        <v>-39215.6862745098</v>
      </c>
      <c r="Y741" s="158">
        <f t="shared" si="144"/>
        <v>-784.313725490196</v>
      </c>
      <c r="Z741" s="158">
        <v>20288.1</v>
      </c>
      <c r="AA741" s="158">
        <f t="shared" si="140"/>
        <v>19711.9</v>
      </c>
      <c r="AB741" s="167">
        <f t="shared" si="149"/>
        <v>19890.2941176471</v>
      </c>
      <c r="AC741" s="168">
        <f t="shared" si="141"/>
        <v>397.805882352943</v>
      </c>
      <c r="AD741" s="158">
        <f t="shared" si="148"/>
        <v>19887.9649264618</v>
      </c>
      <c r="AE741" s="159">
        <v>0.1077</v>
      </c>
      <c r="AF741" s="158">
        <f t="shared" si="136"/>
        <v>2141.93382257994</v>
      </c>
      <c r="AG741" s="158">
        <v>2185.02837</v>
      </c>
      <c r="AH741" s="175"/>
      <c r="AI741" s="175"/>
      <c r="AJ741" s="156" t="s">
        <v>173</v>
      </c>
      <c r="AM741" s="152" t="s">
        <v>208</v>
      </c>
    </row>
    <row r="742" s="140" customFormat="1" ht="15" hidden="1" customHeight="1" spans="1:39">
      <c r="A742" s="140">
        <v>2017</v>
      </c>
      <c r="B742" s="140" t="s">
        <v>38</v>
      </c>
      <c r="C742" s="140" t="s">
        <v>88</v>
      </c>
      <c r="D742" s="140" t="s">
        <v>128</v>
      </c>
      <c r="F742" s="152" t="s">
        <v>632</v>
      </c>
      <c r="G742" s="152" t="s">
        <v>632</v>
      </c>
      <c r="H742" s="152" t="s">
        <v>632</v>
      </c>
      <c r="I742" s="152" t="s">
        <v>204</v>
      </c>
      <c r="J742" s="140" t="s">
        <v>577</v>
      </c>
      <c r="K742" s="140" t="s">
        <v>578</v>
      </c>
      <c r="L742" s="140" t="s">
        <v>839</v>
      </c>
      <c r="M742" s="140" t="s">
        <v>46</v>
      </c>
      <c r="N742" s="157">
        <v>0.05</v>
      </c>
      <c r="O742" s="156" t="s">
        <v>51</v>
      </c>
      <c r="P742" s="156"/>
      <c r="Q742" s="158">
        <v>0</v>
      </c>
      <c r="R742" s="158">
        <v>0</v>
      </c>
      <c r="S742" s="158"/>
      <c r="T742" s="158">
        <f t="shared" si="138"/>
        <v>0</v>
      </c>
      <c r="U742" s="158">
        <f t="shared" si="142"/>
        <v>0</v>
      </c>
      <c r="V742" s="158">
        <v>18193.7</v>
      </c>
      <c r="W742" s="158">
        <f t="shared" si="143"/>
        <v>-18193.7</v>
      </c>
      <c r="X742" s="158">
        <f t="shared" si="139"/>
        <v>-17327.3333333333</v>
      </c>
      <c r="Y742" s="158">
        <f t="shared" si="144"/>
        <v>-866.366666666669</v>
      </c>
      <c r="Z742" s="158">
        <v>18193.7</v>
      </c>
      <c r="AA742" s="158">
        <f t="shared" si="140"/>
        <v>0</v>
      </c>
      <c r="AB742" s="167">
        <f t="shared" si="149"/>
        <v>17327.3333333333</v>
      </c>
      <c r="AC742" s="168">
        <f t="shared" si="141"/>
        <v>866.366666666669</v>
      </c>
      <c r="AD742" s="158">
        <f t="shared" si="148"/>
        <v>17834.8720423582</v>
      </c>
      <c r="AE742" s="159">
        <v>0.1077</v>
      </c>
      <c r="AF742" s="158">
        <f t="shared" si="136"/>
        <v>1920.81571896198</v>
      </c>
      <c r="AG742" s="158">
        <v>1959.46149</v>
      </c>
      <c r="AH742" s="175"/>
      <c r="AI742" s="175"/>
      <c r="AJ742" s="157">
        <v>0.05</v>
      </c>
      <c r="AM742" s="152" t="s">
        <v>208</v>
      </c>
    </row>
    <row r="743" s="140" customFormat="1" ht="15" hidden="1" customHeight="1" spans="1:40">
      <c r="A743" s="140">
        <v>2017</v>
      </c>
      <c r="C743" s="140" t="s">
        <v>59</v>
      </c>
      <c r="D743" s="140" t="s">
        <v>181</v>
      </c>
      <c r="F743" s="152" t="s">
        <v>840</v>
      </c>
      <c r="G743" s="152"/>
      <c r="H743" s="152"/>
      <c r="I743" s="152" t="s">
        <v>204</v>
      </c>
      <c r="J743" s="140" t="s">
        <v>577</v>
      </c>
      <c r="K743" s="140" t="s">
        <v>578</v>
      </c>
      <c r="L743" s="140" t="s">
        <v>840</v>
      </c>
      <c r="M743" s="140" t="s">
        <v>46</v>
      </c>
      <c r="N743" s="182">
        <v>0</v>
      </c>
      <c r="O743" s="156" t="s">
        <v>47</v>
      </c>
      <c r="P743" s="156"/>
      <c r="Q743" s="158">
        <v>0</v>
      </c>
      <c r="R743" s="158">
        <v>0</v>
      </c>
      <c r="S743" s="158"/>
      <c r="T743" s="158">
        <f t="shared" si="138"/>
        <v>0</v>
      </c>
      <c r="U743" s="158">
        <f t="shared" si="142"/>
        <v>0</v>
      </c>
      <c r="V743" s="158">
        <v>10200</v>
      </c>
      <c r="W743" s="158">
        <f t="shared" si="143"/>
        <v>-10200</v>
      </c>
      <c r="X743" s="158">
        <f t="shared" si="139"/>
        <v>-10200</v>
      </c>
      <c r="Y743" s="158">
        <f t="shared" si="144"/>
        <v>0</v>
      </c>
      <c r="Z743" s="158">
        <v>0</v>
      </c>
      <c r="AA743" s="158">
        <f t="shared" si="140"/>
        <v>10200</v>
      </c>
      <c r="AB743" s="167">
        <f t="shared" si="149"/>
        <v>0</v>
      </c>
      <c r="AC743" s="168">
        <f t="shared" si="141"/>
        <v>0</v>
      </c>
      <c r="AD743" s="158">
        <f t="shared" si="148"/>
        <v>0</v>
      </c>
      <c r="AE743" s="159">
        <v>0.1077</v>
      </c>
      <c r="AF743" s="158">
        <f t="shared" si="136"/>
        <v>0</v>
      </c>
      <c r="AG743" s="158">
        <v>0</v>
      </c>
      <c r="AH743" s="175"/>
      <c r="AI743" s="175"/>
      <c r="AJ743" s="156" t="e">
        <v>#N/A</v>
      </c>
      <c r="AM743" s="152" t="s">
        <v>208</v>
      </c>
      <c r="AN743" s="140" t="s">
        <v>841</v>
      </c>
    </row>
    <row r="744" s="140" customFormat="1" ht="15" hidden="1" customHeight="1" spans="1:39">
      <c r="A744" s="140">
        <v>2017</v>
      </c>
      <c r="C744" s="140" t="s">
        <v>75</v>
      </c>
      <c r="D744" s="140" t="s">
        <v>518</v>
      </c>
      <c r="F744" s="152" t="s">
        <v>842</v>
      </c>
      <c r="G744" s="152"/>
      <c r="H744" s="152"/>
      <c r="I744" s="152" t="s">
        <v>204</v>
      </c>
      <c r="J744" s="140" t="s">
        <v>577</v>
      </c>
      <c r="K744" s="140" t="s">
        <v>578</v>
      </c>
      <c r="L744" s="140" t="s">
        <v>842</v>
      </c>
      <c r="M744" s="140" t="s">
        <v>46</v>
      </c>
      <c r="N744" s="182">
        <v>0</v>
      </c>
      <c r="O744" s="156" t="s">
        <v>47</v>
      </c>
      <c r="P744" s="156"/>
      <c r="Q744" s="158">
        <v>8485.83</v>
      </c>
      <c r="R744" s="158">
        <v>0</v>
      </c>
      <c r="S744" s="158"/>
      <c r="T744" s="158">
        <f t="shared" si="138"/>
        <v>0</v>
      </c>
      <c r="U744" s="158">
        <f t="shared" si="142"/>
        <v>0</v>
      </c>
      <c r="V744" s="158">
        <v>3500</v>
      </c>
      <c r="W744" s="158">
        <f t="shared" si="143"/>
        <v>-3500</v>
      </c>
      <c r="X744" s="158">
        <f t="shared" si="139"/>
        <v>-3500</v>
      </c>
      <c r="Y744" s="158">
        <f t="shared" si="144"/>
        <v>0</v>
      </c>
      <c r="Z744" s="158">
        <v>9077.33</v>
      </c>
      <c r="AA744" s="158">
        <f t="shared" si="140"/>
        <v>2908.5</v>
      </c>
      <c r="AB744" s="167">
        <f>IF(O744="返货",(Z744-Q744)/(1+N744),IF(O744="返现",(Z744-Q744),IF(O744="折扣",(Z744-Q744)*N744,IF(O744="无",(Z744-Q744)))))</f>
        <v>591.5</v>
      </c>
      <c r="AC744" s="168">
        <f t="shared" si="141"/>
        <v>8485.83</v>
      </c>
      <c r="AD744" s="158">
        <f t="shared" si="148"/>
        <v>8898.30100728602</v>
      </c>
      <c r="AE744" s="159">
        <v>0.1077</v>
      </c>
      <c r="AF744" s="158">
        <f t="shared" si="136"/>
        <v>958.347018484705</v>
      </c>
      <c r="AG744" s="158">
        <v>977.628441</v>
      </c>
      <c r="AH744" s="175"/>
      <c r="AI744" s="175"/>
      <c r="AJ744" s="156" t="e">
        <v>#N/A</v>
      </c>
      <c r="AM744" s="152" t="s">
        <v>208</v>
      </c>
    </row>
    <row r="745" s="140" customFormat="1" ht="15" hidden="1" customHeight="1" spans="1:39">
      <c r="A745" s="140">
        <v>2017</v>
      </c>
      <c r="C745" s="140" t="s">
        <v>88</v>
      </c>
      <c r="D745" s="140" t="s">
        <v>128</v>
      </c>
      <c r="F745" s="152" t="s">
        <v>843</v>
      </c>
      <c r="G745" s="152"/>
      <c r="H745" s="152"/>
      <c r="I745" s="152" t="s">
        <v>204</v>
      </c>
      <c r="J745" s="140" t="s">
        <v>577</v>
      </c>
      <c r="K745" s="140" t="s">
        <v>578</v>
      </c>
      <c r="L745" s="140" t="s">
        <v>843</v>
      </c>
      <c r="M745" s="140" t="s">
        <v>46</v>
      </c>
      <c r="N745" s="156">
        <v>0</v>
      </c>
      <c r="O745" s="156" t="s">
        <v>47</v>
      </c>
      <c r="P745" s="156"/>
      <c r="Q745" s="158">
        <v>1700</v>
      </c>
      <c r="R745" s="158">
        <v>0</v>
      </c>
      <c r="S745" s="158"/>
      <c r="T745" s="158">
        <f t="shared" si="138"/>
        <v>0</v>
      </c>
      <c r="U745" s="158">
        <f t="shared" si="142"/>
        <v>0</v>
      </c>
      <c r="V745" s="158">
        <v>-1700</v>
      </c>
      <c r="W745" s="158">
        <f t="shared" si="143"/>
        <v>1700</v>
      </c>
      <c r="X745" s="158">
        <f t="shared" si="139"/>
        <v>1700</v>
      </c>
      <c r="Y745" s="158">
        <f t="shared" si="144"/>
        <v>0</v>
      </c>
      <c r="Z745" s="158">
        <v>0</v>
      </c>
      <c r="AA745" s="158">
        <f t="shared" si="140"/>
        <v>0</v>
      </c>
      <c r="AB745" s="167">
        <v>0</v>
      </c>
      <c r="AC745" s="168">
        <f t="shared" si="141"/>
        <v>0</v>
      </c>
      <c r="AD745" s="158">
        <f t="shared" si="148"/>
        <v>0</v>
      </c>
      <c r="AE745" s="159">
        <v>0.1077</v>
      </c>
      <c r="AF745" s="158">
        <f t="shared" si="136"/>
        <v>0</v>
      </c>
      <c r="AG745" s="158">
        <v>0</v>
      </c>
      <c r="AH745" s="175"/>
      <c r="AI745" s="175"/>
      <c r="AJ745" s="156" t="e">
        <v>#N/A</v>
      </c>
      <c r="AL745" s="140" t="s">
        <v>613</v>
      </c>
      <c r="AM745" s="152" t="s">
        <v>208</v>
      </c>
    </row>
    <row r="746" s="140" customFormat="1" ht="15" hidden="1" customHeight="1" spans="1:39">
      <c r="A746" s="140">
        <v>2017</v>
      </c>
      <c r="B746" s="140" t="s">
        <v>38</v>
      </c>
      <c r="C746" s="140" t="s">
        <v>200</v>
      </c>
      <c r="D746" s="140" t="s">
        <v>201</v>
      </c>
      <c r="F746" s="152" t="s">
        <v>844</v>
      </c>
      <c r="G746" s="152" t="s">
        <v>844</v>
      </c>
      <c r="H746" s="152" t="s">
        <v>844</v>
      </c>
      <c r="I746" s="152" t="s">
        <v>204</v>
      </c>
      <c r="J746" s="140" t="s">
        <v>577</v>
      </c>
      <c r="K746" s="140" t="s">
        <v>578</v>
      </c>
      <c r="L746" s="140" t="s">
        <v>844</v>
      </c>
      <c r="M746" s="140" t="s">
        <v>46</v>
      </c>
      <c r="N746" s="157">
        <v>0.02</v>
      </c>
      <c r="O746" s="159" t="s">
        <v>51</v>
      </c>
      <c r="P746" s="159"/>
      <c r="Q746" s="158">
        <v>6678.45</v>
      </c>
      <c r="R746" s="158">
        <v>0</v>
      </c>
      <c r="S746" s="158"/>
      <c r="T746" s="158">
        <f t="shared" si="138"/>
        <v>0</v>
      </c>
      <c r="U746" s="158">
        <f t="shared" si="142"/>
        <v>0</v>
      </c>
      <c r="V746" s="158">
        <v>-2075.5</v>
      </c>
      <c r="W746" s="158">
        <f t="shared" si="143"/>
        <v>2075.5</v>
      </c>
      <c r="X746" s="158">
        <f t="shared" si="139"/>
        <v>2034.80392156863</v>
      </c>
      <c r="Y746" s="158">
        <f t="shared" si="144"/>
        <v>40.6960784313726</v>
      </c>
      <c r="Z746" s="158">
        <v>4602.95</v>
      </c>
      <c r="AA746" s="158">
        <f t="shared" si="140"/>
        <v>0</v>
      </c>
      <c r="AB746" s="167">
        <f>IF(O746="返货",(Z746-Q746)/(1+N746),IF(O746="返现",(Z746-Q746),IF(O746="折扣",(Z746-Q746)*N746,IF(O746="无",(Z746-Q746)))))</f>
        <v>-2034.80392156863</v>
      </c>
      <c r="AC746" s="168">
        <f t="shared" si="141"/>
        <v>6637.75392156863</v>
      </c>
      <c r="AD746" s="158">
        <f t="shared" si="148"/>
        <v>4512.16763315724</v>
      </c>
      <c r="AE746" s="159">
        <v>0.1077</v>
      </c>
      <c r="AF746" s="158">
        <f t="shared" si="136"/>
        <v>485.960454091035</v>
      </c>
      <c r="AG746" s="158">
        <v>495.737715</v>
      </c>
      <c r="AH746" s="175"/>
      <c r="AI746" s="175"/>
      <c r="AJ746" s="157">
        <v>0.02</v>
      </c>
      <c r="AM746" s="152" t="s">
        <v>208</v>
      </c>
    </row>
    <row r="747" s="140" customFormat="1" ht="15" hidden="1" customHeight="1" spans="1:39">
      <c r="A747" s="140">
        <v>2017</v>
      </c>
      <c r="C747" s="140" t="s">
        <v>75</v>
      </c>
      <c r="D747" s="140" t="s">
        <v>518</v>
      </c>
      <c r="F747" s="152" t="str">
        <f>L747</f>
        <v>北京轻松每餐科技有限公司</v>
      </c>
      <c r="G747" s="152"/>
      <c r="H747" s="152"/>
      <c r="I747" s="152" t="s">
        <v>204</v>
      </c>
      <c r="J747" s="140" t="s">
        <v>577</v>
      </c>
      <c r="K747" s="140" t="s">
        <v>578</v>
      </c>
      <c r="L747" s="140" t="s">
        <v>845</v>
      </c>
      <c r="M747" s="140" t="s">
        <v>46</v>
      </c>
      <c r="N747" s="156">
        <v>0</v>
      </c>
      <c r="O747" s="156" t="s">
        <v>47</v>
      </c>
      <c r="P747" s="156"/>
      <c r="Q747" s="158">
        <v>11682.47</v>
      </c>
      <c r="R747" s="158">
        <v>0</v>
      </c>
      <c r="S747" s="158"/>
      <c r="T747" s="158">
        <f t="shared" si="138"/>
        <v>0</v>
      </c>
      <c r="U747" s="158">
        <f t="shared" si="142"/>
        <v>0</v>
      </c>
      <c r="V747" s="158">
        <v>-11600</v>
      </c>
      <c r="W747" s="158">
        <f t="shared" si="143"/>
        <v>11600</v>
      </c>
      <c r="X747" s="158">
        <f t="shared" si="139"/>
        <v>11600</v>
      </c>
      <c r="Y747" s="158">
        <f t="shared" si="144"/>
        <v>0</v>
      </c>
      <c r="Z747" s="158">
        <v>0</v>
      </c>
      <c r="AA747" s="158">
        <f t="shared" si="140"/>
        <v>82.4699999999993</v>
      </c>
      <c r="AB747" s="167">
        <v>0</v>
      </c>
      <c r="AC747" s="168">
        <f t="shared" si="141"/>
        <v>0</v>
      </c>
      <c r="AD747" s="158">
        <f t="shared" si="148"/>
        <v>0</v>
      </c>
      <c r="AE747" s="159">
        <v>0.1077</v>
      </c>
      <c r="AF747" s="158">
        <f t="shared" si="136"/>
        <v>0</v>
      </c>
      <c r="AG747" s="158">
        <v>0</v>
      </c>
      <c r="AH747" s="175"/>
      <c r="AI747" s="175"/>
      <c r="AJ747" s="156" t="e">
        <v>#N/A</v>
      </c>
      <c r="AM747" s="152" t="s">
        <v>208</v>
      </c>
    </row>
    <row r="748" s="140" customFormat="1" ht="15" hidden="1" customHeight="1" spans="1:40">
      <c r="A748" s="140">
        <v>2017</v>
      </c>
      <c r="C748" s="140" t="s">
        <v>59</v>
      </c>
      <c r="D748" s="140" t="s">
        <v>720</v>
      </c>
      <c r="F748" s="152" t="str">
        <f>L748</f>
        <v>友乐活（北京）网络科技有限公司</v>
      </c>
      <c r="G748" s="152"/>
      <c r="H748" s="152"/>
      <c r="I748" s="152" t="s">
        <v>204</v>
      </c>
      <c r="J748" s="140" t="s">
        <v>577</v>
      </c>
      <c r="K748" s="140" t="s">
        <v>578</v>
      </c>
      <c r="L748" s="140" t="s">
        <v>846</v>
      </c>
      <c r="M748" s="140" t="s">
        <v>46</v>
      </c>
      <c r="N748" s="156">
        <v>0</v>
      </c>
      <c r="O748" s="156" t="s">
        <v>47</v>
      </c>
      <c r="P748" s="156"/>
      <c r="Q748" s="158">
        <v>46868.28</v>
      </c>
      <c r="R748" s="158">
        <v>0</v>
      </c>
      <c r="S748" s="158"/>
      <c r="T748" s="158">
        <f t="shared" si="138"/>
        <v>0</v>
      </c>
      <c r="U748" s="158">
        <f t="shared" si="142"/>
        <v>0</v>
      </c>
      <c r="V748" s="158">
        <v>-30000</v>
      </c>
      <c r="W748" s="158">
        <f t="shared" si="143"/>
        <v>30000</v>
      </c>
      <c r="X748" s="158">
        <f t="shared" si="139"/>
        <v>30000</v>
      </c>
      <c r="Y748" s="158">
        <f t="shared" si="144"/>
        <v>0</v>
      </c>
      <c r="Z748" s="158">
        <v>0</v>
      </c>
      <c r="AA748" s="158">
        <f t="shared" si="140"/>
        <v>16868.28</v>
      </c>
      <c r="AB748" s="167">
        <v>0</v>
      </c>
      <c r="AC748" s="168">
        <f t="shared" si="141"/>
        <v>0</v>
      </c>
      <c r="AD748" s="158">
        <f t="shared" si="148"/>
        <v>0</v>
      </c>
      <c r="AE748" s="159">
        <v>0.1077</v>
      </c>
      <c r="AF748" s="158">
        <f t="shared" si="136"/>
        <v>0</v>
      </c>
      <c r="AG748" s="158">
        <v>0</v>
      </c>
      <c r="AH748" s="175"/>
      <c r="AI748" s="175"/>
      <c r="AJ748" s="156" t="e">
        <v>#N/A</v>
      </c>
      <c r="AM748" s="152" t="s">
        <v>208</v>
      </c>
      <c r="AN748" s="140" t="s">
        <v>841</v>
      </c>
    </row>
    <row r="749" s="140" customFormat="1" ht="15" hidden="1" customHeight="1" spans="1:40">
      <c r="A749" s="140">
        <v>2017</v>
      </c>
      <c r="C749" s="140" t="s">
        <v>59</v>
      </c>
      <c r="D749" s="140" t="s">
        <v>720</v>
      </c>
      <c r="F749" s="152" t="s">
        <v>847</v>
      </c>
      <c r="G749" s="152"/>
      <c r="H749" s="152"/>
      <c r="I749" s="152" t="s">
        <v>204</v>
      </c>
      <c r="J749" s="140" t="s">
        <v>577</v>
      </c>
      <c r="K749" s="140" t="s">
        <v>578</v>
      </c>
      <c r="L749" s="140" t="s">
        <v>847</v>
      </c>
      <c r="M749" s="140" t="s">
        <v>46</v>
      </c>
      <c r="N749" s="182">
        <v>0</v>
      </c>
      <c r="O749" s="156" t="s">
        <v>47</v>
      </c>
      <c r="P749" s="156"/>
      <c r="Q749" s="158">
        <v>0</v>
      </c>
      <c r="R749" s="158">
        <v>0</v>
      </c>
      <c r="S749" s="158"/>
      <c r="T749" s="158">
        <f t="shared" si="138"/>
        <v>0</v>
      </c>
      <c r="U749" s="158">
        <f t="shared" si="142"/>
        <v>0</v>
      </c>
      <c r="V749" s="158">
        <v>-183851.12</v>
      </c>
      <c r="W749" s="158">
        <f t="shared" si="143"/>
        <v>183851.12</v>
      </c>
      <c r="X749" s="158">
        <f t="shared" si="139"/>
        <v>183851.12</v>
      </c>
      <c r="Y749" s="158">
        <f t="shared" si="144"/>
        <v>0</v>
      </c>
      <c r="Z749" s="158">
        <v>0</v>
      </c>
      <c r="AA749" s="158">
        <f t="shared" si="140"/>
        <v>-183851.12</v>
      </c>
      <c r="AB749" s="167">
        <f>IF(O749="返货",Z749/(1+N749),IF(O749="返现",Z749,IF(O749="折扣",Z749*N749,IF(O749="无",Z749))))</f>
        <v>0</v>
      </c>
      <c r="AC749" s="168">
        <f t="shared" si="141"/>
        <v>0</v>
      </c>
      <c r="AD749" s="158">
        <f t="shared" si="148"/>
        <v>0</v>
      </c>
      <c r="AE749" s="159">
        <v>0.1077</v>
      </c>
      <c r="AF749" s="158">
        <f t="shared" si="136"/>
        <v>0</v>
      </c>
      <c r="AG749" s="158">
        <v>0</v>
      </c>
      <c r="AH749" s="175"/>
      <c r="AI749" s="175"/>
      <c r="AJ749" s="156" t="e">
        <v>#N/A</v>
      </c>
      <c r="AM749" s="152" t="s">
        <v>208</v>
      </c>
      <c r="AN749" s="140" t="s">
        <v>841</v>
      </c>
    </row>
    <row r="750" s="140" customFormat="1" ht="15" hidden="1" customHeight="1" spans="1:39">
      <c r="A750" s="140">
        <v>2017</v>
      </c>
      <c r="C750" s="140" t="s">
        <v>75</v>
      </c>
      <c r="D750" s="140" t="s">
        <v>518</v>
      </c>
      <c r="F750" s="152" t="s">
        <v>306</v>
      </c>
      <c r="G750" s="152"/>
      <c r="H750" s="152"/>
      <c r="I750" s="152" t="s">
        <v>204</v>
      </c>
      <c r="J750" s="140" t="s">
        <v>577</v>
      </c>
      <c r="K750" s="140" t="s">
        <v>578</v>
      </c>
      <c r="L750" s="140" t="s">
        <v>306</v>
      </c>
      <c r="M750" s="140" t="s">
        <v>46</v>
      </c>
      <c r="N750" s="157">
        <v>0</v>
      </c>
      <c r="O750" s="156" t="s">
        <v>47</v>
      </c>
      <c r="P750" s="156"/>
      <c r="Q750" s="158">
        <v>0</v>
      </c>
      <c r="R750" s="158">
        <v>0</v>
      </c>
      <c r="S750" s="158"/>
      <c r="T750" s="158">
        <f t="shared" si="138"/>
        <v>0</v>
      </c>
      <c r="U750" s="158">
        <f t="shared" si="142"/>
        <v>0</v>
      </c>
      <c r="V750" s="158">
        <v>-248136.47</v>
      </c>
      <c r="W750" s="158">
        <f t="shared" si="143"/>
        <v>248136.47</v>
      </c>
      <c r="X750" s="158">
        <f t="shared" si="139"/>
        <v>248136.47</v>
      </c>
      <c r="Y750" s="158">
        <f t="shared" si="144"/>
        <v>0</v>
      </c>
      <c r="Z750" s="158">
        <v>0</v>
      </c>
      <c r="AA750" s="158">
        <f t="shared" si="140"/>
        <v>-248136.47</v>
      </c>
      <c r="AB750" s="167">
        <f>IF(O750="返货",Z750/(1+N750),IF(O750="返现",Z750,IF(O750="折扣",Z750*N750,IF(O750="无",Z750))))</f>
        <v>0</v>
      </c>
      <c r="AC750" s="168">
        <f t="shared" si="141"/>
        <v>0</v>
      </c>
      <c r="AD750" s="158">
        <f t="shared" si="148"/>
        <v>0</v>
      </c>
      <c r="AE750" s="159">
        <v>0.1077</v>
      </c>
      <c r="AF750" s="158">
        <f t="shared" si="136"/>
        <v>0</v>
      </c>
      <c r="AG750" s="158">
        <v>0</v>
      </c>
      <c r="AH750" s="175"/>
      <c r="AI750" s="175"/>
      <c r="AJ750" s="157">
        <v>0</v>
      </c>
      <c r="AM750" s="152" t="s">
        <v>208</v>
      </c>
    </row>
    <row r="751" s="140" customFormat="1" ht="15" hidden="1" customHeight="1" spans="1:39">
      <c r="A751" s="140">
        <v>2017</v>
      </c>
      <c r="C751" s="140" t="s">
        <v>75</v>
      </c>
      <c r="D751" s="140" t="s">
        <v>518</v>
      </c>
      <c r="F751" s="152" t="s">
        <v>848</v>
      </c>
      <c r="G751" s="152"/>
      <c r="H751" s="152"/>
      <c r="I751" s="152" t="s">
        <v>204</v>
      </c>
      <c r="J751" s="140" t="s">
        <v>577</v>
      </c>
      <c r="K751" s="140" t="s">
        <v>578</v>
      </c>
      <c r="L751" s="140" t="s">
        <v>848</v>
      </c>
      <c r="M751" s="140" t="s">
        <v>46</v>
      </c>
      <c r="N751" s="156">
        <v>0</v>
      </c>
      <c r="O751" s="156" t="s">
        <v>47</v>
      </c>
      <c r="P751" s="156"/>
      <c r="Q751" s="158">
        <v>75272.91</v>
      </c>
      <c r="R751" s="158">
        <v>0</v>
      </c>
      <c r="S751" s="158"/>
      <c r="T751" s="158">
        <f t="shared" si="138"/>
        <v>0</v>
      </c>
      <c r="U751" s="158">
        <f t="shared" si="142"/>
        <v>0</v>
      </c>
      <c r="V751" s="158">
        <v>-374266.12</v>
      </c>
      <c r="W751" s="158">
        <f t="shared" si="143"/>
        <v>374266.12</v>
      </c>
      <c r="X751" s="158">
        <f t="shared" si="139"/>
        <v>374266.12</v>
      </c>
      <c r="Y751" s="158">
        <f t="shared" si="144"/>
        <v>0</v>
      </c>
      <c r="Z751" s="158">
        <v>0</v>
      </c>
      <c r="AA751" s="158">
        <f t="shared" si="140"/>
        <v>-298993.21</v>
      </c>
      <c r="AB751" s="167">
        <v>0</v>
      </c>
      <c r="AC751" s="168">
        <f t="shared" si="141"/>
        <v>0</v>
      </c>
      <c r="AD751" s="158">
        <f t="shared" si="148"/>
        <v>0</v>
      </c>
      <c r="AE751" s="159">
        <v>0.1077</v>
      </c>
      <c r="AF751" s="158">
        <f t="shared" ref="AF751:AF814" si="150">AD751*AE751</f>
        <v>0</v>
      </c>
      <c r="AG751" s="158">
        <v>0</v>
      </c>
      <c r="AH751" s="175"/>
      <c r="AI751" s="175"/>
      <c r="AJ751" s="156" t="e">
        <v>#N/A</v>
      </c>
      <c r="AL751" s="140" t="s">
        <v>849</v>
      </c>
      <c r="AM751" s="152" t="s">
        <v>208</v>
      </c>
    </row>
    <row r="752" s="140" customFormat="1" ht="15" hidden="1" customHeight="1" spans="1:39">
      <c r="A752" s="140">
        <v>2017</v>
      </c>
      <c r="C752" s="140" t="s">
        <v>75</v>
      </c>
      <c r="D752" s="140" t="s">
        <v>518</v>
      </c>
      <c r="F752" s="140" t="s">
        <v>850</v>
      </c>
      <c r="G752" s="152"/>
      <c r="H752" s="152"/>
      <c r="I752" s="152" t="s">
        <v>204</v>
      </c>
      <c r="J752" s="140" t="s">
        <v>577</v>
      </c>
      <c r="K752" s="140" t="s">
        <v>578</v>
      </c>
      <c r="L752" s="140" t="s">
        <v>850</v>
      </c>
      <c r="M752" s="140" t="s">
        <v>46</v>
      </c>
      <c r="N752" s="182">
        <v>0</v>
      </c>
      <c r="O752" s="156" t="s">
        <v>47</v>
      </c>
      <c r="P752" s="156"/>
      <c r="Q752" s="158">
        <v>0</v>
      </c>
      <c r="R752" s="158">
        <v>0</v>
      </c>
      <c r="S752" s="158"/>
      <c r="T752" s="158">
        <f t="shared" si="138"/>
        <v>0</v>
      </c>
      <c r="U752" s="158">
        <f t="shared" si="142"/>
        <v>0</v>
      </c>
      <c r="V752" s="158">
        <v>5000</v>
      </c>
      <c r="W752" s="158">
        <f t="shared" si="143"/>
        <v>-5000</v>
      </c>
      <c r="X752" s="158">
        <f t="shared" si="139"/>
        <v>-5000</v>
      </c>
      <c r="Y752" s="158">
        <f t="shared" si="144"/>
        <v>0</v>
      </c>
      <c r="Z752" s="158">
        <v>1892.5</v>
      </c>
      <c r="AA752" s="158">
        <f t="shared" si="140"/>
        <v>3107.5</v>
      </c>
      <c r="AB752" s="167">
        <f>IF(O752="返货",Z752/(1+N752),IF(O752="返现",Z752,IF(O752="折扣",Z752*N752,IF(O752="无",Z752))))</f>
        <v>1892.5</v>
      </c>
      <c r="AC752" s="168">
        <f t="shared" si="141"/>
        <v>0</v>
      </c>
      <c r="AD752" s="158">
        <f t="shared" si="148"/>
        <v>1855.17488692036</v>
      </c>
      <c r="AE752" s="159">
        <v>0.1077</v>
      </c>
      <c r="AF752" s="158">
        <f t="shared" si="150"/>
        <v>199.802335321323</v>
      </c>
      <c r="AG752" s="158">
        <v>203.82225</v>
      </c>
      <c r="AH752" s="175"/>
      <c r="AI752" s="175"/>
      <c r="AJ752" s="156" t="e">
        <v>#N/A</v>
      </c>
      <c r="AM752" s="152" t="s">
        <v>208</v>
      </c>
    </row>
    <row r="753" s="140" customFormat="1" ht="15" hidden="1" customHeight="1" spans="1:39">
      <c r="A753" s="140">
        <v>2017</v>
      </c>
      <c r="C753" s="140" t="s">
        <v>75</v>
      </c>
      <c r="D753" s="140" t="s">
        <v>518</v>
      </c>
      <c r="F753" s="152" t="s">
        <v>851</v>
      </c>
      <c r="G753" s="152"/>
      <c r="H753" s="152"/>
      <c r="I753" s="152" t="s">
        <v>204</v>
      </c>
      <c r="J753" s="140" t="s">
        <v>577</v>
      </c>
      <c r="K753" s="140" t="s">
        <v>578</v>
      </c>
      <c r="L753" s="140" t="s">
        <v>851</v>
      </c>
      <c r="M753" s="140" t="s">
        <v>46</v>
      </c>
      <c r="N753" s="182">
        <v>0</v>
      </c>
      <c r="O753" s="156" t="s">
        <v>47</v>
      </c>
      <c r="P753" s="156"/>
      <c r="Q753" s="158">
        <v>0</v>
      </c>
      <c r="R753" s="158">
        <v>0</v>
      </c>
      <c r="S753" s="158"/>
      <c r="T753" s="158">
        <f t="shared" si="138"/>
        <v>0</v>
      </c>
      <c r="U753" s="158">
        <f t="shared" si="142"/>
        <v>0</v>
      </c>
      <c r="V753" s="158">
        <v>1124.47</v>
      </c>
      <c r="W753" s="158">
        <f t="shared" si="143"/>
        <v>-1124.47</v>
      </c>
      <c r="X753" s="158">
        <f t="shared" si="139"/>
        <v>-1124.47</v>
      </c>
      <c r="Y753" s="158">
        <f t="shared" si="144"/>
        <v>0</v>
      </c>
      <c r="Z753" s="158">
        <v>0</v>
      </c>
      <c r="AA753" s="158">
        <f t="shared" si="140"/>
        <v>1124.47</v>
      </c>
      <c r="AB753" s="167">
        <f>IF(O753="返货",Z753/(1+N753),IF(O753="返现",Z753,IF(O753="折扣",Z753*N753,IF(O753="无",Z753))))</f>
        <v>0</v>
      </c>
      <c r="AC753" s="168">
        <f t="shared" si="141"/>
        <v>0</v>
      </c>
      <c r="AD753" s="158">
        <f t="shared" si="148"/>
        <v>0</v>
      </c>
      <c r="AE753" s="159">
        <v>0.1077</v>
      </c>
      <c r="AF753" s="158">
        <f t="shared" si="150"/>
        <v>0</v>
      </c>
      <c r="AG753" s="158">
        <v>0</v>
      </c>
      <c r="AH753" s="175"/>
      <c r="AI753" s="175"/>
      <c r="AJ753" s="156" t="e">
        <v>#N/A</v>
      </c>
      <c r="AM753" s="152" t="s">
        <v>208</v>
      </c>
    </row>
    <row r="754" s="140" customFormat="1" ht="15" hidden="1" customHeight="1" spans="1:39">
      <c r="A754" s="140">
        <v>2017</v>
      </c>
      <c r="C754" s="140" t="s">
        <v>75</v>
      </c>
      <c r="D754" s="140" t="s">
        <v>518</v>
      </c>
      <c r="F754" s="152" t="s">
        <v>852</v>
      </c>
      <c r="G754" s="152"/>
      <c r="H754" s="152"/>
      <c r="I754" s="152" t="s">
        <v>204</v>
      </c>
      <c r="J754" s="140" t="s">
        <v>577</v>
      </c>
      <c r="K754" s="140" t="s">
        <v>578</v>
      </c>
      <c r="L754" s="140" t="s">
        <v>852</v>
      </c>
      <c r="M754" s="140" t="s">
        <v>46</v>
      </c>
      <c r="N754" s="156">
        <v>0</v>
      </c>
      <c r="O754" s="156" t="s">
        <v>47</v>
      </c>
      <c r="P754" s="156"/>
      <c r="Q754" s="158">
        <v>0</v>
      </c>
      <c r="R754" s="158">
        <v>0</v>
      </c>
      <c r="S754" s="158"/>
      <c r="T754" s="158">
        <f t="shared" si="138"/>
        <v>0</v>
      </c>
      <c r="U754" s="158">
        <f t="shared" si="142"/>
        <v>0</v>
      </c>
      <c r="V754" s="158">
        <v>-384151.48</v>
      </c>
      <c r="W754" s="158">
        <f t="shared" si="143"/>
        <v>384151.48</v>
      </c>
      <c r="X754" s="158">
        <f t="shared" si="139"/>
        <v>384151.48</v>
      </c>
      <c r="Y754" s="158">
        <f t="shared" si="144"/>
        <v>0</v>
      </c>
      <c r="Z754" s="158">
        <v>33722.82</v>
      </c>
      <c r="AA754" s="158">
        <f t="shared" si="140"/>
        <v>-417874.3</v>
      </c>
      <c r="AB754" s="167">
        <f>IF(O754="返货",Z754/(1+N754),IF(O754="返现",Z754,IF(O754="折扣",Z754*N754,IF(O754="无",Z754))))</f>
        <v>33722.82</v>
      </c>
      <c r="AC754" s="168">
        <f t="shared" si="141"/>
        <v>0</v>
      </c>
      <c r="AD754" s="158">
        <f t="shared" si="148"/>
        <v>33057.7166605737</v>
      </c>
      <c r="AE754" s="159">
        <v>0.1077</v>
      </c>
      <c r="AF754" s="158">
        <f t="shared" si="150"/>
        <v>3560.31608434379</v>
      </c>
      <c r="AG754" s="158">
        <v>3631.947714</v>
      </c>
      <c r="AH754" s="175"/>
      <c r="AI754" s="175"/>
      <c r="AJ754" s="156">
        <v>0</v>
      </c>
      <c r="AM754" s="152" t="s">
        <v>208</v>
      </c>
    </row>
    <row r="755" s="140" customFormat="1" ht="15" hidden="1" customHeight="1" spans="1:39">
      <c r="A755" s="140">
        <v>2017</v>
      </c>
      <c r="C755" s="140" t="s">
        <v>75</v>
      </c>
      <c r="D755" s="140" t="s">
        <v>518</v>
      </c>
      <c r="F755" s="152" t="s">
        <v>853</v>
      </c>
      <c r="G755" s="152"/>
      <c r="H755" s="152"/>
      <c r="I755" s="152" t="s">
        <v>204</v>
      </c>
      <c r="J755" s="140" t="s">
        <v>577</v>
      </c>
      <c r="K755" s="140" t="s">
        <v>578</v>
      </c>
      <c r="L755" s="140" t="s">
        <v>853</v>
      </c>
      <c r="M755" s="140" t="s">
        <v>46</v>
      </c>
      <c r="N755" s="182">
        <v>0</v>
      </c>
      <c r="O755" s="156" t="s">
        <v>47</v>
      </c>
      <c r="P755" s="156"/>
      <c r="Q755" s="158">
        <v>0</v>
      </c>
      <c r="R755" s="158">
        <v>0</v>
      </c>
      <c r="S755" s="158"/>
      <c r="T755" s="158">
        <f t="shared" si="138"/>
        <v>0</v>
      </c>
      <c r="U755" s="158">
        <f t="shared" si="142"/>
        <v>0</v>
      </c>
      <c r="V755" s="158">
        <v>-36305</v>
      </c>
      <c r="W755" s="158">
        <f t="shared" si="143"/>
        <v>36305</v>
      </c>
      <c r="X755" s="158">
        <f t="shared" si="139"/>
        <v>36305</v>
      </c>
      <c r="Y755" s="158">
        <f t="shared" si="144"/>
        <v>0</v>
      </c>
      <c r="Z755" s="158">
        <v>0</v>
      </c>
      <c r="AA755" s="158">
        <f t="shared" si="140"/>
        <v>-36305</v>
      </c>
      <c r="AB755" s="167">
        <f>IF(O755="返货",Z755/(1+N755),IF(O755="返现",Z755,IF(O755="折扣",Z755*N755,IF(O755="无",Z755))))</f>
        <v>0</v>
      </c>
      <c r="AC755" s="168">
        <f t="shared" si="141"/>
        <v>0</v>
      </c>
      <c r="AD755" s="158">
        <f t="shared" si="148"/>
        <v>0</v>
      </c>
      <c r="AE755" s="159">
        <v>0.1077</v>
      </c>
      <c r="AF755" s="158">
        <f t="shared" si="150"/>
        <v>0</v>
      </c>
      <c r="AG755" s="158">
        <v>0</v>
      </c>
      <c r="AH755" s="175"/>
      <c r="AI755" s="175"/>
      <c r="AJ755" s="156">
        <v>0</v>
      </c>
      <c r="AM755" s="152" t="s">
        <v>208</v>
      </c>
    </row>
    <row r="756" s="140" customFormat="1" ht="15" hidden="1" customHeight="1" spans="1:39">
      <c r="A756" s="140">
        <v>2017</v>
      </c>
      <c r="B756" s="140" t="s">
        <v>199</v>
      </c>
      <c r="C756" s="140" t="s">
        <v>59</v>
      </c>
      <c r="D756" s="140" t="s">
        <v>720</v>
      </c>
      <c r="F756" s="152" t="s">
        <v>854</v>
      </c>
      <c r="G756" s="152"/>
      <c r="H756" s="152"/>
      <c r="I756" s="152" t="s">
        <v>204</v>
      </c>
      <c r="J756" s="140" t="s">
        <v>577</v>
      </c>
      <c r="K756" s="140" t="s">
        <v>578</v>
      </c>
      <c r="L756" s="140" t="s">
        <v>854</v>
      </c>
      <c r="M756" s="140" t="s">
        <v>46</v>
      </c>
      <c r="N756" s="156">
        <v>0</v>
      </c>
      <c r="O756" s="156" t="s">
        <v>47</v>
      </c>
      <c r="P756" s="156" t="s">
        <v>855</v>
      </c>
      <c r="Q756" s="158">
        <v>201536.90689</v>
      </c>
      <c r="R756" s="158">
        <v>0</v>
      </c>
      <c r="S756" s="158"/>
      <c r="T756" s="158">
        <f t="shared" si="138"/>
        <v>0</v>
      </c>
      <c r="U756" s="158">
        <f t="shared" si="142"/>
        <v>0</v>
      </c>
      <c r="V756" s="158">
        <v>0</v>
      </c>
      <c r="W756" s="158">
        <f t="shared" si="143"/>
        <v>0</v>
      </c>
      <c r="X756" s="158">
        <f t="shared" si="139"/>
        <v>0</v>
      </c>
      <c r="Y756" s="158">
        <f t="shared" si="144"/>
        <v>0</v>
      </c>
      <c r="Z756" s="158">
        <v>155918.1</v>
      </c>
      <c r="AA756" s="158">
        <f t="shared" si="140"/>
        <v>45618.80689</v>
      </c>
      <c r="AB756" s="167">
        <v>0</v>
      </c>
      <c r="AC756" s="168">
        <f t="shared" si="141"/>
        <v>155918.1</v>
      </c>
      <c r="AD756" s="158">
        <f t="shared" si="148"/>
        <v>152842.982053547</v>
      </c>
      <c r="AE756" s="159">
        <v>0.1077</v>
      </c>
      <c r="AF756" s="158">
        <f t="shared" si="150"/>
        <v>16461.189167167</v>
      </c>
      <c r="AG756" s="158">
        <v>16792.37937</v>
      </c>
      <c r="AH756" s="175"/>
      <c r="AI756" s="175"/>
      <c r="AJ756" s="156" t="e">
        <v>#N/A</v>
      </c>
      <c r="AM756" s="152" t="s">
        <v>208</v>
      </c>
    </row>
    <row r="757" s="140" customFormat="1" ht="15" hidden="1" customHeight="1" spans="1:39">
      <c r="A757" s="140">
        <v>2017</v>
      </c>
      <c r="C757" s="140" t="s">
        <v>59</v>
      </c>
      <c r="D757" s="140" t="s">
        <v>720</v>
      </c>
      <c r="F757" s="152" t="s">
        <v>856</v>
      </c>
      <c r="G757" s="152"/>
      <c r="H757" s="152"/>
      <c r="I757" s="152" t="s">
        <v>204</v>
      </c>
      <c r="J757" s="140" t="s">
        <v>577</v>
      </c>
      <c r="K757" s="140" t="s">
        <v>578</v>
      </c>
      <c r="L757" s="140" t="s">
        <v>856</v>
      </c>
      <c r="M757" s="140" t="s">
        <v>46</v>
      </c>
      <c r="N757" s="156">
        <v>0</v>
      </c>
      <c r="O757" s="156" t="s">
        <v>47</v>
      </c>
      <c r="P757" s="156" t="s">
        <v>857</v>
      </c>
      <c r="Q757" s="158">
        <v>68043.38</v>
      </c>
      <c r="R757" s="158">
        <v>0</v>
      </c>
      <c r="S757" s="158"/>
      <c r="T757" s="158">
        <f t="shared" si="138"/>
        <v>0</v>
      </c>
      <c r="U757" s="158">
        <f t="shared" si="142"/>
        <v>0</v>
      </c>
      <c r="V757" s="158">
        <v>0</v>
      </c>
      <c r="W757" s="158">
        <f t="shared" si="143"/>
        <v>0</v>
      </c>
      <c r="X757" s="158">
        <f t="shared" si="139"/>
        <v>0</v>
      </c>
      <c r="Y757" s="158">
        <f t="shared" si="144"/>
        <v>0</v>
      </c>
      <c r="Z757" s="158">
        <v>68043.38</v>
      </c>
      <c r="AA757" s="158">
        <f t="shared" si="140"/>
        <v>0</v>
      </c>
      <c r="AB757" s="167">
        <f>IF(O757="返货",(Z757-Q757)/(1+N757),IF(O757="返现",(Z757-Q757),IF(O757="折扣",(Z757-Q757)*N757,IF(O757="无",(Z757-Q757)))))</f>
        <v>0</v>
      </c>
      <c r="AC757" s="168">
        <f t="shared" si="141"/>
        <v>68043.38</v>
      </c>
      <c r="AD757" s="158">
        <f t="shared" si="148"/>
        <v>66701.3843049824</v>
      </c>
      <c r="AE757" s="159">
        <v>0.1077</v>
      </c>
      <c r="AF757" s="158">
        <f t="shared" si="150"/>
        <v>7183.7390896466</v>
      </c>
      <c r="AG757" s="158">
        <v>7328.272026</v>
      </c>
      <c r="AH757" s="175"/>
      <c r="AI757" s="175"/>
      <c r="AJ757" s="156" t="e">
        <v>#N/A</v>
      </c>
      <c r="AM757" s="152" t="s">
        <v>208</v>
      </c>
    </row>
    <row r="758" s="140" customFormat="1" ht="15" hidden="1" customHeight="1" spans="1:39">
      <c r="A758" s="140">
        <v>2017</v>
      </c>
      <c r="C758" s="140" t="s">
        <v>75</v>
      </c>
      <c r="D758" s="140" t="s">
        <v>518</v>
      </c>
      <c r="F758" s="152" t="s">
        <v>858</v>
      </c>
      <c r="G758" s="152"/>
      <c r="H758" s="152"/>
      <c r="I758" s="152" t="s">
        <v>204</v>
      </c>
      <c r="J758" s="140" t="s">
        <v>577</v>
      </c>
      <c r="K758" s="140" t="s">
        <v>578</v>
      </c>
      <c r="L758" s="140" t="s">
        <v>858</v>
      </c>
      <c r="M758" s="140" t="s">
        <v>46</v>
      </c>
      <c r="N758" s="156">
        <v>0</v>
      </c>
      <c r="O758" s="156" t="s">
        <v>47</v>
      </c>
      <c r="P758" s="156" t="s">
        <v>857</v>
      </c>
      <c r="Q758" s="158">
        <v>45277.22</v>
      </c>
      <c r="R758" s="158">
        <v>0</v>
      </c>
      <c r="S758" s="158"/>
      <c r="T758" s="158">
        <f t="shared" si="138"/>
        <v>0</v>
      </c>
      <c r="U758" s="158">
        <f t="shared" si="142"/>
        <v>0</v>
      </c>
      <c r="V758" s="158">
        <v>0</v>
      </c>
      <c r="W758" s="158">
        <f t="shared" si="143"/>
        <v>0</v>
      </c>
      <c r="X758" s="158">
        <f t="shared" si="139"/>
        <v>0</v>
      </c>
      <c r="Y758" s="158">
        <f t="shared" si="144"/>
        <v>0</v>
      </c>
      <c r="Z758" s="158">
        <v>45277.22</v>
      </c>
      <c r="AA758" s="158">
        <f t="shared" si="140"/>
        <v>0</v>
      </c>
      <c r="AB758" s="167">
        <f>IF(O758="返货",(Z758-Q758)/(1+N758),IF(O758="返现",(Z758-Q758),IF(O758="折扣",(Z758-Q758)*N758,IF(O758="无",(Z758-Q758)))))</f>
        <v>0</v>
      </c>
      <c r="AC758" s="168">
        <f t="shared" si="141"/>
        <v>45277.22</v>
      </c>
      <c r="AD758" s="158">
        <f t="shared" si="148"/>
        <v>44384.2332859013</v>
      </c>
      <c r="AE758" s="159">
        <v>0.1077</v>
      </c>
      <c r="AF758" s="158">
        <f t="shared" si="150"/>
        <v>4780.18192489158</v>
      </c>
      <c r="AG758" s="158">
        <v>4876.356594</v>
      </c>
      <c r="AH758" s="175"/>
      <c r="AI758" s="175"/>
      <c r="AJ758" s="156" t="e">
        <v>#N/A</v>
      </c>
      <c r="AM758" s="152" t="s">
        <v>208</v>
      </c>
    </row>
    <row r="759" s="140" customFormat="1" ht="15" hidden="1" customHeight="1" spans="1:39">
      <c r="A759" s="140">
        <v>2017</v>
      </c>
      <c r="B759" s="140" t="s">
        <v>38</v>
      </c>
      <c r="C759" s="140" t="s">
        <v>59</v>
      </c>
      <c r="D759" s="140" t="s">
        <v>106</v>
      </c>
      <c r="F759" s="152" t="s">
        <v>197</v>
      </c>
      <c r="G759" s="152" t="s">
        <v>197</v>
      </c>
      <c r="H759" s="152" t="s">
        <v>197</v>
      </c>
      <c r="I759" s="152" t="s">
        <v>204</v>
      </c>
      <c r="J759" s="140" t="s">
        <v>577</v>
      </c>
      <c r="K759" s="140" t="s">
        <v>578</v>
      </c>
      <c r="L759" s="140" t="s">
        <v>197</v>
      </c>
      <c r="M759" s="140" t="s">
        <v>185</v>
      </c>
      <c r="N759" s="157">
        <v>0.08</v>
      </c>
      <c r="O759" s="156" t="s">
        <v>51</v>
      </c>
      <c r="P759" s="156"/>
      <c r="Q759" s="158">
        <v>0</v>
      </c>
      <c r="R759" s="158">
        <v>0</v>
      </c>
      <c r="S759" s="158"/>
      <c r="T759" s="158">
        <f t="shared" si="138"/>
        <v>0</v>
      </c>
      <c r="U759" s="158">
        <f t="shared" si="142"/>
        <v>0</v>
      </c>
      <c r="V759" s="158">
        <v>0</v>
      </c>
      <c r="W759" s="158">
        <f t="shared" si="143"/>
        <v>0</v>
      </c>
      <c r="X759" s="158">
        <f t="shared" si="139"/>
        <v>0</v>
      </c>
      <c r="Y759" s="158">
        <f t="shared" si="144"/>
        <v>0</v>
      </c>
      <c r="Z759" s="158">
        <v>5921210</v>
      </c>
      <c r="AA759" s="158">
        <f t="shared" si="140"/>
        <v>-5921210</v>
      </c>
      <c r="AB759" s="167">
        <f>IF(O759="返货",Z759/(1+N759),IF(O759="返现",Z759,IF(O759="折扣",Z759*N759,IF(O759="无",Z759))))</f>
        <v>5482601.85185185</v>
      </c>
      <c r="AC759" s="168">
        <f t="shared" si="141"/>
        <v>438608.148148148</v>
      </c>
      <c r="AD759" s="158">
        <f t="shared" si="148"/>
        <v>5804428.05399298</v>
      </c>
      <c r="AE759" s="159">
        <v>0.3156</v>
      </c>
      <c r="AF759" s="158">
        <f t="shared" si="150"/>
        <v>1831877.49384018</v>
      </c>
      <c r="AG759" s="158">
        <v>1868733.876</v>
      </c>
      <c r="AH759" s="175"/>
      <c r="AI759" s="175"/>
      <c r="AJ759" s="156" t="s">
        <v>53</v>
      </c>
      <c r="AM759" s="152" t="s">
        <v>208</v>
      </c>
    </row>
    <row r="760" s="140" customFormat="1" ht="15" hidden="1" customHeight="1" spans="1:39">
      <c r="A760" s="140">
        <v>2017</v>
      </c>
      <c r="B760" s="140" t="s">
        <v>199</v>
      </c>
      <c r="C760" s="140" t="s">
        <v>54</v>
      </c>
      <c r="D760" s="140" t="s">
        <v>55</v>
      </c>
      <c r="F760" s="152" t="s">
        <v>496</v>
      </c>
      <c r="G760" s="152" t="s">
        <v>497</v>
      </c>
      <c r="H760" s="179" t="s">
        <v>498</v>
      </c>
      <c r="I760" s="152" t="s">
        <v>204</v>
      </c>
      <c r="J760" s="140" t="s">
        <v>577</v>
      </c>
      <c r="K760" s="140" t="s">
        <v>578</v>
      </c>
      <c r="L760" s="140" t="s">
        <v>832</v>
      </c>
      <c r="M760" s="140" t="s">
        <v>185</v>
      </c>
      <c r="N760" s="157">
        <v>0.08</v>
      </c>
      <c r="O760" s="156" t="s">
        <v>51</v>
      </c>
      <c r="P760" s="156"/>
      <c r="Q760" s="158">
        <v>22479.3836</v>
      </c>
      <c r="R760" s="158">
        <v>0</v>
      </c>
      <c r="S760" s="158"/>
      <c r="T760" s="158">
        <f t="shared" si="138"/>
        <v>0</v>
      </c>
      <c r="U760" s="158">
        <f t="shared" si="142"/>
        <v>0</v>
      </c>
      <c r="V760" s="158">
        <v>0</v>
      </c>
      <c r="W760" s="158">
        <f t="shared" si="143"/>
        <v>0</v>
      </c>
      <c r="X760" s="158">
        <f t="shared" si="139"/>
        <v>0</v>
      </c>
      <c r="Y760" s="158">
        <f t="shared" si="144"/>
        <v>0</v>
      </c>
      <c r="Z760" s="158">
        <v>504952.72</v>
      </c>
      <c r="AA760" s="158">
        <f t="shared" si="140"/>
        <v>-482473.3364</v>
      </c>
      <c r="AB760" s="167">
        <f>IF(O760="返货",(Z760-Q760)/(1+N760),IF(O760="返现",(Z760-Q760),IF(O760="折扣",(Z760-Q760)*N760,IF(O760="无",(Z760-Q760)))))</f>
        <v>446734.570740741</v>
      </c>
      <c r="AC760" s="168">
        <f t="shared" si="141"/>
        <v>58218.1492592593</v>
      </c>
      <c r="AD760" s="158">
        <f t="shared" ref="AD760:AD790" si="151">Z760*0.980277351080772</f>
        <v>494993.714782631</v>
      </c>
      <c r="AE760" s="159">
        <v>0.3156</v>
      </c>
      <c r="AF760" s="158">
        <f t="shared" si="150"/>
        <v>156220.016385398</v>
      </c>
      <c r="AG760" s="158">
        <v>159363.078432</v>
      </c>
      <c r="AH760" s="175"/>
      <c r="AI760" s="175"/>
      <c r="AJ760" s="156" t="s">
        <v>53</v>
      </c>
      <c r="AM760" s="152" t="s">
        <v>208</v>
      </c>
    </row>
    <row r="761" s="140" customFormat="1" ht="15" hidden="1" customHeight="1" spans="1:39">
      <c r="A761" s="140">
        <v>2017</v>
      </c>
      <c r="B761" s="140" t="s">
        <v>38</v>
      </c>
      <c r="C761" s="140" t="s">
        <v>39</v>
      </c>
      <c r="D761" s="140" t="s">
        <v>836</v>
      </c>
      <c r="F761" s="152" t="s">
        <v>127</v>
      </c>
      <c r="G761" s="152" t="s">
        <v>127</v>
      </c>
      <c r="H761" s="152" t="s">
        <v>127</v>
      </c>
      <c r="I761" s="152" t="s">
        <v>204</v>
      </c>
      <c r="J761" s="140" t="s">
        <v>577</v>
      </c>
      <c r="K761" s="140" t="s">
        <v>578</v>
      </c>
      <c r="L761" s="140" t="s">
        <v>127</v>
      </c>
      <c r="M761" s="140" t="s">
        <v>185</v>
      </c>
      <c r="N761" s="156">
        <v>0.08</v>
      </c>
      <c r="O761" s="156" t="s">
        <v>51</v>
      </c>
      <c r="P761" s="156"/>
      <c r="Q761" s="158">
        <v>0</v>
      </c>
      <c r="R761" s="158">
        <v>0</v>
      </c>
      <c r="S761" s="158"/>
      <c r="T761" s="158">
        <f t="shared" si="138"/>
        <v>0</v>
      </c>
      <c r="U761" s="158">
        <f t="shared" si="142"/>
        <v>0</v>
      </c>
      <c r="V761" s="158">
        <v>0</v>
      </c>
      <c r="W761" s="158">
        <f t="shared" si="143"/>
        <v>0</v>
      </c>
      <c r="X761" s="158">
        <f t="shared" si="139"/>
        <v>0</v>
      </c>
      <c r="Y761" s="158">
        <f t="shared" si="144"/>
        <v>0</v>
      </c>
      <c r="Z761" s="158">
        <v>467919.58</v>
      </c>
      <c r="AA761" s="158">
        <f t="shared" si="140"/>
        <v>-467919.58</v>
      </c>
      <c r="AB761" s="167">
        <f>IF(O761="返货",Z761/(1+N761),IF(O761="返现",Z761,IF(O761="折扣",Z761*N761,IF(O761="无",Z761))))</f>
        <v>433258.87037037</v>
      </c>
      <c r="AC761" s="168">
        <f t="shared" si="141"/>
        <v>34660.7096296297</v>
      </c>
      <c r="AD761" s="158">
        <f t="shared" si="151"/>
        <v>458690.966401227</v>
      </c>
      <c r="AE761" s="159">
        <v>0.3156</v>
      </c>
      <c r="AF761" s="158">
        <f t="shared" si="150"/>
        <v>144762.868996227</v>
      </c>
      <c r="AG761" s="158">
        <v>147675.419448</v>
      </c>
      <c r="AH761" s="175"/>
      <c r="AI761" s="175"/>
      <c r="AJ761" s="156" t="s">
        <v>53</v>
      </c>
      <c r="AM761" s="152" t="s">
        <v>208</v>
      </c>
    </row>
    <row r="762" s="140" customFormat="1" ht="15" hidden="1" customHeight="1" spans="1:39">
      <c r="A762" s="140">
        <v>2017</v>
      </c>
      <c r="C762" s="140" t="s">
        <v>75</v>
      </c>
      <c r="D762" s="140" t="s">
        <v>518</v>
      </c>
      <c r="F762" s="152" t="s">
        <v>858</v>
      </c>
      <c r="G762" s="152"/>
      <c r="H762" s="152"/>
      <c r="I762" s="152" t="s">
        <v>204</v>
      </c>
      <c r="J762" s="140" t="s">
        <v>577</v>
      </c>
      <c r="K762" s="140" t="s">
        <v>578</v>
      </c>
      <c r="L762" s="140" t="s">
        <v>858</v>
      </c>
      <c r="M762" s="140" t="s">
        <v>185</v>
      </c>
      <c r="N762" s="156">
        <v>0</v>
      </c>
      <c r="O762" s="156" t="s">
        <v>47</v>
      </c>
      <c r="P762" s="156" t="s">
        <v>857</v>
      </c>
      <c r="Q762" s="158">
        <v>130762.88</v>
      </c>
      <c r="R762" s="158">
        <v>0</v>
      </c>
      <c r="S762" s="158"/>
      <c r="T762" s="158">
        <f t="shared" si="138"/>
        <v>0</v>
      </c>
      <c r="U762" s="158">
        <f t="shared" si="142"/>
        <v>0</v>
      </c>
      <c r="V762" s="158">
        <v>0</v>
      </c>
      <c r="W762" s="158">
        <f t="shared" si="143"/>
        <v>0</v>
      </c>
      <c r="X762" s="158">
        <f t="shared" si="139"/>
        <v>0</v>
      </c>
      <c r="Y762" s="158">
        <f t="shared" si="144"/>
        <v>0</v>
      </c>
      <c r="Z762" s="158">
        <v>130762.88</v>
      </c>
      <c r="AA762" s="158">
        <f t="shared" si="140"/>
        <v>0</v>
      </c>
      <c r="AB762" s="167">
        <f>IF(O762="返货",(Z762-Q762)/(1+N762),IF(O762="返现",(Z762-Q762),IF(O762="折扣",(Z762-Q762)*N762,IF(O762="无",(Z762-Q762)))))</f>
        <v>0</v>
      </c>
      <c r="AC762" s="168">
        <f t="shared" si="141"/>
        <v>130762.88</v>
      </c>
      <c r="AD762" s="158">
        <f t="shared" si="151"/>
        <v>128183.889626093</v>
      </c>
      <c r="AE762" s="159">
        <v>0.3156</v>
      </c>
      <c r="AF762" s="158">
        <f t="shared" si="150"/>
        <v>40454.8355659949</v>
      </c>
      <c r="AG762" s="158">
        <v>41268.764928</v>
      </c>
      <c r="AH762" s="175"/>
      <c r="AI762" s="175"/>
      <c r="AJ762" s="156" t="e">
        <v>#N/A</v>
      </c>
      <c r="AM762" s="152" t="s">
        <v>208</v>
      </c>
    </row>
    <row r="763" s="140" customFormat="1" ht="15" hidden="1" customHeight="1" spans="1:39">
      <c r="A763" s="140">
        <v>2017</v>
      </c>
      <c r="B763" s="140" t="s">
        <v>38</v>
      </c>
      <c r="C763" s="140" t="s">
        <v>59</v>
      </c>
      <c r="D763" s="140" t="s">
        <v>154</v>
      </c>
      <c r="F763" s="152" t="s">
        <v>724</v>
      </c>
      <c r="G763" s="152" t="s">
        <v>725</v>
      </c>
      <c r="H763" s="152" t="s">
        <v>725</v>
      </c>
      <c r="I763" s="152" t="s">
        <v>204</v>
      </c>
      <c r="J763" s="140" t="s">
        <v>577</v>
      </c>
      <c r="K763" s="140" t="s">
        <v>578</v>
      </c>
      <c r="L763" s="140" t="s">
        <v>834</v>
      </c>
      <c r="M763" s="140" t="s">
        <v>185</v>
      </c>
      <c r="N763" s="157">
        <v>0.08</v>
      </c>
      <c r="O763" s="156" t="s">
        <v>51</v>
      </c>
      <c r="P763" s="156"/>
      <c r="Q763" s="158">
        <v>0</v>
      </c>
      <c r="R763" s="158">
        <v>0</v>
      </c>
      <c r="S763" s="158"/>
      <c r="T763" s="158">
        <f t="shared" si="138"/>
        <v>0</v>
      </c>
      <c r="U763" s="158">
        <f t="shared" si="142"/>
        <v>0</v>
      </c>
      <c r="V763" s="158">
        <v>0</v>
      </c>
      <c r="W763" s="158">
        <f t="shared" si="143"/>
        <v>0</v>
      </c>
      <c r="X763" s="158">
        <f t="shared" si="139"/>
        <v>0</v>
      </c>
      <c r="Y763" s="158">
        <f t="shared" si="144"/>
        <v>0</v>
      </c>
      <c r="Z763" s="158">
        <v>94895.49</v>
      </c>
      <c r="AA763" s="158">
        <f t="shared" si="140"/>
        <v>-94895.49</v>
      </c>
      <c r="AB763" s="167">
        <f>IF(O763="返货",Z763/(1+N763),IF(O763="返现",Z763,IF(O763="折扣",Z763*N763,IF(O763="无",Z763))))</f>
        <v>87866.1944444444</v>
      </c>
      <c r="AC763" s="168">
        <f t="shared" si="141"/>
        <v>7029.29555555557</v>
      </c>
      <c r="AD763" s="158">
        <f t="shared" si="151"/>
        <v>93023.8995667119</v>
      </c>
      <c r="AE763" s="159">
        <v>0.3156</v>
      </c>
      <c r="AF763" s="158">
        <f t="shared" si="150"/>
        <v>29358.3427032543</v>
      </c>
      <c r="AG763" s="158">
        <v>29949.016644</v>
      </c>
      <c r="AH763" s="175"/>
      <c r="AI763" s="175"/>
      <c r="AJ763" s="156" t="s">
        <v>53</v>
      </c>
      <c r="AM763" s="152" t="s">
        <v>208</v>
      </c>
    </row>
    <row r="764" s="140" customFormat="1" ht="15" hidden="1" customHeight="1" spans="1:39">
      <c r="A764" s="140">
        <v>2017</v>
      </c>
      <c r="B764" s="140" t="s">
        <v>38</v>
      </c>
      <c r="C764" s="140" t="s">
        <v>59</v>
      </c>
      <c r="D764" s="140" t="s">
        <v>154</v>
      </c>
      <c r="F764" s="152" t="s">
        <v>724</v>
      </c>
      <c r="G764" s="152" t="s">
        <v>725</v>
      </c>
      <c r="H764" s="152" t="s">
        <v>725</v>
      </c>
      <c r="I764" s="152" t="s">
        <v>204</v>
      </c>
      <c r="J764" s="140" t="s">
        <v>577</v>
      </c>
      <c r="K764" s="140" t="s">
        <v>578</v>
      </c>
      <c r="L764" s="140" t="s">
        <v>833</v>
      </c>
      <c r="M764" s="140" t="s">
        <v>185</v>
      </c>
      <c r="N764" s="157">
        <v>0.08</v>
      </c>
      <c r="O764" s="156" t="s">
        <v>51</v>
      </c>
      <c r="P764" s="156"/>
      <c r="Q764" s="158">
        <v>0</v>
      </c>
      <c r="R764" s="158">
        <v>0</v>
      </c>
      <c r="S764" s="158"/>
      <c r="T764" s="158">
        <f t="shared" si="138"/>
        <v>0</v>
      </c>
      <c r="U764" s="158">
        <f t="shared" si="142"/>
        <v>0</v>
      </c>
      <c r="V764" s="158">
        <v>0</v>
      </c>
      <c r="W764" s="158">
        <f t="shared" si="143"/>
        <v>0</v>
      </c>
      <c r="X764" s="158">
        <f t="shared" si="139"/>
        <v>0</v>
      </c>
      <c r="Y764" s="158">
        <f t="shared" si="144"/>
        <v>0</v>
      </c>
      <c r="Z764" s="158">
        <v>71433.94</v>
      </c>
      <c r="AA764" s="158">
        <f t="shared" si="140"/>
        <v>-71433.94</v>
      </c>
      <c r="AB764" s="167">
        <f>IF(O764="返货",Z764/(1+N764),IF(O764="返现",Z764,IF(O764="折扣",Z764*N764,IF(O764="无",Z764))))</f>
        <v>66142.537037037</v>
      </c>
      <c r="AC764" s="168">
        <f t="shared" si="141"/>
        <v>5291.40296296297</v>
      </c>
      <c r="AD764" s="158">
        <f t="shared" si="151"/>
        <v>70025.0734804628</v>
      </c>
      <c r="AE764" s="159">
        <v>0.3156</v>
      </c>
      <c r="AF764" s="158">
        <f t="shared" si="150"/>
        <v>22099.9131904341</v>
      </c>
      <c r="AG764" s="158">
        <v>22544.551464</v>
      </c>
      <c r="AH764" s="175"/>
      <c r="AI764" s="175"/>
      <c r="AJ764" s="156" t="s">
        <v>53</v>
      </c>
      <c r="AM764" s="152" t="s">
        <v>208</v>
      </c>
    </row>
    <row r="765" s="140" customFormat="1" ht="15" hidden="1" customHeight="1" spans="1:39">
      <c r="A765" s="140">
        <v>2017</v>
      </c>
      <c r="B765" s="140" t="s">
        <v>199</v>
      </c>
      <c r="C765" s="140" t="s">
        <v>39</v>
      </c>
      <c r="D765" s="140" t="s">
        <v>836</v>
      </c>
      <c r="F765" s="152" t="s">
        <v>457</v>
      </c>
      <c r="G765" s="152" t="s">
        <v>712</v>
      </c>
      <c r="H765" s="152" t="s">
        <v>712</v>
      </c>
      <c r="I765" s="152" t="s">
        <v>204</v>
      </c>
      <c r="J765" s="140" t="s">
        <v>577</v>
      </c>
      <c r="K765" s="140" t="s">
        <v>578</v>
      </c>
      <c r="L765" s="140" t="s">
        <v>457</v>
      </c>
      <c r="M765" s="140" t="s">
        <v>185</v>
      </c>
      <c r="N765" s="156">
        <v>0</v>
      </c>
      <c r="O765" s="156" t="s">
        <v>47</v>
      </c>
      <c r="P765" s="156"/>
      <c r="Q765" s="158">
        <v>9811.6</v>
      </c>
      <c r="R765" s="158">
        <v>0</v>
      </c>
      <c r="S765" s="158"/>
      <c r="T765" s="158">
        <f t="shared" si="138"/>
        <v>0</v>
      </c>
      <c r="U765" s="158">
        <f t="shared" si="142"/>
        <v>0</v>
      </c>
      <c r="V765" s="158">
        <v>0</v>
      </c>
      <c r="W765" s="158">
        <f t="shared" si="143"/>
        <v>0</v>
      </c>
      <c r="X765" s="158">
        <f t="shared" si="139"/>
        <v>0</v>
      </c>
      <c r="Y765" s="158">
        <f t="shared" si="144"/>
        <v>0</v>
      </c>
      <c r="Z765" s="158">
        <v>53368.8</v>
      </c>
      <c r="AA765" s="158">
        <f t="shared" si="140"/>
        <v>-43557.2</v>
      </c>
      <c r="AB765" s="167">
        <f>IF(O765="返货",(Z765-Q765)/(1+N765),IF(O765="返现",(Z765-Q765),IF(O765="折扣",(Z765-Q765)*N765,IF(O765="无",(Z765-Q765)))))</f>
        <v>43557.2</v>
      </c>
      <c r="AC765" s="168">
        <f t="shared" si="141"/>
        <v>9811.6</v>
      </c>
      <c r="AD765" s="158">
        <f t="shared" si="151"/>
        <v>52316.2258943595</v>
      </c>
      <c r="AE765" s="159">
        <v>0.3156</v>
      </c>
      <c r="AF765" s="158">
        <f t="shared" si="150"/>
        <v>16511.0008922599</v>
      </c>
      <c r="AG765" s="158">
        <v>16843.19328</v>
      </c>
      <c r="AH765" s="175"/>
      <c r="AI765" s="175"/>
      <c r="AJ765" s="156" t="e">
        <v>#N/A</v>
      </c>
      <c r="AL765" s="140" t="s">
        <v>613</v>
      </c>
      <c r="AM765" s="152" t="s">
        <v>208</v>
      </c>
    </row>
    <row r="766" s="140" customFormat="1" ht="15" hidden="1" customHeight="1" spans="1:39">
      <c r="A766" s="140">
        <v>2017</v>
      </c>
      <c r="B766" s="140" t="s">
        <v>199</v>
      </c>
      <c r="C766" s="140" t="s">
        <v>59</v>
      </c>
      <c r="D766" s="140" t="s">
        <v>720</v>
      </c>
      <c r="F766" s="152" t="s">
        <v>854</v>
      </c>
      <c r="G766" s="152"/>
      <c r="H766" s="152"/>
      <c r="I766" s="152" t="s">
        <v>204</v>
      </c>
      <c r="J766" s="140" t="s">
        <v>577</v>
      </c>
      <c r="K766" s="140" t="s">
        <v>578</v>
      </c>
      <c r="L766" s="140" t="s">
        <v>854</v>
      </c>
      <c r="M766" s="140" t="s">
        <v>185</v>
      </c>
      <c r="N766" s="156">
        <v>0</v>
      </c>
      <c r="O766" s="156" t="s">
        <v>47</v>
      </c>
      <c r="P766" s="156" t="s">
        <v>855</v>
      </c>
      <c r="Q766" s="158">
        <v>0</v>
      </c>
      <c r="R766" s="158">
        <v>0</v>
      </c>
      <c r="S766" s="158"/>
      <c r="T766" s="158">
        <f t="shared" si="138"/>
        <v>0</v>
      </c>
      <c r="U766" s="158">
        <f t="shared" si="142"/>
        <v>0</v>
      </c>
      <c r="V766" s="158">
        <v>0</v>
      </c>
      <c r="W766" s="158">
        <f t="shared" si="143"/>
        <v>0</v>
      </c>
      <c r="X766" s="158">
        <f t="shared" si="139"/>
        <v>0</v>
      </c>
      <c r="Y766" s="158">
        <f t="shared" si="144"/>
        <v>0</v>
      </c>
      <c r="Z766" s="158">
        <v>45618.81</v>
      </c>
      <c r="AA766" s="158">
        <f t="shared" si="140"/>
        <v>-45618.81</v>
      </c>
      <c r="AB766" s="167">
        <v>0</v>
      </c>
      <c r="AC766" s="168">
        <f t="shared" si="141"/>
        <v>45618.81</v>
      </c>
      <c r="AD766" s="158">
        <f t="shared" si="151"/>
        <v>44719.086226257</v>
      </c>
      <c r="AE766" s="159">
        <v>0.3156</v>
      </c>
      <c r="AF766" s="158">
        <f t="shared" si="150"/>
        <v>14113.3436130067</v>
      </c>
      <c r="AG766" s="158">
        <v>14397.296436</v>
      </c>
      <c r="AH766" s="175"/>
      <c r="AI766" s="175"/>
      <c r="AJ766" s="156" t="e">
        <v>#N/A</v>
      </c>
      <c r="AM766" s="152" t="s">
        <v>208</v>
      </c>
    </row>
    <row r="767" s="140" customFormat="1" ht="15" hidden="1" customHeight="1" spans="1:39">
      <c r="A767" s="140">
        <v>2017</v>
      </c>
      <c r="B767" s="140" t="s">
        <v>38</v>
      </c>
      <c r="C767" s="140" t="s">
        <v>39</v>
      </c>
      <c r="D767" s="140" t="s">
        <v>836</v>
      </c>
      <c r="F767" s="152" t="s">
        <v>329</v>
      </c>
      <c r="G767" s="152" t="s">
        <v>329</v>
      </c>
      <c r="H767" s="152" t="s">
        <v>329</v>
      </c>
      <c r="I767" s="152" t="s">
        <v>204</v>
      </c>
      <c r="J767" s="140" t="s">
        <v>577</v>
      </c>
      <c r="K767" s="140" t="s">
        <v>578</v>
      </c>
      <c r="L767" s="140" t="s">
        <v>330</v>
      </c>
      <c r="M767" s="140" t="s">
        <v>185</v>
      </c>
      <c r="N767" s="157">
        <v>0.02</v>
      </c>
      <c r="O767" s="156" t="s">
        <v>51</v>
      </c>
      <c r="P767" s="156"/>
      <c r="Q767" s="158">
        <v>0</v>
      </c>
      <c r="R767" s="158">
        <v>0</v>
      </c>
      <c r="S767" s="158"/>
      <c r="T767" s="158">
        <f t="shared" si="138"/>
        <v>0</v>
      </c>
      <c r="U767" s="158">
        <f t="shared" si="142"/>
        <v>0</v>
      </c>
      <c r="V767" s="158">
        <v>0</v>
      </c>
      <c r="W767" s="158">
        <f t="shared" si="143"/>
        <v>0</v>
      </c>
      <c r="X767" s="158">
        <f t="shared" si="139"/>
        <v>0</v>
      </c>
      <c r="Y767" s="158">
        <f t="shared" si="144"/>
        <v>0</v>
      </c>
      <c r="Z767" s="158">
        <v>22857.82</v>
      </c>
      <c r="AA767" s="158">
        <f t="shared" si="140"/>
        <v>-22857.82</v>
      </c>
      <c r="AB767" s="167">
        <f>IF(O767="返货",Z767/(1+N767),IF(O767="返现",Z767,IF(O767="折扣",Z767*N767,IF(O767="无",Z767))))</f>
        <v>22409.6274509804</v>
      </c>
      <c r="AC767" s="168">
        <f t="shared" si="141"/>
        <v>448.192549019608</v>
      </c>
      <c r="AD767" s="158">
        <f t="shared" si="151"/>
        <v>22407.0032410811</v>
      </c>
      <c r="AE767" s="159">
        <v>0.3156</v>
      </c>
      <c r="AF767" s="158">
        <f t="shared" si="150"/>
        <v>7071.65022288519</v>
      </c>
      <c r="AG767" s="158">
        <v>7213.927992</v>
      </c>
      <c r="AH767" s="175"/>
      <c r="AI767" s="175"/>
      <c r="AJ767" s="156" t="s">
        <v>173</v>
      </c>
      <c r="AM767" s="152" t="s">
        <v>208</v>
      </c>
    </row>
    <row r="768" s="140" customFormat="1" ht="15" hidden="1" customHeight="1" spans="1:39">
      <c r="A768" s="140">
        <v>2017</v>
      </c>
      <c r="B768" s="152" t="s">
        <v>199</v>
      </c>
      <c r="C768" s="140" t="s">
        <v>54</v>
      </c>
      <c r="D768" s="140" t="s">
        <v>102</v>
      </c>
      <c r="F768" s="152" t="s">
        <v>389</v>
      </c>
      <c r="G768" s="152" t="s">
        <v>390</v>
      </c>
      <c r="H768" s="179" t="s">
        <v>391</v>
      </c>
      <c r="I768" s="152" t="s">
        <v>204</v>
      </c>
      <c r="J768" s="140" t="s">
        <v>577</v>
      </c>
      <c r="K768" s="140" t="s">
        <v>578</v>
      </c>
      <c r="L768" s="140" t="s">
        <v>565</v>
      </c>
      <c r="M768" s="140" t="s">
        <v>185</v>
      </c>
      <c r="N768" s="157">
        <v>0.09</v>
      </c>
      <c r="O768" s="156" t="s">
        <v>51</v>
      </c>
      <c r="P768" s="156"/>
      <c r="Q768" s="158">
        <v>0</v>
      </c>
      <c r="R768" s="158">
        <v>0</v>
      </c>
      <c r="S768" s="158"/>
      <c r="T768" s="158">
        <f t="shared" si="138"/>
        <v>0</v>
      </c>
      <c r="U768" s="158">
        <f t="shared" si="142"/>
        <v>0</v>
      </c>
      <c r="V768" s="158">
        <v>0</v>
      </c>
      <c r="W768" s="158">
        <f t="shared" si="143"/>
        <v>0</v>
      </c>
      <c r="X768" s="158">
        <f t="shared" si="139"/>
        <v>0</v>
      </c>
      <c r="Y768" s="158">
        <f t="shared" si="144"/>
        <v>0</v>
      </c>
      <c r="Z768" s="158">
        <v>16013.13</v>
      </c>
      <c r="AA768" s="158">
        <f t="shared" si="140"/>
        <v>-16013.13</v>
      </c>
      <c r="AB768" s="167">
        <f>IF(O768="返货",Z768/(1+N768),IF(O768="返现",Z768,IF(O768="折扣",Z768*N768,IF(O768="无",Z768))))</f>
        <v>14690.9449541284</v>
      </c>
      <c r="AC768" s="168">
        <f t="shared" si="141"/>
        <v>1322.18504587156</v>
      </c>
      <c r="AD768" s="158">
        <f t="shared" si="151"/>
        <v>15697.308658912</v>
      </c>
      <c r="AE768" s="159">
        <v>0.3156</v>
      </c>
      <c r="AF768" s="158">
        <f t="shared" si="150"/>
        <v>4954.07061275264</v>
      </c>
      <c r="AG768" s="158">
        <v>5053.743828</v>
      </c>
      <c r="AH768" s="175"/>
      <c r="AI768" s="175"/>
      <c r="AJ768" s="156" t="s">
        <v>238</v>
      </c>
      <c r="AM768" s="152" t="s">
        <v>208</v>
      </c>
    </row>
    <row r="769" s="140" customFormat="1" ht="15" hidden="1" customHeight="1" spans="1:39">
      <c r="A769" s="140">
        <v>2017</v>
      </c>
      <c r="B769" s="140" t="s">
        <v>38</v>
      </c>
      <c r="C769" s="140" t="s">
        <v>75</v>
      </c>
      <c r="D769" s="140" t="s">
        <v>518</v>
      </c>
      <c r="F769" s="152" t="s">
        <v>650</v>
      </c>
      <c r="G769" s="152" t="s">
        <v>650</v>
      </c>
      <c r="H769" s="152" t="s">
        <v>650</v>
      </c>
      <c r="I769" s="152" t="s">
        <v>204</v>
      </c>
      <c r="J769" s="140" t="s">
        <v>577</v>
      </c>
      <c r="K769" s="140" t="s">
        <v>578</v>
      </c>
      <c r="L769" s="140" t="s">
        <v>650</v>
      </c>
      <c r="M769" s="140" t="s">
        <v>185</v>
      </c>
      <c r="N769" s="156">
        <v>0</v>
      </c>
      <c r="O769" s="156" t="s">
        <v>47</v>
      </c>
      <c r="P769" s="156"/>
      <c r="Q769" s="158">
        <v>13550.42</v>
      </c>
      <c r="R769" s="158">
        <v>0</v>
      </c>
      <c r="S769" s="158"/>
      <c r="T769" s="158">
        <f t="shared" si="138"/>
        <v>0</v>
      </c>
      <c r="U769" s="158">
        <f t="shared" si="142"/>
        <v>0</v>
      </c>
      <c r="V769" s="158">
        <v>0</v>
      </c>
      <c r="W769" s="158">
        <f t="shared" si="143"/>
        <v>0</v>
      </c>
      <c r="X769" s="158">
        <f t="shared" si="139"/>
        <v>0</v>
      </c>
      <c r="Y769" s="158">
        <f t="shared" si="144"/>
        <v>0</v>
      </c>
      <c r="Z769" s="158">
        <v>15150.42</v>
      </c>
      <c r="AA769" s="158">
        <f t="shared" si="140"/>
        <v>-1600</v>
      </c>
      <c r="AB769" s="167">
        <f>IF(O769="返货",(Z769-Q769)/(1+N769),IF(O769="返现",(Z769-Q769),IF(O769="折扣",(Z769-Q769)*N769,IF(O769="无",(Z769-Q769)))))</f>
        <v>1600</v>
      </c>
      <c r="AC769" s="168">
        <f t="shared" si="141"/>
        <v>13550.42</v>
      </c>
      <c r="AD769" s="158">
        <f t="shared" si="151"/>
        <v>14851.6135853611</v>
      </c>
      <c r="AE769" s="159">
        <v>0.3156</v>
      </c>
      <c r="AF769" s="158">
        <f t="shared" si="150"/>
        <v>4687.16924753998</v>
      </c>
      <c r="AG769" s="158">
        <v>4781.472552</v>
      </c>
      <c r="AH769" s="175"/>
      <c r="AI769" s="175"/>
      <c r="AJ769" s="156" t="e">
        <v>#N/A</v>
      </c>
      <c r="AM769" s="152" t="s">
        <v>208</v>
      </c>
    </row>
    <row r="770" s="140" customFormat="1" ht="15" hidden="1" customHeight="1" spans="1:39">
      <c r="A770" s="140">
        <v>2017</v>
      </c>
      <c r="C770" s="140" t="s">
        <v>75</v>
      </c>
      <c r="D770" s="140" t="s">
        <v>518</v>
      </c>
      <c r="F770" s="152" t="s">
        <v>842</v>
      </c>
      <c r="G770" s="152"/>
      <c r="H770" s="152"/>
      <c r="I770" s="152" t="s">
        <v>204</v>
      </c>
      <c r="J770" s="140" t="s">
        <v>577</v>
      </c>
      <c r="K770" s="140" t="s">
        <v>578</v>
      </c>
      <c r="L770" s="140" t="s">
        <v>842</v>
      </c>
      <c r="M770" s="140" t="s">
        <v>185</v>
      </c>
      <c r="N770" s="156">
        <v>0</v>
      </c>
      <c r="O770" s="156" t="s">
        <v>47</v>
      </c>
      <c r="P770" s="156" t="s">
        <v>855</v>
      </c>
      <c r="Q770" s="158">
        <v>9520.24</v>
      </c>
      <c r="R770" s="158">
        <v>0</v>
      </c>
      <c r="S770" s="158"/>
      <c r="T770" s="158">
        <f t="shared" ref="T770:T833" si="152">S770*N770</f>
        <v>0</v>
      </c>
      <c r="U770" s="158">
        <f t="shared" si="142"/>
        <v>0</v>
      </c>
      <c r="V770" s="158">
        <v>0</v>
      </c>
      <c r="W770" s="158">
        <f t="shared" si="143"/>
        <v>0</v>
      </c>
      <c r="X770" s="158">
        <f t="shared" ref="X770:X833" si="153">W770/(1+N770)</f>
        <v>0</v>
      </c>
      <c r="Y770" s="158">
        <f t="shared" si="144"/>
        <v>0</v>
      </c>
      <c r="Z770" s="158">
        <v>12428.74</v>
      </c>
      <c r="AA770" s="158">
        <f t="shared" ref="AA770:AA833" si="154">Q770+V770-Z770</f>
        <v>-2908.5</v>
      </c>
      <c r="AB770" s="167">
        <v>0</v>
      </c>
      <c r="AC770" s="168">
        <f t="shared" ref="AC770:AC833" si="155">IF(O770="返现",Z770*N770,Z770-AB770)</f>
        <v>12428.74</v>
      </c>
      <c r="AD770" s="158">
        <f t="shared" si="151"/>
        <v>12183.6123244716</v>
      </c>
      <c r="AE770" s="159">
        <v>0.3156</v>
      </c>
      <c r="AF770" s="158">
        <f t="shared" si="150"/>
        <v>3845.14804960325</v>
      </c>
      <c r="AG770" s="158">
        <v>3922.510344</v>
      </c>
      <c r="AH770" s="175"/>
      <c r="AI770" s="175"/>
      <c r="AJ770" s="156" t="e">
        <v>#N/A</v>
      </c>
      <c r="AM770" s="152" t="s">
        <v>208</v>
      </c>
    </row>
    <row r="771" s="140" customFormat="1" ht="15" hidden="1" customHeight="1" spans="1:39">
      <c r="A771" s="140">
        <v>2017</v>
      </c>
      <c r="B771" s="140" t="s">
        <v>38</v>
      </c>
      <c r="C771" s="140" t="s">
        <v>88</v>
      </c>
      <c r="F771" s="152" t="s">
        <v>859</v>
      </c>
      <c r="G771" s="152" t="s">
        <v>859</v>
      </c>
      <c r="H771" s="152" t="s">
        <v>859</v>
      </c>
      <c r="I771" s="152" t="s">
        <v>204</v>
      </c>
      <c r="J771" s="140" t="s">
        <v>577</v>
      </c>
      <c r="K771" s="140" t="s">
        <v>578</v>
      </c>
      <c r="L771" s="140" t="s">
        <v>859</v>
      </c>
      <c r="M771" s="140" t="s">
        <v>185</v>
      </c>
      <c r="N771" s="156">
        <v>0.14</v>
      </c>
      <c r="O771" s="156" t="s">
        <v>51</v>
      </c>
      <c r="P771" s="156"/>
      <c r="Q771" s="158">
        <v>0</v>
      </c>
      <c r="R771" s="158">
        <v>0</v>
      </c>
      <c r="S771" s="158"/>
      <c r="T771" s="158">
        <f t="shared" si="152"/>
        <v>0</v>
      </c>
      <c r="U771" s="158">
        <f t="shared" ref="U771:U834" si="156">R771+S771+T771</f>
        <v>0</v>
      </c>
      <c r="V771" s="158">
        <v>0</v>
      </c>
      <c r="W771" s="158">
        <f t="shared" ref="W771:W834" si="157">U771-V771</f>
        <v>0</v>
      </c>
      <c r="X771" s="158">
        <f t="shared" si="153"/>
        <v>0</v>
      </c>
      <c r="Y771" s="158">
        <f t="shared" ref="Y771:Y834" si="158">W771-X771</f>
        <v>0</v>
      </c>
      <c r="Z771" s="158">
        <v>11459.78</v>
      </c>
      <c r="AA771" s="158">
        <f t="shared" si="154"/>
        <v>-11459.78</v>
      </c>
      <c r="AB771" s="167">
        <f>IF(O771="返货",Z771/(1+N771),IF(O771="返现",Z771,IF(O771="折扣",Z771*N771,IF(O771="无",Z771))))</f>
        <v>10052.4385964912</v>
      </c>
      <c r="AC771" s="168">
        <f t="shared" si="155"/>
        <v>1407.34140350877</v>
      </c>
      <c r="AD771" s="158">
        <f t="shared" si="151"/>
        <v>11233.7627823684</v>
      </c>
      <c r="AE771" s="159">
        <v>0.3156</v>
      </c>
      <c r="AF771" s="158">
        <f t="shared" si="150"/>
        <v>3545.37553411547</v>
      </c>
      <c r="AG771" s="158">
        <v>3616.706568</v>
      </c>
      <c r="AH771" s="175"/>
      <c r="AI771" s="175"/>
      <c r="AJ771" s="156">
        <v>0.14</v>
      </c>
      <c r="AM771" s="152" t="s">
        <v>208</v>
      </c>
    </row>
    <row r="772" s="140" customFormat="1" ht="15" hidden="1" customHeight="1" spans="1:39">
      <c r="A772" s="140">
        <v>2017</v>
      </c>
      <c r="B772" s="140" t="s">
        <v>38</v>
      </c>
      <c r="C772" s="140" t="s">
        <v>75</v>
      </c>
      <c r="D772" s="140" t="s">
        <v>860</v>
      </c>
      <c r="F772" s="140" t="s">
        <v>273</v>
      </c>
      <c r="G772" s="140" t="s">
        <v>273</v>
      </c>
      <c r="H772" s="140" t="s">
        <v>273</v>
      </c>
      <c r="I772" s="184" t="s">
        <v>204</v>
      </c>
      <c r="J772" s="140" t="s">
        <v>577</v>
      </c>
      <c r="K772" s="140" t="s">
        <v>578</v>
      </c>
      <c r="L772" s="140" t="s">
        <v>861</v>
      </c>
      <c r="M772" s="140" t="s">
        <v>185</v>
      </c>
      <c r="N772" s="157">
        <v>0.05</v>
      </c>
      <c r="O772" s="156" t="s">
        <v>51</v>
      </c>
      <c r="P772" s="156"/>
      <c r="Q772" s="158">
        <v>0</v>
      </c>
      <c r="R772" s="158">
        <v>0</v>
      </c>
      <c r="S772" s="158"/>
      <c r="T772" s="158">
        <f t="shared" si="152"/>
        <v>0</v>
      </c>
      <c r="U772" s="158">
        <f t="shared" si="156"/>
        <v>0</v>
      </c>
      <c r="V772" s="158">
        <v>0</v>
      </c>
      <c r="W772" s="158">
        <f t="shared" si="157"/>
        <v>0</v>
      </c>
      <c r="X772" s="158">
        <f t="shared" si="153"/>
        <v>0</v>
      </c>
      <c r="Y772" s="158">
        <f t="shared" si="158"/>
        <v>0</v>
      </c>
      <c r="Z772" s="158">
        <v>7772.08</v>
      </c>
      <c r="AA772" s="158">
        <f t="shared" si="154"/>
        <v>-7772.08</v>
      </c>
      <c r="AB772" s="167">
        <f>IF(O772="返货",Z772/(1+N772),IF(O772="返现",Z772,IF(O772="折扣",Z772*N772,IF(O772="无",Z772))))</f>
        <v>7401.98095238095</v>
      </c>
      <c r="AC772" s="168">
        <f t="shared" si="155"/>
        <v>370.099047619048</v>
      </c>
      <c r="AD772" s="158">
        <f t="shared" si="151"/>
        <v>7618.79399478785</v>
      </c>
      <c r="AE772" s="159">
        <v>0.3156</v>
      </c>
      <c r="AF772" s="158">
        <f t="shared" si="150"/>
        <v>2404.49138475504</v>
      </c>
      <c r="AG772" s="158">
        <v>2452.868448</v>
      </c>
      <c r="AH772" s="175"/>
      <c r="AI772" s="175"/>
      <c r="AJ772" s="157">
        <v>0.05</v>
      </c>
      <c r="AM772" s="152" t="s">
        <v>208</v>
      </c>
    </row>
    <row r="773" s="140" customFormat="1" ht="15" hidden="1" customHeight="1" spans="1:39">
      <c r="A773" s="140">
        <v>2017</v>
      </c>
      <c r="B773" s="140" t="s">
        <v>199</v>
      </c>
      <c r="C773" s="140" t="s">
        <v>54</v>
      </c>
      <c r="D773" s="140" t="s">
        <v>102</v>
      </c>
      <c r="F773" s="152" t="s">
        <v>807</v>
      </c>
      <c r="G773" s="152" t="s">
        <v>808</v>
      </c>
      <c r="H773" s="179" t="s">
        <v>809</v>
      </c>
      <c r="I773" s="152" t="s">
        <v>204</v>
      </c>
      <c r="J773" s="140" t="s">
        <v>577</v>
      </c>
      <c r="K773" s="140" t="s">
        <v>578</v>
      </c>
      <c r="L773" s="140" t="s">
        <v>807</v>
      </c>
      <c r="M773" s="140" t="s">
        <v>185</v>
      </c>
      <c r="N773" s="157">
        <v>0.09</v>
      </c>
      <c r="O773" s="156" t="s">
        <v>51</v>
      </c>
      <c r="P773" s="156"/>
      <c r="Q773" s="158">
        <v>0</v>
      </c>
      <c r="R773" s="158">
        <v>0</v>
      </c>
      <c r="S773" s="158"/>
      <c r="T773" s="158">
        <f t="shared" si="152"/>
        <v>0</v>
      </c>
      <c r="U773" s="158">
        <f t="shared" si="156"/>
        <v>0</v>
      </c>
      <c r="V773" s="158">
        <v>0</v>
      </c>
      <c r="W773" s="158">
        <f t="shared" si="157"/>
        <v>0</v>
      </c>
      <c r="X773" s="158">
        <f t="shared" si="153"/>
        <v>0</v>
      </c>
      <c r="Y773" s="158">
        <f t="shared" si="158"/>
        <v>0</v>
      </c>
      <c r="Z773" s="158">
        <v>6907.3</v>
      </c>
      <c r="AA773" s="158">
        <f t="shared" si="154"/>
        <v>-6907.3</v>
      </c>
      <c r="AB773" s="167">
        <f>IF(O773="返货",Z773/(1+N773),IF(O773="返现",Z773,IF(O773="折扣",Z773*N773,IF(O773="无",Z773))))</f>
        <v>6336.97247706422</v>
      </c>
      <c r="AC773" s="168">
        <f t="shared" si="155"/>
        <v>570.327522935781</v>
      </c>
      <c r="AD773" s="158">
        <f t="shared" si="151"/>
        <v>6771.06974712022</v>
      </c>
      <c r="AE773" s="159">
        <v>0.3156</v>
      </c>
      <c r="AF773" s="158">
        <f t="shared" si="150"/>
        <v>2136.94961219114</v>
      </c>
      <c r="AG773" s="158">
        <v>2179.94388</v>
      </c>
      <c r="AH773" s="175"/>
      <c r="AI773" s="175"/>
      <c r="AJ773" s="157">
        <v>0.09</v>
      </c>
      <c r="AM773" s="152" t="s">
        <v>208</v>
      </c>
    </row>
    <row r="774" s="140" customFormat="1" ht="15" hidden="1" customHeight="1" spans="1:39">
      <c r="A774" s="140">
        <v>2017</v>
      </c>
      <c r="B774" s="140" t="s">
        <v>38</v>
      </c>
      <c r="C774" s="140" t="s">
        <v>54</v>
      </c>
      <c r="D774" s="140" t="s">
        <v>55</v>
      </c>
      <c r="F774" s="152" t="s">
        <v>788</v>
      </c>
      <c r="G774" s="152" t="s">
        <v>790</v>
      </c>
      <c r="H774" s="152" t="s">
        <v>790</v>
      </c>
      <c r="I774" s="152" t="s">
        <v>204</v>
      </c>
      <c r="J774" s="140" t="s">
        <v>577</v>
      </c>
      <c r="K774" s="140" t="s">
        <v>578</v>
      </c>
      <c r="L774" s="140" t="s">
        <v>791</v>
      </c>
      <c r="M774" s="140" t="s">
        <v>185</v>
      </c>
      <c r="N774" s="157">
        <v>0.08</v>
      </c>
      <c r="O774" s="156" t="s">
        <v>51</v>
      </c>
      <c r="P774" s="156"/>
      <c r="Q774" s="158">
        <v>0</v>
      </c>
      <c r="R774" s="158">
        <v>0</v>
      </c>
      <c r="S774" s="158"/>
      <c r="T774" s="158">
        <f t="shared" si="152"/>
        <v>0</v>
      </c>
      <c r="U774" s="158">
        <f t="shared" si="156"/>
        <v>0</v>
      </c>
      <c r="V774" s="158">
        <v>0</v>
      </c>
      <c r="W774" s="158">
        <f t="shared" si="157"/>
        <v>0</v>
      </c>
      <c r="X774" s="158">
        <f t="shared" si="153"/>
        <v>0</v>
      </c>
      <c r="Y774" s="158">
        <f t="shared" si="158"/>
        <v>0</v>
      </c>
      <c r="Z774" s="158">
        <v>5800</v>
      </c>
      <c r="AA774" s="158">
        <f t="shared" si="154"/>
        <v>-5800</v>
      </c>
      <c r="AB774" s="167">
        <f>IF(O774="返货",Z774/(1+N774),IF(O774="返现",Z774,IF(O774="折扣",Z774*N774,IF(O774="无",Z774))))</f>
        <v>5370.37037037037</v>
      </c>
      <c r="AC774" s="168">
        <f t="shared" si="155"/>
        <v>429.62962962963</v>
      </c>
      <c r="AD774" s="158">
        <f t="shared" si="151"/>
        <v>5685.60863626848</v>
      </c>
      <c r="AE774" s="159">
        <v>0.3156</v>
      </c>
      <c r="AF774" s="158">
        <f t="shared" si="150"/>
        <v>1794.37808560633</v>
      </c>
      <c r="AG774" s="158">
        <v>1830.48</v>
      </c>
      <c r="AH774" s="175"/>
      <c r="AI774" s="175"/>
      <c r="AJ774" s="156" t="s">
        <v>53</v>
      </c>
      <c r="AM774" s="152" t="s">
        <v>208</v>
      </c>
    </row>
    <row r="775" s="140" customFormat="1" ht="15" hidden="1" customHeight="1" spans="1:39">
      <c r="A775" s="140">
        <v>2017</v>
      </c>
      <c r="C775" s="140" t="s">
        <v>75</v>
      </c>
      <c r="D775" s="140" t="s">
        <v>518</v>
      </c>
      <c r="F775" s="152" t="str">
        <f>L775</f>
        <v>上海逗趣网络科技有限公司</v>
      </c>
      <c r="G775" s="152"/>
      <c r="H775" s="152"/>
      <c r="I775" s="152" t="s">
        <v>204</v>
      </c>
      <c r="J775" s="140" t="s">
        <v>577</v>
      </c>
      <c r="K775" s="140" t="s">
        <v>578</v>
      </c>
      <c r="L775" s="140" t="s">
        <v>862</v>
      </c>
      <c r="M775" s="140" t="s">
        <v>185</v>
      </c>
      <c r="N775" s="156">
        <v>0</v>
      </c>
      <c r="O775" s="156" t="s">
        <v>47</v>
      </c>
      <c r="P775" s="156" t="s">
        <v>855</v>
      </c>
      <c r="Q775" s="158">
        <v>3026.4</v>
      </c>
      <c r="R775" s="158">
        <v>0</v>
      </c>
      <c r="S775" s="158"/>
      <c r="T775" s="158">
        <f t="shared" si="152"/>
        <v>0</v>
      </c>
      <c r="U775" s="158">
        <f t="shared" si="156"/>
        <v>0</v>
      </c>
      <c r="V775" s="158">
        <v>0</v>
      </c>
      <c r="W775" s="158">
        <f t="shared" si="157"/>
        <v>0</v>
      </c>
      <c r="X775" s="158">
        <f t="shared" si="153"/>
        <v>0</v>
      </c>
      <c r="Y775" s="158">
        <f t="shared" si="158"/>
        <v>0</v>
      </c>
      <c r="Z775" s="158">
        <v>2749.95</v>
      </c>
      <c r="AA775" s="158">
        <f t="shared" si="154"/>
        <v>276.45</v>
      </c>
      <c r="AB775" s="167">
        <v>0</v>
      </c>
      <c r="AC775" s="168">
        <f t="shared" si="155"/>
        <v>2749.95</v>
      </c>
      <c r="AD775" s="158">
        <f t="shared" si="151"/>
        <v>2695.71370160457</v>
      </c>
      <c r="AE775" s="159">
        <v>0.3156</v>
      </c>
      <c r="AF775" s="158">
        <f t="shared" si="150"/>
        <v>850.767244226402</v>
      </c>
      <c r="AG775" s="158">
        <v>867.88422</v>
      </c>
      <c r="AH775" s="175"/>
      <c r="AI775" s="175"/>
      <c r="AJ775" s="156" t="e">
        <v>#N/A</v>
      </c>
      <c r="AM775" s="152" t="s">
        <v>208</v>
      </c>
    </row>
    <row r="776" s="140" customFormat="1" ht="15" hidden="1" customHeight="1" spans="1:39">
      <c r="A776" s="140">
        <v>2017</v>
      </c>
      <c r="B776" s="140" t="s">
        <v>38</v>
      </c>
      <c r="C776" s="140" t="s">
        <v>75</v>
      </c>
      <c r="F776" s="152" t="s">
        <v>683</v>
      </c>
      <c r="G776" s="152" t="s">
        <v>683</v>
      </c>
      <c r="H776" s="152" t="s">
        <v>683</v>
      </c>
      <c r="I776" s="152" t="s">
        <v>204</v>
      </c>
      <c r="J776" s="140" t="s">
        <v>577</v>
      </c>
      <c r="K776" s="140" t="s">
        <v>578</v>
      </c>
      <c r="L776" s="140" t="s">
        <v>683</v>
      </c>
      <c r="M776" s="140" t="s">
        <v>185</v>
      </c>
      <c r="N776" s="157">
        <v>0.15</v>
      </c>
      <c r="O776" s="156" t="s">
        <v>51</v>
      </c>
      <c r="P776" s="156"/>
      <c r="Q776" s="158">
        <v>0</v>
      </c>
      <c r="R776" s="158">
        <v>0</v>
      </c>
      <c r="S776" s="158"/>
      <c r="T776" s="158">
        <f t="shared" si="152"/>
        <v>0</v>
      </c>
      <c r="U776" s="158">
        <f t="shared" si="156"/>
        <v>0</v>
      </c>
      <c r="V776" s="158">
        <v>0</v>
      </c>
      <c r="W776" s="158">
        <f t="shared" si="157"/>
        <v>0</v>
      </c>
      <c r="X776" s="158">
        <f t="shared" si="153"/>
        <v>0</v>
      </c>
      <c r="Y776" s="158">
        <f t="shared" si="158"/>
        <v>0</v>
      </c>
      <c r="Z776" s="158">
        <v>1521.27</v>
      </c>
      <c r="AA776" s="158">
        <f t="shared" si="154"/>
        <v>-1521.27</v>
      </c>
      <c r="AB776" s="167">
        <f>IF(O776="返货",Z776/(1+N776),IF(O776="返现",Z776,IF(O776="折扣",Z776*N776,IF(O776="无",Z776))))</f>
        <v>1322.84347826087</v>
      </c>
      <c r="AC776" s="168">
        <f t="shared" si="155"/>
        <v>198.42652173913</v>
      </c>
      <c r="AD776" s="158">
        <f t="shared" si="151"/>
        <v>1491.26652587865</v>
      </c>
      <c r="AE776" s="159">
        <v>0.3156</v>
      </c>
      <c r="AF776" s="158">
        <f t="shared" si="150"/>
        <v>470.643715567301</v>
      </c>
      <c r="AG776" s="158">
        <v>480.112812</v>
      </c>
      <c r="AH776" s="175"/>
      <c r="AI776" s="175"/>
      <c r="AJ776" s="157">
        <v>0.15</v>
      </c>
      <c r="AM776" s="152" t="s">
        <v>208</v>
      </c>
    </row>
    <row r="777" s="140" customFormat="1" ht="15" hidden="1" customHeight="1" spans="1:39">
      <c r="A777" s="140">
        <v>2017</v>
      </c>
      <c r="B777" s="140" t="s">
        <v>38</v>
      </c>
      <c r="C777" s="140" t="s">
        <v>75</v>
      </c>
      <c r="D777" s="140" t="s">
        <v>256</v>
      </c>
      <c r="F777" s="152" t="s">
        <v>355</v>
      </c>
      <c r="G777" s="152" t="s">
        <v>355</v>
      </c>
      <c r="H777" s="152" t="s">
        <v>355</v>
      </c>
      <c r="I777" s="152" t="s">
        <v>204</v>
      </c>
      <c r="J777" s="140" t="s">
        <v>577</v>
      </c>
      <c r="K777" s="140" t="s">
        <v>578</v>
      </c>
      <c r="L777" s="140" t="s">
        <v>355</v>
      </c>
      <c r="M777" s="140" t="s">
        <v>597</v>
      </c>
      <c r="N777" s="157">
        <v>0.08</v>
      </c>
      <c r="O777" s="156" t="s">
        <v>51</v>
      </c>
      <c r="P777" s="156"/>
      <c r="Q777" s="158">
        <v>0</v>
      </c>
      <c r="R777" s="158">
        <v>0</v>
      </c>
      <c r="S777" s="158"/>
      <c r="T777" s="158">
        <f t="shared" si="152"/>
        <v>0</v>
      </c>
      <c r="U777" s="158">
        <f t="shared" si="156"/>
        <v>0</v>
      </c>
      <c r="V777" s="158">
        <v>738290</v>
      </c>
      <c r="W777" s="158">
        <f t="shared" si="157"/>
        <v>-738290</v>
      </c>
      <c r="X777" s="158">
        <f t="shared" si="153"/>
        <v>-683601.851851852</v>
      </c>
      <c r="Y777" s="158">
        <f t="shared" si="158"/>
        <v>-54688.1481481482</v>
      </c>
      <c r="Z777" s="158">
        <v>738290</v>
      </c>
      <c r="AA777" s="158">
        <f t="shared" si="154"/>
        <v>0</v>
      </c>
      <c r="AB777" s="167">
        <f>IF(O777="返货",Z777/(1+N777),IF(O777="返现",Z777,IF(O777="折扣",Z777*N777,IF(O777="无",Z777))))</f>
        <v>683601.851851852</v>
      </c>
      <c r="AC777" s="168">
        <f t="shared" si="155"/>
        <v>54688.1481481482</v>
      </c>
      <c r="AD777" s="158">
        <f t="shared" si="151"/>
        <v>723728.965529423</v>
      </c>
      <c r="AE777" s="159">
        <v>0.3534</v>
      </c>
      <c r="AF777" s="158">
        <f t="shared" si="150"/>
        <v>255765.816418098</v>
      </c>
      <c r="AG777" s="158">
        <v>260911.686</v>
      </c>
      <c r="AH777" s="175"/>
      <c r="AI777" s="175"/>
      <c r="AJ777" s="156" t="s">
        <v>53</v>
      </c>
      <c r="AM777" s="152" t="s">
        <v>208</v>
      </c>
    </row>
    <row r="778" s="140" customFormat="1" ht="15" hidden="1" customHeight="1" spans="1:39">
      <c r="A778" s="140">
        <v>2017</v>
      </c>
      <c r="B778" s="140" t="s">
        <v>38</v>
      </c>
      <c r="C778" s="140" t="s">
        <v>59</v>
      </c>
      <c r="D778" s="140" t="s">
        <v>720</v>
      </c>
      <c r="F778" s="152" t="s">
        <v>765</v>
      </c>
      <c r="G778" s="152" t="s">
        <v>765</v>
      </c>
      <c r="H778" s="152" t="s">
        <v>765</v>
      </c>
      <c r="I778" s="152" t="s">
        <v>204</v>
      </c>
      <c r="J778" s="140" t="s">
        <v>577</v>
      </c>
      <c r="K778" s="140" t="s">
        <v>578</v>
      </c>
      <c r="L778" s="140" t="s">
        <v>765</v>
      </c>
      <c r="M778" s="140" t="s">
        <v>597</v>
      </c>
      <c r="N778" s="157">
        <v>0.08</v>
      </c>
      <c r="O778" s="156" t="s">
        <v>51</v>
      </c>
      <c r="P778" s="156"/>
      <c r="Q778" s="158">
        <v>0</v>
      </c>
      <c r="R778" s="158">
        <v>0</v>
      </c>
      <c r="S778" s="158"/>
      <c r="T778" s="158">
        <f t="shared" si="152"/>
        <v>0</v>
      </c>
      <c r="U778" s="158">
        <f t="shared" si="156"/>
        <v>0</v>
      </c>
      <c r="V778" s="158">
        <v>210000</v>
      </c>
      <c r="W778" s="158">
        <f t="shared" si="157"/>
        <v>-210000</v>
      </c>
      <c r="X778" s="158">
        <f t="shared" si="153"/>
        <v>-194444.444444444</v>
      </c>
      <c r="Y778" s="158">
        <f t="shared" si="158"/>
        <v>-15555.5555555556</v>
      </c>
      <c r="Z778" s="158">
        <v>210000</v>
      </c>
      <c r="AA778" s="158">
        <f t="shared" si="154"/>
        <v>0</v>
      </c>
      <c r="AB778" s="167">
        <f>IF(O778="返货",Z778/(1+N778),IF(O778="返现",Z778,IF(O778="折扣",Z778*N778,IF(O778="无",Z778))))</f>
        <v>194444.444444444</v>
      </c>
      <c r="AC778" s="168">
        <f t="shared" si="155"/>
        <v>15555.5555555556</v>
      </c>
      <c r="AD778" s="158">
        <f t="shared" si="151"/>
        <v>205858.243726962</v>
      </c>
      <c r="AE778" s="159">
        <v>0.3534</v>
      </c>
      <c r="AF778" s="158">
        <f t="shared" si="150"/>
        <v>72750.3033331084</v>
      </c>
      <c r="AG778" s="158">
        <v>74214</v>
      </c>
      <c r="AH778" s="175"/>
      <c r="AI778" s="175"/>
      <c r="AJ778" s="156" t="s">
        <v>53</v>
      </c>
      <c r="AM778" s="152" t="s">
        <v>208</v>
      </c>
    </row>
    <row r="779" s="140" customFormat="1" ht="15" hidden="1" customHeight="1" spans="1:39">
      <c r="A779" s="140">
        <v>2017</v>
      </c>
      <c r="B779" s="140" t="s">
        <v>38</v>
      </c>
      <c r="C779" s="140" t="s">
        <v>59</v>
      </c>
      <c r="D779" s="140" t="s">
        <v>106</v>
      </c>
      <c r="F779" s="152" t="s">
        <v>863</v>
      </c>
      <c r="G779" s="140" t="s">
        <v>352</v>
      </c>
      <c r="H779" s="140" t="s">
        <v>352</v>
      </c>
      <c r="I779" s="184" t="s">
        <v>204</v>
      </c>
      <c r="J779" s="140" t="s">
        <v>577</v>
      </c>
      <c r="K779" s="140" t="s">
        <v>578</v>
      </c>
      <c r="L779" s="140" t="s">
        <v>352</v>
      </c>
      <c r="M779" s="140" t="s">
        <v>713</v>
      </c>
      <c r="N779" s="156">
        <v>0.08</v>
      </c>
      <c r="O779" s="156" t="s">
        <v>51</v>
      </c>
      <c r="P779" s="156"/>
      <c r="Q779" s="158">
        <v>0</v>
      </c>
      <c r="R779" s="158">
        <v>0</v>
      </c>
      <c r="S779" s="158"/>
      <c r="T779" s="158">
        <f t="shared" si="152"/>
        <v>0</v>
      </c>
      <c r="U779" s="158">
        <f t="shared" si="156"/>
        <v>0</v>
      </c>
      <c r="V779" s="158">
        <v>235000</v>
      </c>
      <c r="W779" s="158">
        <f t="shared" si="157"/>
        <v>-235000</v>
      </c>
      <c r="X779" s="158">
        <f t="shared" si="153"/>
        <v>-217592.592592593</v>
      </c>
      <c r="Y779" s="158">
        <f t="shared" si="158"/>
        <v>-17407.4074074074</v>
      </c>
      <c r="Z779" s="158">
        <v>235000</v>
      </c>
      <c r="AA779" s="158">
        <f t="shared" si="154"/>
        <v>0</v>
      </c>
      <c r="AB779" s="167">
        <f>IF(O779="返货",Z779/(1+N779),IF(O779="返现",Z779,IF(O779="折扣",Z779*N779,IF(O779="无",Z779))))</f>
        <v>217592.592592593</v>
      </c>
      <c r="AC779" s="168">
        <f t="shared" si="155"/>
        <v>17407.4074074074</v>
      </c>
      <c r="AD779" s="158">
        <f t="shared" si="151"/>
        <v>230365.177503981</v>
      </c>
      <c r="AE779" s="159">
        <v>0.3156</v>
      </c>
      <c r="AF779" s="158">
        <f t="shared" si="150"/>
        <v>72703.2500202565</v>
      </c>
      <c r="AG779" s="158">
        <v>74166</v>
      </c>
      <c r="AH779" s="175"/>
      <c r="AI779" s="175"/>
      <c r="AJ779" s="156">
        <v>0.08</v>
      </c>
      <c r="AM779" s="152" t="s">
        <v>208</v>
      </c>
    </row>
    <row r="780" s="140" customFormat="1" ht="15" hidden="1" customHeight="1" spans="1:39">
      <c r="A780" s="140">
        <v>2017</v>
      </c>
      <c r="C780" s="140" t="s">
        <v>75</v>
      </c>
      <c r="D780" s="140" t="s">
        <v>518</v>
      </c>
      <c r="F780" s="152" t="str">
        <f>L780</f>
        <v>商机在线（北京）网络技术有限公司</v>
      </c>
      <c r="G780" s="152"/>
      <c r="H780" s="152"/>
      <c r="I780" s="152" t="s">
        <v>204</v>
      </c>
      <c r="J780" s="140" t="s">
        <v>577</v>
      </c>
      <c r="K780" s="140" t="s">
        <v>578</v>
      </c>
      <c r="L780" s="140" t="s">
        <v>864</v>
      </c>
      <c r="M780" s="140" t="s">
        <v>46</v>
      </c>
      <c r="N780" s="156">
        <v>0</v>
      </c>
      <c r="O780" s="156" t="s">
        <v>47</v>
      </c>
      <c r="P780" s="156" t="s">
        <v>855</v>
      </c>
      <c r="Q780" s="158">
        <v>441.77</v>
      </c>
      <c r="R780" s="158">
        <v>0</v>
      </c>
      <c r="S780" s="158"/>
      <c r="T780" s="158">
        <f t="shared" si="152"/>
        <v>0</v>
      </c>
      <c r="U780" s="158">
        <f t="shared" si="156"/>
        <v>0</v>
      </c>
      <c r="V780" s="158">
        <v>0</v>
      </c>
      <c r="W780" s="158">
        <f t="shared" si="157"/>
        <v>0</v>
      </c>
      <c r="X780" s="158">
        <f t="shared" si="153"/>
        <v>0</v>
      </c>
      <c r="Y780" s="158">
        <f t="shared" si="158"/>
        <v>0</v>
      </c>
      <c r="Z780" s="158">
        <v>0</v>
      </c>
      <c r="AA780" s="158">
        <f t="shared" si="154"/>
        <v>441.77</v>
      </c>
      <c r="AB780" s="167">
        <v>0</v>
      </c>
      <c r="AC780" s="168">
        <f t="shared" si="155"/>
        <v>0</v>
      </c>
      <c r="AD780" s="158">
        <f t="shared" si="151"/>
        <v>0</v>
      </c>
      <c r="AE780" s="159">
        <v>0.1077</v>
      </c>
      <c r="AF780" s="158">
        <f t="shared" si="150"/>
        <v>0</v>
      </c>
      <c r="AG780" s="158">
        <v>0</v>
      </c>
      <c r="AH780" s="175"/>
      <c r="AI780" s="175"/>
      <c r="AJ780" s="156" t="e">
        <v>#N/A</v>
      </c>
      <c r="AM780" s="152" t="s">
        <v>208</v>
      </c>
    </row>
    <row r="781" s="140" customFormat="1" ht="15" hidden="1" customHeight="1" spans="1:39">
      <c r="A781" s="140">
        <v>2017</v>
      </c>
      <c r="C781" s="140" t="s">
        <v>59</v>
      </c>
      <c r="D781" s="140" t="s">
        <v>720</v>
      </c>
      <c r="F781" s="152" t="str">
        <f>L781</f>
        <v>湖南极视互联科技有限公司</v>
      </c>
      <c r="G781" s="152"/>
      <c r="H781" s="152"/>
      <c r="I781" s="152" t="s">
        <v>204</v>
      </c>
      <c r="J781" s="140" t="s">
        <v>577</v>
      </c>
      <c r="K781" s="140" t="s">
        <v>578</v>
      </c>
      <c r="L781" s="140" t="s">
        <v>865</v>
      </c>
      <c r="M781" s="140" t="s">
        <v>46</v>
      </c>
      <c r="N781" s="156">
        <v>0</v>
      </c>
      <c r="O781" s="156" t="s">
        <v>47</v>
      </c>
      <c r="P781" s="156" t="s">
        <v>855</v>
      </c>
      <c r="Q781" s="158">
        <v>124</v>
      </c>
      <c r="R781" s="158">
        <v>0</v>
      </c>
      <c r="S781" s="158"/>
      <c r="T781" s="158">
        <f t="shared" si="152"/>
        <v>0</v>
      </c>
      <c r="U781" s="158">
        <f t="shared" si="156"/>
        <v>0</v>
      </c>
      <c r="V781" s="158">
        <v>0</v>
      </c>
      <c r="W781" s="158">
        <f t="shared" si="157"/>
        <v>0</v>
      </c>
      <c r="X781" s="158">
        <f t="shared" si="153"/>
        <v>0</v>
      </c>
      <c r="Y781" s="158">
        <f t="shared" si="158"/>
        <v>0</v>
      </c>
      <c r="Z781" s="158">
        <v>0</v>
      </c>
      <c r="AA781" s="158">
        <f t="shared" si="154"/>
        <v>124</v>
      </c>
      <c r="AB781" s="167">
        <v>0</v>
      </c>
      <c r="AC781" s="168">
        <f t="shared" si="155"/>
        <v>0</v>
      </c>
      <c r="AD781" s="158">
        <f t="shared" si="151"/>
        <v>0</v>
      </c>
      <c r="AE781" s="159">
        <v>0.1077</v>
      </c>
      <c r="AF781" s="158">
        <f t="shared" si="150"/>
        <v>0</v>
      </c>
      <c r="AG781" s="158">
        <v>0</v>
      </c>
      <c r="AH781" s="175"/>
      <c r="AI781" s="175"/>
      <c r="AJ781" s="156" t="e">
        <v>#N/A</v>
      </c>
      <c r="AM781" s="152" t="s">
        <v>208</v>
      </c>
    </row>
    <row r="782" s="140" customFormat="1" ht="15" hidden="1" customHeight="1" spans="1:39">
      <c r="A782" s="140">
        <v>2017</v>
      </c>
      <c r="C782" s="140" t="s">
        <v>75</v>
      </c>
      <c r="F782" s="152" t="str">
        <f>L782</f>
        <v>上海腾牛电子商务有限公司</v>
      </c>
      <c r="G782" s="152"/>
      <c r="H782" s="152"/>
      <c r="I782" s="152" t="s">
        <v>204</v>
      </c>
      <c r="J782" s="140" t="s">
        <v>577</v>
      </c>
      <c r="K782" s="140" t="s">
        <v>578</v>
      </c>
      <c r="L782" s="140" t="s">
        <v>866</v>
      </c>
      <c r="M782" s="140" t="s">
        <v>46</v>
      </c>
      <c r="N782" s="156">
        <v>0</v>
      </c>
      <c r="O782" s="156" t="s">
        <v>47</v>
      </c>
      <c r="P782" s="156" t="s">
        <v>855</v>
      </c>
      <c r="Q782" s="158">
        <v>4.61</v>
      </c>
      <c r="R782" s="158">
        <v>0</v>
      </c>
      <c r="S782" s="158"/>
      <c r="T782" s="158">
        <f t="shared" si="152"/>
        <v>0</v>
      </c>
      <c r="U782" s="158">
        <f t="shared" si="156"/>
        <v>0</v>
      </c>
      <c r="V782" s="158">
        <v>0</v>
      </c>
      <c r="W782" s="158">
        <f t="shared" si="157"/>
        <v>0</v>
      </c>
      <c r="X782" s="158">
        <f t="shared" si="153"/>
        <v>0</v>
      </c>
      <c r="Y782" s="158">
        <f t="shared" si="158"/>
        <v>0</v>
      </c>
      <c r="Z782" s="158">
        <v>0</v>
      </c>
      <c r="AA782" s="158">
        <f t="shared" si="154"/>
        <v>4.61</v>
      </c>
      <c r="AB782" s="167">
        <v>0</v>
      </c>
      <c r="AC782" s="168">
        <f t="shared" si="155"/>
        <v>0</v>
      </c>
      <c r="AD782" s="158">
        <f t="shared" si="151"/>
        <v>0</v>
      </c>
      <c r="AE782" s="159">
        <v>0.1077</v>
      </c>
      <c r="AF782" s="158">
        <f t="shared" si="150"/>
        <v>0</v>
      </c>
      <c r="AG782" s="158">
        <v>0</v>
      </c>
      <c r="AH782" s="175"/>
      <c r="AI782" s="175"/>
      <c r="AJ782" s="156" t="e">
        <v>#N/A</v>
      </c>
      <c r="AM782" s="152" t="s">
        <v>208</v>
      </c>
    </row>
    <row r="783" s="140" customFormat="1" ht="15" hidden="1" customHeight="1" spans="1:39">
      <c r="A783" s="140">
        <v>2017</v>
      </c>
      <c r="C783" s="140" t="s">
        <v>75</v>
      </c>
      <c r="D783" s="140" t="s">
        <v>518</v>
      </c>
      <c r="F783" s="152" t="s">
        <v>848</v>
      </c>
      <c r="G783" s="152"/>
      <c r="H783" s="152"/>
      <c r="I783" s="152" t="s">
        <v>204</v>
      </c>
      <c r="J783" s="140" t="s">
        <v>577</v>
      </c>
      <c r="K783" s="140" t="s">
        <v>578</v>
      </c>
      <c r="L783" s="140" t="s">
        <v>848</v>
      </c>
      <c r="M783" s="140" t="s">
        <v>185</v>
      </c>
      <c r="N783" s="156">
        <v>0</v>
      </c>
      <c r="O783" s="156" t="s">
        <v>47</v>
      </c>
      <c r="P783" s="156" t="s">
        <v>857</v>
      </c>
      <c r="Q783" s="158">
        <v>298993.208</v>
      </c>
      <c r="R783" s="158">
        <v>0</v>
      </c>
      <c r="S783" s="158"/>
      <c r="T783" s="158">
        <f t="shared" si="152"/>
        <v>0</v>
      </c>
      <c r="U783" s="158">
        <f t="shared" si="156"/>
        <v>0</v>
      </c>
      <c r="V783" s="158">
        <v>0</v>
      </c>
      <c r="W783" s="158">
        <f t="shared" si="157"/>
        <v>0</v>
      </c>
      <c r="X783" s="158">
        <f t="shared" si="153"/>
        <v>0</v>
      </c>
      <c r="Y783" s="158">
        <f t="shared" si="158"/>
        <v>0</v>
      </c>
      <c r="Z783" s="158">
        <v>0</v>
      </c>
      <c r="AA783" s="158">
        <f t="shared" si="154"/>
        <v>298993.208</v>
      </c>
      <c r="AB783" s="167">
        <v>0</v>
      </c>
      <c r="AC783" s="168">
        <f t="shared" si="155"/>
        <v>0</v>
      </c>
      <c r="AD783" s="158">
        <f t="shared" si="151"/>
        <v>0</v>
      </c>
      <c r="AE783" s="159">
        <v>0.3156</v>
      </c>
      <c r="AF783" s="158">
        <f t="shared" si="150"/>
        <v>0</v>
      </c>
      <c r="AG783" s="158">
        <v>0</v>
      </c>
      <c r="AH783" s="175"/>
      <c r="AI783" s="175"/>
      <c r="AJ783" s="156" t="e">
        <v>#N/A</v>
      </c>
      <c r="AL783" s="140" t="s">
        <v>849</v>
      </c>
      <c r="AM783" s="152" t="s">
        <v>208</v>
      </c>
    </row>
    <row r="784" s="140" customFormat="1" ht="15" hidden="1" customHeight="1" spans="1:39">
      <c r="A784" s="140">
        <v>2017</v>
      </c>
      <c r="C784" s="140" t="s">
        <v>59</v>
      </c>
      <c r="D784" s="140" t="s">
        <v>720</v>
      </c>
      <c r="F784" s="152" t="s">
        <v>847</v>
      </c>
      <c r="G784" s="152"/>
      <c r="H784" s="152"/>
      <c r="I784" s="152" t="s">
        <v>204</v>
      </c>
      <c r="J784" s="140" t="s">
        <v>577</v>
      </c>
      <c r="K784" s="140" t="s">
        <v>578</v>
      </c>
      <c r="L784" s="140" t="s">
        <v>847</v>
      </c>
      <c r="M784" s="140" t="s">
        <v>185</v>
      </c>
      <c r="N784" s="156">
        <v>0</v>
      </c>
      <c r="O784" s="156" t="s">
        <v>47</v>
      </c>
      <c r="P784" s="156" t="s">
        <v>857</v>
      </c>
      <c r="Q784" s="158">
        <v>183851.12</v>
      </c>
      <c r="R784" s="158">
        <v>0</v>
      </c>
      <c r="S784" s="158"/>
      <c r="T784" s="158">
        <f t="shared" si="152"/>
        <v>0</v>
      </c>
      <c r="U784" s="158">
        <f t="shared" si="156"/>
        <v>0</v>
      </c>
      <c r="V784" s="158">
        <v>0</v>
      </c>
      <c r="W784" s="158">
        <f t="shared" si="157"/>
        <v>0</v>
      </c>
      <c r="X784" s="158">
        <f t="shared" si="153"/>
        <v>0</v>
      </c>
      <c r="Y784" s="158">
        <f t="shared" si="158"/>
        <v>0</v>
      </c>
      <c r="Z784" s="158">
        <v>0</v>
      </c>
      <c r="AA784" s="158">
        <f t="shared" si="154"/>
        <v>183851.12</v>
      </c>
      <c r="AB784" s="167">
        <v>0</v>
      </c>
      <c r="AC784" s="168">
        <f t="shared" si="155"/>
        <v>0</v>
      </c>
      <c r="AD784" s="158">
        <f t="shared" si="151"/>
        <v>0</v>
      </c>
      <c r="AE784" s="159">
        <v>0.3156</v>
      </c>
      <c r="AF784" s="158">
        <f t="shared" si="150"/>
        <v>0</v>
      </c>
      <c r="AG784" s="158">
        <v>0</v>
      </c>
      <c r="AH784" s="175"/>
      <c r="AI784" s="175"/>
      <c r="AJ784" s="156" t="e">
        <v>#N/A</v>
      </c>
      <c r="AM784" s="152" t="s">
        <v>208</v>
      </c>
    </row>
    <row r="785" s="140" customFormat="1" ht="15" hidden="1" customHeight="1" spans="1:39">
      <c r="A785" s="140">
        <v>2017</v>
      </c>
      <c r="B785" s="140" t="s">
        <v>38</v>
      </c>
      <c r="C785" s="140" t="s">
        <v>75</v>
      </c>
      <c r="D785" s="140" t="s">
        <v>256</v>
      </c>
      <c r="F785" s="152" t="s">
        <v>692</v>
      </c>
      <c r="G785" s="152" t="s">
        <v>692</v>
      </c>
      <c r="H785" s="152" t="s">
        <v>692</v>
      </c>
      <c r="I785" s="152" t="s">
        <v>204</v>
      </c>
      <c r="J785" s="140" t="s">
        <v>577</v>
      </c>
      <c r="K785" s="140" t="s">
        <v>578</v>
      </c>
      <c r="L785" s="140" t="s">
        <v>692</v>
      </c>
      <c r="M785" s="140" t="s">
        <v>185</v>
      </c>
      <c r="N785" s="156">
        <v>0</v>
      </c>
      <c r="O785" s="156" t="s">
        <v>47</v>
      </c>
      <c r="P785" s="156"/>
      <c r="Q785" s="158">
        <v>9882.97</v>
      </c>
      <c r="R785" s="158">
        <v>0</v>
      </c>
      <c r="S785" s="158"/>
      <c r="T785" s="158">
        <f t="shared" si="152"/>
        <v>0</v>
      </c>
      <c r="U785" s="158">
        <f t="shared" si="156"/>
        <v>0</v>
      </c>
      <c r="V785" s="158">
        <v>0</v>
      </c>
      <c r="W785" s="158">
        <f t="shared" si="157"/>
        <v>0</v>
      </c>
      <c r="X785" s="158">
        <f t="shared" si="153"/>
        <v>0</v>
      </c>
      <c r="Y785" s="158">
        <f t="shared" si="158"/>
        <v>0</v>
      </c>
      <c r="Z785" s="158">
        <v>0</v>
      </c>
      <c r="AA785" s="158">
        <f t="shared" si="154"/>
        <v>9882.97</v>
      </c>
      <c r="AB785" s="167">
        <f>IF(O785="返货",(Z785-Q785)/(1+N785),IF(O785="返现",(Z785-Q785),IF(O785="折扣",(Z785-Q785)*N785,IF(O785="无",(Z785-Q785)))))</f>
        <v>-9882.97</v>
      </c>
      <c r="AC785" s="168">
        <f t="shared" si="155"/>
        <v>9882.97</v>
      </c>
      <c r="AD785" s="158">
        <f t="shared" si="151"/>
        <v>0</v>
      </c>
      <c r="AE785" s="159">
        <v>0.3156</v>
      </c>
      <c r="AF785" s="158">
        <f t="shared" si="150"/>
        <v>0</v>
      </c>
      <c r="AG785" s="158">
        <v>0</v>
      </c>
      <c r="AH785" s="175"/>
      <c r="AI785" s="175"/>
      <c r="AJ785" s="156" t="e">
        <v>#N/A</v>
      </c>
      <c r="AM785" s="152" t="s">
        <v>208</v>
      </c>
    </row>
    <row r="786" s="140" customFormat="1" ht="15" hidden="1" customHeight="1" spans="1:39">
      <c r="A786" s="140">
        <v>2017</v>
      </c>
      <c r="C786" s="140" t="s">
        <v>75</v>
      </c>
      <c r="D786" s="140" t="s">
        <v>518</v>
      </c>
      <c r="F786" s="152" t="s">
        <v>851</v>
      </c>
      <c r="G786" s="152"/>
      <c r="H786" s="152"/>
      <c r="I786" s="152" t="s">
        <v>204</v>
      </c>
      <c r="J786" s="140" t="s">
        <v>577</v>
      </c>
      <c r="K786" s="140" t="s">
        <v>578</v>
      </c>
      <c r="L786" s="140" t="s">
        <v>851</v>
      </c>
      <c r="M786" s="140" t="s">
        <v>185</v>
      </c>
      <c r="N786" s="156">
        <v>0</v>
      </c>
      <c r="O786" s="156" t="s">
        <v>47</v>
      </c>
      <c r="P786" s="156" t="s">
        <v>855</v>
      </c>
      <c r="Q786" s="158">
        <v>9199.4</v>
      </c>
      <c r="R786" s="158">
        <v>0</v>
      </c>
      <c r="S786" s="158"/>
      <c r="T786" s="158">
        <f t="shared" si="152"/>
        <v>0</v>
      </c>
      <c r="U786" s="158">
        <f t="shared" si="156"/>
        <v>0</v>
      </c>
      <c r="V786" s="158">
        <v>0</v>
      </c>
      <c r="W786" s="158">
        <f t="shared" si="157"/>
        <v>0</v>
      </c>
      <c r="X786" s="158">
        <f t="shared" si="153"/>
        <v>0</v>
      </c>
      <c r="Y786" s="158">
        <f t="shared" si="158"/>
        <v>0</v>
      </c>
      <c r="Z786" s="158">
        <v>0</v>
      </c>
      <c r="AA786" s="158">
        <f t="shared" si="154"/>
        <v>9199.4</v>
      </c>
      <c r="AB786" s="167">
        <v>0</v>
      </c>
      <c r="AC786" s="168">
        <f t="shared" si="155"/>
        <v>0</v>
      </c>
      <c r="AD786" s="158">
        <f t="shared" si="151"/>
        <v>0</v>
      </c>
      <c r="AE786" s="159">
        <v>0.3156</v>
      </c>
      <c r="AF786" s="158">
        <f t="shared" si="150"/>
        <v>0</v>
      </c>
      <c r="AG786" s="158">
        <v>0</v>
      </c>
      <c r="AH786" s="175"/>
      <c r="AI786" s="175"/>
      <c r="AJ786" s="156" t="e">
        <v>#N/A</v>
      </c>
      <c r="AL786" s="140" t="s">
        <v>591</v>
      </c>
      <c r="AM786" s="152" t="s">
        <v>208</v>
      </c>
    </row>
    <row r="787" s="140" customFormat="1" ht="15" hidden="1" customHeight="1" spans="1:39">
      <c r="A787" s="140">
        <v>2017</v>
      </c>
      <c r="C787" s="140" t="s">
        <v>75</v>
      </c>
      <c r="D787" s="140" t="s">
        <v>518</v>
      </c>
      <c r="F787" s="152" t="str">
        <f>L787</f>
        <v>商机在线（北京）网络技术有限公司</v>
      </c>
      <c r="G787" s="152"/>
      <c r="H787" s="152"/>
      <c r="I787" s="152" t="s">
        <v>204</v>
      </c>
      <c r="J787" s="140" t="s">
        <v>577</v>
      </c>
      <c r="K787" s="140" t="s">
        <v>578</v>
      </c>
      <c r="L787" s="140" t="s">
        <v>864</v>
      </c>
      <c r="M787" s="140" t="s">
        <v>185</v>
      </c>
      <c r="N787" s="156">
        <v>0</v>
      </c>
      <c r="O787" s="156" t="s">
        <v>47</v>
      </c>
      <c r="P787" s="156" t="s">
        <v>855</v>
      </c>
      <c r="Q787" s="158">
        <v>7573.24</v>
      </c>
      <c r="R787" s="158">
        <v>0</v>
      </c>
      <c r="S787" s="158"/>
      <c r="T787" s="158">
        <f t="shared" si="152"/>
        <v>0</v>
      </c>
      <c r="U787" s="158">
        <f t="shared" si="156"/>
        <v>0</v>
      </c>
      <c r="V787" s="158">
        <v>0</v>
      </c>
      <c r="W787" s="158">
        <f t="shared" si="157"/>
        <v>0</v>
      </c>
      <c r="X787" s="158">
        <f t="shared" si="153"/>
        <v>0</v>
      </c>
      <c r="Y787" s="158">
        <f t="shared" si="158"/>
        <v>0</v>
      </c>
      <c r="Z787" s="158">
        <v>0</v>
      </c>
      <c r="AA787" s="158">
        <f t="shared" si="154"/>
        <v>7573.24</v>
      </c>
      <c r="AB787" s="167">
        <v>0</v>
      </c>
      <c r="AC787" s="168">
        <f t="shared" si="155"/>
        <v>0</v>
      </c>
      <c r="AD787" s="158">
        <f t="shared" si="151"/>
        <v>0</v>
      </c>
      <c r="AE787" s="159">
        <v>0.3156</v>
      </c>
      <c r="AF787" s="158">
        <f t="shared" si="150"/>
        <v>0</v>
      </c>
      <c r="AG787" s="158">
        <v>0</v>
      </c>
      <c r="AH787" s="175"/>
      <c r="AI787" s="175"/>
      <c r="AJ787" s="156" t="e">
        <v>#N/A</v>
      </c>
      <c r="AM787" s="152" t="s">
        <v>208</v>
      </c>
    </row>
    <row r="788" s="140" customFormat="1" ht="15" hidden="1" customHeight="1" spans="1:39">
      <c r="A788" s="140">
        <v>2017</v>
      </c>
      <c r="C788" s="140" t="s">
        <v>59</v>
      </c>
      <c r="F788" s="152" t="s">
        <v>867</v>
      </c>
      <c r="G788" s="152"/>
      <c r="H788" s="152"/>
      <c r="I788" s="152" t="s">
        <v>204</v>
      </c>
      <c r="J788" s="140" t="s">
        <v>577</v>
      </c>
      <c r="K788" s="140" t="s">
        <v>578</v>
      </c>
      <c r="L788" s="140" t="s">
        <v>867</v>
      </c>
      <c r="M788" s="140" t="s">
        <v>185</v>
      </c>
      <c r="N788" s="156">
        <v>0</v>
      </c>
      <c r="O788" s="156" t="s">
        <v>47</v>
      </c>
      <c r="P788" s="156" t="s">
        <v>855</v>
      </c>
      <c r="Q788" s="158">
        <v>4448.95</v>
      </c>
      <c r="R788" s="158">
        <v>0</v>
      </c>
      <c r="S788" s="158"/>
      <c r="T788" s="158">
        <f t="shared" si="152"/>
        <v>0</v>
      </c>
      <c r="U788" s="158">
        <f t="shared" si="156"/>
        <v>0</v>
      </c>
      <c r="V788" s="158">
        <v>0</v>
      </c>
      <c r="W788" s="158">
        <f t="shared" si="157"/>
        <v>0</v>
      </c>
      <c r="X788" s="158">
        <f t="shared" si="153"/>
        <v>0</v>
      </c>
      <c r="Y788" s="158">
        <f t="shared" si="158"/>
        <v>0</v>
      </c>
      <c r="Z788" s="158">
        <v>0</v>
      </c>
      <c r="AA788" s="158">
        <f t="shared" si="154"/>
        <v>4448.95</v>
      </c>
      <c r="AB788" s="167">
        <v>0</v>
      </c>
      <c r="AC788" s="168">
        <f t="shared" si="155"/>
        <v>0</v>
      </c>
      <c r="AD788" s="158">
        <f t="shared" si="151"/>
        <v>0</v>
      </c>
      <c r="AE788" s="159">
        <v>0.3156</v>
      </c>
      <c r="AF788" s="158">
        <f t="shared" si="150"/>
        <v>0</v>
      </c>
      <c r="AG788" s="158">
        <v>0</v>
      </c>
      <c r="AH788" s="175"/>
      <c r="AI788" s="175"/>
      <c r="AJ788" s="156" t="e">
        <v>#N/A</v>
      </c>
      <c r="AM788" s="152" t="s">
        <v>208</v>
      </c>
    </row>
    <row r="789" s="140" customFormat="1" ht="15" hidden="1" customHeight="1" spans="1:39">
      <c r="A789" s="140">
        <v>2017</v>
      </c>
      <c r="B789" s="140" t="s">
        <v>38</v>
      </c>
      <c r="C789" s="140" t="s">
        <v>75</v>
      </c>
      <c r="D789" s="140" t="s">
        <v>256</v>
      </c>
      <c r="F789" s="152" t="s">
        <v>691</v>
      </c>
      <c r="G789" s="152" t="s">
        <v>691</v>
      </c>
      <c r="H789" s="152" t="s">
        <v>691</v>
      </c>
      <c r="I789" s="152" t="s">
        <v>204</v>
      </c>
      <c r="J789" s="140" t="s">
        <v>577</v>
      </c>
      <c r="K789" s="140" t="s">
        <v>578</v>
      </c>
      <c r="L789" s="140" t="s">
        <v>691</v>
      </c>
      <c r="M789" s="140" t="s">
        <v>185</v>
      </c>
      <c r="N789" s="156">
        <v>0</v>
      </c>
      <c r="O789" s="156" t="s">
        <v>47</v>
      </c>
      <c r="P789" s="156"/>
      <c r="Q789" s="158">
        <v>1598.41</v>
      </c>
      <c r="R789" s="158">
        <v>0</v>
      </c>
      <c r="S789" s="158"/>
      <c r="T789" s="158">
        <f t="shared" si="152"/>
        <v>0</v>
      </c>
      <c r="U789" s="158">
        <f t="shared" si="156"/>
        <v>0</v>
      </c>
      <c r="V789" s="158">
        <v>0</v>
      </c>
      <c r="W789" s="158">
        <f t="shared" si="157"/>
        <v>0</v>
      </c>
      <c r="X789" s="158">
        <f t="shared" si="153"/>
        <v>0</v>
      </c>
      <c r="Y789" s="158">
        <f t="shared" si="158"/>
        <v>0</v>
      </c>
      <c r="Z789" s="158">
        <v>0</v>
      </c>
      <c r="AA789" s="158">
        <f t="shared" si="154"/>
        <v>1598.41</v>
      </c>
      <c r="AB789" s="167">
        <f>IF(O789="返货",(Z789-Q789)/(1+N789),IF(O789="返现",(Z789-Q789),IF(O789="折扣",(Z789-Q789)*N789,IF(O789="无",(Z789-Q789)))))</f>
        <v>-1598.41</v>
      </c>
      <c r="AC789" s="168">
        <f t="shared" si="155"/>
        <v>1598.41</v>
      </c>
      <c r="AD789" s="158">
        <f t="shared" si="151"/>
        <v>0</v>
      </c>
      <c r="AE789" s="159">
        <v>0.3156</v>
      </c>
      <c r="AF789" s="158">
        <f t="shared" si="150"/>
        <v>0</v>
      </c>
      <c r="AG789" s="158">
        <v>0</v>
      </c>
      <c r="AH789" s="175"/>
      <c r="AI789" s="175"/>
      <c r="AJ789" s="156" t="e">
        <v>#N/A</v>
      </c>
      <c r="AM789" s="152" t="s">
        <v>208</v>
      </c>
    </row>
    <row r="790" s="140" customFormat="1" ht="15" hidden="1" customHeight="1" spans="1:39">
      <c r="A790" s="140">
        <v>2017</v>
      </c>
      <c r="C790" s="140" t="s">
        <v>75</v>
      </c>
      <c r="D790" s="140" t="s">
        <v>518</v>
      </c>
      <c r="F790" s="152" t="str">
        <f>L790</f>
        <v>北京中新互动文化传媒有限公司</v>
      </c>
      <c r="G790" s="152"/>
      <c r="H790" s="152"/>
      <c r="I790" s="152" t="s">
        <v>204</v>
      </c>
      <c r="J790" s="140" t="s">
        <v>577</v>
      </c>
      <c r="K790" s="140" t="s">
        <v>578</v>
      </c>
      <c r="L790" s="140" t="s">
        <v>850</v>
      </c>
      <c r="M790" s="140" t="s">
        <v>185</v>
      </c>
      <c r="N790" s="156">
        <v>0</v>
      </c>
      <c r="O790" s="156" t="s">
        <v>47</v>
      </c>
      <c r="P790" s="156" t="s">
        <v>855</v>
      </c>
      <c r="Q790" s="158">
        <v>500</v>
      </c>
      <c r="R790" s="158">
        <v>0</v>
      </c>
      <c r="S790" s="158"/>
      <c r="T790" s="158">
        <f t="shared" si="152"/>
        <v>0</v>
      </c>
      <c r="U790" s="158">
        <f t="shared" si="156"/>
        <v>0</v>
      </c>
      <c r="V790" s="158">
        <v>0</v>
      </c>
      <c r="W790" s="158">
        <f t="shared" si="157"/>
        <v>0</v>
      </c>
      <c r="X790" s="158">
        <f t="shared" si="153"/>
        <v>0</v>
      </c>
      <c r="Y790" s="158">
        <f t="shared" si="158"/>
        <v>0</v>
      </c>
      <c r="Z790" s="158">
        <v>0</v>
      </c>
      <c r="AA790" s="158">
        <f t="shared" si="154"/>
        <v>500</v>
      </c>
      <c r="AB790" s="167">
        <v>0</v>
      </c>
      <c r="AC790" s="168">
        <f t="shared" si="155"/>
        <v>0</v>
      </c>
      <c r="AD790" s="158">
        <f t="shared" si="151"/>
        <v>0</v>
      </c>
      <c r="AE790" s="159">
        <v>0.3156</v>
      </c>
      <c r="AF790" s="158">
        <f t="shared" si="150"/>
        <v>0</v>
      </c>
      <c r="AG790" s="158">
        <v>0</v>
      </c>
      <c r="AH790" s="175"/>
      <c r="AI790" s="175"/>
      <c r="AJ790" s="156" t="e">
        <v>#N/A</v>
      </c>
      <c r="AL790" s="140" t="s">
        <v>591</v>
      </c>
      <c r="AM790" s="152" t="s">
        <v>208</v>
      </c>
    </row>
    <row r="791" s="140" customFormat="1" ht="15" hidden="1" customHeight="1" spans="1:39">
      <c r="A791" s="140">
        <v>2017</v>
      </c>
      <c r="B791" s="140" t="s">
        <v>199</v>
      </c>
      <c r="C791" s="140" t="s">
        <v>88</v>
      </c>
      <c r="D791" s="140" t="s">
        <v>128</v>
      </c>
      <c r="F791" s="152" t="s">
        <v>618</v>
      </c>
      <c r="G791" s="152" t="s">
        <v>619</v>
      </c>
      <c r="H791" s="152" t="s">
        <v>619</v>
      </c>
      <c r="I791" s="152" t="s">
        <v>204</v>
      </c>
      <c r="J791" s="140" t="s">
        <v>205</v>
      </c>
      <c r="K791" s="140" t="s">
        <v>206</v>
      </c>
      <c r="L791" s="140" t="s">
        <v>618</v>
      </c>
      <c r="M791" s="140" t="s">
        <v>46</v>
      </c>
      <c r="N791" s="157">
        <v>0.02</v>
      </c>
      <c r="O791" s="156" t="s">
        <v>51</v>
      </c>
      <c r="P791" s="156"/>
      <c r="Q791" s="158">
        <v>0</v>
      </c>
      <c r="R791" s="158">
        <v>0</v>
      </c>
      <c r="S791" s="158"/>
      <c r="T791" s="158">
        <f t="shared" si="152"/>
        <v>0</v>
      </c>
      <c r="U791" s="158">
        <f t="shared" si="156"/>
        <v>0</v>
      </c>
      <c r="V791" s="158">
        <v>0</v>
      </c>
      <c r="W791" s="158">
        <f t="shared" si="157"/>
        <v>0</v>
      </c>
      <c r="X791" s="158">
        <f t="shared" si="153"/>
        <v>0</v>
      </c>
      <c r="Y791" s="158">
        <f t="shared" si="158"/>
        <v>0</v>
      </c>
      <c r="Z791" s="158">
        <v>0</v>
      </c>
      <c r="AA791" s="158">
        <f t="shared" si="154"/>
        <v>0</v>
      </c>
      <c r="AB791" s="167">
        <f>IF(O791="返货",Z791/(1+N791),IF(O791="返现",Z791,IF(O791="折扣",Z791*N791,IF(O791="无",Z791))))</f>
        <v>0</v>
      </c>
      <c r="AC791" s="168">
        <f t="shared" si="155"/>
        <v>0</v>
      </c>
      <c r="AD791" s="158">
        <v>0</v>
      </c>
      <c r="AE791" s="159">
        <v>0.07</v>
      </c>
      <c r="AF791" s="158">
        <f t="shared" si="150"/>
        <v>0</v>
      </c>
      <c r="AG791" s="158">
        <v>0</v>
      </c>
      <c r="AH791" s="175"/>
      <c r="AI791" s="175"/>
      <c r="AJ791" s="157">
        <v>0.02</v>
      </c>
      <c r="AM791" s="152" t="s">
        <v>208</v>
      </c>
    </row>
    <row r="792" s="140" customFormat="1" ht="15" hidden="1" customHeight="1" spans="1:39">
      <c r="A792" s="140">
        <v>2017</v>
      </c>
      <c r="B792" s="140" t="s">
        <v>38</v>
      </c>
      <c r="C792" s="140" t="s">
        <v>59</v>
      </c>
      <c r="D792" s="140" t="s">
        <v>720</v>
      </c>
      <c r="F792" s="152" t="s">
        <v>338</v>
      </c>
      <c r="G792" s="152" t="s">
        <v>339</v>
      </c>
      <c r="H792" s="152" t="s">
        <v>339</v>
      </c>
      <c r="I792" s="152" t="s">
        <v>204</v>
      </c>
      <c r="J792" s="140" t="s">
        <v>205</v>
      </c>
      <c r="K792" s="140" t="s">
        <v>206</v>
      </c>
      <c r="L792" s="140" t="s">
        <v>338</v>
      </c>
      <c r="M792" s="140" t="s">
        <v>46</v>
      </c>
      <c r="N792" s="156">
        <v>0</v>
      </c>
      <c r="O792" s="156" t="s">
        <v>47</v>
      </c>
      <c r="P792" s="156"/>
      <c r="Q792" s="158">
        <v>0</v>
      </c>
      <c r="R792" s="158">
        <v>0</v>
      </c>
      <c r="S792" s="158"/>
      <c r="T792" s="158">
        <f t="shared" si="152"/>
        <v>0</v>
      </c>
      <c r="U792" s="158">
        <f t="shared" si="156"/>
        <v>0</v>
      </c>
      <c r="V792" s="158">
        <v>30000</v>
      </c>
      <c r="W792" s="158">
        <f t="shared" si="157"/>
        <v>-30000</v>
      </c>
      <c r="X792" s="158">
        <f t="shared" si="153"/>
        <v>-30000</v>
      </c>
      <c r="Y792" s="158">
        <f t="shared" si="158"/>
        <v>0</v>
      </c>
      <c r="Z792" s="158">
        <v>5165.5</v>
      </c>
      <c r="AA792" s="158">
        <f t="shared" si="154"/>
        <v>24834.5</v>
      </c>
      <c r="AB792" s="167">
        <f>IF(O792="返货",Z792/(1+N792),IF(O792="返现",Z792,IF(O792="折扣",Z792*N792,IF(O792="无",Z792))))</f>
        <v>5165.5</v>
      </c>
      <c r="AC792" s="168">
        <f t="shared" si="155"/>
        <v>0</v>
      </c>
      <c r="AD792" s="158">
        <v>5165.5</v>
      </c>
      <c r="AE792" s="159">
        <v>0.07</v>
      </c>
      <c r="AF792" s="158">
        <f t="shared" si="150"/>
        <v>361.585</v>
      </c>
      <c r="AG792" s="158">
        <v>361.585</v>
      </c>
      <c r="AH792" s="175"/>
      <c r="AI792" s="175"/>
      <c r="AJ792" s="156" t="s">
        <v>47</v>
      </c>
      <c r="AM792" s="152" t="s">
        <v>208</v>
      </c>
    </row>
    <row r="793" s="141" customFormat="1" ht="15" hidden="1" customHeight="1" spans="1:39">
      <c r="A793" s="140">
        <v>2017</v>
      </c>
      <c r="B793" s="140" t="s">
        <v>38</v>
      </c>
      <c r="C793" s="140" t="s">
        <v>75</v>
      </c>
      <c r="D793" s="140" t="s">
        <v>76</v>
      </c>
      <c r="E793" s="140" t="s">
        <v>77</v>
      </c>
      <c r="F793" s="140" t="s">
        <v>303</v>
      </c>
      <c r="G793" s="140" t="s">
        <v>303</v>
      </c>
      <c r="H793" s="140" t="s">
        <v>303</v>
      </c>
      <c r="I793" s="140" t="s">
        <v>170</v>
      </c>
      <c r="J793" s="140" t="s">
        <v>868</v>
      </c>
      <c r="K793" s="140" t="s">
        <v>869</v>
      </c>
      <c r="L793" s="140" t="s">
        <v>303</v>
      </c>
      <c r="M793" s="140" t="s">
        <v>46</v>
      </c>
      <c r="N793" s="157">
        <v>0.02</v>
      </c>
      <c r="O793" s="156" t="s">
        <v>51</v>
      </c>
      <c r="P793" s="156"/>
      <c r="Q793" s="158">
        <v>0</v>
      </c>
      <c r="R793" s="158">
        <v>0</v>
      </c>
      <c r="S793" s="158">
        <v>800000</v>
      </c>
      <c r="T793" s="158">
        <f t="shared" si="152"/>
        <v>16000</v>
      </c>
      <c r="U793" s="158">
        <f t="shared" si="156"/>
        <v>816000</v>
      </c>
      <c r="V793" s="158">
        <v>620106.078</v>
      </c>
      <c r="W793" s="158">
        <f t="shared" si="157"/>
        <v>195893.922</v>
      </c>
      <c r="X793" s="158">
        <f t="shared" si="153"/>
        <v>192052.864705882</v>
      </c>
      <c r="Y793" s="158">
        <f t="shared" si="158"/>
        <v>3841.05729411767</v>
      </c>
      <c r="Z793" s="158">
        <v>0</v>
      </c>
      <c r="AA793" s="158">
        <f t="shared" si="154"/>
        <v>620106.078</v>
      </c>
      <c r="AB793" s="167">
        <f>IF(O793="返货",Z793/(1+N793),IF(O793="返现",Z793,IF(O793="折扣",Z793*N793,IF(O793="无",Z793))))</f>
        <v>0</v>
      </c>
      <c r="AC793" s="168">
        <f t="shared" si="155"/>
        <v>0</v>
      </c>
      <c r="AD793" s="158">
        <f>Z793*0.972201473425119-Q793</f>
        <v>0</v>
      </c>
      <c r="AE793" s="159">
        <v>0.1</v>
      </c>
      <c r="AF793" s="158">
        <f t="shared" si="150"/>
        <v>0</v>
      </c>
      <c r="AG793" s="158">
        <v>0</v>
      </c>
      <c r="AH793" s="175"/>
      <c r="AI793" s="175"/>
      <c r="AJ793" s="157">
        <v>0.02</v>
      </c>
      <c r="AK793" s="177">
        <v>0.02</v>
      </c>
      <c r="AL793" s="140"/>
      <c r="AM793" s="140"/>
    </row>
    <row r="794" s="141" customFormat="1" ht="15" hidden="1" customHeight="1" spans="1:39">
      <c r="A794" s="140">
        <v>2017</v>
      </c>
      <c r="B794" s="140" t="s">
        <v>252</v>
      </c>
      <c r="C794" s="140" t="s">
        <v>75</v>
      </c>
      <c r="D794" s="140" t="s">
        <v>76</v>
      </c>
      <c r="E794" s="140" t="s">
        <v>77</v>
      </c>
      <c r="F794" s="140" t="s">
        <v>303</v>
      </c>
      <c r="G794" s="140" t="s">
        <v>870</v>
      </c>
      <c r="H794" s="140" t="s">
        <v>871</v>
      </c>
      <c r="I794" s="140" t="s">
        <v>170</v>
      </c>
      <c r="J794" s="140" t="s">
        <v>868</v>
      </c>
      <c r="K794" s="140" t="s">
        <v>869</v>
      </c>
      <c r="L794" s="140" t="s">
        <v>303</v>
      </c>
      <c r="M794" s="140" t="s">
        <v>46</v>
      </c>
      <c r="N794" s="157">
        <v>0.02</v>
      </c>
      <c r="O794" s="156" t="s">
        <v>51</v>
      </c>
      <c r="P794" s="156" t="s">
        <v>15</v>
      </c>
      <c r="Q794" s="158">
        <v>0</v>
      </c>
      <c r="R794" s="158">
        <v>0</v>
      </c>
      <c r="S794" s="158">
        <v>200000</v>
      </c>
      <c r="T794" s="158">
        <f t="shared" si="152"/>
        <v>4000</v>
      </c>
      <c r="U794" s="158">
        <f t="shared" si="156"/>
        <v>204000</v>
      </c>
      <c r="V794" s="158">
        <v>200000</v>
      </c>
      <c r="W794" s="158">
        <f t="shared" si="157"/>
        <v>4000</v>
      </c>
      <c r="X794" s="158">
        <f t="shared" si="153"/>
        <v>3921.56862745098</v>
      </c>
      <c r="Y794" s="158">
        <f t="shared" si="158"/>
        <v>78.4313725490197</v>
      </c>
      <c r="Z794" s="158">
        <v>719897.4</v>
      </c>
      <c r="AA794" s="158">
        <f t="shared" si="154"/>
        <v>-519897.4</v>
      </c>
      <c r="AB794" s="167">
        <f>IF(O794="返货",(Z794-7715.4)/(1+N794),IF(O794="返现",Z794,IF(O794="折扣",Z794*N794,IF(O794="无",Z794))))</f>
        <v>698217.647058823</v>
      </c>
      <c r="AC794" s="168">
        <f t="shared" si="155"/>
        <v>21679.7529411765</v>
      </c>
      <c r="AD794" s="158">
        <f>Z794*0.972201473425119-Q794</f>
        <v>699885.312994912</v>
      </c>
      <c r="AE794" s="159">
        <v>0.1</v>
      </c>
      <c r="AF794" s="158">
        <f t="shared" si="150"/>
        <v>69988.5312994912</v>
      </c>
      <c r="AG794" s="158">
        <v>111649.897647059</v>
      </c>
      <c r="AH794" s="175"/>
      <c r="AI794" s="175"/>
      <c r="AJ794" s="156" t="s">
        <v>173</v>
      </c>
      <c r="AK794" s="140" t="s">
        <v>173</v>
      </c>
      <c r="AL794" s="140"/>
      <c r="AM794" s="140" t="s">
        <v>174</v>
      </c>
    </row>
    <row r="795" s="140" customFormat="1" ht="15" hidden="1" customHeight="1" spans="1:39">
      <c r="A795" s="140">
        <v>2017</v>
      </c>
      <c r="B795" s="140" t="s">
        <v>38</v>
      </c>
      <c r="C795" s="140" t="s">
        <v>54</v>
      </c>
      <c r="D795" s="140" t="s">
        <v>396</v>
      </c>
      <c r="E795" s="140" t="s">
        <v>64</v>
      </c>
      <c r="F795" s="140" t="s">
        <v>397</v>
      </c>
      <c r="G795" s="140" t="s">
        <v>397</v>
      </c>
      <c r="H795" s="140" t="s">
        <v>397</v>
      </c>
      <c r="I795" s="140" t="s">
        <v>170</v>
      </c>
      <c r="J795" s="140" t="s">
        <v>171</v>
      </c>
      <c r="K795" s="140" t="s">
        <v>172</v>
      </c>
      <c r="L795" s="140" t="s">
        <v>398</v>
      </c>
      <c r="M795" s="140" t="s">
        <v>46</v>
      </c>
      <c r="N795" s="157">
        <v>0.03</v>
      </c>
      <c r="O795" s="156" t="s">
        <v>51</v>
      </c>
      <c r="P795" s="156"/>
      <c r="Q795" s="158">
        <v>12038696.8</v>
      </c>
      <c r="R795" s="158">
        <v>0</v>
      </c>
      <c r="S795" s="158">
        <v>28420000</v>
      </c>
      <c r="T795" s="158">
        <f t="shared" si="152"/>
        <v>852600</v>
      </c>
      <c r="U795" s="158">
        <f t="shared" si="156"/>
        <v>29272600</v>
      </c>
      <c r="V795" s="158">
        <v>29247100</v>
      </c>
      <c r="W795" s="158">
        <f t="shared" si="157"/>
        <v>25500</v>
      </c>
      <c r="X795" s="158">
        <f t="shared" si="153"/>
        <v>24757.2815533981</v>
      </c>
      <c r="Y795" s="158">
        <f t="shared" si="158"/>
        <v>742.718446601943</v>
      </c>
      <c r="Z795" s="158">
        <v>40989974.4</v>
      </c>
      <c r="AA795" s="158">
        <f t="shared" si="154"/>
        <v>295822.399999999</v>
      </c>
      <c r="AB795" s="167">
        <f>IF(O795="返货",(Z795-Q795)/(1+N795),IF(O795="返现",(Z795-Q795),IF(O795="折扣",(Z795-Q795)*N795,IF(O795="无",(Z795-Q795)))))</f>
        <v>28108036.5048544</v>
      </c>
      <c r="AC795" s="168">
        <f t="shared" si="155"/>
        <v>12881937.8951456</v>
      </c>
      <c r="AD795" s="158">
        <f>(Z795-Q795)*0.89807640489087</f>
        <v>26000459.3040056</v>
      </c>
      <c r="AE795" s="159">
        <v>0.112691732739812</v>
      </c>
      <c r="AF795" s="158">
        <f t="shared" si="150"/>
        <v>2930036.81099935</v>
      </c>
      <c r="AG795" s="158">
        <v>1750772.67566933</v>
      </c>
      <c r="AH795" s="175"/>
      <c r="AI795" s="175"/>
      <c r="AJ795" s="156" t="s">
        <v>189</v>
      </c>
      <c r="AK795" s="140" t="s">
        <v>189</v>
      </c>
      <c r="AL795" s="140" t="s">
        <v>872</v>
      </c>
      <c r="AM795" s="140" t="s">
        <v>174</v>
      </c>
    </row>
    <row r="796" s="140" customFormat="1" ht="15" hidden="1" customHeight="1" spans="1:39">
      <c r="A796" s="140">
        <v>2017</v>
      </c>
      <c r="B796" s="140" t="s">
        <v>38</v>
      </c>
      <c r="C796" s="140" t="s">
        <v>75</v>
      </c>
      <c r="D796" s="140" t="s">
        <v>76</v>
      </c>
      <c r="F796" s="152" t="s">
        <v>303</v>
      </c>
      <c r="G796" s="140" t="s">
        <v>303</v>
      </c>
      <c r="H796" s="140" t="s">
        <v>303</v>
      </c>
      <c r="I796" s="184" t="s">
        <v>204</v>
      </c>
      <c r="J796" s="140" t="s">
        <v>605</v>
      </c>
      <c r="K796" s="140" t="s">
        <v>620</v>
      </c>
      <c r="L796" s="140" t="s">
        <v>303</v>
      </c>
      <c r="M796" s="140" t="s">
        <v>46</v>
      </c>
      <c r="N796" s="157">
        <v>0.02</v>
      </c>
      <c r="O796" s="156" t="s">
        <v>51</v>
      </c>
      <c r="P796" s="156"/>
      <c r="Q796" s="158">
        <v>0</v>
      </c>
      <c r="R796" s="158">
        <v>0</v>
      </c>
      <c r="S796" s="158"/>
      <c r="T796" s="158">
        <f t="shared" si="152"/>
        <v>0</v>
      </c>
      <c r="U796" s="158">
        <f t="shared" si="156"/>
        <v>0</v>
      </c>
      <c r="V796" s="158">
        <v>50000</v>
      </c>
      <c r="W796" s="158">
        <f t="shared" si="157"/>
        <v>-50000</v>
      </c>
      <c r="X796" s="158">
        <f t="shared" si="153"/>
        <v>-49019.6078431373</v>
      </c>
      <c r="Y796" s="158">
        <f t="shared" si="158"/>
        <v>-980.392156862748</v>
      </c>
      <c r="Z796" s="158">
        <v>56633.06</v>
      </c>
      <c r="AA796" s="158">
        <f t="shared" si="154"/>
        <v>-6633.06</v>
      </c>
      <c r="AB796" s="167">
        <f>IF(O796="返货",Z796/(1+N796),IF(O796="返现",Z796,IF(O796="折扣",Z796*N796,IF(O796="无",Z796))))</f>
        <v>55522.6078431373</v>
      </c>
      <c r="AC796" s="168">
        <f t="shared" si="155"/>
        <v>1110.45215686275</v>
      </c>
      <c r="AD796" s="158">
        <v>56633.06</v>
      </c>
      <c r="AE796" s="159">
        <v>0.07</v>
      </c>
      <c r="AF796" s="158">
        <f t="shared" si="150"/>
        <v>3964.3142</v>
      </c>
      <c r="AG796" s="158">
        <v>3964.3142</v>
      </c>
      <c r="AH796" s="175"/>
      <c r="AI796" s="175"/>
      <c r="AJ796" s="157">
        <v>0.02</v>
      </c>
      <c r="AM796" s="152" t="s">
        <v>208</v>
      </c>
    </row>
    <row r="797" s="140" customFormat="1" ht="15" hidden="1" customHeight="1" spans="1:39">
      <c r="A797" s="140">
        <v>2017</v>
      </c>
      <c r="B797" s="140" t="s">
        <v>38</v>
      </c>
      <c r="C797" s="140" t="s">
        <v>59</v>
      </c>
      <c r="D797" s="140" t="s">
        <v>720</v>
      </c>
      <c r="F797" s="152" t="s">
        <v>338</v>
      </c>
      <c r="G797" s="152" t="s">
        <v>339</v>
      </c>
      <c r="H797" s="152" t="s">
        <v>339</v>
      </c>
      <c r="I797" s="152" t="s">
        <v>204</v>
      </c>
      <c r="J797" s="140" t="s">
        <v>605</v>
      </c>
      <c r="K797" s="140" t="s">
        <v>620</v>
      </c>
      <c r="L797" s="140" t="s">
        <v>338</v>
      </c>
      <c r="M797" s="140" t="s">
        <v>185</v>
      </c>
      <c r="N797" s="156">
        <v>0</v>
      </c>
      <c r="O797" s="156" t="s">
        <v>47</v>
      </c>
      <c r="P797" s="156"/>
      <c r="Q797" s="158">
        <v>0</v>
      </c>
      <c r="R797" s="158">
        <v>0</v>
      </c>
      <c r="S797" s="158"/>
      <c r="T797" s="158">
        <f t="shared" si="152"/>
        <v>0</v>
      </c>
      <c r="U797" s="158">
        <f t="shared" si="156"/>
        <v>0</v>
      </c>
      <c r="V797" s="158">
        <v>0</v>
      </c>
      <c r="W797" s="158">
        <f t="shared" si="157"/>
        <v>0</v>
      </c>
      <c r="X797" s="158">
        <f t="shared" si="153"/>
        <v>0</v>
      </c>
      <c r="Y797" s="158">
        <f t="shared" si="158"/>
        <v>0</v>
      </c>
      <c r="Z797" s="158">
        <v>8501.65</v>
      </c>
      <c r="AA797" s="158">
        <f t="shared" si="154"/>
        <v>-8501.65</v>
      </c>
      <c r="AB797" s="167">
        <f>IF(O797="返货",Z797/(1+N797),IF(O797="返现",Z797,IF(O797="折扣",Z797*N797,IF(O797="无",Z797))))</f>
        <v>8501.65</v>
      </c>
      <c r="AC797" s="168">
        <f t="shared" si="155"/>
        <v>0</v>
      </c>
      <c r="AD797" s="158">
        <v>8501.65</v>
      </c>
      <c r="AE797" s="159">
        <v>0.2</v>
      </c>
      <c r="AF797" s="158">
        <f t="shared" si="150"/>
        <v>1700.33</v>
      </c>
      <c r="AG797" s="158">
        <v>1700.33</v>
      </c>
      <c r="AH797" s="175"/>
      <c r="AI797" s="175"/>
      <c r="AJ797" s="157">
        <v>0</v>
      </c>
      <c r="AM797" s="152" t="s">
        <v>208</v>
      </c>
    </row>
    <row r="798" s="140" customFormat="1" ht="15" hidden="1" customHeight="1" spans="1:39">
      <c r="A798" s="140">
        <v>2017</v>
      </c>
      <c r="B798" s="140" t="s">
        <v>199</v>
      </c>
      <c r="C798" s="140" t="s">
        <v>200</v>
      </c>
      <c r="D798" s="140" t="s">
        <v>201</v>
      </c>
      <c r="F798" s="152" t="s">
        <v>202</v>
      </c>
      <c r="G798" s="152" t="s">
        <v>203</v>
      </c>
      <c r="H798" s="152" t="s">
        <v>203</v>
      </c>
      <c r="I798" s="152" t="s">
        <v>204</v>
      </c>
      <c r="J798" s="140" t="s">
        <v>605</v>
      </c>
      <c r="K798" s="140" t="s">
        <v>620</v>
      </c>
      <c r="L798" s="140" t="s">
        <v>207</v>
      </c>
      <c r="M798" s="140" t="s">
        <v>185</v>
      </c>
      <c r="N798" s="157">
        <v>0.03</v>
      </c>
      <c r="O798" s="159" t="s">
        <v>51</v>
      </c>
      <c r="P798" s="159"/>
      <c r="Q798" s="158">
        <v>0</v>
      </c>
      <c r="R798" s="158">
        <v>0</v>
      </c>
      <c r="S798" s="158"/>
      <c r="T798" s="158">
        <f t="shared" si="152"/>
        <v>0</v>
      </c>
      <c r="U798" s="158">
        <f t="shared" si="156"/>
        <v>0</v>
      </c>
      <c r="V798" s="158">
        <v>0</v>
      </c>
      <c r="W798" s="158">
        <f t="shared" si="157"/>
        <v>0</v>
      </c>
      <c r="X798" s="158">
        <f t="shared" si="153"/>
        <v>0</v>
      </c>
      <c r="Y798" s="158">
        <f t="shared" si="158"/>
        <v>0</v>
      </c>
      <c r="Z798" s="158">
        <v>369969.75</v>
      </c>
      <c r="AA798" s="158">
        <f t="shared" si="154"/>
        <v>-369969.75</v>
      </c>
      <c r="AB798" s="167">
        <f>IF(O798="返货",Z798/(1+N798),IF(O798="返现",Z798,IF(O798="折扣",Z798*N798,IF(O798="无",Z798))))</f>
        <v>359193.932038835</v>
      </c>
      <c r="AC798" s="168">
        <f t="shared" si="155"/>
        <v>10775.817961165</v>
      </c>
      <c r="AD798" s="158">
        <v>369969.75</v>
      </c>
      <c r="AE798" s="159">
        <v>0.2</v>
      </c>
      <c r="AF798" s="158">
        <f t="shared" si="150"/>
        <v>73993.95</v>
      </c>
      <c r="AG798" s="158">
        <v>73993.95</v>
      </c>
      <c r="AH798" s="175"/>
      <c r="AI798" s="175"/>
      <c r="AJ798" s="157">
        <v>0.03</v>
      </c>
      <c r="AM798" s="152" t="s">
        <v>208</v>
      </c>
    </row>
    <row r="799" s="140" customFormat="1" ht="15" hidden="1" customHeight="1" spans="1:39">
      <c r="A799" s="140">
        <v>2017</v>
      </c>
      <c r="B799" s="140" t="s">
        <v>199</v>
      </c>
      <c r="C799" s="140" t="s">
        <v>59</v>
      </c>
      <c r="D799" s="140" t="s">
        <v>873</v>
      </c>
      <c r="F799" s="152" t="s">
        <v>730</v>
      </c>
      <c r="G799" s="152" t="s">
        <v>731</v>
      </c>
      <c r="H799" s="152" t="s">
        <v>731</v>
      </c>
      <c r="I799" s="152" t="s">
        <v>204</v>
      </c>
      <c r="J799" s="140" t="s">
        <v>626</v>
      </c>
      <c r="K799" s="140" t="s">
        <v>627</v>
      </c>
      <c r="L799" s="140" t="s">
        <v>732</v>
      </c>
      <c r="M799" s="140" t="s">
        <v>46</v>
      </c>
      <c r="N799" s="156">
        <v>0</v>
      </c>
      <c r="O799" s="156" t="s">
        <v>47</v>
      </c>
      <c r="P799" s="156"/>
      <c r="Q799" s="158">
        <v>0</v>
      </c>
      <c r="R799" s="158">
        <v>0</v>
      </c>
      <c r="S799" s="158"/>
      <c r="T799" s="158">
        <f t="shared" si="152"/>
        <v>0</v>
      </c>
      <c r="U799" s="158">
        <f t="shared" si="156"/>
        <v>0</v>
      </c>
      <c r="V799" s="158">
        <v>20000</v>
      </c>
      <c r="W799" s="158">
        <f t="shared" si="157"/>
        <v>-20000</v>
      </c>
      <c r="X799" s="158">
        <f t="shared" si="153"/>
        <v>-20000</v>
      </c>
      <c r="Y799" s="158">
        <f t="shared" si="158"/>
        <v>0</v>
      </c>
      <c r="Z799" s="158">
        <v>38</v>
      </c>
      <c r="AA799" s="158">
        <f t="shared" si="154"/>
        <v>19962</v>
      </c>
      <c r="AB799" s="167">
        <f>IF(O799="返货",Z799/(1+N799),IF(O799="返现",Z799,IF(O799="折扣",Z799*N799,IF(O799="无",Z799))))</f>
        <v>38</v>
      </c>
      <c r="AC799" s="168">
        <f t="shared" si="155"/>
        <v>0</v>
      </c>
      <c r="AD799" s="158">
        <f>Z799*0.905731236248844</f>
        <v>34.4177869774561</v>
      </c>
      <c r="AE799" s="159">
        <v>0.07</v>
      </c>
      <c r="AF799" s="158">
        <f t="shared" si="150"/>
        <v>2.40924508842193</v>
      </c>
      <c r="AG799" s="158">
        <v>2.66</v>
      </c>
      <c r="AH799" s="175"/>
      <c r="AI799" s="175"/>
      <c r="AJ799" s="157">
        <v>0</v>
      </c>
      <c r="AM799" s="152" t="s">
        <v>208</v>
      </c>
    </row>
    <row r="800" s="140" customFormat="1" ht="15" hidden="1" customHeight="1" spans="1:39">
      <c r="A800" s="140">
        <v>2017</v>
      </c>
      <c r="F800" s="152" t="s">
        <v>874</v>
      </c>
      <c r="G800" s="152"/>
      <c r="H800" s="152"/>
      <c r="I800" s="152" t="s">
        <v>204</v>
      </c>
      <c r="J800" s="140" t="s">
        <v>626</v>
      </c>
      <c r="K800" s="140" t="s">
        <v>627</v>
      </c>
      <c r="L800" s="140" t="s">
        <v>874</v>
      </c>
      <c r="M800" s="140" t="s">
        <v>46</v>
      </c>
      <c r="N800" s="156">
        <v>0</v>
      </c>
      <c r="O800" s="156" t="s">
        <v>47</v>
      </c>
      <c r="P800" s="156" t="s">
        <v>857</v>
      </c>
      <c r="Q800" s="158">
        <v>19063.6</v>
      </c>
      <c r="R800" s="158">
        <v>0</v>
      </c>
      <c r="S800" s="158"/>
      <c r="T800" s="158">
        <f t="shared" si="152"/>
        <v>0</v>
      </c>
      <c r="U800" s="158">
        <f t="shared" si="156"/>
        <v>0</v>
      </c>
      <c r="V800" s="158">
        <v>0</v>
      </c>
      <c r="W800" s="158">
        <f t="shared" si="157"/>
        <v>0</v>
      </c>
      <c r="X800" s="158">
        <f t="shared" si="153"/>
        <v>0</v>
      </c>
      <c r="Y800" s="158">
        <f t="shared" si="158"/>
        <v>0</v>
      </c>
      <c r="Z800" s="158">
        <v>19063.6</v>
      </c>
      <c r="AA800" s="158">
        <f t="shared" si="154"/>
        <v>0</v>
      </c>
      <c r="AB800" s="167">
        <f>IF(O800="返货",(Z800-Q800)/(1+N800),IF(O800="返现",(Z800-Q800),IF(O800="折扣",(Z800-Q800)*N800,IF(O800="无",(Z800-Q800)))))</f>
        <v>0</v>
      </c>
      <c r="AC800" s="168">
        <f t="shared" si="155"/>
        <v>19063.6</v>
      </c>
      <c r="AD800" s="158">
        <v>0</v>
      </c>
      <c r="AE800" s="159">
        <v>0.07</v>
      </c>
      <c r="AF800" s="158">
        <f t="shared" si="150"/>
        <v>0</v>
      </c>
      <c r="AG800" s="158">
        <v>1334.452</v>
      </c>
      <c r="AH800" s="175"/>
      <c r="AI800" s="175"/>
      <c r="AJ800" s="156" t="e">
        <v>#N/A</v>
      </c>
      <c r="AM800" s="152" t="s">
        <v>208</v>
      </c>
    </row>
    <row r="801" s="140" customFormat="1" ht="15" hidden="1" customHeight="1" spans="1:39">
      <c r="A801" s="140">
        <v>2017</v>
      </c>
      <c r="B801" s="140" t="s">
        <v>38</v>
      </c>
      <c r="C801" s="140" t="s">
        <v>59</v>
      </c>
      <c r="D801" s="140" t="s">
        <v>720</v>
      </c>
      <c r="F801" s="152" t="s">
        <v>363</v>
      </c>
      <c r="G801" s="152" t="s">
        <v>363</v>
      </c>
      <c r="H801" s="152" t="s">
        <v>363</v>
      </c>
      <c r="I801" s="140" t="s">
        <v>170</v>
      </c>
      <c r="J801" s="140" t="s">
        <v>171</v>
      </c>
      <c r="K801" s="140" t="s">
        <v>172</v>
      </c>
      <c r="L801" s="140" t="s">
        <v>363</v>
      </c>
      <c r="M801" s="140" t="s">
        <v>185</v>
      </c>
      <c r="N801" s="159">
        <v>0.04</v>
      </c>
      <c r="O801" s="156" t="e">
        <v>#N/A</v>
      </c>
      <c r="P801" s="156"/>
      <c r="Q801" s="158">
        <v>0</v>
      </c>
      <c r="R801" s="158">
        <v>0</v>
      </c>
      <c r="S801" s="158"/>
      <c r="T801" s="158">
        <f t="shared" si="152"/>
        <v>0</v>
      </c>
      <c r="U801" s="158">
        <f t="shared" si="156"/>
        <v>0</v>
      </c>
      <c r="V801" s="158">
        <v>-95810.27</v>
      </c>
      <c r="W801" s="158">
        <f t="shared" si="157"/>
        <v>95810.27</v>
      </c>
      <c r="X801" s="158">
        <f t="shared" si="153"/>
        <v>92125.2596153846</v>
      </c>
      <c r="Y801" s="158">
        <f t="shared" si="158"/>
        <v>3685.01038461539</v>
      </c>
      <c r="Z801" s="158">
        <v>0</v>
      </c>
      <c r="AA801" s="158">
        <f t="shared" si="154"/>
        <v>-95810.27</v>
      </c>
      <c r="AB801" s="167"/>
      <c r="AC801" s="168" t="e">
        <f t="shared" si="155"/>
        <v>#N/A</v>
      </c>
      <c r="AD801" s="158">
        <f>(Z801-Q801)*0.91072157793815</f>
        <v>0</v>
      </c>
      <c r="AE801" s="159">
        <v>0.112691732739812</v>
      </c>
      <c r="AF801" s="158">
        <f t="shared" si="150"/>
        <v>0</v>
      </c>
      <c r="AG801" s="158">
        <v>0</v>
      </c>
      <c r="AH801" s="175"/>
      <c r="AI801" s="175"/>
      <c r="AJ801" s="156" t="e">
        <v>#N/A</v>
      </c>
      <c r="AK801" s="140" t="s">
        <v>186</v>
      </c>
      <c r="AM801" s="152" t="s">
        <v>208</v>
      </c>
    </row>
    <row r="802" s="140" customFormat="1" ht="15" hidden="1" customHeight="1" spans="1:39">
      <c r="A802" s="140">
        <v>2017</v>
      </c>
      <c r="B802" s="140" t="s">
        <v>38</v>
      </c>
      <c r="C802" s="140" t="s">
        <v>75</v>
      </c>
      <c r="D802" s="140" t="s">
        <v>518</v>
      </c>
      <c r="F802" s="152" t="s">
        <v>671</v>
      </c>
      <c r="G802" s="152" t="s">
        <v>671</v>
      </c>
      <c r="H802" s="152" t="s">
        <v>671</v>
      </c>
      <c r="I802" s="152" t="s">
        <v>204</v>
      </c>
      <c r="J802" s="140" t="s">
        <v>605</v>
      </c>
      <c r="K802" s="140" t="s">
        <v>641</v>
      </c>
      <c r="L802" s="140" t="s">
        <v>671</v>
      </c>
      <c r="M802" s="140" t="s">
        <v>46</v>
      </c>
      <c r="N802" s="157">
        <v>0.03</v>
      </c>
      <c r="O802" s="156" t="s">
        <v>51</v>
      </c>
      <c r="P802" s="156"/>
      <c r="Q802" s="158">
        <v>0</v>
      </c>
      <c r="R802" s="158">
        <v>0</v>
      </c>
      <c r="S802" s="158"/>
      <c r="T802" s="158">
        <f t="shared" si="152"/>
        <v>0</v>
      </c>
      <c r="U802" s="158">
        <f t="shared" si="156"/>
        <v>0</v>
      </c>
      <c r="V802" s="158">
        <v>0</v>
      </c>
      <c r="W802" s="158">
        <f t="shared" si="157"/>
        <v>0</v>
      </c>
      <c r="X802" s="158">
        <f t="shared" si="153"/>
        <v>0</v>
      </c>
      <c r="Y802" s="158">
        <f t="shared" si="158"/>
        <v>0</v>
      </c>
      <c r="Z802" s="158">
        <v>43722.08</v>
      </c>
      <c r="AA802" s="158">
        <f t="shared" si="154"/>
        <v>-43722.08</v>
      </c>
      <c r="AB802" s="167">
        <f t="shared" ref="AB801:AB806" si="159">IF(O802="返货",Z802/(1+N802),IF(O802="返现",Z802,IF(O802="折扣",Z802*N802,IF(O802="无",Z802))))</f>
        <v>42448.6213592233</v>
      </c>
      <c r="AC802" s="168">
        <f t="shared" si="155"/>
        <v>1273.4586407767</v>
      </c>
      <c r="AD802" s="158">
        <v>43722.08</v>
      </c>
      <c r="AE802" s="159">
        <v>0.07</v>
      </c>
      <c r="AF802" s="158">
        <f t="shared" si="150"/>
        <v>3060.5456</v>
      </c>
      <c r="AG802" s="158">
        <v>3060.5456</v>
      </c>
      <c r="AH802" s="175"/>
      <c r="AI802" s="175"/>
      <c r="AJ802" s="157">
        <v>0.03</v>
      </c>
      <c r="AM802" s="152" t="s">
        <v>208</v>
      </c>
    </row>
    <row r="803" s="140" customFormat="1" ht="15" hidden="1" customHeight="1" spans="1:39">
      <c r="A803" s="140">
        <v>2017</v>
      </c>
      <c r="B803" s="140" t="s">
        <v>38</v>
      </c>
      <c r="C803" s="140" t="s">
        <v>39</v>
      </c>
      <c r="D803" s="140" t="s">
        <v>836</v>
      </c>
      <c r="F803" s="152" t="s">
        <v>87</v>
      </c>
      <c r="G803" s="152" t="s">
        <v>87</v>
      </c>
      <c r="H803" s="152" t="s">
        <v>87</v>
      </c>
      <c r="I803" s="152" t="s">
        <v>204</v>
      </c>
      <c r="J803" s="140" t="s">
        <v>605</v>
      </c>
      <c r="K803" s="140" t="s">
        <v>641</v>
      </c>
      <c r="L803" s="140" t="s">
        <v>87</v>
      </c>
      <c r="M803" s="140" t="s">
        <v>185</v>
      </c>
      <c r="N803" s="157">
        <v>0.02</v>
      </c>
      <c r="O803" s="156" t="s">
        <v>51</v>
      </c>
      <c r="P803" s="156"/>
      <c r="Q803" s="158">
        <v>0</v>
      </c>
      <c r="R803" s="158">
        <v>0</v>
      </c>
      <c r="S803" s="158"/>
      <c r="T803" s="158">
        <f t="shared" si="152"/>
        <v>0</v>
      </c>
      <c r="U803" s="158">
        <f t="shared" si="156"/>
        <v>0</v>
      </c>
      <c r="V803" s="158">
        <v>0</v>
      </c>
      <c r="W803" s="158">
        <f t="shared" si="157"/>
        <v>0</v>
      </c>
      <c r="X803" s="158">
        <f t="shared" si="153"/>
        <v>0</v>
      </c>
      <c r="Y803" s="158">
        <f t="shared" si="158"/>
        <v>0</v>
      </c>
      <c r="Z803" s="158">
        <v>7962.82</v>
      </c>
      <c r="AA803" s="158">
        <f t="shared" si="154"/>
        <v>-7962.82</v>
      </c>
      <c r="AB803" s="167">
        <f t="shared" si="159"/>
        <v>7806.6862745098</v>
      </c>
      <c r="AC803" s="168">
        <f t="shared" si="155"/>
        <v>156.133725490196</v>
      </c>
      <c r="AD803" s="158">
        <v>7962.82</v>
      </c>
      <c r="AE803" s="159">
        <v>0.2</v>
      </c>
      <c r="AF803" s="158">
        <f t="shared" si="150"/>
        <v>1592.564</v>
      </c>
      <c r="AG803" s="158">
        <v>1592.564</v>
      </c>
      <c r="AH803" s="175"/>
      <c r="AI803" s="175"/>
      <c r="AJ803" s="157">
        <v>0.02</v>
      </c>
      <c r="AM803" s="152" t="s">
        <v>208</v>
      </c>
    </row>
    <row r="804" s="140" customFormat="1" ht="15" hidden="1" customHeight="1" spans="1:39">
      <c r="A804" s="140">
        <v>2017</v>
      </c>
      <c r="B804" s="140" t="s">
        <v>199</v>
      </c>
      <c r="C804" s="140" t="s">
        <v>75</v>
      </c>
      <c r="D804" s="140" t="s">
        <v>518</v>
      </c>
      <c r="F804" s="152" t="s">
        <v>628</v>
      </c>
      <c r="G804" s="152" t="s">
        <v>629</v>
      </c>
      <c r="H804" s="152" t="s">
        <v>630</v>
      </c>
      <c r="I804" s="152" t="s">
        <v>204</v>
      </c>
      <c r="J804" s="140" t="s">
        <v>605</v>
      </c>
      <c r="K804" s="140" t="s">
        <v>641</v>
      </c>
      <c r="L804" s="140" t="s">
        <v>628</v>
      </c>
      <c r="M804" s="140" t="s">
        <v>185</v>
      </c>
      <c r="N804" s="157">
        <v>0.05</v>
      </c>
      <c r="O804" s="156" t="s">
        <v>51</v>
      </c>
      <c r="P804" s="156"/>
      <c r="Q804" s="158">
        <v>0</v>
      </c>
      <c r="R804" s="158">
        <v>0</v>
      </c>
      <c r="S804" s="158"/>
      <c r="T804" s="158">
        <f t="shared" si="152"/>
        <v>0</v>
      </c>
      <c r="U804" s="158">
        <f t="shared" si="156"/>
        <v>0</v>
      </c>
      <c r="V804" s="158">
        <v>0</v>
      </c>
      <c r="W804" s="158">
        <f t="shared" si="157"/>
        <v>0</v>
      </c>
      <c r="X804" s="158">
        <f t="shared" si="153"/>
        <v>0</v>
      </c>
      <c r="Y804" s="158">
        <f t="shared" si="158"/>
        <v>0</v>
      </c>
      <c r="Z804" s="158">
        <v>180387.31</v>
      </c>
      <c r="AA804" s="158">
        <f t="shared" si="154"/>
        <v>-180387.31</v>
      </c>
      <c r="AB804" s="167">
        <f t="shared" si="159"/>
        <v>171797.438095238</v>
      </c>
      <c r="AC804" s="168">
        <f t="shared" si="155"/>
        <v>8589.87190476191</v>
      </c>
      <c r="AD804" s="158">
        <v>180387.31</v>
      </c>
      <c r="AE804" s="159">
        <v>0.2</v>
      </c>
      <c r="AF804" s="158">
        <f t="shared" si="150"/>
        <v>36077.462</v>
      </c>
      <c r="AG804" s="158">
        <v>36077.462</v>
      </c>
      <c r="AH804" s="175"/>
      <c r="AI804" s="175"/>
      <c r="AJ804" s="157">
        <v>0.05</v>
      </c>
      <c r="AM804" s="152" t="s">
        <v>208</v>
      </c>
    </row>
    <row r="805" s="140" customFormat="1" ht="15" hidden="1" customHeight="1" spans="1:39">
      <c r="A805" s="140">
        <v>2017</v>
      </c>
      <c r="B805" s="140" t="s">
        <v>252</v>
      </c>
      <c r="C805" s="140" t="s">
        <v>88</v>
      </c>
      <c r="D805" s="140" t="s">
        <v>128</v>
      </c>
      <c r="E805" s="140" t="s">
        <v>194</v>
      </c>
      <c r="F805" s="179" t="s">
        <v>603</v>
      </c>
      <c r="G805" s="152" t="s">
        <v>604</v>
      </c>
      <c r="H805" s="152" t="s">
        <v>604</v>
      </c>
      <c r="I805" s="152"/>
      <c r="J805" s="140" t="s">
        <v>681</v>
      </c>
      <c r="K805" s="140" t="s">
        <v>681</v>
      </c>
      <c r="L805" s="140" t="s">
        <v>603</v>
      </c>
      <c r="M805" s="140" t="s">
        <v>46</v>
      </c>
      <c r="N805" s="156">
        <v>0</v>
      </c>
      <c r="O805" s="156" t="s">
        <v>47</v>
      </c>
      <c r="P805" s="156"/>
      <c r="Q805" s="158">
        <v>0</v>
      </c>
      <c r="R805" s="158"/>
      <c r="S805" s="158"/>
      <c r="T805" s="158">
        <f t="shared" si="152"/>
        <v>0</v>
      </c>
      <c r="U805" s="158">
        <f t="shared" si="156"/>
        <v>0</v>
      </c>
      <c r="V805" s="158">
        <v>300000</v>
      </c>
      <c r="W805" s="158">
        <f t="shared" si="157"/>
        <v>-300000</v>
      </c>
      <c r="X805" s="158">
        <f t="shared" si="153"/>
        <v>-300000</v>
      </c>
      <c r="Y805" s="158">
        <f t="shared" si="158"/>
        <v>0</v>
      </c>
      <c r="Z805" s="158">
        <v>0</v>
      </c>
      <c r="AA805" s="158">
        <f t="shared" si="154"/>
        <v>300000</v>
      </c>
      <c r="AB805" s="167">
        <f t="shared" si="159"/>
        <v>0</v>
      </c>
      <c r="AC805" s="168">
        <f t="shared" si="155"/>
        <v>0</v>
      </c>
      <c r="AD805" s="158">
        <v>0</v>
      </c>
      <c r="AE805" s="159">
        <v>0</v>
      </c>
      <c r="AF805" s="158">
        <f t="shared" si="150"/>
        <v>0</v>
      </c>
      <c r="AG805" s="158"/>
      <c r="AH805" s="175"/>
      <c r="AI805" s="175"/>
      <c r="AJ805" s="176">
        <v>0</v>
      </c>
      <c r="AM805" s="140" t="s">
        <v>875</v>
      </c>
    </row>
    <row r="806" s="140" customFormat="1" ht="15" hidden="1" customHeight="1" spans="1:39">
      <c r="A806" s="140">
        <v>2017</v>
      </c>
      <c r="B806" s="140" t="s">
        <v>252</v>
      </c>
      <c r="C806" s="140" t="s">
        <v>88</v>
      </c>
      <c r="D806" s="140" t="s">
        <v>128</v>
      </c>
      <c r="E806" s="140" t="s">
        <v>194</v>
      </c>
      <c r="F806" s="152" t="s">
        <v>603</v>
      </c>
      <c r="G806" s="152" t="s">
        <v>604</v>
      </c>
      <c r="H806" s="152" t="s">
        <v>604</v>
      </c>
      <c r="I806" s="152" t="s">
        <v>204</v>
      </c>
      <c r="J806" s="140" t="s">
        <v>605</v>
      </c>
      <c r="K806" s="140" t="s">
        <v>606</v>
      </c>
      <c r="L806" s="140" t="s">
        <v>603</v>
      </c>
      <c r="M806" s="140" t="s">
        <v>185</v>
      </c>
      <c r="N806" s="156">
        <v>0</v>
      </c>
      <c r="O806" s="156" t="s">
        <v>47</v>
      </c>
      <c r="P806" s="156"/>
      <c r="Q806" s="158">
        <v>0</v>
      </c>
      <c r="R806" s="158"/>
      <c r="S806" s="158"/>
      <c r="T806" s="158">
        <f t="shared" si="152"/>
        <v>0</v>
      </c>
      <c r="U806" s="158">
        <f t="shared" si="156"/>
        <v>0</v>
      </c>
      <c r="V806" s="158">
        <v>0</v>
      </c>
      <c r="W806" s="158">
        <f t="shared" si="157"/>
        <v>0</v>
      </c>
      <c r="X806" s="158">
        <f t="shared" si="153"/>
        <v>0</v>
      </c>
      <c r="Y806" s="158">
        <f t="shared" si="158"/>
        <v>0</v>
      </c>
      <c r="Z806" s="158">
        <v>44135.6</v>
      </c>
      <c r="AA806" s="158">
        <f t="shared" si="154"/>
        <v>-44135.6</v>
      </c>
      <c r="AB806" s="167">
        <f t="shared" si="159"/>
        <v>44135.6</v>
      </c>
      <c r="AC806" s="168">
        <f t="shared" si="155"/>
        <v>0</v>
      </c>
      <c r="AD806" s="158">
        <v>44135.6</v>
      </c>
      <c r="AE806" s="159">
        <v>0</v>
      </c>
      <c r="AF806" s="158">
        <f t="shared" si="150"/>
        <v>0</v>
      </c>
      <c r="AG806" s="158"/>
      <c r="AH806" s="175"/>
      <c r="AI806" s="175"/>
      <c r="AJ806" s="156">
        <v>0</v>
      </c>
      <c r="AM806" s="140" t="s">
        <v>875</v>
      </c>
    </row>
    <row r="807" s="140" customFormat="1" ht="15" hidden="1" customHeight="1" spans="1:39">
      <c r="A807" s="140">
        <v>2017</v>
      </c>
      <c r="C807" s="140" t="s">
        <v>59</v>
      </c>
      <c r="F807" s="152" t="str">
        <f>L807</f>
        <v>中信二十一世纪（中国）科技有限公司</v>
      </c>
      <c r="G807" s="152"/>
      <c r="H807" s="152"/>
      <c r="I807" s="152" t="s">
        <v>204</v>
      </c>
      <c r="J807" s="140" t="s">
        <v>577</v>
      </c>
      <c r="K807" s="140" t="s">
        <v>578</v>
      </c>
      <c r="L807" s="140" t="s">
        <v>876</v>
      </c>
      <c r="M807" s="140" t="s">
        <v>46</v>
      </c>
      <c r="N807" s="156">
        <v>0</v>
      </c>
      <c r="O807" s="156" t="s">
        <v>47</v>
      </c>
      <c r="P807" s="156" t="s">
        <v>855</v>
      </c>
      <c r="Q807" s="158">
        <v>29690</v>
      </c>
      <c r="R807" s="158"/>
      <c r="S807" s="158"/>
      <c r="T807" s="158">
        <f t="shared" si="152"/>
        <v>0</v>
      </c>
      <c r="U807" s="158">
        <f t="shared" si="156"/>
        <v>0</v>
      </c>
      <c r="V807" s="158">
        <v>0</v>
      </c>
      <c r="W807" s="158">
        <f t="shared" si="157"/>
        <v>0</v>
      </c>
      <c r="X807" s="158">
        <f t="shared" si="153"/>
        <v>0</v>
      </c>
      <c r="Y807" s="158">
        <f t="shared" si="158"/>
        <v>0</v>
      </c>
      <c r="Z807" s="158">
        <v>0</v>
      </c>
      <c r="AA807" s="158">
        <f t="shared" si="154"/>
        <v>29690</v>
      </c>
      <c r="AB807" s="167">
        <v>0</v>
      </c>
      <c r="AC807" s="168">
        <f t="shared" si="155"/>
        <v>0</v>
      </c>
      <c r="AD807" s="158">
        <v>0</v>
      </c>
      <c r="AE807" s="159"/>
      <c r="AF807" s="158">
        <f t="shared" si="150"/>
        <v>0</v>
      </c>
      <c r="AG807" s="158"/>
      <c r="AH807" s="175"/>
      <c r="AI807" s="175"/>
      <c r="AJ807" s="156" t="e">
        <v>#N/A</v>
      </c>
      <c r="AM807" s="152" t="s">
        <v>208</v>
      </c>
    </row>
    <row r="808" s="140" customFormat="1" ht="15" hidden="1" customHeight="1" spans="1:39">
      <c r="A808" s="140">
        <v>2017</v>
      </c>
      <c r="C808" s="140" t="s">
        <v>39</v>
      </c>
      <c r="F808" s="152" t="str">
        <f>L808</f>
        <v>广东世婴信息科技有限公司</v>
      </c>
      <c r="G808" s="152"/>
      <c r="H808" s="152"/>
      <c r="I808" s="152" t="s">
        <v>204</v>
      </c>
      <c r="J808" s="140" t="s">
        <v>577</v>
      </c>
      <c r="K808" s="140" t="s">
        <v>578</v>
      </c>
      <c r="L808" s="140" t="s">
        <v>877</v>
      </c>
      <c r="M808" s="140" t="s">
        <v>46</v>
      </c>
      <c r="N808" s="156">
        <v>0</v>
      </c>
      <c r="O808" s="156" t="s">
        <v>47</v>
      </c>
      <c r="P808" s="156" t="s">
        <v>857</v>
      </c>
      <c r="Q808" s="158">
        <v>13775.2</v>
      </c>
      <c r="R808" s="158"/>
      <c r="S808" s="158"/>
      <c r="T808" s="158">
        <f t="shared" si="152"/>
        <v>0</v>
      </c>
      <c r="U808" s="158">
        <f t="shared" si="156"/>
        <v>0</v>
      </c>
      <c r="V808" s="158">
        <v>0</v>
      </c>
      <c r="W808" s="158">
        <f t="shared" si="157"/>
        <v>0</v>
      </c>
      <c r="X808" s="158">
        <f t="shared" si="153"/>
        <v>0</v>
      </c>
      <c r="Y808" s="158">
        <f t="shared" si="158"/>
        <v>0</v>
      </c>
      <c r="Z808" s="158">
        <v>0</v>
      </c>
      <c r="AA808" s="158">
        <f t="shared" si="154"/>
        <v>13775.2</v>
      </c>
      <c r="AB808" s="167">
        <v>0</v>
      </c>
      <c r="AC808" s="168">
        <f t="shared" si="155"/>
        <v>0</v>
      </c>
      <c r="AD808" s="158">
        <v>0</v>
      </c>
      <c r="AE808" s="159"/>
      <c r="AF808" s="158">
        <f t="shared" si="150"/>
        <v>0</v>
      </c>
      <c r="AG808" s="158"/>
      <c r="AH808" s="175"/>
      <c r="AI808" s="175"/>
      <c r="AJ808" s="156" t="e">
        <v>#N/A</v>
      </c>
      <c r="AM808" s="152" t="s">
        <v>208</v>
      </c>
    </row>
    <row r="809" s="140" customFormat="1" ht="15" hidden="1" customHeight="1" spans="1:39">
      <c r="A809" s="140">
        <v>2017</v>
      </c>
      <c r="C809" s="140" t="s">
        <v>59</v>
      </c>
      <c r="F809" s="152" t="str">
        <f>L809</f>
        <v>上海逗趣网络科技有限公司</v>
      </c>
      <c r="G809" s="152"/>
      <c r="H809" s="152"/>
      <c r="I809" s="152" t="s">
        <v>204</v>
      </c>
      <c r="J809" s="140" t="s">
        <v>577</v>
      </c>
      <c r="K809" s="140" t="s">
        <v>578</v>
      </c>
      <c r="L809" s="140" t="s">
        <v>862</v>
      </c>
      <c r="M809" s="140" t="s">
        <v>46</v>
      </c>
      <c r="N809" s="156">
        <v>0</v>
      </c>
      <c r="O809" s="156" t="s">
        <v>47</v>
      </c>
      <c r="P809" s="156" t="s">
        <v>855</v>
      </c>
      <c r="Q809" s="158">
        <v>0.35</v>
      </c>
      <c r="R809" s="158"/>
      <c r="S809" s="158"/>
      <c r="T809" s="158">
        <f t="shared" si="152"/>
        <v>0</v>
      </c>
      <c r="U809" s="158">
        <f t="shared" si="156"/>
        <v>0</v>
      </c>
      <c r="V809" s="158">
        <v>0</v>
      </c>
      <c r="W809" s="158">
        <f t="shared" si="157"/>
        <v>0</v>
      </c>
      <c r="X809" s="158">
        <f t="shared" si="153"/>
        <v>0</v>
      </c>
      <c r="Y809" s="158">
        <f t="shared" si="158"/>
        <v>0</v>
      </c>
      <c r="Z809" s="158">
        <v>0</v>
      </c>
      <c r="AA809" s="158">
        <f t="shared" si="154"/>
        <v>0.35</v>
      </c>
      <c r="AB809" s="167">
        <v>0</v>
      </c>
      <c r="AC809" s="168">
        <f t="shared" si="155"/>
        <v>0</v>
      </c>
      <c r="AD809" s="158">
        <v>0</v>
      </c>
      <c r="AE809" s="159"/>
      <c r="AF809" s="158">
        <f t="shared" si="150"/>
        <v>0</v>
      </c>
      <c r="AG809" s="158"/>
      <c r="AH809" s="175"/>
      <c r="AI809" s="175"/>
      <c r="AJ809" s="156" t="e">
        <v>#N/A</v>
      </c>
      <c r="AM809" s="152" t="s">
        <v>208</v>
      </c>
    </row>
    <row r="810" s="140" customFormat="1" ht="15" hidden="1" customHeight="1" spans="1:39">
      <c r="A810" s="140">
        <v>2017</v>
      </c>
      <c r="B810" s="140" t="s">
        <v>38</v>
      </c>
      <c r="C810" s="140" t="s">
        <v>137</v>
      </c>
      <c r="D810" s="140" t="s">
        <v>138</v>
      </c>
      <c r="E810" s="140" t="s">
        <v>139</v>
      </c>
      <c r="F810" s="140" t="s">
        <v>575</v>
      </c>
      <c r="G810" s="140" t="s">
        <v>576</v>
      </c>
      <c r="H810" s="140" t="s">
        <v>576</v>
      </c>
      <c r="I810" s="140" t="s">
        <v>170</v>
      </c>
      <c r="J810" s="140" t="s">
        <v>171</v>
      </c>
      <c r="K810" s="140" t="s">
        <v>172</v>
      </c>
      <c r="L810" s="140" t="s">
        <v>575</v>
      </c>
      <c r="M810" s="140" t="s">
        <v>46</v>
      </c>
      <c r="N810" s="157">
        <v>0.04</v>
      </c>
      <c r="O810" s="156" t="s">
        <v>51</v>
      </c>
      <c r="P810" s="156"/>
      <c r="Q810" s="158">
        <v>191596.6</v>
      </c>
      <c r="R810" s="158">
        <v>0</v>
      </c>
      <c r="S810" s="158">
        <v>2452155</v>
      </c>
      <c r="T810" s="158">
        <f t="shared" si="152"/>
        <v>98086.2</v>
      </c>
      <c r="U810" s="158">
        <f t="shared" si="156"/>
        <v>2550241.2</v>
      </c>
      <c r="V810" s="158">
        <v>2463300.09</v>
      </c>
      <c r="W810" s="158">
        <f t="shared" si="157"/>
        <v>86941.1100000003</v>
      </c>
      <c r="X810" s="158">
        <f t="shared" si="153"/>
        <v>83597.2211538465</v>
      </c>
      <c r="Y810" s="158">
        <f t="shared" si="158"/>
        <v>3343.88884615386</v>
      </c>
      <c r="Z810" s="158">
        <v>2872398.6</v>
      </c>
      <c r="AA810" s="158">
        <f t="shared" si="154"/>
        <v>-217501.91</v>
      </c>
      <c r="AB810" s="167">
        <f>IF(O810="返货",(Z810-Q810)/(1+N810),IF(O810="返现",(Z810-Q810),IF(O810="折扣",(Z810-Q810)*N810,IF(O810="无",(Z810-Q810)))))</f>
        <v>2577694.23076923</v>
      </c>
      <c r="AC810" s="168">
        <f t="shared" si="155"/>
        <v>294704.36923077</v>
      </c>
      <c r="AD810" s="158">
        <f t="shared" ref="AD810:AD815" si="160">(Z810-Q810)*0.89807640489087</f>
        <v>2407565.02238425</v>
      </c>
      <c r="AE810" s="159">
        <v>0.112691732739812</v>
      </c>
      <c r="AF810" s="158">
        <f t="shared" si="150"/>
        <v>271312.674056246</v>
      </c>
      <c r="AG810" s="158">
        <v>146515.810448039</v>
      </c>
      <c r="AH810" s="175"/>
      <c r="AI810" s="175"/>
      <c r="AJ810" s="156" t="s">
        <v>186</v>
      </c>
      <c r="AK810" s="140" t="s">
        <v>186</v>
      </c>
      <c r="AM810" s="152"/>
    </row>
    <row r="811" s="140" customFormat="1" ht="15" hidden="1" customHeight="1" spans="1:39">
      <c r="A811" s="140">
        <v>2017</v>
      </c>
      <c r="B811" s="140" t="s">
        <v>38</v>
      </c>
      <c r="C811" s="140" t="s">
        <v>137</v>
      </c>
      <c r="D811" s="140" t="s">
        <v>138</v>
      </c>
      <c r="E811" s="140" t="s">
        <v>139</v>
      </c>
      <c r="F811" s="140" t="s">
        <v>852</v>
      </c>
      <c r="G811" s="140" t="s">
        <v>878</v>
      </c>
      <c r="H811" s="140" t="s">
        <v>878</v>
      </c>
      <c r="I811" s="140" t="s">
        <v>170</v>
      </c>
      <c r="J811" s="140" t="s">
        <v>171</v>
      </c>
      <c r="K811" s="140" t="s">
        <v>172</v>
      </c>
      <c r="L811" s="140" t="s">
        <v>852</v>
      </c>
      <c r="M811" s="140" t="s">
        <v>46</v>
      </c>
      <c r="N811" s="157">
        <v>0.04</v>
      </c>
      <c r="O811" s="156" t="s">
        <v>51</v>
      </c>
      <c r="P811" s="156"/>
      <c r="Q811" s="158">
        <v>0</v>
      </c>
      <c r="R811" s="158">
        <v>0</v>
      </c>
      <c r="S811" s="158">
        <v>761191.49</v>
      </c>
      <c r="T811" s="158">
        <f t="shared" si="152"/>
        <v>30447.6596</v>
      </c>
      <c r="U811" s="158">
        <f t="shared" si="156"/>
        <v>791639.1496</v>
      </c>
      <c r="V811" s="158">
        <v>800000</v>
      </c>
      <c r="W811" s="158">
        <f t="shared" si="157"/>
        <v>-8360.8504</v>
      </c>
      <c r="X811" s="158">
        <f t="shared" si="153"/>
        <v>-8039.27923076923</v>
      </c>
      <c r="Y811" s="158">
        <f t="shared" si="158"/>
        <v>-321.57116923077</v>
      </c>
      <c r="Z811" s="158">
        <v>0</v>
      </c>
      <c r="AA811" s="158">
        <f t="shared" si="154"/>
        <v>800000</v>
      </c>
      <c r="AB811" s="167">
        <f t="shared" ref="AB811:AB825" si="161">IF(O811="返货",Z811/(1+N811),IF(O811="返现",Z811,IF(O811="折扣",Z811*N811,IF(O811="无",Z811))))</f>
        <v>0</v>
      </c>
      <c r="AC811" s="168">
        <f t="shared" si="155"/>
        <v>0</v>
      </c>
      <c r="AD811" s="158">
        <f t="shared" si="160"/>
        <v>0</v>
      </c>
      <c r="AE811" s="159">
        <v>0.112691732739812</v>
      </c>
      <c r="AF811" s="158">
        <f t="shared" si="150"/>
        <v>0</v>
      </c>
      <c r="AG811" s="158">
        <v>0</v>
      </c>
      <c r="AH811" s="175"/>
      <c r="AI811" s="175"/>
      <c r="AJ811" s="156" t="s">
        <v>186</v>
      </c>
      <c r="AK811" s="140" t="s">
        <v>186</v>
      </c>
      <c r="AM811" s="152"/>
    </row>
    <row r="812" s="140" customFormat="1" ht="15" hidden="1" customHeight="1" spans="1:39">
      <c r="A812" s="140">
        <v>2017</v>
      </c>
      <c r="B812" s="140" t="s">
        <v>38</v>
      </c>
      <c r="C812" s="140" t="s">
        <v>137</v>
      </c>
      <c r="D812" s="140" t="s">
        <v>270</v>
      </c>
      <c r="E812" s="140" t="s">
        <v>270</v>
      </c>
      <c r="F812" s="140" t="s">
        <v>661</v>
      </c>
      <c r="G812" s="140" t="s">
        <v>879</v>
      </c>
      <c r="H812" s="140" t="s">
        <v>879</v>
      </c>
      <c r="I812" s="140" t="s">
        <v>170</v>
      </c>
      <c r="J812" s="140" t="s">
        <v>171</v>
      </c>
      <c r="K812" s="140" t="s">
        <v>172</v>
      </c>
      <c r="L812" s="140" t="s">
        <v>661</v>
      </c>
      <c r="M812" s="140" t="s">
        <v>46</v>
      </c>
      <c r="N812" s="157">
        <v>0.08</v>
      </c>
      <c r="O812" s="156" t="s">
        <v>51</v>
      </c>
      <c r="P812" s="156"/>
      <c r="Q812" s="158">
        <v>0</v>
      </c>
      <c r="R812" s="158">
        <v>0</v>
      </c>
      <c r="S812" s="158">
        <v>115835.4</v>
      </c>
      <c r="T812" s="158">
        <f t="shared" si="152"/>
        <v>9266.832</v>
      </c>
      <c r="U812" s="158">
        <f t="shared" si="156"/>
        <v>125102.232</v>
      </c>
      <c r="V812" s="158">
        <v>1930514.93</v>
      </c>
      <c r="W812" s="158">
        <f t="shared" si="157"/>
        <v>-1805412.698</v>
      </c>
      <c r="X812" s="158">
        <f t="shared" si="153"/>
        <v>-1671678.42407407</v>
      </c>
      <c r="Y812" s="158">
        <f t="shared" si="158"/>
        <v>-133734.273925926</v>
      </c>
      <c r="Z812" s="158">
        <v>2799743</v>
      </c>
      <c r="AA812" s="158">
        <f t="shared" si="154"/>
        <v>-869228.07</v>
      </c>
      <c r="AB812" s="167">
        <f t="shared" si="161"/>
        <v>2592354.62962963</v>
      </c>
      <c r="AC812" s="168">
        <f t="shared" si="155"/>
        <v>207388.37037037</v>
      </c>
      <c r="AD812" s="158">
        <f t="shared" si="160"/>
        <v>2514383.12805838</v>
      </c>
      <c r="AE812" s="159">
        <v>0.112691732739812</v>
      </c>
      <c r="AF812" s="158">
        <f t="shared" si="150"/>
        <v>283350.191472647</v>
      </c>
      <c r="AG812" s="158">
        <v>43103.833595328</v>
      </c>
      <c r="AH812" s="175"/>
      <c r="AI812" s="175"/>
      <c r="AJ812" s="156" t="s">
        <v>53</v>
      </c>
      <c r="AK812" s="140" t="s">
        <v>53</v>
      </c>
      <c r="AM812" s="152"/>
    </row>
    <row r="813" s="140" customFormat="1" ht="15" hidden="1" customHeight="1" spans="1:39">
      <c r="A813" s="140">
        <v>2017</v>
      </c>
      <c r="B813" s="140" t="s">
        <v>38</v>
      </c>
      <c r="C813" s="140" t="s">
        <v>137</v>
      </c>
      <c r="D813" s="140" t="s">
        <v>270</v>
      </c>
      <c r="E813" s="140" t="s">
        <v>270</v>
      </c>
      <c r="F813" s="140" t="s">
        <v>880</v>
      </c>
      <c r="G813" s="140" t="s">
        <v>881</v>
      </c>
      <c r="H813" s="140" t="s">
        <v>881</v>
      </c>
      <c r="I813" s="140" t="s">
        <v>170</v>
      </c>
      <c r="J813" s="140" t="s">
        <v>171</v>
      </c>
      <c r="K813" s="140" t="s">
        <v>172</v>
      </c>
      <c r="L813" s="140" t="s">
        <v>880</v>
      </c>
      <c r="M813" s="140" t="s">
        <v>46</v>
      </c>
      <c r="N813" s="157">
        <v>0.04</v>
      </c>
      <c r="O813" s="156" t="s">
        <v>51</v>
      </c>
      <c r="P813" s="156"/>
      <c r="Q813" s="158">
        <v>0</v>
      </c>
      <c r="R813" s="158">
        <v>0</v>
      </c>
      <c r="S813" s="158">
        <v>764070.92</v>
      </c>
      <c r="T813" s="158">
        <f t="shared" si="152"/>
        <v>30562.8368</v>
      </c>
      <c r="U813" s="158">
        <f t="shared" si="156"/>
        <v>794633.7568</v>
      </c>
      <c r="V813" s="158">
        <v>808780.68</v>
      </c>
      <c r="W813" s="158">
        <f t="shared" si="157"/>
        <v>-14146.9232</v>
      </c>
      <c r="X813" s="158">
        <f t="shared" si="153"/>
        <v>-13602.8107692307</v>
      </c>
      <c r="Y813" s="158">
        <f t="shared" si="158"/>
        <v>-544.11243076923</v>
      </c>
      <c r="Z813" s="158">
        <v>1446488.5</v>
      </c>
      <c r="AA813" s="158">
        <f t="shared" si="154"/>
        <v>-637707.82</v>
      </c>
      <c r="AB813" s="167">
        <f t="shared" si="161"/>
        <v>1390854.32692308</v>
      </c>
      <c r="AC813" s="168">
        <f t="shared" si="155"/>
        <v>55634.1730769232</v>
      </c>
      <c r="AD813" s="158">
        <f t="shared" si="160"/>
        <v>1299057.19179599</v>
      </c>
      <c r="AE813" s="159">
        <v>0.112691732739812</v>
      </c>
      <c r="AF813" s="158">
        <f t="shared" si="150"/>
        <v>146393.005871604</v>
      </c>
      <c r="AG813" s="158">
        <v>73782.7385381918</v>
      </c>
      <c r="AH813" s="175"/>
      <c r="AI813" s="175"/>
      <c r="AJ813" s="156" t="s">
        <v>186</v>
      </c>
      <c r="AK813" s="140" t="s">
        <v>186</v>
      </c>
      <c r="AM813" s="152"/>
    </row>
    <row r="814" s="140" customFormat="1" ht="15" hidden="1" customHeight="1" spans="1:39">
      <c r="A814" s="140">
        <v>2017</v>
      </c>
      <c r="B814" s="140" t="s">
        <v>38</v>
      </c>
      <c r="C814" s="140" t="s">
        <v>137</v>
      </c>
      <c r="D814" s="140" t="s">
        <v>270</v>
      </c>
      <c r="E814" s="140" t="s">
        <v>270</v>
      </c>
      <c r="F814" s="140" t="s">
        <v>587</v>
      </c>
      <c r="G814" s="140" t="s">
        <v>882</v>
      </c>
      <c r="H814" s="140" t="s">
        <v>882</v>
      </c>
      <c r="I814" s="140" t="s">
        <v>170</v>
      </c>
      <c r="J814" s="140" t="s">
        <v>171</v>
      </c>
      <c r="K814" s="140" t="s">
        <v>172</v>
      </c>
      <c r="L814" s="140" t="s">
        <v>587</v>
      </c>
      <c r="M814" s="140" t="s">
        <v>46</v>
      </c>
      <c r="N814" s="156">
        <v>0.06</v>
      </c>
      <c r="O814" s="156" t="s">
        <v>51</v>
      </c>
      <c r="P814" s="156"/>
      <c r="Q814" s="158">
        <v>0</v>
      </c>
      <c r="R814" s="158">
        <v>0</v>
      </c>
      <c r="S814" s="158">
        <v>811324.05</v>
      </c>
      <c r="T814" s="158">
        <f t="shared" si="152"/>
        <v>48679.443</v>
      </c>
      <c r="U814" s="158">
        <f t="shared" si="156"/>
        <v>860003.493</v>
      </c>
      <c r="V814" s="158">
        <v>887400</v>
      </c>
      <c r="W814" s="158">
        <f t="shared" si="157"/>
        <v>-27396.507</v>
      </c>
      <c r="X814" s="158">
        <f t="shared" si="153"/>
        <v>-25845.7613207547</v>
      </c>
      <c r="Y814" s="158">
        <f t="shared" si="158"/>
        <v>-1550.74567924528</v>
      </c>
      <c r="Z814" s="158">
        <v>854180.6</v>
      </c>
      <c r="AA814" s="158">
        <f t="shared" si="154"/>
        <v>33219.4</v>
      </c>
      <c r="AB814" s="167">
        <f t="shared" si="161"/>
        <v>805830.754716981</v>
      </c>
      <c r="AC814" s="168">
        <f t="shared" si="155"/>
        <v>48349.8452830189</v>
      </c>
      <c r="AD814" s="158">
        <f t="shared" si="160"/>
        <v>767119.442375526</v>
      </c>
      <c r="AE814" s="159">
        <v>0.112691732739812</v>
      </c>
      <c r="AF814" s="158">
        <f t="shared" si="150"/>
        <v>86448.0191796964</v>
      </c>
      <c r="AG814" s="158">
        <v>28073.448240259</v>
      </c>
      <c r="AH814" s="175"/>
      <c r="AI814" s="175"/>
      <c r="AJ814" s="156" t="s">
        <v>193</v>
      </c>
      <c r="AK814" s="140" t="s">
        <v>193</v>
      </c>
      <c r="AM814" s="152"/>
    </row>
    <row r="815" s="140" customFormat="1" ht="15" hidden="1" customHeight="1" spans="1:39">
      <c r="A815" s="140">
        <v>2017</v>
      </c>
      <c r="B815" s="140" t="s">
        <v>38</v>
      </c>
      <c r="C815" s="140" t="s">
        <v>137</v>
      </c>
      <c r="D815" s="140" t="s">
        <v>270</v>
      </c>
      <c r="E815" s="140" t="s">
        <v>270</v>
      </c>
      <c r="F815" s="140" t="s">
        <v>661</v>
      </c>
      <c r="G815" s="140" t="s">
        <v>883</v>
      </c>
      <c r="H815" s="140" t="s">
        <v>883</v>
      </c>
      <c r="I815" s="140" t="s">
        <v>170</v>
      </c>
      <c r="J815" s="140" t="s">
        <v>171</v>
      </c>
      <c r="K815" s="140" t="s">
        <v>172</v>
      </c>
      <c r="L815" s="140" t="s">
        <v>661</v>
      </c>
      <c r="M815" s="140" t="s">
        <v>46</v>
      </c>
      <c r="N815" s="157">
        <v>0.04</v>
      </c>
      <c r="O815" s="156" t="s">
        <v>51</v>
      </c>
      <c r="P815" s="156"/>
      <c r="Q815" s="158">
        <v>0</v>
      </c>
      <c r="R815" s="158">
        <v>0</v>
      </c>
      <c r="S815" s="158">
        <v>201818.83</v>
      </c>
      <c r="T815" s="158">
        <f t="shared" si="152"/>
        <v>8072.7532</v>
      </c>
      <c r="U815" s="158">
        <f t="shared" si="156"/>
        <v>209891.5832</v>
      </c>
      <c r="V815" s="158">
        <v>1297438.03</v>
      </c>
      <c r="W815" s="158">
        <f t="shared" si="157"/>
        <v>-1087546.4468</v>
      </c>
      <c r="X815" s="158">
        <f t="shared" si="153"/>
        <v>-1045717.73730769</v>
      </c>
      <c r="Y815" s="158">
        <f t="shared" si="158"/>
        <v>-41828.7094923077</v>
      </c>
      <c r="Z815" s="158">
        <v>0</v>
      </c>
      <c r="AA815" s="158">
        <f t="shared" si="154"/>
        <v>1297438.03</v>
      </c>
      <c r="AB815" s="167">
        <f t="shared" si="161"/>
        <v>0</v>
      </c>
      <c r="AC815" s="168">
        <f t="shared" si="155"/>
        <v>0</v>
      </c>
      <c r="AD815" s="158">
        <f t="shared" si="160"/>
        <v>0</v>
      </c>
      <c r="AE815" s="159">
        <v>0.112691732739812</v>
      </c>
      <c r="AF815" s="158">
        <f t="shared" ref="AF815:AF878" si="162">AD815*AE815</f>
        <v>0</v>
      </c>
      <c r="AG815" s="158">
        <v>0</v>
      </c>
      <c r="AH815" s="175"/>
      <c r="AI815" s="175"/>
      <c r="AJ815" s="156" t="s">
        <v>186</v>
      </c>
      <c r="AK815" s="140" t="s">
        <v>186</v>
      </c>
      <c r="AM815" s="152"/>
    </row>
    <row r="816" s="140" customFormat="1" ht="15" hidden="1" customHeight="1" spans="1:39">
      <c r="A816" s="140">
        <v>2017</v>
      </c>
      <c r="B816" s="140" t="s">
        <v>38</v>
      </c>
      <c r="C816" s="140" t="s">
        <v>137</v>
      </c>
      <c r="D816" s="140" t="s">
        <v>270</v>
      </c>
      <c r="E816" s="140" t="s">
        <v>270</v>
      </c>
      <c r="F816" s="140" t="s">
        <v>661</v>
      </c>
      <c r="G816" s="140" t="s">
        <v>884</v>
      </c>
      <c r="H816" s="140" t="s">
        <v>884</v>
      </c>
      <c r="I816" s="140" t="s">
        <v>170</v>
      </c>
      <c r="J816" s="140" t="s">
        <v>171</v>
      </c>
      <c r="K816" s="140" t="s">
        <v>172</v>
      </c>
      <c r="L816" s="140" t="s">
        <v>661</v>
      </c>
      <c r="M816" s="140" t="s">
        <v>185</v>
      </c>
      <c r="N816" s="157">
        <v>0.12</v>
      </c>
      <c r="O816" s="156" t="s">
        <v>51</v>
      </c>
      <c r="P816" s="156"/>
      <c r="Q816" s="158">
        <v>0</v>
      </c>
      <c r="R816" s="158">
        <v>0</v>
      </c>
      <c r="S816" s="158">
        <v>40000</v>
      </c>
      <c r="T816" s="158">
        <f t="shared" si="152"/>
        <v>4800</v>
      </c>
      <c r="U816" s="158">
        <f t="shared" si="156"/>
        <v>44800</v>
      </c>
      <c r="V816" s="158">
        <v>40000</v>
      </c>
      <c r="W816" s="158">
        <f t="shared" si="157"/>
        <v>4800</v>
      </c>
      <c r="X816" s="158">
        <f t="shared" si="153"/>
        <v>4285.71428571429</v>
      </c>
      <c r="Y816" s="158">
        <f t="shared" si="158"/>
        <v>514.285714285715</v>
      </c>
      <c r="Z816" s="158">
        <v>24805.21</v>
      </c>
      <c r="AA816" s="158">
        <f t="shared" si="154"/>
        <v>15194.79</v>
      </c>
      <c r="AB816" s="167">
        <f t="shared" si="161"/>
        <v>22147.5089285714</v>
      </c>
      <c r="AC816" s="168">
        <f t="shared" si="155"/>
        <v>2657.70107142858</v>
      </c>
      <c r="AD816" s="158">
        <f>(Z816-Q816)*0.91072157793815</f>
        <v>22590.6399922872</v>
      </c>
      <c r="AE816" s="159">
        <v>0.112691732739812</v>
      </c>
      <c r="AF816" s="158">
        <f t="shared" si="162"/>
        <v>2545.77836443214</v>
      </c>
      <c r="AG816" s="158">
        <v>-438.386040466098</v>
      </c>
      <c r="AH816" s="175"/>
      <c r="AI816" s="175"/>
      <c r="AJ816" s="156" t="s">
        <v>117</v>
      </c>
      <c r="AK816" s="140" t="s">
        <v>117</v>
      </c>
      <c r="AM816" s="152"/>
    </row>
    <row r="817" s="140" customFormat="1" ht="15" hidden="1" customHeight="1" spans="1:39">
      <c r="A817" s="140">
        <v>2017</v>
      </c>
      <c r="B817" s="140" t="s">
        <v>38</v>
      </c>
      <c r="C817" s="140" t="s">
        <v>137</v>
      </c>
      <c r="D817" s="140" t="s">
        <v>270</v>
      </c>
      <c r="E817" s="140" t="s">
        <v>270</v>
      </c>
      <c r="F817" s="140" t="s">
        <v>661</v>
      </c>
      <c r="G817" s="140" t="s">
        <v>884</v>
      </c>
      <c r="H817" s="140" t="s">
        <v>884</v>
      </c>
      <c r="I817" s="140" t="s">
        <v>170</v>
      </c>
      <c r="J817" s="140" t="s">
        <v>171</v>
      </c>
      <c r="K817" s="140" t="s">
        <v>172</v>
      </c>
      <c r="L817" s="140" t="s">
        <v>661</v>
      </c>
      <c r="M817" s="140" t="s">
        <v>46</v>
      </c>
      <c r="N817" s="157">
        <v>0.08</v>
      </c>
      <c r="O817" s="156" t="s">
        <v>51</v>
      </c>
      <c r="P817" s="156"/>
      <c r="Q817" s="158">
        <v>0</v>
      </c>
      <c r="R817" s="158">
        <v>0</v>
      </c>
      <c r="S817" s="158">
        <v>2452021</v>
      </c>
      <c r="T817" s="158">
        <f t="shared" si="152"/>
        <v>196161.68</v>
      </c>
      <c r="U817" s="158">
        <f t="shared" si="156"/>
        <v>2648182.68</v>
      </c>
      <c r="V817" s="158">
        <v>160000</v>
      </c>
      <c r="W817" s="158">
        <f t="shared" si="157"/>
        <v>2488182.68</v>
      </c>
      <c r="X817" s="158">
        <f t="shared" si="153"/>
        <v>2303872.85185185</v>
      </c>
      <c r="Y817" s="158">
        <f t="shared" si="158"/>
        <v>184309.828148148</v>
      </c>
      <c r="Z817" s="158">
        <v>0</v>
      </c>
      <c r="AA817" s="158">
        <f t="shared" si="154"/>
        <v>160000</v>
      </c>
      <c r="AB817" s="167">
        <f t="shared" si="161"/>
        <v>0</v>
      </c>
      <c r="AC817" s="168">
        <f t="shared" si="155"/>
        <v>0</v>
      </c>
      <c r="AD817" s="158">
        <f>(Z817-Q817)*0.89807640489087</f>
        <v>0</v>
      </c>
      <c r="AE817" s="159">
        <v>0.112691732739812</v>
      </c>
      <c r="AF817" s="158">
        <f t="shared" si="162"/>
        <v>0</v>
      </c>
      <c r="AG817" s="158">
        <v>0</v>
      </c>
      <c r="AH817" s="175"/>
      <c r="AI817" s="175"/>
      <c r="AJ817" s="156" t="s">
        <v>53</v>
      </c>
      <c r="AK817" s="140" t="s">
        <v>53</v>
      </c>
      <c r="AM817" s="152"/>
    </row>
    <row r="818" s="140" customFormat="1" ht="15" hidden="1" customHeight="1" spans="1:39">
      <c r="A818" s="140">
        <v>2017</v>
      </c>
      <c r="B818" s="140" t="s">
        <v>38</v>
      </c>
      <c r="C818" s="140" t="s">
        <v>88</v>
      </c>
      <c r="D818" s="140" t="s">
        <v>128</v>
      </c>
      <c r="E818" s="140" t="s">
        <v>98</v>
      </c>
      <c r="F818" s="140" t="s">
        <v>885</v>
      </c>
      <c r="G818" s="140" t="s">
        <v>885</v>
      </c>
      <c r="H818" s="140" t="s">
        <v>885</v>
      </c>
      <c r="I818" s="140" t="s">
        <v>170</v>
      </c>
      <c r="J818" s="140" t="s">
        <v>605</v>
      </c>
      <c r="K818" s="140" t="s">
        <v>886</v>
      </c>
      <c r="L818" s="140" t="s">
        <v>885</v>
      </c>
      <c r="M818" s="140" t="s">
        <v>46</v>
      </c>
      <c r="N818" s="157">
        <v>0</v>
      </c>
      <c r="O818" s="156" t="s">
        <v>47</v>
      </c>
      <c r="P818" s="156"/>
      <c r="Q818" s="158">
        <v>0</v>
      </c>
      <c r="R818" s="158">
        <v>0</v>
      </c>
      <c r="S818" s="158">
        <v>90000</v>
      </c>
      <c r="T818" s="158">
        <f t="shared" si="152"/>
        <v>0</v>
      </c>
      <c r="U818" s="158">
        <f t="shared" si="156"/>
        <v>90000</v>
      </c>
      <c r="V818" s="158">
        <v>90000</v>
      </c>
      <c r="W818" s="158">
        <f t="shared" si="157"/>
        <v>0</v>
      </c>
      <c r="X818" s="158">
        <f t="shared" si="153"/>
        <v>0</v>
      </c>
      <c r="Y818" s="158">
        <f t="shared" si="158"/>
        <v>0</v>
      </c>
      <c r="Z818" s="158">
        <v>90638.3</v>
      </c>
      <c r="AA818" s="158">
        <f t="shared" si="154"/>
        <v>-638.300000000003</v>
      </c>
      <c r="AB818" s="167">
        <f t="shared" si="161"/>
        <v>90638.3</v>
      </c>
      <c r="AC818" s="168">
        <f t="shared" si="155"/>
        <v>0</v>
      </c>
      <c r="AD818" s="158">
        <v>90638.3</v>
      </c>
      <c r="AE818" s="159">
        <v>0.1</v>
      </c>
      <c r="AF818" s="158">
        <f t="shared" si="162"/>
        <v>9063.83</v>
      </c>
      <c r="AG818" s="158">
        <v>0</v>
      </c>
      <c r="AH818" s="175"/>
      <c r="AI818" s="175"/>
      <c r="AJ818" s="156" t="s">
        <v>47</v>
      </c>
      <c r="AK818" s="140" t="s">
        <v>47</v>
      </c>
      <c r="AM818" s="140" t="s">
        <v>174</v>
      </c>
    </row>
    <row r="819" s="140" customFormat="1" ht="15" hidden="1" customHeight="1" spans="1:39">
      <c r="A819" s="140">
        <v>2017</v>
      </c>
      <c r="B819" s="140" t="s">
        <v>38</v>
      </c>
      <c r="C819" s="140" t="s">
        <v>88</v>
      </c>
      <c r="D819" s="140" t="s">
        <v>128</v>
      </c>
      <c r="E819" s="140" t="s">
        <v>98</v>
      </c>
      <c r="F819" s="140" t="s">
        <v>885</v>
      </c>
      <c r="G819" s="140" t="s">
        <v>885</v>
      </c>
      <c r="H819" s="140" t="s">
        <v>885</v>
      </c>
      <c r="I819" s="140" t="s">
        <v>170</v>
      </c>
      <c r="J819" s="140" t="s">
        <v>868</v>
      </c>
      <c r="K819" s="140" t="s">
        <v>869</v>
      </c>
      <c r="L819" s="140" t="s">
        <v>885</v>
      </c>
      <c r="M819" s="140" t="s">
        <v>46</v>
      </c>
      <c r="N819" s="157">
        <v>0</v>
      </c>
      <c r="O819" s="156" t="s">
        <v>47</v>
      </c>
      <c r="P819" s="156"/>
      <c r="Q819" s="158">
        <v>0</v>
      </c>
      <c r="R819" s="158">
        <v>0</v>
      </c>
      <c r="S819" s="158">
        <v>40000</v>
      </c>
      <c r="T819" s="158">
        <f t="shared" si="152"/>
        <v>0</v>
      </c>
      <c r="U819" s="158">
        <f t="shared" si="156"/>
        <v>40000</v>
      </c>
      <c r="V819" s="158">
        <v>40000</v>
      </c>
      <c r="W819" s="158">
        <f t="shared" si="157"/>
        <v>0</v>
      </c>
      <c r="X819" s="158">
        <f t="shared" si="153"/>
        <v>0</v>
      </c>
      <c r="Y819" s="158">
        <f t="shared" si="158"/>
        <v>0</v>
      </c>
      <c r="Z819" s="158">
        <v>18887.7</v>
      </c>
      <c r="AA819" s="158">
        <f t="shared" si="154"/>
        <v>21112.3</v>
      </c>
      <c r="AB819" s="167">
        <f t="shared" si="161"/>
        <v>18887.7</v>
      </c>
      <c r="AC819" s="168">
        <f t="shared" si="155"/>
        <v>0</v>
      </c>
      <c r="AD819" s="158">
        <f>Z819*0.972201473425119-Q819</f>
        <v>18362.6497696116</v>
      </c>
      <c r="AE819" s="159">
        <v>0.1</v>
      </c>
      <c r="AF819" s="158">
        <f t="shared" si="162"/>
        <v>1836.26497696116</v>
      </c>
      <c r="AG819" s="158">
        <v>10952.6</v>
      </c>
      <c r="AH819" s="175"/>
      <c r="AI819" s="175"/>
      <c r="AJ819" s="156" t="s">
        <v>47</v>
      </c>
      <c r="AK819" s="140" t="s">
        <v>47</v>
      </c>
      <c r="AM819" s="140" t="s">
        <v>174</v>
      </c>
    </row>
    <row r="820" s="140" customFormat="1" ht="15" hidden="1" customHeight="1" spans="1:39">
      <c r="A820" s="140">
        <v>2017</v>
      </c>
      <c r="B820" s="140" t="s">
        <v>38</v>
      </c>
      <c r="C820" s="140" t="s">
        <v>88</v>
      </c>
      <c r="D820" s="140" t="s">
        <v>128</v>
      </c>
      <c r="E820" s="140" t="s">
        <v>98</v>
      </c>
      <c r="F820" s="140" t="s">
        <v>274</v>
      </c>
      <c r="G820" s="140" t="s">
        <v>275</v>
      </c>
      <c r="H820" s="140" t="s">
        <v>275</v>
      </c>
      <c r="I820" s="140" t="s">
        <v>170</v>
      </c>
      <c r="J820" s="140" t="s">
        <v>171</v>
      </c>
      <c r="K820" s="140" t="s">
        <v>172</v>
      </c>
      <c r="L820" s="140" t="s">
        <v>274</v>
      </c>
      <c r="M820" s="140" t="s">
        <v>46</v>
      </c>
      <c r="N820" s="157">
        <v>0.04</v>
      </c>
      <c r="O820" s="156" t="s">
        <v>51</v>
      </c>
      <c r="P820" s="156"/>
      <c r="Q820" s="158">
        <v>0</v>
      </c>
      <c r="R820" s="158">
        <v>0</v>
      </c>
      <c r="S820" s="158">
        <v>270000</v>
      </c>
      <c r="T820" s="158">
        <f t="shared" si="152"/>
        <v>10800</v>
      </c>
      <c r="U820" s="158">
        <f t="shared" si="156"/>
        <v>280800</v>
      </c>
      <c r="V820" s="158">
        <v>278401.25</v>
      </c>
      <c r="W820" s="158">
        <f t="shared" si="157"/>
        <v>2398.75</v>
      </c>
      <c r="X820" s="158">
        <f t="shared" si="153"/>
        <v>2306.49038461538</v>
      </c>
      <c r="Y820" s="158">
        <f t="shared" si="158"/>
        <v>92.2596153846152</v>
      </c>
      <c r="Z820" s="158">
        <v>261301</v>
      </c>
      <c r="AA820" s="158">
        <f t="shared" si="154"/>
        <v>17100.25</v>
      </c>
      <c r="AB820" s="167">
        <f t="shared" si="161"/>
        <v>251250.961538462</v>
      </c>
      <c r="AC820" s="168">
        <f t="shared" si="155"/>
        <v>10050.0384615385</v>
      </c>
      <c r="AD820" s="158">
        <f>(Z820-Q820)*0.89807640489087</f>
        <v>234668.262674389</v>
      </c>
      <c r="AE820" s="159">
        <v>0.112691732739812</v>
      </c>
      <c r="AF820" s="158">
        <f t="shared" si="162"/>
        <v>26445.1731398183</v>
      </c>
      <c r="AG820" s="158">
        <v>13328.4871347184</v>
      </c>
      <c r="AH820" s="175"/>
      <c r="AI820" s="175"/>
      <c r="AJ820" s="156" t="s">
        <v>887</v>
      </c>
      <c r="AK820" s="140" t="s">
        <v>887</v>
      </c>
      <c r="AM820" s="140" t="s">
        <v>174</v>
      </c>
    </row>
    <row r="821" s="140" customFormat="1" ht="15" hidden="1" customHeight="1" spans="1:39">
      <c r="A821" s="140">
        <v>2017</v>
      </c>
      <c r="B821" s="140" t="s">
        <v>38</v>
      </c>
      <c r="C821" s="140" t="s">
        <v>88</v>
      </c>
      <c r="D821" s="140" t="s">
        <v>128</v>
      </c>
      <c r="E821" s="140" t="s">
        <v>98</v>
      </c>
      <c r="F821" s="140" t="s">
        <v>129</v>
      </c>
      <c r="G821" s="140" t="s">
        <v>129</v>
      </c>
      <c r="H821" s="140" t="s">
        <v>129</v>
      </c>
      <c r="I821" s="140" t="s">
        <v>170</v>
      </c>
      <c r="J821" s="140" t="s">
        <v>605</v>
      </c>
      <c r="K821" s="140" t="s">
        <v>886</v>
      </c>
      <c r="L821" s="140" t="s">
        <v>129</v>
      </c>
      <c r="M821" s="140" t="s">
        <v>46</v>
      </c>
      <c r="N821" s="157">
        <v>0.02</v>
      </c>
      <c r="O821" s="156" t="s">
        <v>51</v>
      </c>
      <c r="P821" s="156"/>
      <c r="Q821" s="158">
        <v>0</v>
      </c>
      <c r="R821" s="158">
        <v>0</v>
      </c>
      <c r="S821" s="158">
        <v>330000</v>
      </c>
      <c r="T821" s="158">
        <f t="shared" si="152"/>
        <v>6600</v>
      </c>
      <c r="U821" s="158">
        <f t="shared" si="156"/>
        <v>336600</v>
      </c>
      <c r="V821" s="158">
        <v>336600</v>
      </c>
      <c r="W821" s="158">
        <f t="shared" si="157"/>
        <v>0</v>
      </c>
      <c r="X821" s="158">
        <f t="shared" si="153"/>
        <v>0</v>
      </c>
      <c r="Y821" s="158">
        <f t="shared" si="158"/>
        <v>0</v>
      </c>
      <c r="Z821" s="158">
        <v>280487.8</v>
      </c>
      <c r="AA821" s="158">
        <f t="shared" si="154"/>
        <v>56112.2</v>
      </c>
      <c r="AB821" s="167">
        <f t="shared" si="161"/>
        <v>274988.039215686</v>
      </c>
      <c r="AC821" s="168">
        <f t="shared" si="155"/>
        <v>5499.76078431372</v>
      </c>
      <c r="AD821" s="158">
        <v>280487.8</v>
      </c>
      <c r="AE821" s="159">
        <v>0.1</v>
      </c>
      <c r="AF821" s="158">
        <f t="shared" si="162"/>
        <v>28048.78</v>
      </c>
      <c r="AG821" s="158">
        <v>0</v>
      </c>
      <c r="AH821" s="175"/>
      <c r="AI821" s="175"/>
      <c r="AJ821" s="156" t="s">
        <v>173</v>
      </c>
      <c r="AK821" s="140" t="s">
        <v>173</v>
      </c>
      <c r="AM821" s="140" t="s">
        <v>174</v>
      </c>
    </row>
    <row r="822" s="140" customFormat="1" ht="15" hidden="1" customHeight="1" spans="1:39">
      <c r="A822" s="140">
        <v>2017</v>
      </c>
      <c r="B822" s="140" t="s">
        <v>38</v>
      </c>
      <c r="C822" s="140" t="s">
        <v>88</v>
      </c>
      <c r="D822" s="140" t="s">
        <v>128</v>
      </c>
      <c r="E822" s="140" t="s">
        <v>98</v>
      </c>
      <c r="F822" s="140" t="s">
        <v>129</v>
      </c>
      <c r="G822" s="140" t="s">
        <v>129</v>
      </c>
      <c r="H822" s="140" t="s">
        <v>129</v>
      </c>
      <c r="I822" s="140" t="s">
        <v>170</v>
      </c>
      <c r="J822" s="140" t="s">
        <v>868</v>
      </c>
      <c r="K822" s="140" t="s">
        <v>869</v>
      </c>
      <c r="L822" s="140" t="s">
        <v>129</v>
      </c>
      <c r="M822" s="140" t="s">
        <v>46</v>
      </c>
      <c r="N822" s="157">
        <v>0.02</v>
      </c>
      <c r="O822" s="156" t="s">
        <v>51</v>
      </c>
      <c r="P822" s="156"/>
      <c r="Q822" s="158">
        <v>0</v>
      </c>
      <c r="R822" s="158">
        <v>0</v>
      </c>
      <c r="S822" s="158">
        <v>220000</v>
      </c>
      <c r="T822" s="158">
        <f t="shared" si="152"/>
        <v>4400</v>
      </c>
      <c r="U822" s="158">
        <f t="shared" si="156"/>
        <v>224400</v>
      </c>
      <c r="V822" s="158">
        <v>224400</v>
      </c>
      <c r="W822" s="158">
        <f t="shared" si="157"/>
        <v>0</v>
      </c>
      <c r="X822" s="158">
        <f t="shared" si="153"/>
        <v>0</v>
      </c>
      <c r="Y822" s="158">
        <f t="shared" si="158"/>
        <v>0</v>
      </c>
      <c r="Z822" s="158">
        <v>157273.2</v>
      </c>
      <c r="AA822" s="158">
        <f t="shared" si="154"/>
        <v>67126.8</v>
      </c>
      <c r="AB822" s="167">
        <f t="shared" si="161"/>
        <v>154189.411764706</v>
      </c>
      <c r="AC822" s="168">
        <f t="shared" si="155"/>
        <v>3083.78823529411</v>
      </c>
      <c r="AD822" s="158">
        <f>Z822*0.972201473425119-Q822</f>
        <v>152901.236770283</v>
      </c>
      <c r="AE822" s="159">
        <v>0.1</v>
      </c>
      <c r="AF822" s="158">
        <f t="shared" si="162"/>
        <v>15290.1236770283</v>
      </c>
      <c r="AG822" s="158">
        <v>35192.5509803922</v>
      </c>
      <c r="AH822" s="175"/>
      <c r="AI822" s="175"/>
      <c r="AJ822" s="157">
        <v>0.02</v>
      </c>
      <c r="AK822" s="177">
        <v>0.02</v>
      </c>
      <c r="AM822" s="140" t="s">
        <v>174</v>
      </c>
    </row>
    <row r="823" s="140" customFormat="1" ht="15" hidden="1" customHeight="1" spans="1:39">
      <c r="A823" s="140">
        <v>2017</v>
      </c>
      <c r="B823" s="140" t="s">
        <v>38</v>
      </c>
      <c r="C823" s="140" t="s">
        <v>88</v>
      </c>
      <c r="D823" s="140" t="s">
        <v>128</v>
      </c>
      <c r="E823" s="140" t="s">
        <v>98</v>
      </c>
      <c r="F823" s="140" t="s">
        <v>858</v>
      </c>
      <c r="G823" s="140" t="s">
        <v>858</v>
      </c>
      <c r="H823" s="140" t="s">
        <v>858</v>
      </c>
      <c r="I823" s="140" t="s">
        <v>170</v>
      </c>
      <c r="J823" s="140" t="s">
        <v>171</v>
      </c>
      <c r="K823" s="140" t="s">
        <v>172</v>
      </c>
      <c r="L823" s="140" t="s">
        <v>858</v>
      </c>
      <c r="M823" s="140" t="s">
        <v>46</v>
      </c>
      <c r="N823" s="157">
        <v>0.04</v>
      </c>
      <c r="O823" s="156" t="s">
        <v>51</v>
      </c>
      <c r="P823" s="156"/>
      <c r="Q823" s="158">
        <v>0</v>
      </c>
      <c r="R823" s="158">
        <v>0</v>
      </c>
      <c r="S823" s="158">
        <v>547058.82</v>
      </c>
      <c r="T823" s="158">
        <f t="shared" si="152"/>
        <v>21882.3528</v>
      </c>
      <c r="U823" s="158">
        <f t="shared" si="156"/>
        <v>568941.1728</v>
      </c>
      <c r="V823" s="158">
        <v>558000</v>
      </c>
      <c r="W823" s="158">
        <f t="shared" si="157"/>
        <v>10941.1727999999</v>
      </c>
      <c r="X823" s="158">
        <f t="shared" si="153"/>
        <v>10520.3584615384</v>
      </c>
      <c r="Y823" s="158">
        <f t="shared" si="158"/>
        <v>420.814338461536</v>
      </c>
      <c r="Z823" s="158">
        <v>558000</v>
      </c>
      <c r="AA823" s="158">
        <f t="shared" si="154"/>
        <v>0</v>
      </c>
      <c r="AB823" s="167">
        <f t="shared" si="161"/>
        <v>536538.461538462</v>
      </c>
      <c r="AC823" s="168">
        <f t="shared" si="155"/>
        <v>21461.5384615385</v>
      </c>
      <c r="AD823" s="158">
        <f>(Z823-Q823)*0.89807640489087</f>
        <v>501126.633929105</v>
      </c>
      <c r="AE823" s="159">
        <v>0.112691732739812</v>
      </c>
      <c r="AF823" s="158">
        <f t="shared" si="162"/>
        <v>56472.8286995404</v>
      </c>
      <c r="AG823" s="158">
        <v>28462.5616479571</v>
      </c>
      <c r="AH823" s="175"/>
      <c r="AI823" s="175"/>
      <c r="AJ823" s="157">
        <v>0.04</v>
      </c>
      <c r="AK823" s="177">
        <v>0.04</v>
      </c>
      <c r="AM823" s="152"/>
    </row>
    <row r="824" s="140" customFormat="1" ht="15" hidden="1" customHeight="1" spans="1:39">
      <c r="A824" s="140">
        <v>2017</v>
      </c>
      <c r="B824" s="140" t="s">
        <v>38</v>
      </c>
      <c r="C824" s="140" t="s">
        <v>54</v>
      </c>
      <c r="D824" s="140" t="s">
        <v>102</v>
      </c>
      <c r="E824" s="140" t="s">
        <v>187</v>
      </c>
      <c r="F824" s="140" t="s">
        <v>387</v>
      </c>
      <c r="G824" s="140" t="s">
        <v>387</v>
      </c>
      <c r="H824" s="140" t="s">
        <v>387</v>
      </c>
      <c r="I824" s="152" t="s">
        <v>243</v>
      </c>
      <c r="J824" s="140" t="s">
        <v>244</v>
      </c>
      <c r="K824" s="140" t="s">
        <v>245</v>
      </c>
      <c r="L824" s="140" t="s">
        <v>388</v>
      </c>
      <c r="M824" s="140" t="s">
        <v>46</v>
      </c>
      <c r="N824" s="156">
        <v>0</v>
      </c>
      <c r="O824" s="156" t="s">
        <v>47</v>
      </c>
      <c r="P824" s="156"/>
      <c r="Q824" s="158">
        <v>0</v>
      </c>
      <c r="R824" s="158">
        <v>0</v>
      </c>
      <c r="S824" s="158">
        <v>640000</v>
      </c>
      <c r="T824" s="158">
        <f t="shared" si="152"/>
        <v>0</v>
      </c>
      <c r="U824" s="158">
        <f t="shared" si="156"/>
        <v>640000</v>
      </c>
      <c r="V824" s="158">
        <v>512000</v>
      </c>
      <c r="W824" s="158">
        <f t="shared" si="157"/>
        <v>128000</v>
      </c>
      <c r="X824" s="158">
        <f t="shared" si="153"/>
        <v>128000</v>
      </c>
      <c r="Y824" s="158">
        <f t="shared" si="158"/>
        <v>0</v>
      </c>
      <c r="Z824" s="158">
        <v>584390.8</v>
      </c>
      <c r="AA824" s="158">
        <f t="shared" si="154"/>
        <v>-72390.8</v>
      </c>
      <c r="AB824" s="167">
        <f t="shared" si="161"/>
        <v>584390.8</v>
      </c>
      <c r="AC824" s="168">
        <f t="shared" si="155"/>
        <v>0</v>
      </c>
      <c r="AD824" s="158">
        <v>489875.844848205</v>
      </c>
      <c r="AE824" s="159">
        <v>0.176470588235294</v>
      </c>
      <c r="AF824" s="158">
        <f t="shared" si="162"/>
        <v>86448.6785026243</v>
      </c>
      <c r="AG824" s="158">
        <f>AB824-Z824+AF824</f>
        <v>86448.6785026243</v>
      </c>
      <c r="AH824" s="175"/>
      <c r="AI824" s="175"/>
      <c r="AJ824" s="156" t="s">
        <v>47</v>
      </c>
      <c r="AK824" s="140" t="s">
        <v>47</v>
      </c>
      <c r="AM824" s="152"/>
    </row>
    <row r="825" s="140" customFormat="1" ht="15" hidden="1" customHeight="1" spans="1:39">
      <c r="A825" s="140">
        <v>2017</v>
      </c>
      <c r="B825" s="140" t="s">
        <v>38</v>
      </c>
      <c r="C825" s="140" t="s">
        <v>88</v>
      </c>
      <c r="D825" s="140" t="s">
        <v>128</v>
      </c>
      <c r="E825" s="140" t="s">
        <v>124</v>
      </c>
      <c r="F825" s="140" t="s">
        <v>169</v>
      </c>
      <c r="G825" s="140" t="s">
        <v>169</v>
      </c>
      <c r="H825" s="140" t="s">
        <v>169</v>
      </c>
      <c r="I825" s="140" t="s">
        <v>170</v>
      </c>
      <c r="J825" s="140" t="s">
        <v>171</v>
      </c>
      <c r="K825" s="140" t="s">
        <v>172</v>
      </c>
      <c r="L825" s="140" t="s">
        <v>169</v>
      </c>
      <c r="M825" s="140" t="s">
        <v>160</v>
      </c>
      <c r="N825" s="157">
        <v>0.02</v>
      </c>
      <c r="O825" s="156" t="s">
        <v>51</v>
      </c>
      <c r="P825" s="156"/>
      <c r="Q825" s="158">
        <v>0</v>
      </c>
      <c r="R825" s="158">
        <v>0</v>
      </c>
      <c r="S825" s="158">
        <v>242735.29</v>
      </c>
      <c r="T825" s="158">
        <f t="shared" si="152"/>
        <v>4854.7058</v>
      </c>
      <c r="U825" s="158">
        <f t="shared" si="156"/>
        <v>247589.9958</v>
      </c>
      <c r="V825" s="158">
        <v>246390</v>
      </c>
      <c r="W825" s="158">
        <f t="shared" si="157"/>
        <v>1199.9958</v>
      </c>
      <c r="X825" s="158">
        <f t="shared" si="153"/>
        <v>1176.46647058824</v>
      </c>
      <c r="Y825" s="158">
        <f t="shared" si="158"/>
        <v>23.5293294117648</v>
      </c>
      <c r="Z825" s="158">
        <v>246390</v>
      </c>
      <c r="AA825" s="158">
        <f t="shared" si="154"/>
        <v>0</v>
      </c>
      <c r="AB825" s="167">
        <f t="shared" si="161"/>
        <v>241558.823529412</v>
      </c>
      <c r="AC825" s="168">
        <f t="shared" si="155"/>
        <v>4831.17647058825</v>
      </c>
      <c r="AD825" s="158">
        <f>(Z825-Q825)*0.826045217867759</f>
        <v>203529.281230437</v>
      </c>
      <c r="AE825" s="159">
        <v>0.112691732739812</v>
      </c>
      <c r="AF825" s="158">
        <f t="shared" si="162"/>
        <v>22936.0673651465</v>
      </c>
      <c r="AG825" s="158">
        <v>17213.2662282982</v>
      </c>
      <c r="AH825" s="175"/>
      <c r="AI825" s="175"/>
      <c r="AJ825" s="156" t="s">
        <v>173</v>
      </c>
      <c r="AK825" s="140" t="s">
        <v>173</v>
      </c>
      <c r="AM825" s="152"/>
    </row>
    <row r="826" s="140" customFormat="1" ht="15" hidden="1" customHeight="1" spans="1:39">
      <c r="A826" s="140">
        <v>2017</v>
      </c>
      <c r="B826" s="140" t="s">
        <v>38</v>
      </c>
      <c r="C826" s="140" t="s">
        <v>88</v>
      </c>
      <c r="D826" s="140" t="s">
        <v>128</v>
      </c>
      <c r="E826" s="140" t="s">
        <v>277</v>
      </c>
      <c r="F826" s="140" t="s">
        <v>598</v>
      </c>
      <c r="G826" s="140" t="s">
        <v>598</v>
      </c>
      <c r="H826" s="140" t="s">
        <v>598</v>
      </c>
      <c r="I826" s="140" t="s">
        <v>170</v>
      </c>
      <c r="J826" s="140" t="s">
        <v>171</v>
      </c>
      <c r="K826" s="140" t="s">
        <v>172</v>
      </c>
      <c r="L826" s="140" t="s">
        <v>278</v>
      </c>
      <c r="M826" s="140" t="s">
        <v>46</v>
      </c>
      <c r="N826" s="157">
        <v>0.04</v>
      </c>
      <c r="O826" s="156" t="s">
        <v>51</v>
      </c>
      <c r="P826" s="156"/>
      <c r="Q826" s="158">
        <v>60936.6</v>
      </c>
      <c r="R826" s="158">
        <v>0</v>
      </c>
      <c r="S826" s="158">
        <v>237596.92</v>
      </c>
      <c r="T826" s="158">
        <f t="shared" si="152"/>
        <v>9503.8768</v>
      </c>
      <c r="U826" s="158">
        <f t="shared" si="156"/>
        <v>247100.7968</v>
      </c>
      <c r="V826" s="158">
        <v>247100</v>
      </c>
      <c r="W826" s="158">
        <f t="shared" si="157"/>
        <v>0.79680000001099</v>
      </c>
      <c r="X826" s="158">
        <f t="shared" si="153"/>
        <v>0.766153846164413</v>
      </c>
      <c r="Y826" s="158">
        <f t="shared" si="158"/>
        <v>0.0306461538465765</v>
      </c>
      <c r="Z826" s="158">
        <v>286122.3</v>
      </c>
      <c r="AA826" s="158">
        <f t="shared" si="154"/>
        <v>21914.3</v>
      </c>
      <c r="AB826" s="167">
        <f>IF(O826="返货",(Z826-Q826)/(1+N826),IF(O826="返现",(Z826-Q826),IF(O826="折扣",(Z826-Q826)*N826,IF(O826="无",(Z826-Q826)))))</f>
        <v>216524.711538462</v>
      </c>
      <c r="AC826" s="168">
        <f t="shared" si="155"/>
        <v>69597.5884615385</v>
      </c>
      <c r="AD826" s="158">
        <f>(Z826-Q826)*0.89807640489087</f>
        <v>202233.963888834</v>
      </c>
      <c r="AE826" s="159">
        <v>0.112691732739812</v>
      </c>
      <c r="AF826" s="158">
        <f t="shared" si="162"/>
        <v>22790.0958094733</v>
      </c>
      <c r="AG826" s="158">
        <v>14594.576348755</v>
      </c>
      <c r="AH826" s="175"/>
      <c r="AI826" s="175"/>
      <c r="AJ826" s="157">
        <v>0.04</v>
      </c>
      <c r="AK826" s="177">
        <v>0.04</v>
      </c>
      <c r="AM826" s="152"/>
    </row>
    <row r="827" s="140" customFormat="1" ht="15" hidden="1" customHeight="1" spans="1:39">
      <c r="A827" s="140">
        <v>2017</v>
      </c>
      <c r="B827" s="140" t="s">
        <v>38</v>
      </c>
      <c r="C827" s="140" t="s">
        <v>88</v>
      </c>
      <c r="D827" s="140" t="s">
        <v>128</v>
      </c>
      <c r="E827" s="140" t="s">
        <v>277</v>
      </c>
      <c r="F827" s="140" t="s">
        <v>888</v>
      </c>
      <c r="G827" s="140" t="s">
        <v>888</v>
      </c>
      <c r="H827" s="140" t="s">
        <v>888</v>
      </c>
      <c r="I827" s="140" t="s">
        <v>170</v>
      </c>
      <c r="J827" s="140" t="s">
        <v>868</v>
      </c>
      <c r="K827" s="140" t="s">
        <v>869</v>
      </c>
      <c r="L827" s="140" t="s">
        <v>888</v>
      </c>
      <c r="M827" s="140" t="s">
        <v>46</v>
      </c>
      <c r="N827" s="157">
        <v>0.02</v>
      </c>
      <c r="O827" s="156" t="s">
        <v>51</v>
      </c>
      <c r="P827" s="156"/>
      <c r="Q827" s="158">
        <v>53145.9681539999</v>
      </c>
      <c r="R827" s="158">
        <v>0</v>
      </c>
      <c r="S827" s="158">
        <v>665000</v>
      </c>
      <c r="T827" s="158">
        <f t="shared" si="152"/>
        <v>13300</v>
      </c>
      <c r="U827" s="158">
        <f t="shared" si="156"/>
        <v>678300</v>
      </c>
      <c r="V827" s="158">
        <v>678300</v>
      </c>
      <c r="W827" s="158">
        <f t="shared" si="157"/>
        <v>0</v>
      </c>
      <c r="X827" s="158">
        <f t="shared" si="153"/>
        <v>0</v>
      </c>
      <c r="Y827" s="158">
        <f t="shared" si="158"/>
        <v>0</v>
      </c>
      <c r="Z827" s="158">
        <v>574562.2</v>
      </c>
      <c r="AA827" s="158">
        <f t="shared" si="154"/>
        <v>156883.768154</v>
      </c>
      <c r="AB827" s="167">
        <f>IF(O827="返货",(Z827-Q827)/(1+N827),IF(O827="返现",(Z827-Q827),IF(O827="折扣",(Z827-Q827)*N827,IF(O827="无",(Z827-Q827)))))</f>
        <v>511192.384162745</v>
      </c>
      <c r="AC827" s="168">
        <f t="shared" si="155"/>
        <v>63369.8158372548</v>
      </c>
      <c r="AD827" s="158">
        <f>Z827*0.972201473425119-Q827</f>
        <v>505444.249260378</v>
      </c>
      <c r="AE827" s="159">
        <v>0.1</v>
      </c>
      <c r="AF827" s="158">
        <f t="shared" si="162"/>
        <v>50544.4249260378</v>
      </c>
      <c r="AG827" s="158">
        <v>54569.5529411765</v>
      </c>
      <c r="AH827" s="175"/>
      <c r="AI827" s="175"/>
      <c r="AJ827" s="157">
        <v>0.02</v>
      </c>
      <c r="AK827" s="177">
        <v>0.02</v>
      </c>
      <c r="AM827" s="140" t="s">
        <v>174</v>
      </c>
    </row>
    <row r="828" s="140" customFormat="1" ht="15" hidden="1" customHeight="1" spans="1:39">
      <c r="A828" s="140">
        <v>2017</v>
      </c>
      <c r="B828" s="140" t="s">
        <v>38</v>
      </c>
      <c r="C828" s="140" t="s">
        <v>88</v>
      </c>
      <c r="D828" s="140" t="s">
        <v>128</v>
      </c>
      <c r="E828" s="140" t="s">
        <v>277</v>
      </c>
      <c r="F828" s="140" t="s">
        <v>888</v>
      </c>
      <c r="G828" s="140" t="s">
        <v>888</v>
      </c>
      <c r="H828" s="140" t="s">
        <v>888</v>
      </c>
      <c r="I828" s="140" t="s">
        <v>170</v>
      </c>
      <c r="J828" s="140" t="s">
        <v>868</v>
      </c>
      <c r="K828" s="140" t="s">
        <v>869</v>
      </c>
      <c r="L828" s="140" t="s">
        <v>888</v>
      </c>
      <c r="M828" s="140" t="s">
        <v>185</v>
      </c>
      <c r="N828" s="157">
        <v>0.04</v>
      </c>
      <c r="O828" s="156" t="s">
        <v>51</v>
      </c>
      <c r="P828" s="156"/>
      <c r="Q828" s="158">
        <v>0</v>
      </c>
      <c r="R828" s="158">
        <v>0</v>
      </c>
      <c r="S828" s="158">
        <v>145000</v>
      </c>
      <c r="T828" s="158">
        <f t="shared" si="152"/>
        <v>5800</v>
      </c>
      <c r="U828" s="158">
        <f t="shared" si="156"/>
        <v>150800</v>
      </c>
      <c r="V828" s="158">
        <v>150800</v>
      </c>
      <c r="W828" s="158">
        <f t="shared" si="157"/>
        <v>0</v>
      </c>
      <c r="X828" s="158">
        <f t="shared" si="153"/>
        <v>0</v>
      </c>
      <c r="Y828" s="158">
        <f t="shared" si="158"/>
        <v>0</v>
      </c>
      <c r="Z828" s="158">
        <v>126574.79</v>
      </c>
      <c r="AA828" s="158">
        <f t="shared" si="154"/>
        <v>24225.21</v>
      </c>
      <c r="AB828" s="167">
        <f>IF(O828="返货",Z828/(1+N828),IF(O828="返现",Z828,IF(O828="折扣",Z828*N828,IF(O828="无",Z828))))</f>
        <v>121706.528846154</v>
      </c>
      <c r="AC828" s="168">
        <f t="shared" si="155"/>
        <v>4868.26115384616</v>
      </c>
      <c r="AD828" s="158">
        <f>Z828</f>
        <v>126574.79</v>
      </c>
      <c r="AE828" s="159">
        <v>0.1</v>
      </c>
      <c r="AF828" s="158">
        <f t="shared" si="162"/>
        <v>12657.479</v>
      </c>
      <c r="AG828" s="158">
        <v>9249.89416246154</v>
      </c>
      <c r="AH828" s="175"/>
      <c r="AI828" s="175"/>
      <c r="AJ828" s="157">
        <v>0.04</v>
      </c>
      <c r="AK828" s="177">
        <v>0.04</v>
      </c>
      <c r="AM828" s="140" t="s">
        <v>174</v>
      </c>
    </row>
    <row r="829" s="140" customFormat="1" ht="15" hidden="1" customHeight="1" spans="1:37">
      <c r="A829" s="140">
        <v>2017</v>
      </c>
      <c r="B829" s="140" t="s">
        <v>38</v>
      </c>
      <c r="C829" s="140" t="s">
        <v>88</v>
      </c>
      <c r="D829" s="140" t="s">
        <v>128</v>
      </c>
      <c r="E829" s="140" t="s">
        <v>277</v>
      </c>
      <c r="F829" s="140" t="s">
        <v>601</v>
      </c>
      <c r="G829" s="140" t="s">
        <v>601</v>
      </c>
      <c r="H829" s="140" t="s">
        <v>601</v>
      </c>
      <c r="I829" s="140" t="s">
        <v>170</v>
      </c>
      <c r="J829" s="140" t="s">
        <v>171</v>
      </c>
      <c r="K829" s="140" t="s">
        <v>172</v>
      </c>
      <c r="L829" s="140" t="s">
        <v>601</v>
      </c>
      <c r="M829" s="140" t="s">
        <v>46</v>
      </c>
      <c r="N829" s="157">
        <v>0.02</v>
      </c>
      <c r="O829" s="156" t="s">
        <v>51</v>
      </c>
      <c r="P829" s="156"/>
      <c r="Q829" s="158">
        <v>0</v>
      </c>
      <c r="R829" s="158">
        <v>0</v>
      </c>
      <c r="S829" s="158">
        <v>10000</v>
      </c>
      <c r="T829" s="158">
        <f t="shared" si="152"/>
        <v>200</v>
      </c>
      <c r="U829" s="158">
        <f t="shared" si="156"/>
        <v>10200</v>
      </c>
      <c r="V829" s="158">
        <v>10200</v>
      </c>
      <c r="W829" s="158">
        <f t="shared" si="157"/>
        <v>0</v>
      </c>
      <c r="X829" s="158">
        <f t="shared" si="153"/>
        <v>0</v>
      </c>
      <c r="Y829" s="158">
        <f t="shared" si="158"/>
        <v>0</v>
      </c>
      <c r="Z829" s="158">
        <v>10199.5</v>
      </c>
      <c r="AA829" s="158">
        <f t="shared" si="154"/>
        <v>0.5</v>
      </c>
      <c r="AB829" s="167">
        <f>IF(O829="返货",Z829/(1+N829),IF(O829="返现",Z829,IF(O829="折扣",Z829*N829,IF(O829="无",Z829))))</f>
        <v>9999.50980392157</v>
      </c>
      <c r="AC829" s="168">
        <f t="shared" si="155"/>
        <v>199.990196078432</v>
      </c>
      <c r="AD829" s="158">
        <f>(Z829-Q829)*0.89807640489087</f>
        <v>9159.93029168443</v>
      </c>
      <c r="AE829" s="159">
        <v>0.112691732739812</v>
      </c>
      <c r="AF829" s="158">
        <f t="shared" si="162"/>
        <v>1032.24841634581</v>
      </c>
      <c r="AG829" s="158">
        <v>712.55614633519</v>
      </c>
      <c r="AH829" s="175"/>
      <c r="AI829" s="175"/>
      <c r="AJ829" s="157">
        <v>0.02</v>
      </c>
      <c r="AK829" s="177">
        <v>0.02</v>
      </c>
    </row>
    <row r="830" s="140" customFormat="1" ht="15" hidden="1" customHeight="1" spans="1:39">
      <c r="A830" s="140">
        <v>2017</v>
      </c>
      <c r="B830" s="140" t="s">
        <v>38</v>
      </c>
      <c r="C830" s="140" t="s">
        <v>88</v>
      </c>
      <c r="D830" s="140" t="s">
        <v>128</v>
      </c>
      <c r="E830" s="140" t="s">
        <v>277</v>
      </c>
      <c r="F830" s="140" t="s">
        <v>889</v>
      </c>
      <c r="G830" s="140" t="s">
        <v>889</v>
      </c>
      <c r="H830" s="140" t="s">
        <v>889</v>
      </c>
      <c r="I830" s="140" t="s">
        <v>170</v>
      </c>
      <c r="J830" s="140" t="s">
        <v>868</v>
      </c>
      <c r="K830" s="140" t="s">
        <v>869</v>
      </c>
      <c r="L830" s="140" t="s">
        <v>889</v>
      </c>
      <c r="M830" s="140" t="s">
        <v>46</v>
      </c>
      <c r="N830" s="157">
        <v>0.02</v>
      </c>
      <c r="O830" s="156" t="s">
        <v>51</v>
      </c>
      <c r="P830" s="156"/>
      <c r="Q830" s="158">
        <v>0</v>
      </c>
      <c r="R830" s="158">
        <v>0</v>
      </c>
      <c r="S830" s="158">
        <v>140000</v>
      </c>
      <c r="T830" s="158">
        <f t="shared" si="152"/>
        <v>2800</v>
      </c>
      <c r="U830" s="158">
        <f t="shared" si="156"/>
        <v>142800</v>
      </c>
      <c r="V830" s="158">
        <v>142800</v>
      </c>
      <c r="W830" s="158">
        <f t="shared" si="157"/>
        <v>0</v>
      </c>
      <c r="X830" s="158">
        <f t="shared" si="153"/>
        <v>0</v>
      </c>
      <c r="Y830" s="158">
        <f t="shared" si="158"/>
        <v>0</v>
      </c>
      <c r="Z830" s="158">
        <v>130247.1</v>
      </c>
      <c r="AA830" s="158">
        <f t="shared" si="154"/>
        <v>12552.9</v>
      </c>
      <c r="AB830" s="167">
        <f>IF(O830="返货",Z830/(1+N830),IF(O830="返现",Z830,IF(O830="折扣",Z830*N830,IF(O830="无",Z830))))</f>
        <v>127693.235294118</v>
      </c>
      <c r="AC830" s="168">
        <f t="shared" si="155"/>
        <v>2553.86470588236</v>
      </c>
      <c r="AD830" s="158">
        <f>Z830*0.972201473425119-Q830</f>
        <v>126626.422529349</v>
      </c>
      <c r="AE830" s="159">
        <v>0.1</v>
      </c>
      <c r="AF830" s="158">
        <f t="shared" si="162"/>
        <v>12662.6422529349</v>
      </c>
      <c r="AG830" s="158">
        <v>11301.5856862745</v>
      </c>
      <c r="AH830" s="175"/>
      <c r="AI830" s="175"/>
      <c r="AJ830" s="157">
        <v>0.02</v>
      </c>
      <c r="AK830" s="177">
        <v>0.02</v>
      </c>
      <c r="AM830" s="140" t="s">
        <v>174</v>
      </c>
    </row>
    <row r="831" s="140" customFormat="1" ht="15" hidden="1" customHeight="1" spans="1:39">
      <c r="A831" s="140">
        <v>2017</v>
      </c>
      <c r="B831" s="140" t="s">
        <v>38</v>
      </c>
      <c r="C831" s="140" t="s">
        <v>54</v>
      </c>
      <c r="D831" s="140" t="s">
        <v>102</v>
      </c>
      <c r="E831" s="140" t="s">
        <v>187</v>
      </c>
      <c r="F831" s="140" t="s">
        <v>527</v>
      </c>
      <c r="G831" s="140" t="s">
        <v>527</v>
      </c>
      <c r="H831" s="140" t="s">
        <v>527</v>
      </c>
      <c r="I831" s="152" t="s">
        <v>243</v>
      </c>
      <c r="J831" s="140" t="s">
        <v>244</v>
      </c>
      <c r="K831" s="140" t="s">
        <v>245</v>
      </c>
      <c r="L831" s="140" t="s">
        <v>566</v>
      </c>
      <c r="M831" s="140" t="s">
        <v>46</v>
      </c>
      <c r="N831" s="157">
        <v>0.98</v>
      </c>
      <c r="O831" s="156" t="s">
        <v>259</v>
      </c>
      <c r="P831" s="156"/>
      <c r="Q831" s="158">
        <v>0</v>
      </c>
      <c r="R831" s="158">
        <v>0</v>
      </c>
      <c r="S831" s="158">
        <v>509651.27</v>
      </c>
      <c r="T831" s="158">
        <f t="shared" si="152"/>
        <v>499458.2446</v>
      </c>
      <c r="U831" s="158">
        <f t="shared" si="156"/>
        <v>1009109.5146</v>
      </c>
      <c r="V831" s="158">
        <v>292001</v>
      </c>
      <c r="W831" s="158">
        <f t="shared" si="157"/>
        <v>717108.5146</v>
      </c>
      <c r="X831" s="158">
        <f t="shared" si="153"/>
        <v>362176.017474748</v>
      </c>
      <c r="Y831" s="158">
        <f t="shared" si="158"/>
        <v>354932.497125253</v>
      </c>
      <c r="Z831" s="158">
        <v>347141.4</v>
      </c>
      <c r="AA831" s="158">
        <f t="shared" si="154"/>
        <v>-55140.4</v>
      </c>
      <c r="AB831" s="167">
        <f>IF(O831="返货",Z831/(1+N831),IF(O831="返现",Z831,IF(O831="折扣",Z831*N831,IF(O831="无",Z831))))</f>
        <v>340198.572</v>
      </c>
      <c r="AC831" s="168">
        <f t="shared" si="155"/>
        <v>6942.82799999998</v>
      </c>
      <c r="AD831" s="158">
        <v>290997.371291246</v>
      </c>
      <c r="AE831" s="159">
        <v>0.176470588235294</v>
      </c>
      <c r="AF831" s="158">
        <f t="shared" si="162"/>
        <v>51352.4772866904</v>
      </c>
      <c r="AG831" s="158">
        <f>AB831-Z831+AF831</f>
        <v>44409.6492866905</v>
      </c>
      <c r="AH831" s="175"/>
      <c r="AI831" s="175"/>
      <c r="AJ831" s="156" t="s">
        <v>560</v>
      </c>
      <c r="AK831" s="140" t="s">
        <v>560</v>
      </c>
      <c r="AM831" s="152"/>
    </row>
    <row r="832" s="140" customFormat="1" ht="15" hidden="1" customHeight="1" spans="1:37">
      <c r="A832" s="140">
        <v>2017</v>
      </c>
      <c r="B832" s="140" t="s">
        <v>38</v>
      </c>
      <c r="C832" s="140" t="s">
        <v>75</v>
      </c>
      <c r="D832" s="140" t="s">
        <v>76</v>
      </c>
      <c r="E832" s="140" t="s">
        <v>175</v>
      </c>
      <c r="F832" s="140" t="s">
        <v>176</v>
      </c>
      <c r="G832" s="140" t="s">
        <v>176</v>
      </c>
      <c r="H832" s="140" t="s">
        <v>176</v>
      </c>
      <c r="I832" s="140" t="s">
        <v>165</v>
      </c>
      <c r="J832" s="140" t="s">
        <v>44</v>
      </c>
      <c r="K832" s="140" t="s">
        <v>166</v>
      </c>
      <c r="L832" s="140" t="s">
        <v>177</v>
      </c>
      <c r="M832" s="158" t="s">
        <v>185</v>
      </c>
      <c r="N832" s="156">
        <v>0</v>
      </c>
      <c r="O832" s="156" t="s">
        <v>47</v>
      </c>
      <c r="P832" s="156"/>
      <c r="Q832" s="158">
        <f>Z832-V832</f>
        <v>109115.890454545</v>
      </c>
      <c r="R832" s="158">
        <v>0</v>
      </c>
      <c r="S832" s="158">
        <v>100000</v>
      </c>
      <c r="T832" s="158">
        <f t="shared" si="152"/>
        <v>0</v>
      </c>
      <c r="U832" s="158">
        <f t="shared" si="156"/>
        <v>100000</v>
      </c>
      <c r="V832" s="158">
        <v>100000</v>
      </c>
      <c r="W832" s="158">
        <f t="shared" si="157"/>
        <v>0</v>
      </c>
      <c r="X832" s="158">
        <f t="shared" si="153"/>
        <v>0</v>
      </c>
      <c r="Y832" s="158">
        <f t="shared" si="158"/>
        <v>0</v>
      </c>
      <c r="Z832" s="158">
        <v>209115.890454545</v>
      </c>
      <c r="AA832" s="158">
        <f t="shared" si="154"/>
        <v>0</v>
      </c>
      <c r="AB832" s="167">
        <f>IF(O832="返货",(Z832-Q832)/(1+N832),IF(O832="返现",(Z832-Q832),IF(O832="折扣",(Z832-Q832)*N832,IF(O832="无",(Z832-Q832)))))</f>
        <v>100000</v>
      </c>
      <c r="AC832" s="168">
        <f t="shared" si="155"/>
        <v>109115.890454545</v>
      </c>
      <c r="AD832" s="158">
        <f>209115.890454545-Q832</f>
        <v>100000</v>
      </c>
      <c r="AE832" s="156">
        <v>0</v>
      </c>
      <c r="AF832" s="158">
        <f t="shared" si="162"/>
        <v>0</v>
      </c>
      <c r="AG832" s="158">
        <v>9957.89954545457</v>
      </c>
      <c r="AH832" s="158"/>
      <c r="AI832" s="158"/>
      <c r="AJ832" s="176">
        <v>0</v>
      </c>
      <c r="AK832" s="185">
        <v>0</v>
      </c>
    </row>
    <row r="833" s="140" customFormat="1" ht="15" hidden="1" customHeight="1" spans="1:37">
      <c r="A833" s="140">
        <v>2017</v>
      </c>
      <c r="B833" s="140" t="s">
        <v>38</v>
      </c>
      <c r="C833" s="140" t="s">
        <v>88</v>
      </c>
      <c r="D833" s="140" t="s">
        <v>128</v>
      </c>
      <c r="E833" s="140" t="s">
        <v>194</v>
      </c>
      <c r="F833" s="140" t="s">
        <v>169</v>
      </c>
      <c r="G833" s="140" t="s">
        <v>169</v>
      </c>
      <c r="H833" s="140" t="s">
        <v>169</v>
      </c>
      <c r="I833" s="140" t="s">
        <v>170</v>
      </c>
      <c r="J833" s="140" t="s">
        <v>171</v>
      </c>
      <c r="K833" s="140" t="s">
        <v>172</v>
      </c>
      <c r="L833" s="140" t="s">
        <v>169</v>
      </c>
      <c r="M833" s="140" t="s">
        <v>185</v>
      </c>
      <c r="N833" s="157">
        <v>0.04</v>
      </c>
      <c r="O833" s="156" t="s">
        <v>51</v>
      </c>
      <c r="P833" s="156"/>
      <c r="Q833" s="158">
        <v>0</v>
      </c>
      <c r="R833" s="158">
        <v>0</v>
      </c>
      <c r="S833" s="158">
        <v>20000</v>
      </c>
      <c r="T833" s="158">
        <f t="shared" si="152"/>
        <v>800</v>
      </c>
      <c r="U833" s="158">
        <f t="shared" si="156"/>
        <v>20800</v>
      </c>
      <c r="V833" s="158">
        <v>20800</v>
      </c>
      <c r="W833" s="158">
        <f t="shared" si="157"/>
        <v>0</v>
      </c>
      <c r="X833" s="158">
        <f t="shared" si="153"/>
        <v>0</v>
      </c>
      <c r="Y833" s="158">
        <f t="shared" si="158"/>
        <v>0</v>
      </c>
      <c r="Z833" s="158">
        <v>17944.03</v>
      </c>
      <c r="AA833" s="158">
        <f t="shared" si="154"/>
        <v>2855.97</v>
      </c>
      <c r="AB833" s="167">
        <f t="shared" ref="AB833:AB845" si="163">IF(O833="返货",Z833/(1+N833),IF(O833="返现",Z833,IF(O833="折扣",Z833*N833,IF(O833="无",Z833))))</f>
        <v>17253.875</v>
      </c>
      <c r="AC833" s="168">
        <f t="shared" si="155"/>
        <v>690.154999999999</v>
      </c>
      <c r="AD833" s="158">
        <f>(Z833-Q833)*0.91072157793815</f>
        <v>16342.0153161695</v>
      </c>
      <c r="AE833" s="159">
        <v>0.112691732739812</v>
      </c>
      <c r="AF833" s="158">
        <f t="shared" si="162"/>
        <v>1841.61002243969</v>
      </c>
      <c r="AG833" s="158">
        <v>915.292222379559</v>
      </c>
      <c r="AH833" s="175"/>
      <c r="AI833" s="175"/>
      <c r="AJ833" s="156" t="s">
        <v>186</v>
      </c>
      <c r="AK833" s="140" t="s">
        <v>186</v>
      </c>
    </row>
    <row r="834" s="140" customFormat="1" ht="15" hidden="1" customHeight="1" spans="1:37">
      <c r="A834" s="140">
        <v>2017</v>
      </c>
      <c r="B834" s="140" t="s">
        <v>38</v>
      </c>
      <c r="C834" s="140" t="s">
        <v>59</v>
      </c>
      <c r="D834" s="140" t="s">
        <v>181</v>
      </c>
      <c r="E834" s="140" t="s">
        <v>67</v>
      </c>
      <c r="F834" s="140" t="s">
        <v>350</v>
      </c>
      <c r="G834" s="140" t="s">
        <v>350</v>
      </c>
      <c r="H834" s="140" t="s">
        <v>350</v>
      </c>
      <c r="I834" s="140" t="s">
        <v>170</v>
      </c>
      <c r="J834" s="140" t="s">
        <v>171</v>
      </c>
      <c r="K834" s="140" t="s">
        <v>172</v>
      </c>
      <c r="L834" s="140" t="s">
        <v>740</v>
      </c>
      <c r="M834" s="140" t="s">
        <v>46</v>
      </c>
      <c r="N834" s="157">
        <v>0.02</v>
      </c>
      <c r="O834" s="156" t="s">
        <v>51</v>
      </c>
      <c r="P834" s="156"/>
      <c r="Q834" s="163">
        <v>88483</v>
      </c>
      <c r="R834" s="158">
        <v>0</v>
      </c>
      <c r="S834" s="158">
        <v>2700000</v>
      </c>
      <c r="T834" s="158">
        <f t="shared" ref="T834:T897" si="164">S834*N834</f>
        <v>54000</v>
      </c>
      <c r="U834" s="158">
        <f t="shared" si="156"/>
        <v>2754000</v>
      </c>
      <c r="V834" s="158">
        <v>2740301.54</v>
      </c>
      <c r="W834" s="158">
        <f t="shared" si="157"/>
        <v>13698.46</v>
      </c>
      <c r="X834" s="158">
        <f t="shared" ref="X834:X897" si="165">W834/(1+N834)</f>
        <v>13429.862745098</v>
      </c>
      <c r="Y834" s="158">
        <f t="shared" si="158"/>
        <v>268.597254901961</v>
      </c>
      <c r="Z834" s="158">
        <v>2786853.5</v>
      </c>
      <c r="AA834" s="158">
        <f t="shared" ref="AA834:AA897" si="166">Q834+V834-Z834</f>
        <v>41931.04</v>
      </c>
      <c r="AB834" s="167">
        <f>IF(O834="返货",(Z834-Q834)/(1+N834),IF(O834="返现",(Z834-Q834),IF(O834="折扣",(Z834-Q834)*N834,IF(O834="无",(Z834-Q834)))))</f>
        <v>2645461.2745098</v>
      </c>
      <c r="AC834" s="168">
        <f t="shared" ref="AC834:AC897" si="167">IF(O834="返现",Z834*N834,Z834-AB834)</f>
        <v>141392.225490196</v>
      </c>
      <c r="AD834" s="158">
        <f>(Z834-Q834)*0.89807640489087</f>
        <v>2423342.87770358</v>
      </c>
      <c r="AE834" s="159">
        <v>0.112691732739812</v>
      </c>
      <c r="AF834" s="158">
        <f t="shared" si="162"/>
        <v>273090.707911099</v>
      </c>
      <c r="AG834" s="158">
        <v>194694.797819573</v>
      </c>
      <c r="AH834" s="175"/>
      <c r="AI834" s="175"/>
      <c r="AJ834" s="156" t="s">
        <v>173</v>
      </c>
      <c r="AK834" s="140" t="s">
        <v>173</v>
      </c>
    </row>
    <row r="835" s="140" customFormat="1" ht="15" hidden="1" customHeight="1" spans="1:36">
      <c r="A835" s="140">
        <v>2017</v>
      </c>
      <c r="B835" s="140" t="s">
        <v>38</v>
      </c>
      <c r="C835" s="140" t="s">
        <v>59</v>
      </c>
      <c r="D835" s="140" t="s">
        <v>106</v>
      </c>
      <c r="E835" s="140" t="s">
        <v>239</v>
      </c>
      <c r="F835" s="140" t="s">
        <v>240</v>
      </c>
      <c r="G835" s="140" t="s">
        <v>240</v>
      </c>
      <c r="H835" s="140" t="s">
        <v>240</v>
      </c>
      <c r="I835" s="140" t="s">
        <v>227</v>
      </c>
      <c r="J835" s="140" t="s">
        <v>228</v>
      </c>
      <c r="K835" s="140" t="s">
        <v>229</v>
      </c>
      <c r="L835" s="140" t="s">
        <v>240</v>
      </c>
      <c r="M835" s="158" t="s">
        <v>185</v>
      </c>
      <c r="N835" s="157">
        <v>0.08</v>
      </c>
      <c r="O835" s="156" t="s">
        <v>51</v>
      </c>
      <c r="P835" s="156"/>
      <c r="Q835" s="158">
        <v>0</v>
      </c>
      <c r="R835" s="158">
        <v>0</v>
      </c>
      <c r="S835" s="158">
        <v>13822.16</v>
      </c>
      <c r="T835" s="158">
        <f t="shared" si="164"/>
        <v>1105.7728</v>
      </c>
      <c r="U835" s="158">
        <f t="shared" ref="U835:U898" si="168">R835+S835+T835</f>
        <v>14927.9328</v>
      </c>
      <c r="V835" s="158">
        <v>13822.16</v>
      </c>
      <c r="W835" s="158">
        <f t="shared" ref="W835:W898" si="169">U835-V835</f>
        <v>1105.7728</v>
      </c>
      <c r="X835" s="158">
        <f t="shared" si="165"/>
        <v>1023.8637037037</v>
      </c>
      <c r="Y835" s="158">
        <f t="shared" ref="Y835:Y898" si="170">W835-X835</f>
        <v>81.9090962962964</v>
      </c>
      <c r="Z835" s="158">
        <v>45027.01</v>
      </c>
      <c r="AA835" s="158">
        <f t="shared" si="166"/>
        <v>-31204.85</v>
      </c>
      <c r="AB835" s="167">
        <f t="shared" si="163"/>
        <v>41691.6759259259</v>
      </c>
      <c r="AC835" s="168">
        <f t="shared" si="167"/>
        <v>3335.33407407408</v>
      </c>
      <c r="AD835" s="158">
        <v>45027.01</v>
      </c>
      <c r="AE835" s="156">
        <v>0.09</v>
      </c>
      <c r="AF835" s="158">
        <f t="shared" si="162"/>
        <v>4052.4309</v>
      </c>
      <c r="AG835" s="158"/>
      <c r="AH835" s="158"/>
      <c r="AI835" s="158"/>
      <c r="AJ835" s="156" t="s">
        <v>53</v>
      </c>
    </row>
    <row r="836" s="140" customFormat="1" ht="15" hidden="1" customHeight="1" spans="1:37">
      <c r="A836" s="140">
        <v>2017</v>
      </c>
      <c r="B836" s="140" t="s">
        <v>38</v>
      </c>
      <c r="C836" s="140" t="s">
        <v>88</v>
      </c>
      <c r="D836" s="140" t="s">
        <v>128</v>
      </c>
      <c r="E836" s="140" t="s">
        <v>194</v>
      </c>
      <c r="F836" s="140" t="s">
        <v>890</v>
      </c>
      <c r="G836" s="140" t="s">
        <v>890</v>
      </c>
      <c r="H836" s="140" t="s">
        <v>890</v>
      </c>
      <c r="I836" s="140" t="s">
        <v>170</v>
      </c>
      <c r="J836" s="140" t="s">
        <v>171</v>
      </c>
      <c r="K836" s="140" t="s">
        <v>172</v>
      </c>
      <c r="L836" s="140" t="s">
        <v>890</v>
      </c>
      <c r="M836" s="140" t="s">
        <v>46</v>
      </c>
      <c r="N836" s="157">
        <v>0.02</v>
      </c>
      <c r="O836" s="156" t="s">
        <v>51</v>
      </c>
      <c r="P836" s="156"/>
      <c r="Q836" s="158">
        <v>0</v>
      </c>
      <c r="R836" s="158">
        <v>0</v>
      </c>
      <c r="S836" s="158">
        <v>300000</v>
      </c>
      <c r="T836" s="158">
        <f t="shared" si="164"/>
        <v>6000</v>
      </c>
      <c r="U836" s="158">
        <f t="shared" si="168"/>
        <v>306000</v>
      </c>
      <c r="V836" s="158">
        <v>285600</v>
      </c>
      <c r="W836" s="158">
        <f t="shared" si="169"/>
        <v>20400</v>
      </c>
      <c r="X836" s="158">
        <f t="shared" si="165"/>
        <v>20000</v>
      </c>
      <c r="Y836" s="158">
        <f t="shared" si="170"/>
        <v>400</v>
      </c>
      <c r="Z836" s="158">
        <v>285599.3</v>
      </c>
      <c r="AA836" s="158">
        <f t="shared" si="166"/>
        <v>0.700000000011642</v>
      </c>
      <c r="AB836" s="167">
        <f t="shared" si="163"/>
        <v>279999.31372549</v>
      </c>
      <c r="AC836" s="168">
        <f t="shared" si="167"/>
        <v>5599.98627450981</v>
      </c>
      <c r="AD836" s="158">
        <f t="shared" ref="AD836:AD837" si="171">(Z836-Q836)*0.89807640489087</f>
        <v>256489.992583349</v>
      </c>
      <c r="AE836" s="159">
        <v>0.112691732739812</v>
      </c>
      <c r="AF836" s="158">
        <f t="shared" si="162"/>
        <v>28904.3016946391</v>
      </c>
      <c r="AG836" s="158">
        <v>19952.5012602606</v>
      </c>
      <c r="AH836" s="175"/>
      <c r="AI836" s="175"/>
      <c r="AJ836" s="157">
        <v>0.02</v>
      </c>
      <c r="AK836" s="177">
        <v>0.02</v>
      </c>
    </row>
    <row r="837" s="140" customFormat="1" ht="15" hidden="1" customHeight="1" spans="1:37">
      <c r="A837" s="140">
        <v>2017</v>
      </c>
      <c r="B837" s="140" t="s">
        <v>38</v>
      </c>
      <c r="C837" s="140" t="s">
        <v>88</v>
      </c>
      <c r="D837" s="140" t="s">
        <v>95</v>
      </c>
      <c r="E837" s="140" t="s">
        <v>194</v>
      </c>
      <c r="F837" s="140" t="s">
        <v>209</v>
      </c>
      <c r="G837" s="140" t="s">
        <v>209</v>
      </c>
      <c r="H837" s="140" t="s">
        <v>209</v>
      </c>
      <c r="I837" s="140" t="s">
        <v>170</v>
      </c>
      <c r="J837" s="140" t="s">
        <v>171</v>
      </c>
      <c r="K837" s="140" t="s">
        <v>172</v>
      </c>
      <c r="L837" s="140" t="s">
        <v>209</v>
      </c>
      <c r="M837" s="140" t="s">
        <v>46</v>
      </c>
      <c r="N837" s="157">
        <v>0.02</v>
      </c>
      <c r="O837" s="156" t="s">
        <v>51</v>
      </c>
      <c r="P837" s="156"/>
      <c r="Q837" s="158">
        <v>0</v>
      </c>
      <c r="R837" s="158">
        <v>0</v>
      </c>
      <c r="S837" s="158">
        <v>1220000</v>
      </c>
      <c r="T837" s="158">
        <f t="shared" si="164"/>
        <v>24400</v>
      </c>
      <c r="U837" s="158">
        <f t="shared" si="168"/>
        <v>1244400</v>
      </c>
      <c r="V837" s="158">
        <v>1018400</v>
      </c>
      <c r="W837" s="158">
        <f t="shared" si="169"/>
        <v>226000</v>
      </c>
      <c r="X837" s="158">
        <f t="shared" si="165"/>
        <v>221568.62745098</v>
      </c>
      <c r="Y837" s="158">
        <f t="shared" si="170"/>
        <v>4431.37254901961</v>
      </c>
      <c r="Z837" s="158">
        <v>932029.2</v>
      </c>
      <c r="AA837" s="158">
        <f t="shared" si="166"/>
        <v>86370.8</v>
      </c>
      <c r="AB837" s="167">
        <f t="shared" si="163"/>
        <v>913754.117647059</v>
      </c>
      <c r="AC837" s="168">
        <f t="shared" si="167"/>
        <v>18275.0823529412</v>
      </c>
      <c r="AD837" s="158">
        <f t="shared" si="171"/>
        <v>837033.433189314</v>
      </c>
      <c r="AE837" s="159">
        <v>0.112691732739812</v>
      </c>
      <c r="AF837" s="158">
        <f t="shared" si="162"/>
        <v>94326.7479472574</v>
      </c>
      <c r="AG837" s="158">
        <v>65113.3031054336</v>
      </c>
      <c r="AH837" s="175"/>
      <c r="AI837" s="175"/>
      <c r="AJ837" s="156" t="s">
        <v>173</v>
      </c>
      <c r="AK837" s="140" t="s">
        <v>173</v>
      </c>
    </row>
    <row r="838" s="140" customFormat="1" ht="15" hidden="1" customHeight="1" spans="1:39">
      <c r="A838" s="140">
        <v>2017</v>
      </c>
      <c r="B838" s="140" t="s">
        <v>38</v>
      </c>
      <c r="C838" s="140" t="s">
        <v>88</v>
      </c>
      <c r="D838" s="140" t="s">
        <v>95</v>
      </c>
      <c r="E838" s="140" t="s">
        <v>194</v>
      </c>
      <c r="F838" s="140" t="s">
        <v>143</v>
      </c>
      <c r="G838" s="140" t="s">
        <v>143</v>
      </c>
      <c r="H838" s="140" t="s">
        <v>143</v>
      </c>
      <c r="I838" s="140" t="s">
        <v>170</v>
      </c>
      <c r="J838" s="140" t="s">
        <v>605</v>
      </c>
      <c r="K838" s="140" t="s">
        <v>886</v>
      </c>
      <c r="L838" s="140" t="s">
        <v>143</v>
      </c>
      <c r="M838" s="140" t="s">
        <v>46</v>
      </c>
      <c r="N838" s="157">
        <v>0.02</v>
      </c>
      <c r="O838" s="156" t="s">
        <v>51</v>
      </c>
      <c r="P838" s="156"/>
      <c r="Q838" s="158">
        <v>0</v>
      </c>
      <c r="R838" s="158">
        <v>0</v>
      </c>
      <c r="S838" s="158">
        <v>80000</v>
      </c>
      <c r="T838" s="158">
        <f t="shared" si="164"/>
        <v>1600</v>
      </c>
      <c r="U838" s="158">
        <f t="shared" si="168"/>
        <v>81600</v>
      </c>
      <c r="V838" s="158">
        <v>81600</v>
      </c>
      <c r="W838" s="158">
        <f t="shared" si="169"/>
        <v>0</v>
      </c>
      <c r="X838" s="158">
        <f t="shared" si="165"/>
        <v>0</v>
      </c>
      <c r="Y838" s="158">
        <f t="shared" si="170"/>
        <v>0</v>
      </c>
      <c r="Z838" s="158">
        <v>90213.6</v>
      </c>
      <c r="AA838" s="158">
        <f t="shared" si="166"/>
        <v>-8613.60000000001</v>
      </c>
      <c r="AB838" s="167">
        <f t="shared" si="163"/>
        <v>88444.705882353</v>
      </c>
      <c r="AC838" s="168">
        <f t="shared" si="167"/>
        <v>1768.89411764705</v>
      </c>
      <c r="AD838" s="158">
        <v>90213.6</v>
      </c>
      <c r="AE838" s="159">
        <v>0.1</v>
      </c>
      <c r="AF838" s="158">
        <f t="shared" si="162"/>
        <v>9021.36</v>
      </c>
      <c r="AG838" s="158">
        <v>0</v>
      </c>
      <c r="AH838" s="175"/>
      <c r="AI838" s="175"/>
      <c r="AJ838" s="156" t="s">
        <v>891</v>
      </c>
      <c r="AK838" s="140" t="s">
        <v>891</v>
      </c>
      <c r="AM838" s="140" t="s">
        <v>174</v>
      </c>
    </row>
    <row r="839" s="140" customFormat="1" ht="15" hidden="1" customHeight="1" spans="1:39">
      <c r="A839" s="140">
        <v>2017</v>
      </c>
      <c r="B839" s="140" t="s">
        <v>38</v>
      </c>
      <c r="C839" s="140" t="s">
        <v>88</v>
      </c>
      <c r="D839" s="140" t="s">
        <v>95</v>
      </c>
      <c r="E839" s="140" t="s">
        <v>194</v>
      </c>
      <c r="F839" s="140" t="s">
        <v>143</v>
      </c>
      <c r="G839" s="140" t="s">
        <v>143</v>
      </c>
      <c r="H839" s="140" t="s">
        <v>143</v>
      </c>
      <c r="I839" s="140" t="s">
        <v>170</v>
      </c>
      <c r="J839" s="140" t="s">
        <v>868</v>
      </c>
      <c r="K839" s="140" t="s">
        <v>869</v>
      </c>
      <c r="L839" s="140" t="s">
        <v>143</v>
      </c>
      <c r="M839" s="140" t="s">
        <v>46</v>
      </c>
      <c r="N839" s="157">
        <v>0.02</v>
      </c>
      <c r="O839" s="156" t="s">
        <v>51</v>
      </c>
      <c r="P839" s="156"/>
      <c r="Q839" s="158">
        <v>0</v>
      </c>
      <c r="R839" s="158">
        <v>0</v>
      </c>
      <c r="S839" s="158">
        <v>30000</v>
      </c>
      <c r="T839" s="158">
        <f t="shared" si="164"/>
        <v>600</v>
      </c>
      <c r="U839" s="158">
        <f t="shared" si="168"/>
        <v>30600</v>
      </c>
      <c r="V839" s="158">
        <v>30600</v>
      </c>
      <c r="W839" s="158">
        <f t="shared" si="169"/>
        <v>0</v>
      </c>
      <c r="X839" s="158">
        <f t="shared" si="165"/>
        <v>0</v>
      </c>
      <c r="Y839" s="158">
        <f t="shared" si="170"/>
        <v>0</v>
      </c>
      <c r="Z839" s="158">
        <v>0</v>
      </c>
      <c r="AA839" s="158">
        <f t="shared" si="166"/>
        <v>30600</v>
      </c>
      <c r="AB839" s="167">
        <f t="shared" si="163"/>
        <v>0</v>
      </c>
      <c r="AC839" s="168">
        <f t="shared" si="167"/>
        <v>0</v>
      </c>
      <c r="AD839" s="158">
        <f>Z839*0.972201473425119-Q839</f>
        <v>0</v>
      </c>
      <c r="AE839" s="159">
        <v>0.1</v>
      </c>
      <c r="AF839" s="158">
        <f t="shared" si="162"/>
        <v>0</v>
      </c>
      <c r="AG839" s="158">
        <v>7252.46588235295</v>
      </c>
      <c r="AH839" s="175"/>
      <c r="AI839" s="175"/>
      <c r="AJ839" s="157">
        <v>0.02</v>
      </c>
      <c r="AK839" s="177">
        <v>0.02</v>
      </c>
      <c r="AM839" s="140" t="s">
        <v>174</v>
      </c>
    </row>
    <row r="840" s="140" customFormat="1" ht="15" hidden="1" customHeight="1" spans="1:39">
      <c r="A840" s="140">
        <v>2017</v>
      </c>
      <c r="B840" s="140" t="s">
        <v>38</v>
      </c>
      <c r="C840" s="140" t="s">
        <v>54</v>
      </c>
      <c r="D840" s="140" t="s">
        <v>102</v>
      </c>
      <c r="E840" s="140" t="s">
        <v>103</v>
      </c>
      <c r="F840" s="140" t="s">
        <v>531</v>
      </c>
      <c r="G840" s="140" t="s">
        <v>532</v>
      </c>
      <c r="H840" s="140" t="s">
        <v>532</v>
      </c>
      <c r="I840" s="152" t="s">
        <v>243</v>
      </c>
      <c r="J840" s="140" t="s">
        <v>244</v>
      </c>
      <c r="K840" s="140" t="s">
        <v>245</v>
      </c>
      <c r="L840" s="140" t="s">
        <v>531</v>
      </c>
      <c r="M840" s="140" t="s">
        <v>46</v>
      </c>
      <c r="N840" s="156">
        <v>0</v>
      </c>
      <c r="O840" s="156" t="s">
        <v>47</v>
      </c>
      <c r="P840" s="156"/>
      <c r="Q840" s="158">
        <v>0</v>
      </c>
      <c r="R840" s="158">
        <v>0</v>
      </c>
      <c r="S840" s="158">
        <v>1170000</v>
      </c>
      <c r="T840" s="158">
        <f t="shared" si="164"/>
        <v>0</v>
      </c>
      <c r="U840" s="158">
        <f t="shared" si="168"/>
        <v>1170000</v>
      </c>
      <c r="V840" s="158">
        <v>999637.5</v>
      </c>
      <c r="W840" s="158">
        <f t="shared" si="169"/>
        <v>170362.5</v>
      </c>
      <c r="X840" s="158">
        <f t="shared" si="165"/>
        <v>170362.5</v>
      </c>
      <c r="Y840" s="158">
        <f t="shared" si="170"/>
        <v>0</v>
      </c>
      <c r="Z840" s="158">
        <v>1043968.5</v>
      </c>
      <c r="AA840" s="158">
        <f t="shared" si="166"/>
        <v>-44331</v>
      </c>
      <c r="AB840" s="167">
        <f t="shared" si="163"/>
        <v>1043968.5</v>
      </c>
      <c r="AC840" s="168">
        <f t="shared" si="167"/>
        <v>0</v>
      </c>
      <c r="AD840" s="158">
        <v>875124.918004207</v>
      </c>
      <c r="AE840" s="159">
        <v>0.176470588235294</v>
      </c>
      <c r="AF840" s="158">
        <f t="shared" si="162"/>
        <v>154433.809059566</v>
      </c>
      <c r="AG840" s="158">
        <f>AB840-Z840+AF840</f>
        <v>154433.809059566</v>
      </c>
      <c r="AH840" s="175"/>
      <c r="AI840" s="175"/>
      <c r="AJ840" s="156" t="s">
        <v>47</v>
      </c>
      <c r="AK840" s="140" t="s">
        <v>47</v>
      </c>
      <c r="AM840" s="152"/>
    </row>
    <row r="841" s="140" customFormat="1" ht="15" hidden="1" customHeight="1" spans="1:37">
      <c r="A841" s="140">
        <v>2017</v>
      </c>
      <c r="B841" s="140" t="s">
        <v>38</v>
      </c>
      <c r="C841" s="140" t="s">
        <v>110</v>
      </c>
      <c r="D841" s="140" t="s">
        <v>111</v>
      </c>
      <c r="E841" s="140" t="s">
        <v>112</v>
      </c>
      <c r="F841" s="140" t="s">
        <v>632</v>
      </c>
      <c r="G841" s="140" t="s">
        <v>632</v>
      </c>
      <c r="H841" s="140" t="s">
        <v>632</v>
      </c>
      <c r="I841" s="140" t="s">
        <v>170</v>
      </c>
      <c r="J841" s="140" t="s">
        <v>171</v>
      </c>
      <c r="K841" s="140" t="s">
        <v>172</v>
      </c>
      <c r="L841" s="140" t="s">
        <v>632</v>
      </c>
      <c r="M841" s="140" t="s">
        <v>46</v>
      </c>
      <c r="N841" s="157">
        <v>0.04</v>
      </c>
      <c r="O841" s="156" t="s">
        <v>51</v>
      </c>
      <c r="P841" s="156"/>
      <c r="Q841" s="158">
        <v>0</v>
      </c>
      <c r="R841" s="158">
        <v>0</v>
      </c>
      <c r="S841" s="158">
        <v>1338431.8</v>
      </c>
      <c r="T841" s="158">
        <f t="shared" si="164"/>
        <v>53537.272</v>
      </c>
      <c r="U841" s="158">
        <f t="shared" si="168"/>
        <v>1391969.072</v>
      </c>
      <c r="V841" s="158">
        <v>1391967</v>
      </c>
      <c r="W841" s="158">
        <f t="shared" si="169"/>
        <v>2.07200000016019</v>
      </c>
      <c r="X841" s="158">
        <f t="shared" si="165"/>
        <v>1.99230769246172</v>
      </c>
      <c r="Y841" s="158">
        <f t="shared" si="170"/>
        <v>0.0796923076984688</v>
      </c>
      <c r="Z841" s="158">
        <v>1357853.3</v>
      </c>
      <c r="AA841" s="158">
        <f t="shared" si="166"/>
        <v>34113.7</v>
      </c>
      <c r="AB841" s="167">
        <f t="shared" si="163"/>
        <v>1305628.17307692</v>
      </c>
      <c r="AC841" s="168">
        <f t="shared" si="167"/>
        <v>52225.126923077</v>
      </c>
      <c r="AD841" s="158">
        <f t="shared" ref="AD841:AD843" si="172">(Z841-Q841)*0.89807640489087</f>
        <v>1219456.0100332</v>
      </c>
      <c r="AE841" s="159">
        <v>0.112691732739812</v>
      </c>
      <c r="AF841" s="158">
        <f t="shared" si="162"/>
        <v>137422.610770619</v>
      </c>
      <c r="AG841" s="158">
        <v>0</v>
      </c>
      <c r="AH841" s="175"/>
      <c r="AI841" s="175"/>
      <c r="AJ841" s="157">
        <v>0.04</v>
      </c>
      <c r="AK841" s="177">
        <v>0.04</v>
      </c>
    </row>
    <row r="842" s="140" customFormat="1" ht="15" hidden="1" customHeight="1" spans="1:37">
      <c r="A842" s="140">
        <v>2017</v>
      </c>
      <c r="B842" s="140" t="s">
        <v>252</v>
      </c>
      <c r="C842" s="140" t="s">
        <v>110</v>
      </c>
      <c r="D842" s="140" t="s">
        <v>111</v>
      </c>
      <c r="E842" s="140" t="s">
        <v>112</v>
      </c>
      <c r="F842" s="140" t="s">
        <v>892</v>
      </c>
      <c r="G842" s="140" t="s">
        <v>893</v>
      </c>
      <c r="H842" s="140" t="s">
        <v>893</v>
      </c>
      <c r="I842" s="140" t="s">
        <v>170</v>
      </c>
      <c r="J842" s="140" t="s">
        <v>171</v>
      </c>
      <c r="K842" s="140" t="s">
        <v>172</v>
      </c>
      <c r="L842" s="140" t="s">
        <v>894</v>
      </c>
      <c r="M842" s="140" t="s">
        <v>46</v>
      </c>
      <c r="N842" s="157">
        <v>0.02</v>
      </c>
      <c r="O842" s="156" t="s">
        <v>51</v>
      </c>
      <c r="P842" s="156"/>
      <c r="Q842" s="158">
        <v>0</v>
      </c>
      <c r="R842" s="158">
        <v>0</v>
      </c>
      <c r="S842" s="158">
        <v>238985.78</v>
      </c>
      <c r="T842" s="158">
        <f t="shared" si="164"/>
        <v>4779.7156</v>
      </c>
      <c r="U842" s="158">
        <f t="shared" si="168"/>
        <v>243765.4956</v>
      </c>
      <c r="V842" s="158">
        <v>243762.5</v>
      </c>
      <c r="W842" s="158">
        <f t="shared" si="169"/>
        <v>2.99559999999474</v>
      </c>
      <c r="X842" s="158">
        <f t="shared" si="165"/>
        <v>2.93686274509288</v>
      </c>
      <c r="Y842" s="158">
        <f t="shared" si="170"/>
        <v>0.0587372549018577</v>
      </c>
      <c r="Z842" s="158">
        <v>197166.3</v>
      </c>
      <c r="AA842" s="158">
        <f t="shared" si="166"/>
        <v>46596.2</v>
      </c>
      <c r="AB842" s="167">
        <f t="shared" si="163"/>
        <v>193300.294117647</v>
      </c>
      <c r="AC842" s="168">
        <f t="shared" si="167"/>
        <v>3866.00588235294</v>
      </c>
      <c r="AD842" s="158">
        <f t="shared" si="172"/>
        <v>177070.401869635</v>
      </c>
      <c r="AE842" s="159">
        <v>0.112691732739812</v>
      </c>
      <c r="AF842" s="158">
        <f t="shared" si="162"/>
        <v>19954.370403624</v>
      </c>
      <c r="AG842" s="158">
        <v>13774.406482197</v>
      </c>
      <c r="AH842" s="175"/>
      <c r="AI842" s="175"/>
      <c r="AJ842" s="156" t="s">
        <v>173</v>
      </c>
      <c r="AK842" s="140" t="s">
        <v>173</v>
      </c>
    </row>
    <row r="843" s="140" customFormat="1" ht="15" hidden="1" customHeight="1" spans="1:37">
      <c r="A843" s="140">
        <v>2017</v>
      </c>
      <c r="B843" s="140" t="s">
        <v>38</v>
      </c>
      <c r="C843" s="140" t="s">
        <v>110</v>
      </c>
      <c r="D843" s="140" t="s">
        <v>111</v>
      </c>
      <c r="E843" s="140" t="s">
        <v>112</v>
      </c>
      <c r="F843" s="140" t="s">
        <v>895</v>
      </c>
      <c r="G843" s="140" t="s">
        <v>895</v>
      </c>
      <c r="H843" s="140" t="s">
        <v>895</v>
      </c>
      <c r="I843" s="140" t="s">
        <v>170</v>
      </c>
      <c r="J843" s="140" t="s">
        <v>171</v>
      </c>
      <c r="K843" s="140" t="s">
        <v>172</v>
      </c>
      <c r="L843" s="140" t="s">
        <v>895</v>
      </c>
      <c r="M843" s="140" t="s">
        <v>46</v>
      </c>
      <c r="N843" s="156">
        <v>0.06</v>
      </c>
      <c r="O843" s="156" t="s">
        <v>51</v>
      </c>
      <c r="P843" s="156"/>
      <c r="Q843" s="158">
        <v>0</v>
      </c>
      <c r="R843" s="158">
        <v>0</v>
      </c>
      <c r="S843" s="158">
        <v>50000</v>
      </c>
      <c r="T843" s="158">
        <f t="shared" si="164"/>
        <v>3000</v>
      </c>
      <c r="U843" s="158">
        <f t="shared" si="168"/>
        <v>53000</v>
      </c>
      <c r="V843" s="158">
        <v>389249.9</v>
      </c>
      <c r="W843" s="158">
        <f t="shared" si="169"/>
        <v>-336249.9</v>
      </c>
      <c r="X843" s="158">
        <f t="shared" si="165"/>
        <v>-317216.886792453</v>
      </c>
      <c r="Y843" s="158">
        <f t="shared" si="170"/>
        <v>-19033.0132075472</v>
      </c>
      <c r="Z843" s="158">
        <v>389249.1</v>
      </c>
      <c r="AA843" s="158">
        <f t="shared" si="166"/>
        <v>0.800000000046566</v>
      </c>
      <c r="AB843" s="167">
        <f t="shared" si="163"/>
        <v>367216.132075472</v>
      </c>
      <c r="AC843" s="168">
        <f t="shared" si="167"/>
        <v>22032.9679245283</v>
      </c>
      <c r="AD843" s="158">
        <f t="shared" si="172"/>
        <v>349575.432335007</v>
      </c>
      <c r="AE843" s="159">
        <v>0.112691732739812</v>
      </c>
      <c r="AF843" s="158">
        <f t="shared" si="162"/>
        <v>39394.2611931008</v>
      </c>
      <c r="AG843" s="158">
        <v>12793.0375162084</v>
      </c>
      <c r="AH843" s="175"/>
      <c r="AI843" s="175"/>
      <c r="AJ843" s="156" t="s">
        <v>193</v>
      </c>
      <c r="AK843" s="140" t="s">
        <v>193</v>
      </c>
    </row>
    <row r="844" s="140" customFormat="1" ht="15" hidden="1" customHeight="1" spans="1:37">
      <c r="A844" s="140">
        <v>2017</v>
      </c>
      <c r="B844" s="140" t="s">
        <v>38</v>
      </c>
      <c r="C844" s="140" t="s">
        <v>110</v>
      </c>
      <c r="D844" s="140" t="s">
        <v>111</v>
      </c>
      <c r="E844" s="140" t="s">
        <v>112</v>
      </c>
      <c r="F844" s="140" t="s">
        <v>147</v>
      </c>
      <c r="G844" s="140" t="s">
        <v>147</v>
      </c>
      <c r="H844" s="140" t="s">
        <v>147</v>
      </c>
      <c r="I844" s="140" t="s">
        <v>170</v>
      </c>
      <c r="J844" s="140" t="s">
        <v>171</v>
      </c>
      <c r="K844" s="140" t="s">
        <v>172</v>
      </c>
      <c r="L844" s="140" t="s">
        <v>147</v>
      </c>
      <c r="M844" s="140" t="s">
        <v>185</v>
      </c>
      <c r="N844" s="156">
        <v>0.06</v>
      </c>
      <c r="O844" s="156" t="s">
        <v>51</v>
      </c>
      <c r="P844" s="156"/>
      <c r="Q844" s="158">
        <v>0</v>
      </c>
      <c r="R844" s="158">
        <v>0</v>
      </c>
      <c r="S844" s="158">
        <v>30000</v>
      </c>
      <c r="T844" s="158">
        <f t="shared" si="164"/>
        <v>1800</v>
      </c>
      <c r="U844" s="158">
        <f t="shared" si="168"/>
        <v>31800</v>
      </c>
      <c r="V844" s="158">
        <v>15607.9</v>
      </c>
      <c r="W844" s="158">
        <f t="shared" si="169"/>
        <v>16192.1</v>
      </c>
      <c r="X844" s="158">
        <f t="shared" si="165"/>
        <v>15275.5660377358</v>
      </c>
      <c r="Y844" s="158">
        <f t="shared" si="170"/>
        <v>916.533962264151</v>
      </c>
      <c r="Z844" s="158">
        <v>15607.9</v>
      </c>
      <c r="AA844" s="158">
        <f t="shared" si="166"/>
        <v>0</v>
      </c>
      <c r="AB844" s="167">
        <f t="shared" si="163"/>
        <v>14724.4339622641</v>
      </c>
      <c r="AC844" s="168">
        <f t="shared" si="167"/>
        <v>883.46603773585</v>
      </c>
      <c r="AD844" s="158">
        <f>(Z844-Q844)*0.91072157793815</f>
        <v>14214.4513163009</v>
      </c>
      <c r="AE844" s="159">
        <v>0.112691732739812</v>
      </c>
      <c r="AF844" s="158">
        <f t="shared" si="162"/>
        <v>1601.85114877964</v>
      </c>
      <c r="AG844" s="158">
        <v>512.968302943356</v>
      </c>
      <c r="AH844" s="175"/>
      <c r="AI844" s="175"/>
      <c r="AJ844" s="156" t="s">
        <v>193</v>
      </c>
      <c r="AK844" s="140" t="s">
        <v>193</v>
      </c>
    </row>
    <row r="845" s="140" customFormat="1" ht="15" hidden="1" customHeight="1" spans="1:39">
      <c r="A845" s="140">
        <v>2017</v>
      </c>
      <c r="B845" s="140" t="s">
        <v>38</v>
      </c>
      <c r="C845" s="140" t="s">
        <v>110</v>
      </c>
      <c r="D845" s="140" t="s">
        <v>111</v>
      </c>
      <c r="E845" s="140" t="s">
        <v>112</v>
      </c>
      <c r="F845" s="140" t="s">
        <v>147</v>
      </c>
      <c r="G845" s="140" t="s">
        <v>147</v>
      </c>
      <c r="H845" s="140" t="s">
        <v>147</v>
      </c>
      <c r="I845" s="140" t="s">
        <v>170</v>
      </c>
      <c r="J845" s="140" t="s">
        <v>171</v>
      </c>
      <c r="K845" s="140" t="s">
        <v>172</v>
      </c>
      <c r="L845" s="140" t="s">
        <v>147</v>
      </c>
      <c r="M845" s="140" t="s">
        <v>46</v>
      </c>
      <c r="N845" s="156">
        <v>0.06</v>
      </c>
      <c r="O845" s="156" t="s">
        <v>51</v>
      </c>
      <c r="P845" s="156"/>
      <c r="Q845" s="158">
        <v>0</v>
      </c>
      <c r="R845" s="158">
        <v>0</v>
      </c>
      <c r="S845" s="158">
        <v>1645000</v>
      </c>
      <c r="T845" s="158">
        <f t="shared" si="164"/>
        <v>98700</v>
      </c>
      <c r="U845" s="158">
        <f t="shared" si="168"/>
        <v>1743700</v>
      </c>
      <c r="V845" s="158">
        <v>1401842.2</v>
      </c>
      <c r="W845" s="158">
        <f t="shared" si="169"/>
        <v>341857.8</v>
      </c>
      <c r="X845" s="158">
        <f t="shared" si="165"/>
        <v>322507.358490566</v>
      </c>
      <c r="Y845" s="158">
        <f t="shared" si="170"/>
        <v>19350.441509434</v>
      </c>
      <c r="Z845" s="158">
        <f>1768992.4-Z846</f>
        <v>1401841.7</v>
      </c>
      <c r="AA845" s="158">
        <f t="shared" si="166"/>
        <v>0.5</v>
      </c>
      <c r="AB845" s="167">
        <f t="shared" si="163"/>
        <v>1322492.16981132</v>
      </c>
      <c r="AC845" s="168">
        <f t="shared" si="167"/>
        <v>79349.5301886792</v>
      </c>
      <c r="AD845" s="158">
        <f t="shared" ref="AD845:AD846" si="173">(Z845-Q845)*0.89807640489087</f>
        <v>1258960.95416211</v>
      </c>
      <c r="AE845" s="159">
        <v>0.112691732739812</v>
      </c>
      <c r="AF845" s="158">
        <f t="shared" si="162"/>
        <v>141874.491376295</v>
      </c>
      <c r="AG845" s="158">
        <v>58139.8049095653</v>
      </c>
      <c r="AH845" s="175"/>
      <c r="AI845" s="175"/>
      <c r="AJ845" s="156" t="s">
        <v>193</v>
      </c>
      <c r="AK845" s="140" t="s">
        <v>193</v>
      </c>
      <c r="AM845" s="140" t="s">
        <v>174</v>
      </c>
    </row>
    <row r="846" s="140" customFormat="1" ht="15" hidden="1" customHeight="1" spans="1:37">
      <c r="A846" s="140">
        <v>2017</v>
      </c>
      <c r="B846" s="140" t="s">
        <v>38</v>
      </c>
      <c r="C846" s="140" t="s">
        <v>110</v>
      </c>
      <c r="D846" s="140" t="s">
        <v>111</v>
      </c>
      <c r="E846" s="140" t="s">
        <v>112</v>
      </c>
      <c r="F846" s="140" t="s">
        <v>147</v>
      </c>
      <c r="G846" s="140" t="s">
        <v>896</v>
      </c>
      <c r="H846" s="140" t="s">
        <v>896</v>
      </c>
      <c r="I846" s="140" t="s">
        <v>170</v>
      </c>
      <c r="J846" s="140" t="s">
        <v>171</v>
      </c>
      <c r="K846" s="140" t="s">
        <v>172</v>
      </c>
      <c r="L846" s="140" t="s">
        <v>147</v>
      </c>
      <c r="M846" s="140" t="s">
        <v>46</v>
      </c>
      <c r="N846" s="157">
        <v>0.02</v>
      </c>
      <c r="O846" s="156" t="s">
        <v>51</v>
      </c>
      <c r="P846" s="156"/>
      <c r="Q846" s="158">
        <v>10150.7</v>
      </c>
      <c r="R846" s="158">
        <v>0</v>
      </c>
      <c r="S846" s="158">
        <v>350000</v>
      </c>
      <c r="T846" s="158">
        <f t="shared" si="164"/>
        <v>7000</v>
      </c>
      <c r="U846" s="158">
        <f t="shared" si="168"/>
        <v>357000</v>
      </c>
      <c r="V846" s="158">
        <v>357000</v>
      </c>
      <c r="W846" s="158">
        <f t="shared" si="169"/>
        <v>0</v>
      </c>
      <c r="X846" s="158">
        <f t="shared" si="165"/>
        <v>0</v>
      </c>
      <c r="Y846" s="158">
        <f t="shared" si="170"/>
        <v>0</v>
      </c>
      <c r="Z846" s="158">
        <f>V846+Q846</f>
        <v>367150.7</v>
      </c>
      <c r="AA846" s="158">
        <f t="shared" si="166"/>
        <v>0</v>
      </c>
      <c r="AB846" s="167">
        <f>IF(O846="返货",(Z846-Q846)/(1+N846),IF(O846="返现",(Z846-Q846),IF(O846="折扣",(Z846-Q846)*N846,IF(O846="无",(Z846-Q846)))))</f>
        <v>350000</v>
      </c>
      <c r="AC846" s="168">
        <f t="shared" si="167"/>
        <v>17150.7</v>
      </c>
      <c r="AD846" s="158">
        <f t="shared" si="173"/>
        <v>320613.276546041</v>
      </c>
      <c r="AE846" s="159">
        <v>0.112691732739812</v>
      </c>
      <c r="AF846" s="158">
        <f t="shared" si="162"/>
        <v>36130.4656733618</v>
      </c>
      <c r="AG846" s="158">
        <v>0</v>
      </c>
      <c r="AH846" s="175"/>
      <c r="AI846" s="175"/>
      <c r="AJ846" s="156" t="s">
        <v>173</v>
      </c>
      <c r="AK846" s="140" t="s">
        <v>173</v>
      </c>
    </row>
    <row r="847" s="140" customFormat="1" ht="15" hidden="1" customHeight="1" spans="1:39">
      <c r="A847" s="140">
        <v>2017</v>
      </c>
      <c r="B847" s="140" t="s">
        <v>38</v>
      </c>
      <c r="C847" s="140" t="s">
        <v>110</v>
      </c>
      <c r="D847" s="140" t="s">
        <v>111</v>
      </c>
      <c r="E847" s="140" t="s">
        <v>112</v>
      </c>
      <c r="F847" s="140" t="s">
        <v>897</v>
      </c>
      <c r="G847" s="140" t="s">
        <v>897</v>
      </c>
      <c r="H847" s="140" t="s">
        <v>897</v>
      </c>
      <c r="I847" s="140" t="s">
        <v>170</v>
      </c>
      <c r="J847" s="140" t="s">
        <v>605</v>
      </c>
      <c r="K847" s="140" t="s">
        <v>886</v>
      </c>
      <c r="L847" s="140" t="s">
        <v>897</v>
      </c>
      <c r="M847" s="140" t="s">
        <v>46</v>
      </c>
      <c r="N847" s="157">
        <v>0.02</v>
      </c>
      <c r="O847" s="156" t="s">
        <v>51</v>
      </c>
      <c r="P847" s="156"/>
      <c r="Q847" s="158">
        <v>0</v>
      </c>
      <c r="R847" s="158">
        <v>0</v>
      </c>
      <c r="S847" s="158">
        <v>500000</v>
      </c>
      <c r="T847" s="158">
        <f t="shared" si="164"/>
        <v>10000</v>
      </c>
      <c r="U847" s="158">
        <f t="shared" si="168"/>
        <v>510000</v>
      </c>
      <c r="V847" s="158">
        <v>417000</v>
      </c>
      <c r="W847" s="158">
        <f t="shared" si="169"/>
        <v>93000</v>
      </c>
      <c r="X847" s="158">
        <f t="shared" si="165"/>
        <v>91176.4705882353</v>
      </c>
      <c r="Y847" s="158">
        <f t="shared" si="170"/>
        <v>1823.52941176471</v>
      </c>
      <c r="Z847" s="158">
        <v>532418</v>
      </c>
      <c r="AA847" s="158">
        <f t="shared" si="166"/>
        <v>-115418</v>
      </c>
      <c r="AB847" s="167">
        <f>IF(O847="返货",Z847/(1+N847),IF(O847="返现",Z847,IF(O847="折扣",Z847*N847,IF(O847="无",Z847))))</f>
        <v>521978.431372549</v>
      </c>
      <c r="AC847" s="168">
        <f t="shared" si="167"/>
        <v>10439.568627451</v>
      </c>
      <c r="AD847" s="158">
        <v>532418</v>
      </c>
      <c r="AE847" s="159">
        <v>0.1</v>
      </c>
      <c r="AF847" s="158">
        <f t="shared" si="162"/>
        <v>53241.8</v>
      </c>
      <c r="AG847" s="158">
        <v>0</v>
      </c>
      <c r="AH847" s="175"/>
      <c r="AI847" s="175"/>
      <c r="AJ847" s="156" t="s">
        <v>173</v>
      </c>
      <c r="AK847" s="140" t="s">
        <v>173</v>
      </c>
      <c r="AM847" s="140" t="s">
        <v>174</v>
      </c>
    </row>
    <row r="848" s="140" customFormat="1" ht="15" hidden="1" customHeight="1" spans="1:39">
      <c r="A848" s="140">
        <v>2017</v>
      </c>
      <c r="B848" s="140" t="s">
        <v>38</v>
      </c>
      <c r="C848" s="140" t="s">
        <v>110</v>
      </c>
      <c r="D848" s="140" t="s">
        <v>111</v>
      </c>
      <c r="E848" s="140" t="s">
        <v>112</v>
      </c>
      <c r="F848" s="140" t="s">
        <v>897</v>
      </c>
      <c r="G848" s="140" t="s">
        <v>897</v>
      </c>
      <c r="H848" s="140" t="s">
        <v>897</v>
      </c>
      <c r="I848" s="140" t="s">
        <v>170</v>
      </c>
      <c r="J848" s="140" t="s">
        <v>868</v>
      </c>
      <c r="K848" s="140" t="s">
        <v>869</v>
      </c>
      <c r="L848" s="140" t="s">
        <v>897</v>
      </c>
      <c r="M848" s="140" t="s">
        <v>46</v>
      </c>
      <c r="N848" s="157">
        <v>0.02</v>
      </c>
      <c r="O848" s="156" t="s">
        <v>51</v>
      </c>
      <c r="P848" s="156"/>
      <c r="Q848" s="158">
        <v>0</v>
      </c>
      <c r="R848" s="158">
        <v>0</v>
      </c>
      <c r="S848" s="158">
        <v>150000</v>
      </c>
      <c r="T848" s="158">
        <f t="shared" si="164"/>
        <v>3000</v>
      </c>
      <c r="U848" s="158">
        <f t="shared" si="168"/>
        <v>153000</v>
      </c>
      <c r="V848" s="158">
        <v>153000</v>
      </c>
      <c r="W848" s="158">
        <f t="shared" si="169"/>
        <v>0</v>
      </c>
      <c r="X848" s="158">
        <f t="shared" si="165"/>
        <v>0</v>
      </c>
      <c r="Y848" s="158">
        <f t="shared" si="170"/>
        <v>0</v>
      </c>
      <c r="Z848" s="158">
        <v>0</v>
      </c>
      <c r="AA848" s="158">
        <f t="shared" si="166"/>
        <v>153000</v>
      </c>
      <c r="AB848" s="167">
        <f>IF(O848="返货",Z848/(1+N848),IF(O848="返现",Z848,IF(O848="折扣",Z848*N848,IF(O848="无",Z848))))</f>
        <v>0</v>
      </c>
      <c r="AC848" s="168">
        <f t="shared" si="167"/>
        <v>0</v>
      </c>
      <c r="AD848" s="158">
        <f>Z848*0.972201473425119-Q848</f>
        <v>0</v>
      </c>
      <c r="AE848" s="159">
        <v>0.1</v>
      </c>
      <c r="AF848" s="158">
        <f t="shared" si="162"/>
        <v>0</v>
      </c>
      <c r="AG848" s="158">
        <v>42802.231372549</v>
      </c>
      <c r="AH848" s="175"/>
      <c r="AI848" s="175"/>
      <c r="AJ848" s="156" t="s">
        <v>173</v>
      </c>
      <c r="AK848" s="140" t="s">
        <v>173</v>
      </c>
      <c r="AM848" s="140" t="s">
        <v>174</v>
      </c>
    </row>
    <row r="849" s="140" customFormat="1" ht="15" hidden="1" customHeight="1" spans="1:37">
      <c r="A849" s="140">
        <v>2017</v>
      </c>
      <c r="B849" s="140" t="s">
        <v>38</v>
      </c>
      <c r="C849" s="140" t="s">
        <v>110</v>
      </c>
      <c r="D849" s="140" t="s">
        <v>111</v>
      </c>
      <c r="E849" s="140" t="s">
        <v>281</v>
      </c>
      <c r="F849" s="140" t="s">
        <v>898</v>
      </c>
      <c r="G849" s="140" t="s">
        <v>898</v>
      </c>
      <c r="H849" s="140" t="s">
        <v>898</v>
      </c>
      <c r="I849" s="140" t="s">
        <v>170</v>
      </c>
      <c r="J849" s="140" t="s">
        <v>171</v>
      </c>
      <c r="K849" s="140" t="s">
        <v>172</v>
      </c>
      <c r="L849" s="140" t="s">
        <v>898</v>
      </c>
      <c r="M849" s="140" t="s">
        <v>46</v>
      </c>
      <c r="N849" s="157">
        <v>0.02</v>
      </c>
      <c r="O849" s="156" t="s">
        <v>51</v>
      </c>
      <c r="P849" s="156"/>
      <c r="Q849" s="158">
        <v>0</v>
      </c>
      <c r="R849" s="158">
        <v>0</v>
      </c>
      <c r="S849" s="158">
        <v>70000</v>
      </c>
      <c r="T849" s="158">
        <f t="shared" si="164"/>
        <v>1400</v>
      </c>
      <c r="U849" s="158">
        <f t="shared" si="168"/>
        <v>71400</v>
      </c>
      <c r="V849" s="158">
        <v>70000</v>
      </c>
      <c r="W849" s="158">
        <f t="shared" si="169"/>
        <v>1400</v>
      </c>
      <c r="X849" s="158">
        <f t="shared" si="165"/>
        <v>1372.54901960784</v>
      </c>
      <c r="Y849" s="158">
        <f t="shared" si="170"/>
        <v>27.4509803921569</v>
      </c>
      <c r="Z849" s="158">
        <v>0</v>
      </c>
      <c r="AA849" s="158">
        <f t="shared" si="166"/>
        <v>70000</v>
      </c>
      <c r="AB849" s="167">
        <f>IF(O849="返货",Z849/(1+N849),IF(O849="返现",Z849,IF(O849="折扣",Z849*N849,IF(O849="无",Z849))))</f>
        <v>0</v>
      </c>
      <c r="AC849" s="168">
        <f t="shared" si="167"/>
        <v>0</v>
      </c>
      <c r="AD849" s="158">
        <f t="shared" ref="AD849:AD850" si="174">(Z849-Q849)*0.89807640489087</f>
        <v>0</v>
      </c>
      <c r="AE849" s="159">
        <v>0.112691732739812</v>
      </c>
      <c r="AF849" s="158">
        <f t="shared" si="162"/>
        <v>0</v>
      </c>
      <c r="AG849" s="158">
        <v>0</v>
      </c>
      <c r="AH849" s="175"/>
      <c r="AI849" s="175"/>
      <c r="AJ849" s="156" t="s">
        <v>899</v>
      </c>
      <c r="AK849" s="140" t="s">
        <v>173</v>
      </c>
    </row>
    <row r="850" s="140" customFormat="1" ht="15" hidden="1" customHeight="1" spans="1:37">
      <c r="A850" s="140">
        <v>2017</v>
      </c>
      <c r="B850" s="140" t="s">
        <v>38</v>
      </c>
      <c r="C850" s="140" t="s">
        <v>110</v>
      </c>
      <c r="D850" s="140" t="s">
        <v>111</v>
      </c>
      <c r="E850" s="140" t="s">
        <v>281</v>
      </c>
      <c r="F850" s="140" t="s">
        <v>900</v>
      </c>
      <c r="G850" s="140" t="s">
        <v>900</v>
      </c>
      <c r="H850" s="140" t="s">
        <v>900</v>
      </c>
      <c r="I850" s="140" t="s">
        <v>170</v>
      </c>
      <c r="J850" s="140" t="s">
        <v>171</v>
      </c>
      <c r="K850" s="140" t="s">
        <v>172</v>
      </c>
      <c r="L850" s="140" t="s">
        <v>901</v>
      </c>
      <c r="M850" s="140" t="s">
        <v>46</v>
      </c>
      <c r="N850" s="156">
        <v>0</v>
      </c>
      <c r="O850" s="156" t="s">
        <v>47</v>
      </c>
      <c r="P850" s="156"/>
      <c r="Q850" s="158">
        <v>0</v>
      </c>
      <c r="R850" s="158">
        <v>0</v>
      </c>
      <c r="S850" s="158">
        <v>20000</v>
      </c>
      <c r="T850" s="158">
        <f t="shared" si="164"/>
        <v>0</v>
      </c>
      <c r="U850" s="158">
        <f t="shared" si="168"/>
        <v>20000</v>
      </c>
      <c r="V850" s="158">
        <v>20000</v>
      </c>
      <c r="W850" s="158">
        <f t="shared" si="169"/>
        <v>0</v>
      </c>
      <c r="X850" s="158">
        <f t="shared" si="165"/>
        <v>0</v>
      </c>
      <c r="Y850" s="158">
        <f t="shared" si="170"/>
        <v>0</v>
      </c>
      <c r="Z850" s="158">
        <v>19997.6</v>
      </c>
      <c r="AA850" s="158">
        <f t="shared" si="166"/>
        <v>2.40000000000146</v>
      </c>
      <c r="AB850" s="167">
        <f>IF(O850="返货",Z850/(1+N850),IF(O850="返现",Z850,IF(O850="折扣",Z850*N850,IF(O850="无",Z850))))</f>
        <v>19997.6</v>
      </c>
      <c r="AC850" s="168">
        <f t="shared" si="167"/>
        <v>0</v>
      </c>
      <c r="AD850" s="158">
        <f t="shared" si="174"/>
        <v>17959.3727144457</v>
      </c>
      <c r="AE850" s="159">
        <v>0.112691732739812</v>
      </c>
      <c r="AF850" s="158">
        <f t="shared" si="162"/>
        <v>2023.87283011098</v>
      </c>
      <c r="AG850" s="158">
        <v>1789.17954184525</v>
      </c>
      <c r="AH850" s="175"/>
      <c r="AI850" s="175"/>
      <c r="AJ850" s="156" t="s">
        <v>47</v>
      </c>
      <c r="AK850" s="140" t="s">
        <v>47</v>
      </c>
    </row>
    <row r="851" s="140" customFormat="1" ht="15" hidden="1" customHeight="1" spans="1:39">
      <c r="A851" s="140">
        <v>2017</v>
      </c>
      <c r="B851" s="140" t="s">
        <v>252</v>
      </c>
      <c r="C851" s="140" t="s">
        <v>110</v>
      </c>
      <c r="D851" s="140" t="s">
        <v>111</v>
      </c>
      <c r="E851" s="140" t="s">
        <v>281</v>
      </c>
      <c r="F851" s="140" t="s">
        <v>618</v>
      </c>
      <c r="G851" s="140" t="s">
        <v>619</v>
      </c>
      <c r="H851" s="140" t="s">
        <v>619</v>
      </c>
      <c r="I851" s="140" t="s">
        <v>170</v>
      </c>
      <c r="J851" s="140" t="s">
        <v>605</v>
      </c>
      <c r="K851" s="140" t="s">
        <v>886</v>
      </c>
      <c r="L851" s="140" t="s">
        <v>618</v>
      </c>
      <c r="M851" s="140" t="s">
        <v>46</v>
      </c>
      <c r="N851" s="157">
        <v>0.02</v>
      </c>
      <c r="O851" s="156" t="s">
        <v>51</v>
      </c>
      <c r="P851" s="156"/>
      <c r="Q851" s="158">
        <v>0</v>
      </c>
      <c r="R851" s="158">
        <v>0</v>
      </c>
      <c r="S851" s="158">
        <v>225000</v>
      </c>
      <c r="T851" s="158">
        <f t="shared" si="164"/>
        <v>4500</v>
      </c>
      <c r="U851" s="158">
        <f t="shared" si="168"/>
        <v>229500</v>
      </c>
      <c r="V851" s="158">
        <v>229500</v>
      </c>
      <c r="W851" s="158">
        <f t="shared" si="169"/>
        <v>0</v>
      </c>
      <c r="X851" s="158">
        <f t="shared" si="165"/>
        <v>0</v>
      </c>
      <c r="Y851" s="158">
        <f t="shared" si="170"/>
        <v>0</v>
      </c>
      <c r="Z851" s="158">
        <v>248569.4</v>
      </c>
      <c r="AA851" s="158">
        <f t="shared" si="166"/>
        <v>-19069.4</v>
      </c>
      <c r="AB851" s="167">
        <f>IF(O851="返货",Z851/(1+N851),IF(O851="返现",Z851,IF(O851="折扣",Z851*N851,IF(O851="无",Z851))))</f>
        <v>243695.490196078</v>
      </c>
      <c r="AC851" s="168">
        <f t="shared" si="167"/>
        <v>4873.90980392156</v>
      </c>
      <c r="AD851" s="158">
        <v>248569.4</v>
      </c>
      <c r="AE851" s="159">
        <v>0.1</v>
      </c>
      <c r="AF851" s="158">
        <f t="shared" si="162"/>
        <v>24856.94</v>
      </c>
      <c r="AG851" s="158">
        <v>0</v>
      </c>
      <c r="AH851" s="175"/>
      <c r="AI851" s="175"/>
      <c r="AJ851" s="156" t="s">
        <v>173</v>
      </c>
      <c r="AK851" s="140" t="s">
        <v>173</v>
      </c>
      <c r="AM851" s="140" t="s">
        <v>174</v>
      </c>
    </row>
    <row r="852" s="140" customFormat="1" ht="15" hidden="1" customHeight="1" spans="1:39">
      <c r="A852" s="140">
        <v>2017</v>
      </c>
      <c r="B852" s="140" t="s">
        <v>252</v>
      </c>
      <c r="C852" s="140" t="s">
        <v>110</v>
      </c>
      <c r="D852" s="140" t="s">
        <v>111</v>
      </c>
      <c r="E852" s="140" t="s">
        <v>281</v>
      </c>
      <c r="F852" s="140" t="s">
        <v>618</v>
      </c>
      <c r="G852" s="140" t="s">
        <v>619</v>
      </c>
      <c r="H852" s="140" t="s">
        <v>619</v>
      </c>
      <c r="I852" s="140" t="s">
        <v>170</v>
      </c>
      <c r="J852" s="140" t="s">
        <v>868</v>
      </c>
      <c r="K852" s="140" t="s">
        <v>869</v>
      </c>
      <c r="L852" s="140" t="s">
        <v>618</v>
      </c>
      <c r="M852" s="140" t="s">
        <v>46</v>
      </c>
      <c r="N852" s="157">
        <v>0.02</v>
      </c>
      <c r="O852" s="156" t="s">
        <v>51</v>
      </c>
      <c r="P852" s="156"/>
      <c r="Q852" s="158">
        <v>3266.89999999999</v>
      </c>
      <c r="R852" s="158">
        <v>0</v>
      </c>
      <c r="S852" s="158">
        <v>70000</v>
      </c>
      <c r="T852" s="158">
        <f t="shared" si="164"/>
        <v>1400</v>
      </c>
      <c r="U852" s="158">
        <f t="shared" si="168"/>
        <v>71400</v>
      </c>
      <c r="V852" s="158">
        <v>71400</v>
      </c>
      <c r="W852" s="158">
        <f t="shared" si="169"/>
        <v>0</v>
      </c>
      <c r="X852" s="158">
        <f t="shared" si="165"/>
        <v>0</v>
      </c>
      <c r="Y852" s="158">
        <f t="shared" si="170"/>
        <v>0</v>
      </c>
      <c r="Z852" s="158">
        <v>74666.9</v>
      </c>
      <c r="AA852" s="158">
        <f t="shared" si="166"/>
        <v>0</v>
      </c>
      <c r="AB852" s="167">
        <f>IF(O852="返货",(Z852-Q852)/(1+N852),IF(O852="返现",(Z852-Q852),IF(O852="折扣",(Z852-Q852)*N852,IF(O852="无",(Z852-Q852)))))</f>
        <v>70000</v>
      </c>
      <c r="AC852" s="168">
        <f t="shared" si="167"/>
        <v>4666.89999999999</v>
      </c>
      <c r="AD852" s="158">
        <f>Z852*0.972201473425119-Q852</f>
        <v>69324.370196086</v>
      </c>
      <c r="AE852" s="159">
        <v>0.1</v>
      </c>
      <c r="AF852" s="158">
        <f t="shared" si="162"/>
        <v>6932.4370196086</v>
      </c>
      <c r="AG852" s="158">
        <v>20828.667254902</v>
      </c>
      <c r="AH852" s="175"/>
      <c r="AI852" s="175"/>
      <c r="AJ852" s="156" t="s">
        <v>173</v>
      </c>
      <c r="AK852" s="140" t="s">
        <v>173</v>
      </c>
      <c r="AM852" s="140" t="s">
        <v>174</v>
      </c>
    </row>
    <row r="853" s="140" customFormat="1" ht="15" hidden="1" customHeight="1" spans="1:37">
      <c r="A853" s="140">
        <v>2017</v>
      </c>
      <c r="B853" s="140" t="s">
        <v>199</v>
      </c>
      <c r="C853" s="140" t="s">
        <v>110</v>
      </c>
      <c r="D853" s="140" t="s">
        <v>111</v>
      </c>
      <c r="E853" s="140" t="s">
        <v>281</v>
      </c>
      <c r="F853" s="140" t="s">
        <v>902</v>
      </c>
      <c r="G853" s="140" t="s">
        <v>903</v>
      </c>
      <c r="H853" s="140" t="s">
        <v>903</v>
      </c>
      <c r="I853" s="140" t="s">
        <v>170</v>
      </c>
      <c r="J853" s="140" t="s">
        <v>171</v>
      </c>
      <c r="K853" s="140" t="s">
        <v>172</v>
      </c>
      <c r="L853" s="140" t="s">
        <v>902</v>
      </c>
      <c r="M853" s="140" t="s">
        <v>46</v>
      </c>
      <c r="N853" s="157">
        <v>0.02</v>
      </c>
      <c r="O853" s="156" t="s">
        <v>51</v>
      </c>
      <c r="P853" s="156"/>
      <c r="Q853" s="158">
        <v>100000</v>
      </c>
      <c r="R853" s="158">
        <v>0</v>
      </c>
      <c r="S853" s="158">
        <v>70000</v>
      </c>
      <c r="T853" s="158">
        <f t="shared" si="164"/>
        <v>1400</v>
      </c>
      <c r="U853" s="158">
        <f t="shared" si="168"/>
        <v>71400</v>
      </c>
      <c r="V853" s="158">
        <v>71400</v>
      </c>
      <c r="W853" s="158">
        <f t="shared" si="169"/>
        <v>0</v>
      </c>
      <c r="X853" s="158">
        <f t="shared" si="165"/>
        <v>0</v>
      </c>
      <c r="Y853" s="158">
        <f t="shared" si="170"/>
        <v>0</v>
      </c>
      <c r="Z853" s="158">
        <v>86245.5</v>
      </c>
      <c r="AA853" s="158">
        <f t="shared" si="166"/>
        <v>85154.5</v>
      </c>
      <c r="AB853" s="167">
        <f>IF(O853="返货",(Z853-Q853)/(1+N853),IF(O853="返现",(Z853-Q853),IF(O853="折扣",(Z853-Q853)*N853,IF(O853="无",(Z853-Q853)))))</f>
        <v>-13484.8039215686</v>
      </c>
      <c r="AC853" s="168">
        <f t="shared" si="167"/>
        <v>99730.3039215686</v>
      </c>
      <c r="AD853" s="158">
        <f>(Z853-Q853)*0.89807640489087</f>
        <v>-12352.5919110715</v>
      </c>
      <c r="AE853" s="159">
        <v>0.112691732739812</v>
      </c>
      <c r="AF853" s="158">
        <f t="shared" si="162"/>
        <v>-1392.03498628643</v>
      </c>
      <c r="AG853" s="158">
        <v>6025.27193673725</v>
      </c>
      <c r="AH853" s="175"/>
      <c r="AI853" s="175"/>
      <c r="AJ853" s="156" t="s">
        <v>173</v>
      </c>
      <c r="AK853" s="140" t="s">
        <v>173</v>
      </c>
    </row>
    <row r="854" s="140" customFormat="1" ht="15" hidden="1" customHeight="1" spans="1:37">
      <c r="A854" s="140">
        <v>2017</v>
      </c>
      <c r="B854" s="140" t="s">
        <v>252</v>
      </c>
      <c r="C854" s="140" t="s">
        <v>110</v>
      </c>
      <c r="D854" s="140" t="s">
        <v>111</v>
      </c>
      <c r="E854" s="140" t="s">
        <v>281</v>
      </c>
      <c r="F854" s="140" t="s">
        <v>904</v>
      </c>
      <c r="G854" s="140" t="s">
        <v>905</v>
      </c>
      <c r="H854" s="140" t="s">
        <v>906</v>
      </c>
      <c r="I854" s="140" t="s">
        <v>170</v>
      </c>
      <c r="J854" s="140" t="s">
        <v>605</v>
      </c>
      <c r="K854" s="140" t="s">
        <v>886</v>
      </c>
      <c r="L854" s="140" t="s">
        <v>907</v>
      </c>
      <c r="M854" s="140" t="s">
        <v>46</v>
      </c>
      <c r="N854" s="157">
        <v>0.02</v>
      </c>
      <c r="O854" s="156" t="s">
        <v>51</v>
      </c>
      <c r="P854" s="156"/>
      <c r="Q854" s="158">
        <v>0</v>
      </c>
      <c r="R854" s="158">
        <v>0</v>
      </c>
      <c r="S854" s="158">
        <v>250000</v>
      </c>
      <c r="T854" s="158">
        <f t="shared" si="164"/>
        <v>5000</v>
      </c>
      <c r="U854" s="158">
        <f t="shared" si="168"/>
        <v>255000</v>
      </c>
      <c r="V854" s="158">
        <v>250000</v>
      </c>
      <c r="W854" s="158">
        <f t="shared" si="169"/>
        <v>5000</v>
      </c>
      <c r="X854" s="158">
        <f t="shared" si="165"/>
        <v>4901.96078431373</v>
      </c>
      <c r="Y854" s="158">
        <f t="shared" si="170"/>
        <v>98.0392156862745</v>
      </c>
      <c r="Z854" s="158">
        <v>222261.1</v>
      </c>
      <c r="AA854" s="158">
        <f t="shared" si="166"/>
        <v>27738.9</v>
      </c>
      <c r="AB854" s="167">
        <f t="shared" ref="AB854:AB869" si="175">IF(O854="返货",Z854/(1+N854),IF(O854="返现",Z854,IF(O854="折扣",Z854*N854,IF(O854="无",Z854))))</f>
        <v>217903.039215686</v>
      </c>
      <c r="AC854" s="168">
        <f t="shared" si="167"/>
        <v>4358.06078431374</v>
      </c>
      <c r="AD854" s="158">
        <v>222261.1</v>
      </c>
      <c r="AE854" s="159">
        <v>0.1</v>
      </c>
      <c r="AF854" s="158">
        <f t="shared" si="162"/>
        <v>22226.11</v>
      </c>
      <c r="AG854" s="158">
        <v>17868.0492156863</v>
      </c>
      <c r="AH854" s="175"/>
      <c r="AI854" s="175"/>
      <c r="AJ854" s="156" t="s">
        <v>173</v>
      </c>
      <c r="AK854" s="140" t="s">
        <v>173</v>
      </c>
    </row>
    <row r="855" s="140" customFormat="1" ht="15" hidden="1" customHeight="1" spans="1:37">
      <c r="A855" s="140">
        <v>2017</v>
      </c>
      <c r="B855" s="140" t="s">
        <v>199</v>
      </c>
      <c r="C855" s="140" t="s">
        <v>110</v>
      </c>
      <c r="D855" s="140" t="s">
        <v>111</v>
      </c>
      <c r="E855" s="140" t="s">
        <v>281</v>
      </c>
      <c r="F855" s="140" t="s">
        <v>623</v>
      </c>
      <c r="G855" s="140" t="s">
        <v>624</v>
      </c>
      <c r="H855" s="140" t="s">
        <v>624</v>
      </c>
      <c r="I855" s="140" t="s">
        <v>170</v>
      </c>
      <c r="J855" s="140" t="s">
        <v>171</v>
      </c>
      <c r="K855" s="140" t="s">
        <v>172</v>
      </c>
      <c r="L855" s="140" t="s">
        <v>623</v>
      </c>
      <c r="M855" s="140" t="s">
        <v>46</v>
      </c>
      <c r="N855" s="156">
        <v>0</v>
      </c>
      <c r="O855" s="156" t="s">
        <v>47</v>
      </c>
      <c r="P855" s="156" t="s">
        <v>440</v>
      </c>
      <c r="Q855" s="158">
        <v>0</v>
      </c>
      <c r="R855" s="158">
        <v>0</v>
      </c>
      <c r="S855" s="158">
        <v>440000</v>
      </c>
      <c r="T855" s="158">
        <f t="shared" si="164"/>
        <v>0</v>
      </c>
      <c r="U855" s="158">
        <f t="shared" si="168"/>
        <v>440000</v>
      </c>
      <c r="V855" s="158">
        <v>443800</v>
      </c>
      <c r="W855" s="158">
        <f t="shared" si="169"/>
        <v>-3800</v>
      </c>
      <c r="X855" s="158">
        <f t="shared" si="165"/>
        <v>-3800</v>
      </c>
      <c r="Y855" s="158">
        <f t="shared" si="170"/>
        <v>0</v>
      </c>
      <c r="Z855" s="158">
        <f>432041.1-Z1163</f>
        <v>238241.1</v>
      </c>
      <c r="AA855" s="158">
        <f t="shared" si="166"/>
        <v>205558.9</v>
      </c>
      <c r="AB855" s="167">
        <f t="shared" si="175"/>
        <v>238241.1</v>
      </c>
      <c r="AC855" s="168">
        <f t="shared" si="167"/>
        <v>0</v>
      </c>
      <c r="AD855" s="158">
        <f>(Z855-Q855)*0.89807640489087</f>
        <v>213958.710585246</v>
      </c>
      <c r="AE855" s="159">
        <v>0.112691732739812</v>
      </c>
      <c r="AF855" s="158">
        <f t="shared" si="162"/>
        <v>24111.3778306274</v>
      </c>
      <c r="AG855" s="158">
        <v>38654.5934190262</v>
      </c>
      <c r="AH855" s="175"/>
      <c r="AI855" s="175"/>
      <c r="AJ855" s="156" t="s">
        <v>47</v>
      </c>
      <c r="AK855" s="140" t="s">
        <v>173</v>
      </c>
    </row>
    <row r="856" s="140" customFormat="1" ht="15" hidden="1" customHeight="1" spans="1:39">
      <c r="A856" s="140">
        <v>2017</v>
      </c>
      <c r="B856" s="140" t="s">
        <v>38</v>
      </c>
      <c r="C856" s="140" t="s">
        <v>110</v>
      </c>
      <c r="D856" s="140" t="s">
        <v>111</v>
      </c>
      <c r="E856" s="140" t="s">
        <v>281</v>
      </c>
      <c r="F856" s="140" t="s">
        <v>908</v>
      </c>
      <c r="G856" s="140" t="s">
        <v>908</v>
      </c>
      <c r="H856" s="140" t="s">
        <v>908</v>
      </c>
      <c r="I856" s="140" t="s">
        <v>170</v>
      </c>
      <c r="J856" s="140" t="s">
        <v>868</v>
      </c>
      <c r="K856" s="140" t="s">
        <v>869</v>
      </c>
      <c r="L856" s="140" t="s">
        <v>908</v>
      </c>
      <c r="M856" s="140" t="s">
        <v>46</v>
      </c>
      <c r="N856" s="157">
        <v>0.02</v>
      </c>
      <c r="O856" s="156" t="s">
        <v>51</v>
      </c>
      <c r="P856" s="156"/>
      <c r="Q856" s="158">
        <v>0</v>
      </c>
      <c r="R856" s="158">
        <v>0</v>
      </c>
      <c r="S856" s="158">
        <v>20000</v>
      </c>
      <c r="T856" s="158">
        <f t="shared" si="164"/>
        <v>400</v>
      </c>
      <c r="U856" s="158">
        <f t="shared" si="168"/>
        <v>20400</v>
      </c>
      <c r="V856" s="158">
        <v>20400</v>
      </c>
      <c r="W856" s="158">
        <f t="shared" si="169"/>
        <v>0</v>
      </c>
      <c r="X856" s="158">
        <f t="shared" si="165"/>
        <v>0</v>
      </c>
      <c r="Y856" s="158">
        <f t="shared" si="170"/>
        <v>0</v>
      </c>
      <c r="Z856" s="158">
        <v>9630.9</v>
      </c>
      <c r="AA856" s="158">
        <f t="shared" si="166"/>
        <v>10769.1</v>
      </c>
      <c r="AB856" s="167">
        <f t="shared" si="175"/>
        <v>9442.05882352941</v>
      </c>
      <c r="AC856" s="168">
        <f t="shared" si="167"/>
        <v>188.841176470589</v>
      </c>
      <c r="AD856" s="158">
        <f>Z856*0.972201473425119-Q856</f>
        <v>9363.17517040998</v>
      </c>
      <c r="AE856" s="159">
        <v>0.1</v>
      </c>
      <c r="AF856" s="158">
        <f t="shared" si="162"/>
        <v>936.317517040998</v>
      </c>
      <c r="AG856" s="158">
        <v>1639.33274509804</v>
      </c>
      <c r="AH856" s="175"/>
      <c r="AI856" s="175"/>
      <c r="AJ856" s="156" t="s">
        <v>173</v>
      </c>
      <c r="AK856" s="140" t="s">
        <v>173</v>
      </c>
      <c r="AM856" s="140" t="s">
        <v>174</v>
      </c>
    </row>
    <row r="857" s="140" customFormat="1" ht="15" hidden="1" customHeight="1" spans="1:39">
      <c r="A857" s="140">
        <v>2017</v>
      </c>
      <c r="B857" s="140" t="s">
        <v>38</v>
      </c>
      <c r="C857" s="140" t="s">
        <v>110</v>
      </c>
      <c r="D857" s="140" t="s">
        <v>111</v>
      </c>
      <c r="E857" s="140" t="s">
        <v>281</v>
      </c>
      <c r="F857" s="140" t="s">
        <v>625</v>
      </c>
      <c r="G857" s="140" t="s">
        <v>625</v>
      </c>
      <c r="H857" s="140" t="s">
        <v>625</v>
      </c>
      <c r="I857" s="140" t="s">
        <v>170</v>
      </c>
      <c r="J857" s="140" t="s">
        <v>605</v>
      </c>
      <c r="K857" s="140" t="s">
        <v>886</v>
      </c>
      <c r="L857" s="140" t="s">
        <v>625</v>
      </c>
      <c r="M857" s="140" t="s">
        <v>46</v>
      </c>
      <c r="N857" s="157">
        <v>0.02</v>
      </c>
      <c r="O857" s="156" t="s">
        <v>51</v>
      </c>
      <c r="P857" s="156"/>
      <c r="Q857" s="158">
        <v>0</v>
      </c>
      <c r="R857" s="158">
        <v>0</v>
      </c>
      <c r="S857" s="158">
        <v>100000</v>
      </c>
      <c r="T857" s="158">
        <f t="shared" si="164"/>
        <v>2000</v>
      </c>
      <c r="U857" s="158">
        <f t="shared" si="168"/>
        <v>102000</v>
      </c>
      <c r="V857" s="158">
        <v>102000</v>
      </c>
      <c r="W857" s="158">
        <f t="shared" si="169"/>
        <v>0</v>
      </c>
      <c r="X857" s="158">
        <f t="shared" si="165"/>
        <v>0</v>
      </c>
      <c r="Y857" s="158">
        <f t="shared" si="170"/>
        <v>0</v>
      </c>
      <c r="Z857" s="158">
        <v>93046.8</v>
      </c>
      <c r="AA857" s="158">
        <f t="shared" si="166"/>
        <v>8953.2</v>
      </c>
      <c r="AB857" s="167">
        <f t="shared" si="175"/>
        <v>91222.3529411765</v>
      </c>
      <c r="AC857" s="168">
        <f t="shared" si="167"/>
        <v>1824.44705882353</v>
      </c>
      <c r="AD857" s="158">
        <v>93046.8</v>
      </c>
      <c r="AE857" s="159">
        <v>0.1</v>
      </c>
      <c r="AF857" s="158">
        <f t="shared" si="162"/>
        <v>9304.68</v>
      </c>
      <c r="AG857" s="158">
        <v>0</v>
      </c>
      <c r="AH857" s="175"/>
      <c r="AI857" s="175"/>
      <c r="AJ857" s="157">
        <v>0.02</v>
      </c>
      <c r="AK857" s="177">
        <v>0.02</v>
      </c>
      <c r="AM857" s="140" t="s">
        <v>174</v>
      </c>
    </row>
    <row r="858" s="140" customFormat="1" ht="15" hidden="1" customHeight="1" spans="1:39">
      <c r="A858" s="140">
        <v>2017</v>
      </c>
      <c r="B858" s="140" t="s">
        <v>38</v>
      </c>
      <c r="C858" s="140" t="s">
        <v>110</v>
      </c>
      <c r="D858" s="140" t="s">
        <v>111</v>
      </c>
      <c r="E858" s="140" t="s">
        <v>281</v>
      </c>
      <c r="F858" s="140" t="s">
        <v>625</v>
      </c>
      <c r="G858" s="140" t="s">
        <v>625</v>
      </c>
      <c r="H858" s="140" t="s">
        <v>625</v>
      </c>
      <c r="I858" s="140" t="s">
        <v>170</v>
      </c>
      <c r="J858" s="140" t="s">
        <v>868</v>
      </c>
      <c r="K858" s="140" t="s">
        <v>869</v>
      </c>
      <c r="L858" s="140" t="s">
        <v>625</v>
      </c>
      <c r="M858" s="140" t="s">
        <v>46</v>
      </c>
      <c r="N858" s="157">
        <v>0.02</v>
      </c>
      <c r="O858" s="156" t="s">
        <v>51</v>
      </c>
      <c r="P858" s="156"/>
      <c r="Q858" s="158">
        <v>0</v>
      </c>
      <c r="R858" s="158">
        <v>0</v>
      </c>
      <c r="S858" s="158">
        <v>120000</v>
      </c>
      <c r="T858" s="158">
        <f t="shared" si="164"/>
        <v>2400</v>
      </c>
      <c r="U858" s="158">
        <f t="shared" si="168"/>
        <v>122400</v>
      </c>
      <c r="V858" s="158">
        <v>122400</v>
      </c>
      <c r="W858" s="158">
        <f t="shared" si="169"/>
        <v>0</v>
      </c>
      <c r="X858" s="158">
        <f t="shared" si="165"/>
        <v>0</v>
      </c>
      <c r="Y858" s="158">
        <f t="shared" si="170"/>
        <v>0</v>
      </c>
      <c r="Z858" s="158">
        <v>104877.7</v>
      </c>
      <c r="AA858" s="158">
        <f t="shared" si="166"/>
        <v>17522.3</v>
      </c>
      <c r="AB858" s="167">
        <f t="shared" si="175"/>
        <v>102821.274509804</v>
      </c>
      <c r="AC858" s="168">
        <f t="shared" si="167"/>
        <v>2056.42549019608</v>
      </c>
      <c r="AD858" s="158">
        <f>Z858*0.972201473425119-Q858</f>
        <v>101962.254469438</v>
      </c>
      <c r="AE858" s="159">
        <v>0.1</v>
      </c>
      <c r="AF858" s="158">
        <f t="shared" si="162"/>
        <v>10196.2254469438</v>
      </c>
      <c r="AG858" s="158">
        <v>15911.5774509804</v>
      </c>
      <c r="AH858" s="175"/>
      <c r="AI858" s="175"/>
      <c r="AJ858" s="157">
        <v>0.02</v>
      </c>
      <c r="AK858" s="177">
        <v>0.02</v>
      </c>
      <c r="AM858" s="140" t="s">
        <v>174</v>
      </c>
    </row>
    <row r="859" s="140" customFormat="1" ht="15" hidden="1" customHeight="1" spans="1:37">
      <c r="A859" s="140">
        <v>2017</v>
      </c>
      <c r="B859" s="140" t="s">
        <v>38</v>
      </c>
      <c r="C859" s="140" t="s">
        <v>110</v>
      </c>
      <c r="D859" s="140" t="s">
        <v>111</v>
      </c>
      <c r="E859" s="140" t="s">
        <v>253</v>
      </c>
      <c r="F859" s="140" t="s">
        <v>632</v>
      </c>
      <c r="G859" s="140" t="s">
        <v>632</v>
      </c>
      <c r="H859" s="140" t="s">
        <v>632</v>
      </c>
      <c r="I859" s="140" t="s">
        <v>170</v>
      </c>
      <c r="J859" s="140" t="s">
        <v>171</v>
      </c>
      <c r="K859" s="140" t="s">
        <v>172</v>
      </c>
      <c r="L859" s="140" t="s">
        <v>632</v>
      </c>
      <c r="M859" s="140" t="s">
        <v>46</v>
      </c>
      <c r="N859" s="157">
        <v>0.04</v>
      </c>
      <c r="O859" s="156" t="s">
        <v>51</v>
      </c>
      <c r="P859" s="156"/>
      <c r="Q859" s="158">
        <v>0</v>
      </c>
      <c r="R859" s="158">
        <v>0</v>
      </c>
      <c r="S859" s="158">
        <v>9259.87</v>
      </c>
      <c r="T859" s="158">
        <f t="shared" si="164"/>
        <v>370.3948</v>
      </c>
      <c r="U859" s="158">
        <f t="shared" si="168"/>
        <v>9630.2648</v>
      </c>
      <c r="V859" s="158">
        <v>10000</v>
      </c>
      <c r="W859" s="158">
        <f t="shared" si="169"/>
        <v>-369.735199999999</v>
      </c>
      <c r="X859" s="158">
        <f t="shared" si="165"/>
        <v>-355.514615384615</v>
      </c>
      <c r="Y859" s="158">
        <f t="shared" si="170"/>
        <v>-14.2205846153846</v>
      </c>
      <c r="Z859" s="158"/>
      <c r="AA859" s="158">
        <f t="shared" si="166"/>
        <v>10000</v>
      </c>
      <c r="AB859" s="167">
        <f t="shared" si="175"/>
        <v>0</v>
      </c>
      <c r="AC859" s="168">
        <f t="shared" si="167"/>
        <v>0</v>
      </c>
      <c r="AD859" s="158">
        <f t="shared" ref="AD859:AD862" si="176">(Z859-Q859)*0.89807640489087</f>
        <v>0</v>
      </c>
      <c r="AE859" s="159">
        <v>0.112691732739812</v>
      </c>
      <c r="AF859" s="158">
        <f t="shared" si="162"/>
        <v>0</v>
      </c>
      <c r="AG859" s="158">
        <v>20905.0197429073</v>
      </c>
      <c r="AH859" s="175"/>
      <c r="AI859" s="175"/>
      <c r="AJ859" s="157">
        <v>0.04</v>
      </c>
      <c r="AK859" s="177">
        <v>0.08</v>
      </c>
    </row>
    <row r="860" s="140" customFormat="1" ht="15" hidden="1" customHeight="1" spans="1:37">
      <c r="A860" s="140">
        <v>2017</v>
      </c>
      <c r="B860" s="140" t="s">
        <v>38</v>
      </c>
      <c r="C860" s="140" t="s">
        <v>110</v>
      </c>
      <c r="D860" s="140" t="s">
        <v>111</v>
      </c>
      <c r="E860" s="140" t="s">
        <v>253</v>
      </c>
      <c r="F860" s="140" t="s">
        <v>909</v>
      </c>
      <c r="G860" s="140" t="s">
        <v>909</v>
      </c>
      <c r="H860" s="140" t="s">
        <v>909</v>
      </c>
      <c r="I860" s="140" t="s">
        <v>170</v>
      </c>
      <c r="J860" s="140" t="s">
        <v>171</v>
      </c>
      <c r="K860" s="140" t="s">
        <v>172</v>
      </c>
      <c r="L860" s="140" t="s">
        <v>909</v>
      </c>
      <c r="M860" s="140" t="s">
        <v>46</v>
      </c>
      <c r="N860" s="157">
        <v>0.02</v>
      </c>
      <c r="O860" s="156" t="s">
        <v>51</v>
      </c>
      <c r="P860" s="156"/>
      <c r="Q860" s="158">
        <v>0</v>
      </c>
      <c r="R860" s="158">
        <v>0</v>
      </c>
      <c r="S860" s="158">
        <v>495000</v>
      </c>
      <c r="T860" s="158">
        <f t="shared" si="164"/>
        <v>9900</v>
      </c>
      <c r="U860" s="158">
        <f t="shared" si="168"/>
        <v>504900</v>
      </c>
      <c r="V860" s="158">
        <v>504790</v>
      </c>
      <c r="W860" s="158">
        <f t="shared" si="169"/>
        <v>110</v>
      </c>
      <c r="X860" s="158">
        <f t="shared" si="165"/>
        <v>107.843137254902</v>
      </c>
      <c r="Y860" s="158">
        <f t="shared" si="170"/>
        <v>2.15686274509804</v>
      </c>
      <c r="Z860" s="158">
        <v>485326.3</v>
      </c>
      <c r="AA860" s="158">
        <f t="shared" si="166"/>
        <v>19463.7</v>
      </c>
      <c r="AB860" s="167">
        <f t="shared" si="175"/>
        <v>475810.098039216</v>
      </c>
      <c r="AC860" s="168">
        <f t="shared" si="167"/>
        <v>9516.20196078432</v>
      </c>
      <c r="AD860" s="158">
        <f t="shared" si="176"/>
        <v>435860.098702988</v>
      </c>
      <c r="AE860" s="159">
        <v>0.112691732739812</v>
      </c>
      <c r="AF860" s="158">
        <f t="shared" si="162"/>
        <v>49117.8297549852</v>
      </c>
      <c r="AG860" s="158">
        <v>33905.8030337876</v>
      </c>
      <c r="AH860" s="175"/>
      <c r="AI860" s="175"/>
      <c r="AJ860" s="156" t="s">
        <v>899</v>
      </c>
      <c r="AK860" s="140" t="s">
        <v>899</v>
      </c>
    </row>
    <row r="861" s="140" customFormat="1" ht="15" hidden="1" customHeight="1" spans="1:37">
      <c r="A861" s="140">
        <v>2017</v>
      </c>
      <c r="B861" s="140" t="s">
        <v>38</v>
      </c>
      <c r="C861" s="140" t="s">
        <v>110</v>
      </c>
      <c r="D861" s="140" t="s">
        <v>111</v>
      </c>
      <c r="E861" s="140" t="s">
        <v>253</v>
      </c>
      <c r="F861" s="140" t="s">
        <v>910</v>
      </c>
      <c r="G861" s="140" t="s">
        <v>910</v>
      </c>
      <c r="H861" s="140" t="s">
        <v>910</v>
      </c>
      <c r="I861" s="140" t="s">
        <v>170</v>
      </c>
      <c r="J861" s="140" t="s">
        <v>171</v>
      </c>
      <c r="K861" s="140" t="s">
        <v>172</v>
      </c>
      <c r="L861" s="140" t="s">
        <v>910</v>
      </c>
      <c r="M861" s="140" t="s">
        <v>46</v>
      </c>
      <c r="N861" s="157">
        <v>0.02</v>
      </c>
      <c r="O861" s="156" t="s">
        <v>51</v>
      </c>
      <c r="P861" s="156"/>
      <c r="Q861" s="158">
        <v>0</v>
      </c>
      <c r="R861" s="158">
        <v>0</v>
      </c>
      <c r="S861" s="158">
        <v>250000</v>
      </c>
      <c r="T861" s="158">
        <f t="shared" si="164"/>
        <v>5000</v>
      </c>
      <c r="U861" s="158">
        <f t="shared" si="168"/>
        <v>255000</v>
      </c>
      <c r="V861" s="158">
        <v>265200</v>
      </c>
      <c r="W861" s="158">
        <f t="shared" si="169"/>
        <v>-10200</v>
      </c>
      <c r="X861" s="158">
        <f t="shared" si="165"/>
        <v>-10000</v>
      </c>
      <c r="Y861" s="158">
        <f t="shared" si="170"/>
        <v>-200</v>
      </c>
      <c r="Z861" s="158">
        <v>249478.3</v>
      </c>
      <c r="AA861" s="158">
        <f t="shared" si="166"/>
        <v>15721.7</v>
      </c>
      <c r="AB861" s="167">
        <f t="shared" si="175"/>
        <v>244586.568627451</v>
      </c>
      <c r="AC861" s="168">
        <f t="shared" si="167"/>
        <v>4891.73137254902</v>
      </c>
      <c r="AD861" s="158">
        <f t="shared" si="176"/>
        <v>224050.574762286</v>
      </c>
      <c r="AE861" s="159">
        <v>0.112691732739812</v>
      </c>
      <c r="AF861" s="158">
        <f t="shared" si="162"/>
        <v>25248.6474913128</v>
      </c>
      <c r="AG861" s="158">
        <v>17429.0206424094</v>
      </c>
      <c r="AH861" s="175"/>
      <c r="AI861" s="175"/>
      <c r="AJ861" s="156" t="s">
        <v>173</v>
      </c>
      <c r="AK861" s="140" t="s">
        <v>173</v>
      </c>
    </row>
    <row r="862" s="140" customFormat="1" ht="15" hidden="1" customHeight="1" spans="1:37">
      <c r="A862" s="140">
        <v>2017</v>
      </c>
      <c r="B862" s="140" t="s">
        <v>38</v>
      </c>
      <c r="C862" s="140" t="s">
        <v>88</v>
      </c>
      <c r="D862" s="140" t="s">
        <v>89</v>
      </c>
      <c r="E862" s="140" t="s">
        <v>124</v>
      </c>
      <c r="F862" s="140" t="s">
        <v>911</v>
      </c>
      <c r="G862" s="140" t="s">
        <v>912</v>
      </c>
      <c r="H862" s="140" t="s">
        <v>912</v>
      </c>
      <c r="I862" s="140" t="s">
        <v>170</v>
      </c>
      <c r="J862" s="140" t="s">
        <v>171</v>
      </c>
      <c r="K862" s="140" t="s">
        <v>172</v>
      </c>
      <c r="L862" s="140" t="s">
        <v>911</v>
      </c>
      <c r="M862" s="140" t="s">
        <v>46</v>
      </c>
      <c r="N862" s="157">
        <v>0.04</v>
      </c>
      <c r="O862" s="156" t="s">
        <v>51</v>
      </c>
      <c r="P862" s="156"/>
      <c r="Q862" s="158">
        <v>0</v>
      </c>
      <c r="R862" s="158">
        <v>0</v>
      </c>
      <c r="S862" s="158">
        <v>343278.8</v>
      </c>
      <c r="T862" s="158">
        <f t="shared" si="164"/>
        <v>13731.152</v>
      </c>
      <c r="U862" s="158">
        <f t="shared" si="168"/>
        <v>357009.952</v>
      </c>
      <c r="V862" s="158">
        <v>357000</v>
      </c>
      <c r="W862" s="158">
        <f t="shared" si="169"/>
        <v>9.95199999999022</v>
      </c>
      <c r="X862" s="158">
        <f t="shared" si="165"/>
        <v>9.56923076922137</v>
      </c>
      <c r="Y862" s="158">
        <f t="shared" si="170"/>
        <v>0.382769230768854</v>
      </c>
      <c r="Z862" s="158">
        <v>342607.2</v>
      </c>
      <c r="AA862" s="158">
        <f t="shared" si="166"/>
        <v>14392.8</v>
      </c>
      <c r="AB862" s="167">
        <f t="shared" si="175"/>
        <v>329430</v>
      </c>
      <c r="AC862" s="168">
        <f t="shared" si="167"/>
        <v>13177.2</v>
      </c>
      <c r="AD862" s="158">
        <f t="shared" si="176"/>
        <v>307687.442465727</v>
      </c>
      <c r="AE862" s="159">
        <v>0.112691732739812</v>
      </c>
      <c r="AF862" s="158">
        <f t="shared" si="162"/>
        <v>34673.831033744</v>
      </c>
      <c r="AG862" s="158">
        <v>5274.65690149459</v>
      </c>
      <c r="AH862" s="175"/>
      <c r="AI862" s="175"/>
      <c r="AJ862" s="157">
        <v>0.04</v>
      </c>
      <c r="AK862" s="177">
        <v>0.04</v>
      </c>
    </row>
    <row r="863" s="140" customFormat="1" ht="15" hidden="1" customHeight="1" spans="1:37">
      <c r="A863" s="140">
        <v>2017</v>
      </c>
      <c r="B863" s="140" t="s">
        <v>38</v>
      </c>
      <c r="C863" s="140" t="s">
        <v>88</v>
      </c>
      <c r="D863" s="140" t="s">
        <v>89</v>
      </c>
      <c r="E863" s="140" t="s">
        <v>124</v>
      </c>
      <c r="F863" s="140" t="s">
        <v>913</v>
      </c>
      <c r="G863" s="140" t="s">
        <v>913</v>
      </c>
      <c r="H863" s="140" t="s">
        <v>913</v>
      </c>
      <c r="I863" s="140" t="s">
        <v>170</v>
      </c>
      <c r="J863" s="140" t="s">
        <v>605</v>
      </c>
      <c r="K863" s="140" t="s">
        <v>886</v>
      </c>
      <c r="L863" s="140" t="s">
        <v>913</v>
      </c>
      <c r="M863" s="140" t="s">
        <v>46</v>
      </c>
      <c r="N863" s="157">
        <v>0.02</v>
      </c>
      <c r="O863" s="156" t="s">
        <v>51</v>
      </c>
      <c r="P863" s="156"/>
      <c r="Q863" s="158">
        <v>0</v>
      </c>
      <c r="R863" s="158">
        <v>0</v>
      </c>
      <c r="S863" s="158">
        <v>10000</v>
      </c>
      <c r="T863" s="158">
        <f t="shared" si="164"/>
        <v>200</v>
      </c>
      <c r="U863" s="158">
        <f t="shared" si="168"/>
        <v>10200</v>
      </c>
      <c r="V863" s="158">
        <v>10200</v>
      </c>
      <c r="W863" s="158">
        <f t="shared" si="169"/>
        <v>0</v>
      </c>
      <c r="X863" s="158">
        <f t="shared" si="165"/>
        <v>0</v>
      </c>
      <c r="Y863" s="158">
        <f t="shared" si="170"/>
        <v>0</v>
      </c>
      <c r="Z863" s="158">
        <v>2506.7</v>
      </c>
      <c r="AA863" s="158">
        <f t="shared" si="166"/>
        <v>7693.3</v>
      </c>
      <c r="AB863" s="167">
        <f t="shared" si="175"/>
        <v>2457.54901960784</v>
      </c>
      <c r="AC863" s="168">
        <f t="shared" si="167"/>
        <v>49.1509803921567</v>
      </c>
      <c r="AD863" s="158">
        <v>2506.7</v>
      </c>
      <c r="AE863" s="159">
        <v>0.1</v>
      </c>
      <c r="AF863" s="158">
        <f t="shared" si="162"/>
        <v>250.67</v>
      </c>
      <c r="AG863" s="158">
        <v>108.781320754717</v>
      </c>
      <c r="AH863" s="175"/>
      <c r="AI863" s="175"/>
      <c r="AJ863" s="156" t="s">
        <v>173</v>
      </c>
      <c r="AK863" s="140" t="s">
        <v>173</v>
      </c>
    </row>
    <row r="864" s="140" customFormat="1" ht="15" hidden="1" customHeight="1" spans="1:37">
      <c r="A864" s="140">
        <v>2017</v>
      </c>
      <c r="B864" s="140" t="s">
        <v>38</v>
      </c>
      <c r="C864" s="140" t="s">
        <v>88</v>
      </c>
      <c r="D864" s="140" t="s">
        <v>89</v>
      </c>
      <c r="E864" s="140" t="s">
        <v>124</v>
      </c>
      <c r="F864" s="140" t="s">
        <v>914</v>
      </c>
      <c r="G864" s="140" t="s">
        <v>914</v>
      </c>
      <c r="H864" s="140" t="s">
        <v>914</v>
      </c>
      <c r="I864" s="140" t="s">
        <v>170</v>
      </c>
      <c r="J864" s="140" t="s">
        <v>171</v>
      </c>
      <c r="K864" s="140" t="s">
        <v>172</v>
      </c>
      <c r="L864" s="140" t="s">
        <v>914</v>
      </c>
      <c r="M864" s="140" t="s">
        <v>46</v>
      </c>
      <c r="N864" s="157">
        <v>0.04</v>
      </c>
      <c r="O864" s="156" t="s">
        <v>51</v>
      </c>
      <c r="P864" s="156"/>
      <c r="Q864" s="158">
        <v>0</v>
      </c>
      <c r="R864" s="158">
        <v>0</v>
      </c>
      <c r="S864" s="158">
        <v>9808</v>
      </c>
      <c r="T864" s="158">
        <f t="shared" si="164"/>
        <v>392.32</v>
      </c>
      <c r="U864" s="158">
        <f t="shared" si="168"/>
        <v>10200.32</v>
      </c>
      <c r="V864" s="158">
        <v>10200</v>
      </c>
      <c r="W864" s="158">
        <f t="shared" si="169"/>
        <v>0.319999999999709</v>
      </c>
      <c r="X864" s="158">
        <f t="shared" si="165"/>
        <v>0.307692307692028</v>
      </c>
      <c r="Y864" s="158">
        <f t="shared" si="170"/>
        <v>0.0123076923076811</v>
      </c>
      <c r="Z864" s="158">
        <v>10196.9</v>
      </c>
      <c r="AA864" s="158">
        <f t="shared" si="166"/>
        <v>3.10000000000036</v>
      </c>
      <c r="AB864" s="167">
        <f t="shared" si="175"/>
        <v>9804.71153846154</v>
      </c>
      <c r="AC864" s="168">
        <f t="shared" si="167"/>
        <v>392.188461538462</v>
      </c>
      <c r="AD864" s="158">
        <f t="shared" ref="AD864:AD866" si="177">(Z864-Q864)*0.89807640489087</f>
        <v>9157.59529303171</v>
      </c>
      <c r="AE864" s="159">
        <v>0.112691732739812</v>
      </c>
      <c r="AF864" s="158">
        <f t="shared" si="162"/>
        <v>1031.98528130169</v>
      </c>
      <c r="AG864" s="158">
        <v>712.374505472357</v>
      </c>
      <c r="AH864" s="175"/>
      <c r="AI864" s="175"/>
      <c r="AJ864" s="156" t="s">
        <v>186</v>
      </c>
      <c r="AK864" s="140" t="s">
        <v>186</v>
      </c>
    </row>
    <row r="865" s="140" customFormat="1" ht="15" hidden="1" customHeight="1" spans="1:39">
      <c r="A865" s="140">
        <v>2017</v>
      </c>
      <c r="B865" s="140" t="s">
        <v>38</v>
      </c>
      <c r="C865" s="140" t="s">
        <v>88</v>
      </c>
      <c r="D865" s="140" t="s">
        <v>89</v>
      </c>
      <c r="E865" s="140" t="s">
        <v>124</v>
      </c>
      <c r="F865" s="140" t="s">
        <v>915</v>
      </c>
      <c r="G865" s="140" t="s">
        <v>915</v>
      </c>
      <c r="H865" s="140" t="s">
        <v>915</v>
      </c>
      <c r="I865" s="140" t="s">
        <v>170</v>
      </c>
      <c r="J865" s="140" t="s">
        <v>171</v>
      </c>
      <c r="K865" s="140" t="s">
        <v>172</v>
      </c>
      <c r="L865" s="140" t="s">
        <v>915</v>
      </c>
      <c r="M865" s="140" t="s">
        <v>46</v>
      </c>
      <c r="N865" s="157">
        <v>0.02</v>
      </c>
      <c r="O865" s="156" t="s">
        <v>51</v>
      </c>
      <c r="P865" s="156"/>
      <c r="Q865" s="158">
        <v>0</v>
      </c>
      <c r="R865" s="158">
        <v>0</v>
      </c>
      <c r="S865" s="158">
        <v>320000</v>
      </c>
      <c r="T865" s="158">
        <f t="shared" si="164"/>
        <v>6400</v>
      </c>
      <c r="U865" s="158">
        <f t="shared" si="168"/>
        <v>326400</v>
      </c>
      <c r="V865" s="158">
        <v>326400</v>
      </c>
      <c r="W865" s="158">
        <f t="shared" si="169"/>
        <v>0</v>
      </c>
      <c r="X865" s="158">
        <f t="shared" si="165"/>
        <v>0</v>
      </c>
      <c r="Y865" s="158">
        <f t="shared" si="170"/>
        <v>0</v>
      </c>
      <c r="Z865" s="158">
        <v>225031.9</v>
      </c>
      <c r="AA865" s="158">
        <f t="shared" si="166"/>
        <v>101368.1</v>
      </c>
      <c r="AB865" s="167">
        <f t="shared" si="175"/>
        <v>220619.509803922</v>
      </c>
      <c r="AC865" s="168">
        <f t="shared" si="167"/>
        <v>4412.39019607843</v>
      </c>
      <c r="AD865" s="158">
        <f t="shared" si="177"/>
        <v>202095.839737762</v>
      </c>
      <c r="AE865" s="159">
        <v>0.112691732739812</v>
      </c>
      <c r="AF865" s="158">
        <f t="shared" si="162"/>
        <v>22774.5303595557</v>
      </c>
      <c r="AG865" s="158">
        <v>9767.78218918612</v>
      </c>
      <c r="AH865" s="175"/>
      <c r="AI865" s="175"/>
      <c r="AJ865" s="156" t="s">
        <v>173</v>
      </c>
      <c r="AK865" s="140" t="s">
        <v>173</v>
      </c>
      <c r="AM865" s="140" t="s">
        <v>174</v>
      </c>
    </row>
    <row r="866" s="140" customFormat="1" ht="15" hidden="1" customHeight="1" spans="1:37">
      <c r="A866" s="140">
        <v>2017</v>
      </c>
      <c r="B866" s="140" t="s">
        <v>199</v>
      </c>
      <c r="C866" s="140" t="s">
        <v>88</v>
      </c>
      <c r="D866" s="140" t="s">
        <v>89</v>
      </c>
      <c r="E866" s="140" t="s">
        <v>277</v>
      </c>
      <c r="F866" s="140" t="s">
        <v>288</v>
      </c>
      <c r="G866" s="140" t="s">
        <v>289</v>
      </c>
      <c r="H866" s="140" t="s">
        <v>289</v>
      </c>
      <c r="I866" s="140" t="s">
        <v>170</v>
      </c>
      <c r="J866" s="140" t="s">
        <v>171</v>
      </c>
      <c r="K866" s="140" t="s">
        <v>172</v>
      </c>
      <c r="L866" s="140" t="s">
        <v>916</v>
      </c>
      <c r="M866" s="140" t="s">
        <v>46</v>
      </c>
      <c r="N866" s="157">
        <v>0.02</v>
      </c>
      <c r="O866" s="156" t="s">
        <v>51</v>
      </c>
      <c r="P866" s="156"/>
      <c r="Q866" s="158">
        <v>0</v>
      </c>
      <c r="R866" s="158">
        <v>0</v>
      </c>
      <c r="S866" s="158">
        <v>10000</v>
      </c>
      <c r="T866" s="158">
        <f t="shared" si="164"/>
        <v>200</v>
      </c>
      <c r="U866" s="158">
        <f t="shared" si="168"/>
        <v>10200</v>
      </c>
      <c r="V866" s="158">
        <v>10200</v>
      </c>
      <c r="W866" s="158">
        <f t="shared" si="169"/>
        <v>0</v>
      </c>
      <c r="X866" s="158">
        <f t="shared" si="165"/>
        <v>0</v>
      </c>
      <c r="Y866" s="158">
        <f t="shared" si="170"/>
        <v>0</v>
      </c>
      <c r="Z866" s="158">
        <v>4099.5</v>
      </c>
      <c r="AA866" s="158">
        <f t="shared" si="166"/>
        <v>6100.5</v>
      </c>
      <c r="AB866" s="167">
        <f t="shared" si="175"/>
        <v>4019.11764705882</v>
      </c>
      <c r="AC866" s="168">
        <f t="shared" si="167"/>
        <v>80.3823529411766</v>
      </c>
      <c r="AD866" s="158">
        <f t="shared" si="177"/>
        <v>3681.66422185012</v>
      </c>
      <c r="AE866" s="159">
        <v>0.112691732739812</v>
      </c>
      <c r="AF866" s="158">
        <f t="shared" si="162"/>
        <v>414.893120526462</v>
      </c>
      <c r="AG866" s="158">
        <v>286.398737379392</v>
      </c>
      <c r="AH866" s="175"/>
      <c r="AI866" s="175"/>
      <c r="AJ866" s="157">
        <v>0.02</v>
      </c>
      <c r="AK866" s="177">
        <v>0.02</v>
      </c>
    </row>
    <row r="867" s="140" customFormat="1" ht="15" hidden="1" customHeight="1" spans="1:37">
      <c r="A867" s="140">
        <v>2017</v>
      </c>
      <c r="B867" s="140" t="s">
        <v>38</v>
      </c>
      <c r="C867" s="140" t="s">
        <v>88</v>
      </c>
      <c r="D867" s="140" t="s">
        <v>293</v>
      </c>
      <c r="E867" s="140" t="s">
        <v>194</v>
      </c>
      <c r="F867" s="140" t="s">
        <v>917</v>
      </c>
      <c r="G867" s="140" t="s">
        <v>917</v>
      </c>
      <c r="H867" s="140" t="s">
        <v>917</v>
      </c>
      <c r="I867" s="140" t="s">
        <v>170</v>
      </c>
      <c r="J867" s="140" t="s">
        <v>868</v>
      </c>
      <c r="K867" s="140" t="s">
        <v>869</v>
      </c>
      <c r="L867" s="140" t="s">
        <v>917</v>
      </c>
      <c r="M867" s="140" t="s">
        <v>46</v>
      </c>
      <c r="N867" s="157">
        <v>0.02</v>
      </c>
      <c r="O867" s="156" t="s">
        <v>51</v>
      </c>
      <c r="P867" s="156"/>
      <c r="Q867" s="158">
        <v>0</v>
      </c>
      <c r="R867" s="158">
        <v>0</v>
      </c>
      <c r="S867" s="158">
        <v>30000</v>
      </c>
      <c r="T867" s="158">
        <f t="shared" si="164"/>
        <v>600</v>
      </c>
      <c r="U867" s="158">
        <f t="shared" si="168"/>
        <v>30600</v>
      </c>
      <c r="V867" s="158">
        <v>30600</v>
      </c>
      <c r="W867" s="158">
        <f t="shared" si="169"/>
        <v>0</v>
      </c>
      <c r="X867" s="158">
        <f t="shared" si="165"/>
        <v>0</v>
      </c>
      <c r="Y867" s="158">
        <f t="shared" si="170"/>
        <v>0</v>
      </c>
      <c r="Z867" s="158">
        <v>28082.7</v>
      </c>
      <c r="AA867" s="158">
        <f t="shared" si="166"/>
        <v>2517.3</v>
      </c>
      <c r="AB867" s="167">
        <f t="shared" si="175"/>
        <v>27532.0588235294</v>
      </c>
      <c r="AC867" s="168">
        <f t="shared" si="167"/>
        <v>550.641176470588</v>
      </c>
      <c r="AD867" s="158">
        <f>Z867*0.972201473425119-Q867</f>
        <v>27302.0423177556</v>
      </c>
      <c r="AE867" s="159">
        <v>0.1</v>
      </c>
      <c r="AF867" s="158">
        <f t="shared" si="162"/>
        <v>2730.20423177556</v>
      </c>
      <c r="AG867" s="158">
        <v>1218.68320754717</v>
      </c>
      <c r="AH867" s="175"/>
      <c r="AI867" s="175"/>
      <c r="AJ867" s="157">
        <v>0.02</v>
      </c>
      <c r="AK867" s="177">
        <v>0.02</v>
      </c>
    </row>
    <row r="868" s="140" customFormat="1" ht="15" hidden="1" customHeight="1" spans="1:37">
      <c r="A868" s="140">
        <v>2017</v>
      </c>
      <c r="B868" s="140" t="s">
        <v>38</v>
      </c>
      <c r="C868" s="140" t="s">
        <v>75</v>
      </c>
      <c r="D868" s="140" t="s">
        <v>76</v>
      </c>
      <c r="E868" s="140" t="s">
        <v>167</v>
      </c>
      <c r="F868" s="140" t="s">
        <v>295</v>
      </c>
      <c r="G868" s="140" t="s">
        <v>295</v>
      </c>
      <c r="H868" s="140" t="s">
        <v>295</v>
      </c>
      <c r="I868" s="140" t="s">
        <v>170</v>
      </c>
      <c r="J868" s="140" t="s">
        <v>171</v>
      </c>
      <c r="K868" s="140" t="s">
        <v>172</v>
      </c>
      <c r="L868" s="140" t="s">
        <v>295</v>
      </c>
      <c r="M868" s="140" t="s">
        <v>46</v>
      </c>
      <c r="N868" s="157">
        <v>0.02</v>
      </c>
      <c r="O868" s="156" t="s">
        <v>51</v>
      </c>
      <c r="P868" s="156"/>
      <c r="Q868" s="158">
        <v>0</v>
      </c>
      <c r="R868" s="158">
        <v>0</v>
      </c>
      <c r="S868" s="158">
        <v>20000</v>
      </c>
      <c r="T868" s="158">
        <f t="shared" si="164"/>
        <v>400</v>
      </c>
      <c r="U868" s="158">
        <f t="shared" si="168"/>
        <v>20400</v>
      </c>
      <c r="V868" s="158">
        <v>20400</v>
      </c>
      <c r="W868" s="158">
        <f t="shared" si="169"/>
        <v>0</v>
      </c>
      <c r="X868" s="158">
        <f t="shared" si="165"/>
        <v>0</v>
      </c>
      <c r="Y868" s="158">
        <f t="shared" si="170"/>
        <v>0</v>
      </c>
      <c r="Z868" s="158">
        <v>20397.5</v>
      </c>
      <c r="AA868" s="158">
        <f t="shared" si="166"/>
        <v>2.5</v>
      </c>
      <c r="AB868" s="167">
        <f t="shared" si="175"/>
        <v>19997.5490196078</v>
      </c>
      <c r="AC868" s="168">
        <f t="shared" si="167"/>
        <v>399.950980392157</v>
      </c>
      <c r="AD868" s="158">
        <f t="shared" ref="AD868:AD880" si="178">(Z868-Q868)*0.89807640489087</f>
        <v>18318.5134687615</v>
      </c>
      <c r="AE868" s="159">
        <v>0.112691732739812</v>
      </c>
      <c r="AF868" s="158">
        <f t="shared" si="162"/>
        <v>2064.34502401232</v>
      </c>
      <c r="AG868" s="158">
        <v>1425.0074998649</v>
      </c>
      <c r="AH868" s="175"/>
      <c r="AI868" s="175"/>
      <c r="AJ868" s="156" t="s">
        <v>173</v>
      </c>
      <c r="AK868" s="140" t="s">
        <v>173</v>
      </c>
    </row>
    <row r="869" s="140" customFormat="1" ht="15" hidden="1" customHeight="1" spans="1:37">
      <c r="A869" s="140">
        <v>2017</v>
      </c>
      <c r="B869" s="140" t="s">
        <v>38</v>
      </c>
      <c r="C869" s="140" t="s">
        <v>75</v>
      </c>
      <c r="D869" s="140" t="s">
        <v>76</v>
      </c>
      <c r="E869" s="140" t="s">
        <v>167</v>
      </c>
      <c r="F869" s="140" t="s">
        <v>918</v>
      </c>
      <c r="G869" s="140" t="s">
        <v>919</v>
      </c>
      <c r="H869" s="140" t="s">
        <v>919</v>
      </c>
      <c r="I869" s="140" t="s">
        <v>170</v>
      </c>
      <c r="J869" s="140" t="s">
        <v>171</v>
      </c>
      <c r="K869" s="140" t="s">
        <v>172</v>
      </c>
      <c r="L869" s="140" t="s">
        <v>919</v>
      </c>
      <c r="M869" s="140" t="s">
        <v>46</v>
      </c>
      <c r="N869" s="157">
        <v>0.04</v>
      </c>
      <c r="O869" s="156" t="s">
        <v>51</v>
      </c>
      <c r="P869" s="156"/>
      <c r="Q869" s="158">
        <v>0</v>
      </c>
      <c r="R869" s="158">
        <v>0</v>
      </c>
      <c r="S869" s="158">
        <v>711538.46</v>
      </c>
      <c r="T869" s="158">
        <f t="shared" si="164"/>
        <v>28461.5384</v>
      </c>
      <c r="U869" s="158">
        <f t="shared" si="168"/>
        <v>739999.9984</v>
      </c>
      <c r="V869" s="158">
        <v>740000</v>
      </c>
      <c r="W869" s="158">
        <f t="shared" si="169"/>
        <v>-0.00160000007599592</v>
      </c>
      <c r="X869" s="158">
        <f t="shared" si="165"/>
        <v>-0.00153846161153454</v>
      </c>
      <c r="Y869" s="158">
        <f t="shared" si="170"/>
        <v>-6.15384644613818e-5</v>
      </c>
      <c r="Z869" s="158">
        <v>429212.7</v>
      </c>
      <c r="AA869" s="158">
        <f t="shared" si="166"/>
        <v>310787.3</v>
      </c>
      <c r="AB869" s="167">
        <f t="shared" si="175"/>
        <v>412704.519230769</v>
      </c>
      <c r="AC869" s="168">
        <f t="shared" si="167"/>
        <v>16508.1807692308</v>
      </c>
      <c r="AD869" s="158">
        <f t="shared" si="178"/>
        <v>385465.798549504</v>
      </c>
      <c r="AE869" s="159">
        <v>0.112691732739812</v>
      </c>
      <c r="AF869" s="158">
        <f t="shared" si="162"/>
        <v>43438.8087504789</v>
      </c>
      <c r="AG869" s="158">
        <v>21893.3565122512</v>
      </c>
      <c r="AH869" s="175"/>
      <c r="AI869" s="175"/>
      <c r="AJ869" s="156" t="s">
        <v>186</v>
      </c>
      <c r="AK869" s="140" t="s">
        <v>186</v>
      </c>
    </row>
    <row r="870" s="140" customFormat="1" ht="15" hidden="1" customHeight="1" spans="1:37">
      <c r="A870" s="140">
        <v>2017</v>
      </c>
      <c r="B870" s="140" t="s">
        <v>38</v>
      </c>
      <c r="C870" s="140" t="s">
        <v>75</v>
      </c>
      <c r="D870" s="140" t="s">
        <v>76</v>
      </c>
      <c r="E870" s="140" t="s">
        <v>296</v>
      </c>
      <c r="F870" s="140" t="s">
        <v>571</v>
      </c>
      <c r="G870" s="140" t="s">
        <v>571</v>
      </c>
      <c r="H870" s="140" t="s">
        <v>571</v>
      </c>
      <c r="I870" s="140" t="s">
        <v>170</v>
      </c>
      <c r="J870" s="140" t="s">
        <v>171</v>
      </c>
      <c r="K870" s="140" t="s">
        <v>172</v>
      </c>
      <c r="L870" s="140" t="s">
        <v>571</v>
      </c>
      <c r="M870" s="140" t="s">
        <v>46</v>
      </c>
      <c r="N870" s="157">
        <v>0.06</v>
      </c>
      <c r="O870" s="156" t="s">
        <v>51</v>
      </c>
      <c r="P870" s="156"/>
      <c r="Q870" s="158">
        <v>126399.7</v>
      </c>
      <c r="R870" s="158">
        <v>0</v>
      </c>
      <c r="S870" s="158">
        <v>3988978.88</v>
      </c>
      <c r="T870" s="158">
        <f t="shared" si="164"/>
        <v>239338.7328</v>
      </c>
      <c r="U870" s="158">
        <f t="shared" si="168"/>
        <v>4228317.6128</v>
      </c>
      <c r="V870" s="158">
        <v>4150072.52</v>
      </c>
      <c r="W870" s="158">
        <f t="shared" si="169"/>
        <v>78245.0928000002</v>
      </c>
      <c r="X870" s="158">
        <f t="shared" si="165"/>
        <v>73816.1252830191</v>
      </c>
      <c r="Y870" s="158">
        <f t="shared" si="170"/>
        <v>4428.96751698115</v>
      </c>
      <c r="Z870" s="158">
        <v>8118036.7</v>
      </c>
      <c r="AA870" s="158">
        <f t="shared" si="166"/>
        <v>-3841564.48</v>
      </c>
      <c r="AB870" s="167">
        <f>IF(O870="返货",(Z870-Q870)/(1+N870),IF(O870="返现",(Z870-Q870),IF(O870="折扣",(Z870-Q870)*N870,IF(O870="无",(Z870-Q870)))))</f>
        <v>7539280.18867925</v>
      </c>
      <c r="AC870" s="168">
        <f t="shared" si="167"/>
        <v>578756.511320755</v>
      </c>
      <c r="AD870" s="158">
        <f t="shared" si="178"/>
        <v>7177100.62615286</v>
      </c>
      <c r="AE870" s="159">
        <v>0.112691732739812</v>
      </c>
      <c r="AF870" s="158">
        <f t="shared" si="162"/>
        <v>808799.905609155</v>
      </c>
      <c r="AG870" s="158">
        <v>266806.906068779</v>
      </c>
      <c r="AH870" s="175"/>
      <c r="AI870" s="175"/>
      <c r="AJ870" s="157">
        <v>0.06</v>
      </c>
      <c r="AK870" s="177">
        <v>0.06</v>
      </c>
    </row>
    <row r="871" s="140" customFormat="1" ht="15" hidden="1" customHeight="1" spans="1:37">
      <c r="A871" s="140">
        <v>2017</v>
      </c>
      <c r="B871" s="140" t="s">
        <v>38</v>
      </c>
      <c r="C871" s="140" t="s">
        <v>75</v>
      </c>
      <c r="D871" s="140" t="s">
        <v>76</v>
      </c>
      <c r="E871" s="140" t="s">
        <v>296</v>
      </c>
      <c r="F871" s="140" t="s">
        <v>571</v>
      </c>
      <c r="G871" s="140" t="s">
        <v>571</v>
      </c>
      <c r="H871" s="140" t="s">
        <v>571</v>
      </c>
      <c r="I871" s="140" t="s">
        <v>170</v>
      </c>
      <c r="J871" s="140" t="s">
        <v>171</v>
      </c>
      <c r="K871" s="140" t="s">
        <v>172</v>
      </c>
      <c r="L871" s="140" t="s">
        <v>571</v>
      </c>
      <c r="M871" s="140" t="s">
        <v>46</v>
      </c>
      <c r="N871" s="157">
        <v>0.08</v>
      </c>
      <c r="O871" s="156" t="s">
        <v>51</v>
      </c>
      <c r="P871" s="156"/>
      <c r="Q871" s="158">
        <v>0</v>
      </c>
      <c r="R871" s="158">
        <v>0</v>
      </c>
      <c r="S871" s="158">
        <v>360000</v>
      </c>
      <c r="T871" s="158">
        <f t="shared" si="164"/>
        <v>28800</v>
      </c>
      <c r="U871" s="158">
        <f t="shared" si="168"/>
        <v>388800</v>
      </c>
      <c r="V871" s="158">
        <v>1811367.04</v>
      </c>
      <c r="W871" s="158">
        <f t="shared" si="169"/>
        <v>-1422567.04</v>
      </c>
      <c r="X871" s="158">
        <f t="shared" si="165"/>
        <v>-1317191.7037037</v>
      </c>
      <c r="Y871" s="158">
        <f t="shared" si="170"/>
        <v>-105375.336296296</v>
      </c>
      <c r="Z871" s="158">
        <v>0</v>
      </c>
      <c r="AA871" s="158">
        <f t="shared" si="166"/>
        <v>1811367.04</v>
      </c>
      <c r="AB871" s="167">
        <f>IF(O871="返货",Z871/(1+N871),IF(O871="返现",Z871,IF(O871="折扣",Z871*N871,IF(O871="无",Z871))))</f>
        <v>0</v>
      </c>
      <c r="AC871" s="168">
        <f t="shared" si="167"/>
        <v>0</v>
      </c>
      <c r="AD871" s="158">
        <f t="shared" si="178"/>
        <v>0</v>
      </c>
      <c r="AE871" s="159">
        <v>0.112691732739812</v>
      </c>
      <c r="AF871" s="158">
        <f t="shared" si="162"/>
        <v>0</v>
      </c>
      <c r="AG871" s="158">
        <v>0</v>
      </c>
      <c r="AH871" s="175"/>
      <c r="AI871" s="175"/>
      <c r="AJ871" s="157">
        <v>0.08</v>
      </c>
      <c r="AK871" s="177">
        <v>0.08</v>
      </c>
    </row>
    <row r="872" s="140" customFormat="1" ht="15" hidden="1" customHeight="1" spans="1:37">
      <c r="A872" s="140">
        <v>2017</v>
      </c>
      <c r="B872" s="140" t="s">
        <v>38</v>
      </c>
      <c r="C872" s="140" t="s">
        <v>75</v>
      </c>
      <c r="D872" s="140" t="s">
        <v>76</v>
      </c>
      <c r="E872" s="140" t="s">
        <v>296</v>
      </c>
      <c r="F872" s="140" t="s">
        <v>273</v>
      </c>
      <c r="G872" s="140" t="s">
        <v>273</v>
      </c>
      <c r="H872" s="140" t="s">
        <v>273</v>
      </c>
      <c r="I872" s="140" t="s">
        <v>170</v>
      </c>
      <c r="J872" s="140" t="s">
        <v>171</v>
      </c>
      <c r="K872" s="140" t="s">
        <v>172</v>
      </c>
      <c r="L872" s="140" t="s">
        <v>273</v>
      </c>
      <c r="M872" s="140" t="s">
        <v>46</v>
      </c>
      <c r="N872" s="157">
        <v>0.04</v>
      </c>
      <c r="O872" s="156" t="s">
        <v>51</v>
      </c>
      <c r="P872" s="156"/>
      <c r="Q872" s="158">
        <v>102217.4</v>
      </c>
      <c r="R872" s="158">
        <v>0</v>
      </c>
      <c r="S872" s="158">
        <v>250000</v>
      </c>
      <c r="T872" s="158">
        <f t="shared" si="164"/>
        <v>10000</v>
      </c>
      <c r="U872" s="158">
        <f t="shared" si="168"/>
        <v>260000</v>
      </c>
      <c r="V872" s="158">
        <v>190000</v>
      </c>
      <c r="W872" s="158">
        <f t="shared" si="169"/>
        <v>70000</v>
      </c>
      <c r="X872" s="158">
        <f t="shared" si="165"/>
        <v>67307.6923076923</v>
      </c>
      <c r="Y872" s="158">
        <f t="shared" si="170"/>
        <v>2692.30769230769</v>
      </c>
      <c r="Z872" s="158">
        <v>292203.5</v>
      </c>
      <c r="AA872" s="158">
        <f t="shared" si="166"/>
        <v>13.9000000000233</v>
      </c>
      <c r="AB872" s="167">
        <f>IF(O872="返货",(Z872-Q872)/(1+N872),IF(O872="返现",(Z872-Q872),IF(O872="折扣",(Z872-Q872)*N872,IF(O872="无",(Z872-Q872)))))</f>
        <v>182678.942307692</v>
      </c>
      <c r="AC872" s="168">
        <f t="shared" si="167"/>
        <v>109524.557692308</v>
      </c>
      <c r="AD872" s="158">
        <f t="shared" si="178"/>
        <v>170622.033667237</v>
      </c>
      <c r="AE872" s="159">
        <v>0.112691732739812</v>
      </c>
      <c r="AF872" s="158">
        <f t="shared" si="162"/>
        <v>19227.6926175515</v>
      </c>
      <c r="AG872" s="158">
        <v>14904.7672625427</v>
      </c>
      <c r="AH872" s="175"/>
      <c r="AI872" s="175"/>
      <c r="AJ872" s="157">
        <v>0.04</v>
      </c>
      <c r="AK872" s="177">
        <v>0.04</v>
      </c>
    </row>
    <row r="873" s="140" customFormat="1" ht="15" hidden="1" customHeight="1" spans="1:37">
      <c r="A873" s="140">
        <v>2017</v>
      </c>
      <c r="B873" s="140" t="s">
        <v>38</v>
      </c>
      <c r="C873" s="140" t="s">
        <v>75</v>
      </c>
      <c r="D873" s="140" t="s">
        <v>76</v>
      </c>
      <c r="E873" s="140" t="s">
        <v>296</v>
      </c>
      <c r="F873" s="140" t="s">
        <v>643</v>
      </c>
      <c r="G873" s="140" t="s">
        <v>643</v>
      </c>
      <c r="H873" s="140" t="s">
        <v>643</v>
      </c>
      <c r="I873" s="140" t="s">
        <v>170</v>
      </c>
      <c r="J873" s="140" t="s">
        <v>171</v>
      </c>
      <c r="K873" s="140" t="s">
        <v>172</v>
      </c>
      <c r="L873" s="140" t="s">
        <v>643</v>
      </c>
      <c r="M873" s="140" t="s">
        <v>46</v>
      </c>
      <c r="N873" s="157">
        <v>0.06</v>
      </c>
      <c r="O873" s="156" t="s">
        <v>51</v>
      </c>
      <c r="P873" s="156"/>
      <c r="Q873" s="158">
        <v>75575.3</v>
      </c>
      <c r="R873" s="158">
        <v>0</v>
      </c>
      <c r="S873" s="158">
        <v>4370000</v>
      </c>
      <c r="T873" s="158">
        <f t="shared" si="164"/>
        <v>262200</v>
      </c>
      <c r="U873" s="158">
        <f t="shared" si="168"/>
        <v>4632200</v>
      </c>
      <c r="V873" s="158">
        <v>4632599</v>
      </c>
      <c r="W873" s="158">
        <f t="shared" si="169"/>
        <v>-399</v>
      </c>
      <c r="X873" s="158">
        <f t="shared" si="165"/>
        <v>-376.415094339623</v>
      </c>
      <c r="Y873" s="158">
        <f t="shared" si="170"/>
        <v>-22.5849056603774</v>
      </c>
      <c r="Z873" s="158">
        <v>4522385.3</v>
      </c>
      <c r="AA873" s="158">
        <f t="shared" si="166"/>
        <v>185789</v>
      </c>
      <c r="AB873" s="167">
        <f>IF(O873="返货",(Z873-Q873)/(1+N873),IF(O873="返现",(Z873-Q873),IF(O873="折扣",(Z873-Q873)*N873,IF(O873="无",(Z873-Q873)))))</f>
        <v>4195103.77358491</v>
      </c>
      <c r="AC873" s="168">
        <f t="shared" si="167"/>
        <v>327281.526415095</v>
      </c>
      <c r="AD873" s="158">
        <f t="shared" si="178"/>
        <v>3993575.13803277</v>
      </c>
      <c r="AE873" s="159">
        <v>0.112691732739812</v>
      </c>
      <c r="AF873" s="158">
        <f t="shared" si="162"/>
        <v>450042.902131547</v>
      </c>
      <c r="AG873" s="158">
        <v>148632.443352211</v>
      </c>
      <c r="AH873" s="175"/>
      <c r="AI873" s="175"/>
      <c r="AJ873" s="157">
        <v>0.06</v>
      </c>
      <c r="AK873" s="177">
        <v>0.06</v>
      </c>
    </row>
    <row r="874" s="140" customFormat="1" ht="15" hidden="1" customHeight="1" spans="1:37">
      <c r="A874" s="140">
        <v>2017</v>
      </c>
      <c r="B874" s="140" t="s">
        <v>38</v>
      </c>
      <c r="C874" s="140" t="s">
        <v>75</v>
      </c>
      <c r="D874" s="140" t="s">
        <v>76</v>
      </c>
      <c r="E874" s="140" t="s">
        <v>296</v>
      </c>
      <c r="F874" s="140" t="s">
        <v>920</v>
      </c>
      <c r="G874" s="140" t="s">
        <v>571</v>
      </c>
      <c r="H874" s="140" t="s">
        <v>571</v>
      </c>
      <c r="I874" s="140" t="s">
        <v>170</v>
      </c>
      <c r="J874" s="140" t="s">
        <v>171</v>
      </c>
      <c r="K874" s="140" t="s">
        <v>172</v>
      </c>
      <c r="L874" s="140" t="s">
        <v>571</v>
      </c>
      <c r="M874" s="140" t="s">
        <v>46</v>
      </c>
      <c r="N874" s="157">
        <v>0.06</v>
      </c>
      <c r="O874" s="156" t="s">
        <v>51</v>
      </c>
      <c r="P874" s="156"/>
      <c r="Q874" s="158">
        <v>0</v>
      </c>
      <c r="R874" s="158">
        <v>0</v>
      </c>
      <c r="S874" s="158">
        <v>1790251.8</v>
      </c>
      <c r="T874" s="158">
        <f t="shared" si="164"/>
        <v>107415.108</v>
      </c>
      <c r="U874" s="158">
        <f t="shared" si="168"/>
        <v>1897666.908</v>
      </c>
      <c r="V874" s="158">
        <v>1000000</v>
      </c>
      <c r="W874" s="158">
        <f t="shared" si="169"/>
        <v>897666.908</v>
      </c>
      <c r="X874" s="158">
        <f t="shared" si="165"/>
        <v>846855.573584906</v>
      </c>
      <c r="Y874" s="158">
        <f t="shared" si="170"/>
        <v>50811.3344150943</v>
      </c>
      <c r="Z874" s="158">
        <v>0</v>
      </c>
      <c r="AA874" s="158">
        <f t="shared" si="166"/>
        <v>1000000</v>
      </c>
      <c r="AB874" s="167">
        <f>IF(O874="返货",Z874/(1+N874),IF(O874="返现",Z874,IF(O874="折扣",Z874*N874,IF(O874="无",Z874))))</f>
        <v>0</v>
      </c>
      <c r="AC874" s="168">
        <f t="shared" si="167"/>
        <v>0</v>
      </c>
      <c r="AD874" s="158">
        <f t="shared" si="178"/>
        <v>0</v>
      </c>
      <c r="AE874" s="159">
        <v>0.112691732739812</v>
      </c>
      <c r="AF874" s="158">
        <f t="shared" si="162"/>
        <v>0</v>
      </c>
      <c r="AG874" s="158">
        <v>0</v>
      </c>
      <c r="AH874" s="175"/>
      <c r="AI874" s="175"/>
      <c r="AJ874" s="157">
        <v>0.06</v>
      </c>
      <c r="AK874" s="140" t="s">
        <v>193</v>
      </c>
    </row>
    <row r="875" s="140" customFormat="1" ht="15" hidden="1" customHeight="1" spans="1:37">
      <c r="A875" s="140">
        <v>2017</v>
      </c>
      <c r="B875" s="140" t="s">
        <v>38</v>
      </c>
      <c r="C875" s="140" t="s">
        <v>75</v>
      </c>
      <c r="D875" s="140" t="s">
        <v>76</v>
      </c>
      <c r="E875" s="140" t="s">
        <v>296</v>
      </c>
      <c r="F875" s="140" t="s">
        <v>575</v>
      </c>
      <c r="G875" s="140" t="s">
        <v>575</v>
      </c>
      <c r="H875" s="140" t="s">
        <v>575</v>
      </c>
      <c r="I875" s="140" t="s">
        <v>170</v>
      </c>
      <c r="J875" s="140" t="s">
        <v>171</v>
      </c>
      <c r="K875" s="140" t="s">
        <v>172</v>
      </c>
      <c r="L875" s="140" t="s">
        <v>575</v>
      </c>
      <c r="M875" s="140" t="s">
        <v>46</v>
      </c>
      <c r="N875" s="157">
        <v>0.04</v>
      </c>
      <c r="O875" s="156" t="s">
        <v>51</v>
      </c>
      <c r="P875" s="156"/>
      <c r="Q875" s="158">
        <v>0</v>
      </c>
      <c r="R875" s="158">
        <v>0</v>
      </c>
      <c r="S875" s="158">
        <v>424982</v>
      </c>
      <c r="T875" s="158">
        <f t="shared" si="164"/>
        <v>16999.28</v>
      </c>
      <c r="U875" s="158">
        <f t="shared" si="168"/>
        <v>441981.28</v>
      </c>
      <c r="V875" s="158">
        <v>538600</v>
      </c>
      <c r="W875" s="158">
        <f t="shared" si="169"/>
        <v>-96618.72</v>
      </c>
      <c r="X875" s="158">
        <f t="shared" si="165"/>
        <v>-92902.6153846154</v>
      </c>
      <c r="Y875" s="158">
        <f t="shared" si="170"/>
        <v>-3716.10461538461</v>
      </c>
      <c r="Z875" s="158">
        <v>0</v>
      </c>
      <c r="AA875" s="158">
        <f t="shared" si="166"/>
        <v>538600</v>
      </c>
      <c r="AB875" s="167">
        <f>IF(O875="返货",Z875/(1+N875),IF(O875="返现",Z875,IF(O875="折扣",Z875*N875,IF(O875="无",Z875))))</f>
        <v>0</v>
      </c>
      <c r="AC875" s="168">
        <f t="shared" si="167"/>
        <v>0</v>
      </c>
      <c r="AD875" s="158">
        <f t="shared" si="178"/>
        <v>0</v>
      </c>
      <c r="AE875" s="159">
        <v>0.112691732739812</v>
      </c>
      <c r="AF875" s="158">
        <f t="shared" si="162"/>
        <v>0</v>
      </c>
      <c r="AG875" s="158">
        <v>0</v>
      </c>
      <c r="AH875" s="175"/>
      <c r="AI875" s="175"/>
      <c r="AJ875" s="157">
        <v>0.04</v>
      </c>
      <c r="AK875" s="177">
        <v>0.04</v>
      </c>
    </row>
    <row r="876" s="140" customFormat="1" ht="15" hidden="1" customHeight="1" spans="1:37">
      <c r="A876" s="140">
        <v>2017</v>
      </c>
      <c r="B876" s="140" t="s">
        <v>38</v>
      </c>
      <c r="C876" s="140" t="s">
        <v>75</v>
      </c>
      <c r="D876" s="140" t="s">
        <v>76</v>
      </c>
      <c r="E876" s="140" t="s">
        <v>296</v>
      </c>
      <c r="F876" s="140" t="s">
        <v>569</v>
      </c>
      <c r="G876" s="140" t="s">
        <v>571</v>
      </c>
      <c r="H876" s="140" t="s">
        <v>571</v>
      </c>
      <c r="I876" s="140" t="s">
        <v>170</v>
      </c>
      <c r="J876" s="140" t="s">
        <v>171</v>
      </c>
      <c r="K876" s="140" t="s">
        <v>172</v>
      </c>
      <c r="L876" s="140" t="s">
        <v>571</v>
      </c>
      <c r="M876" s="140" t="s">
        <v>46</v>
      </c>
      <c r="N876" s="157">
        <v>0.06</v>
      </c>
      <c r="O876" s="156" t="s">
        <v>51</v>
      </c>
      <c r="P876" s="156"/>
      <c r="Q876" s="158">
        <v>0</v>
      </c>
      <c r="R876" s="158">
        <v>0</v>
      </c>
      <c r="S876" s="158">
        <v>1600000</v>
      </c>
      <c r="T876" s="158">
        <f t="shared" si="164"/>
        <v>96000</v>
      </c>
      <c r="U876" s="158">
        <f t="shared" si="168"/>
        <v>1696000</v>
      </c>
      <c r="V876" s="158">
        <v>1100000</v>
      </c>
      <c r="W876" s="158">
        <f t="shared" si="169"/>
        <v>596000</v>
      </c>
      <c r="X876" s="158">
        <f t="shared" si="165"/>
        <v>562264.150943396</v>
      </c>
      <c r="Y876" s="158">
        <f t="shared" si="170"/>
        <v>33735.8490566039</v>
      </c>
      <c r="Z876" s="158">
        <v>0</v>
      </c>
      <c r="AA876" s="158">
        <f t="shared" si="166"/>
        <v>1100000</v>
      </c>
      <c r="AB876" s="167">
        <f>IF(O876="返货",Z876/(1+N876),IF(O876="返现",Z876,IF(O876="折扣",Z876*N876,IF(O876="无",Z876))))</f>
        <v>0</v>
      </c>
      <c r="AC876" s="168">
        <f t="shared" si="167"/>
        <v>0</v>
      </c>
      <c r="AD876" s="158">
        <f t="shared" si="178"/>
        <v>0</v>
      </c>
      <c r="AE876" s="159">
        <v>0.112691732739812</v>
      </c>
      <c r="AF876" s="158">
        <f t="shared" si="162"/>
        <v>0</v>
      </c>
      <c r="AG876" s="158">
        <v>0</v>
      </c>
      <c r="AH876" s="175"/>
      <c r="AI876" s="175"/>
      <c r="AJ876" s="157">
        <v>0.06</v>
      </c>
      <c r="AK876" s="177">
        <v>0.06</v>
      </c>
    </row>
    <row r="877" s="140" customFormat="1" ht="15" hidden="1" customHeight="1" spans="1:37">
      <c r="A877" s="140">
        <v>2017</v>
      </c>
      <c r="B877" s="140" t="s">
        <v>38</v>
      </c>
      <c r="C877" s="140" t="s">
        <v>75</v>
      </c>
      <c r="D877" s="140" t="s">
        <v>256</v>
      </c>
      <c r="E877" s="140" t="s">
        <v>321</v>
      </c>
      <c r="F877" s="140" t="s">
        <v>701</v>
      </c>
      <c r="G877" s="140" t="s">
        <v>701</v>
      </c>
      <c r="H877" s="140" t="s">
        <v>701</v>
      </c>
      <c r="I877" s="140" t="s">
        <v>170</v>
      </c>
      <c r="J877" s="140" t="s">
        <v>171</v>
      </c>
      <c r="K877" s="140" t="s">
        <v>172</v>
      </c>
      <c r="L877" s="140" t="s">
        <v>702</v>
      </c>
      <c r="M877" s="140" t="s">
        <v>46</v>
      </c>
      <c r="N877" s="157">
        <v>0.02</v>
      </c>
      <c r="O877" s="156" t="s">
        <v>51</v>
      </c>
      <c r="P877" s="156"/>
      <c r="Q877" s="163">
        <v>304185.800000001</v>
      </c>
      <c r="R877" s="158">
        <v>0</v>
      </c>
      <c r="S877" s="158">
        <v>10560000</v>
      </c>
      <c r="T877" s="158">
        <f t="shared" si="164"/>
        <v>211200</v>
      </c>
      <c r="U877" s="158">
        <f t="shared" si="168"/>
        <v>10771200</v>
      </c>
      <c r="V877" s="158">
        <v>10598457.7</v>
      </c>
      <c r="W877" s="158">
        <f t="shared" si="169"/>
        <v>172742.300000001</v>
      </c>
      <c r="X877" s="158">
        <f t="shared" si="165"/>
        <v>169355.196078432</v>
      </c>
      <c r="Y877" s="158">
        <f t="shared" si="170"/>
        <v>3387.10392156863</v>
      </c>
      <c r="Z877" s="158">
        <v>10902640.9</v>
      </c>
      <c r="AA877" s="158">
        <f t="shared" si="166"/>
        <v>2.59999999962747</v>
      </c>
      <c r="AB877" s="167">
        <f>IF(O877="返货",(Z877-Q877)/(1+N877),IF(O877="返现",(Z877-Q877),IF(O877="折扣",(Z877-Q877)*N877,IF(O877="无",(Z877-Q877)))))</f>
        <v>10390642.254902</v>
      </c>
      <c r="AC877" s="168">
        <f t="shared" si="167"/>
        <v>511998.64509804</v>
      </c>
      <c r="AD877" s="158">
        <f t="shared" si="178"/>
        <v>9518222.45360531</v>
      </c>
      <c r="AE877" s="159">
        <v>0.112691732739812</v>
      </c>
      <c r="AF877" s="158">
        <f t="shared" si="162"/>
        <v>1072624.98089977</v>
      </c>
      <c r="AG877" s="158">
        <v>761678.884708115</v>
      </c>
      <c r="AH877" s="175"/>
      <c r="AI877" s="175"/>
      <c r="AJ877" s="156" t="s">
        <v>173</v>
      </c>
      <c r="AK877" s="140" t="s">
        <v>173</v>
      </c>
    </row>
    <row r="878" s="140" customFormat="1" ht="15" hidden="1" customHeight="1" spans="1:37">
      <c r="A878" s="140">
        <v>2017</v>
      </c>
      <c r="B878" s="140" t="s">
        <v>38</v>
      </c>
      <c r="C878" s="140" t="s">
        <v>75</v>
      </c>
      <c r="D878" s="140" t="s">
        <v>76</v>
      </c>
      <c r="E878" s="140" t="s">
        <v>296</v>
      </c>
      <c r="F878" s="140" t="s">
        <v>569</v>
      </c>
      <c r="G878" s="140" t="s">
        <v>571</v>
      </c>
      <c r="H878" s="140" t="s">
        <v>571</v>
      </c>
      <c r="I878" s="140" t="s">
        <v>170</v>
      </c>
      <c r="J878" s="140" t="s">
        <v>171</v>
      </c>
      <c r="K878" s="140" t="s">
        <v>172</v>
      </c>
      <c r="L878" s="140" t="s">
        <v>571</v>
      </c>
      <c r="M878" s="140" t="s">
        <v>46</v>
      </c>
      <c r="N878" s="157">
        <v>0.08</v>
      </c>
      <c r="O878" s="156" t="s">
        <v>51</v>
      </c>
      <c r="P878" s="156"/>
      <c r="Q878" s="158">
        <v>0</v>
      </c>
      <c r="R878" s="158">
        <v>0</v>
      </c>
      <c r="S878" s="158">
        <v>340000</v>
      </c>
      <c r="T878" s="158">
        <f t="shared" si="164"/>
        <v>27200</v>
      </c>
      <c r="U878" s="158">
        <f t="shared" si="168"/>
        <v>367200</v>
      </c>
      <c r="V878" s="158">
        <v>340000</v>
      </c>
      <c r="W878" s="158">
        <f t="shared" si="169"/>
        <v>27200</v>
      </c>
      <c r="X878" s="158">
        <f t="shared" si="165"/>
        <v>25185.1851851852</v>
      </c>
      <c r="Y878" s="158">
        <f t="shared" si="170"/>
        <v>2014.81481481482</v>
      </c>
      <c r="Z878" s="158">
        <v>0</v>
      </c>
      <c r="AA878" s="158">
        <f t="shared" si="166"/>
        <v>340000</v>
      </c>
      <c r="AB878" s="167">
        <f>IF(O878="返货",Z878/(1+N878),IF(O878="返现",Z878,IF(O878="折扣",Z878*N878,IF(O878="无",Z878))))</f>
        <v>0</v>
      </c>
      <c r="AC878" s="168">
        <f t="shared" si="167"/>
        <v>0</v>
      </c>
      <c r="AD878" s="158">
        <f t="shared" si="178"/>
        <v>0</v>
      </c>
      <c r="AE878" s="159">
        <v>0.112691732739812</v>
      </c>
      <c r="AF878" s="158">
        <f t="shared" si="162"/>
        <v>0</v>
      </c>
      <c r="AG878" s="158">
        <v>0</v>
      </c>
      <c r="AH878" s="175"/>
      <c r="AI878" s="175"/>
      <c r="AJ878" s="157">
        <v>0.08</v>
      </c>
      <c r="AK878" s="177">
        <v>0.08</v>
      </c>
    </row>
    <row r="879" s="140" customFormat="1" ht="15" hidden="1" customHeight="1" spans="1:37">
      <c r="A879" s="140">
        <v>2017</v>
      </c>
      <c r="B879" s="140" t="s">
        <v>38</v>
      </c>
      <c r="C879" s="140" t="s">
        <v>75</v>
      </c>
      <c r="D879" s="140" t="s">
        <v>76</v>
      </c>
      <c r="E879" s="140" t="s">
        <v>296</v>
      </c>
      <c r="F879" s="140" t="s">
        <v>852</v>
      </c>
      <c r="G879" s="140" t="s">
        <v>852</v>
      </c>
      <c r="H879" s="140" t="s">
        <v>852</v>
      </c>
      <c r="I879" s="140" t="s">
        <v>170</v>
      </c>
      <c r="J879" s="140" t="s">
        <v>171</v>
      </c>
      <c r="K879" s="140" t="s">
        <v>172</v>
      </c>
      <c r="L879" s="140" t="s">
        <v>852</v>
      </c>
      <c r="M879" s="140" t="s">
        <v>46</v>
      </c>
      <c r="N879" s="157">
        <v>0.04</v>
      </c>
      <c r="O879" s="156" t="s">
        <v>51</v>
      </c>
      <c r="P879" s="156"/>
      <c r="Q879" s="158">
        <v>53592.6</v>
      </c>
      <c r="R879" s="158">
        <v>0</v>
      </c>
      <c r="S879" s="158">
        <v>439806.39</v>
      </c>
      <c r="T879" s="158">
        <f t="shared" si="164"/>
        <v>17592.2556</v>
      </c>
      <c r="U879" s="158">
        <f t="shared" si="168"/>
        <v>457398.6456</v>
      </c>
      <c r="V879" s="158">
        <v>450000</v>
      </c>
      <c r="W879" s="158">
        <f t="shared" si="169"/>
        <v>7398.64559999999</v>
      </c>
      <c r="X879" s="158">
        <f t="shared" si="165"/>
        <v>7114.0823076923</v>
      </c>
      <c r="Y879" s="158">
        <f t="shared" si="170"/>
        <v>284.563292307692</v>
      </c>
      <c r="Z879" s="158">
        <v>1268520.5</v>
      </c>
      <c r="AA879" s="158">
        <f t="shared" si="166"/>
        <v>-764927.9</v>
      </c>
      <c r="AB879" s="167">
        <f>IF(O879="返货",(Z879-Q879)/(1+N879),IF(O879="返现",(Z879-Q879),IF(O879="折扣",(Z879-Q879)*N879,IF(O879="无",(Z879-Q879)))))</f>
        <v>1168199.90384615</v>
      </c>
      <c r="AC879" s="168">
        <f t="shared" si="167"/>
        <v>100320.596153846</v>
      </c>
      <c r="AD879" s="158">
        <f t="shared" si="178"/>
        <v>1091098.08063361</v>
      </c>
      <c r="AE879" s="159">
        <v>0.112691732739812</v>
      </c>
      <c r="AF879" s="158">
        <f t="shared" ref="AF879:AF942" si="179">AD879*AE879</f>
        <v>122957.733295685</v>
      </c>
      <c r="AG879" s="158">
        <v>64704.9156504435</v>
      </c>
      <c r="AH879" s="175"/>
      <c r="AI879" s="175"/>
      <c r="AJ879" s="157">
        <v>0.04</v>
      </c>
      <c r="AK879" s="177">
        <v>0.04</v>
      </c>
    </row>
    <row r="880" s="140" customFormat="1" ht="15" hidden="1" customHeight="1" spans="1:37">
      <c r="A880" s="140">
        <v>2017</v>
      </c>
      <c r="B880" s="140" t="s">
        <v>38</v>
      </c>
      <c r="C880" s="140" t="s">
        <v>75</v>
      </c>
      <c r="D880" s="140" t="s">
        <v>76</v>
      </c>
      <c r="E880" s="140" t="s">
        <v>296</v>
      </c>
      <c r="F880" s="140" t="s">
        <v>205</v>
      </c>
      <c r="G880" s="140" t="s">
        <v>571</v>
      </c>
      <c r="H880" s="140" t="s">
        <v>571</v>
      </c>
      <c r="I880" s="140" t="s">
        <v>170</v>
      </c>
      <c r="J880" s="140" t="s">
        <v>171</v>
      </c>
      <c r="K880" s="140" t="s">
        <v>172</v>
      </c>
      <c r="L880" s="140" t="s">
        <v>571</v>
      </c>
      <c r="M880" s="140" t="s">
        <v>46</v>
      </c>
      <c r="N880" s="157">
        <v>0.06</v>
      </c>
      <c r="O880" s="156" t="s">
        <v>51</v>
      </c>
      <c r="P880" s="156"/>
      <c r="Q880" s="158">
        <v>0</v>
      </c>
      <c r="R880" s="158">
        <v>0</v>
      </c>
      <c r="S880" s="158">
        <v>300000</v>
      </c>
      <c r="T880" s="158">
        <f t="shared" si="164"/>
        <v>18000</v>
      </c>
      <c r="U880" s="158">
        <f t="shared" si="168"/>
        <v>318000</v>
      </c>
      <c r="V880" s="158">
        <v>300000</v>
      </c>
      <c r="W880" s="158">
        <f t="shared" si="169"/>
        <v>18000</v>
      </c>
      <c r="X880" s="158">
        <f t="shared" si="165"/>
        <v>16981.1320754717</v>
      </c>
      <c r="Y880" s="158">
        <f t="shared" si="170"/>
        <v>1018.8679245283</v>
      </c>
      <c r="Z880" s="158">
        <v>0</v>
      </c>
      <c r="AA880" s="158">
        <f t="shared" si="166"/>
        <v>300000</v>
      </c>
      <c r="AB880" s="167">
        <f>IF(O880="返货",Z880/(1+N880),IF(O880="返现",Z880,IF(O880="折扣",Z880*N880,IF(O880="无",Z880))))</f>
        <v>0</v>
      </c>
      <c r="AC880" s="168">
        <f t="shared" si="167"/>
        <v>0</v>
      </c>
      <c r="AD880" s="158">
        <f t="shared" si="178"/>
        <v>0</v>
      </c>
      <c r="AE880" s="159">
        <v>0.112691732739812</v>
      </c>
      <c r="AF880" s="158">
        <f t="shared" si="179"/>
        <v>0</v>
      </c>
      <c r="AG880" s="158">
        <v>0</v>
      </c>
      <c r="AH880" s="175"/>
      <c r="AI880" s="175"/>
      <c r="AJ880" s="157">
        <v>0.06</v>
      </c>
      <c r="AK880" s="177">
        <v>0.06</v>
      </c>
    </row>
    <row r="881" s="140" customFormat="1" ht="15" hidden="1" customHeight="1" spans="1:37">
      <c r="A881" s="140">
        <v>2017</v>
      </c>
      <c r="B881" s="140" t="s">
        <v>38</v>
      </c>
      <c r="C881" s="140" t="s">
        <v>75</v>
      </c>
      <c r="D881" s="140" t="s">
        <v>76</v>
      </c>
      <c r="E881" s="140" t="s">
        <v>296</v>
      </c>
      <c r="F881" s="140" t="s">
        <v>205</v>
      </c>
      <c r="G881" s="140" t="s">
        <v>921</v>
      </c>
      <c r="H881" s="140" t="s">
        <v>921</v>
      </c>
      <c r="I881" s="140" t="s">
        <v>170</v>
      </c>
      <c r="J881" s="140" t="s">
        <v>868</v>
      </c>
      <c r="K881" s="140" t="s">
        <v>869</v>
      </c>
      <c r="L881" s="140" t="s">
        <v>571</v>
      </c>
      <c r="M881" s="140" t="s">
        <v>46</v>
      </c>
      <c r="N881" s="157">
        <v>0.03</v>
      </c>
      <c r="O881" s="156" t="s">
        <v>51</v>
      </c>
      <c r="P881" s="156"/>
      <c r="Q881" s="158">
        <v>2203.3</v>
      </c>
      <c r="R881" s="158">
        <v>0</v>
      </c>
      <c r="S881" s="158">
        <v>20000</v>
      </c>
      <c r="T881" s="158">
        <f t="shared" si="164"/>
        <v>600</v>
      </c>
      <c r="U881" s="158">
        <f t="shared" si="168"/>
        <v>20600</v>
      </c>
      <c r="V881" s="158">
        <v>20000</v>
      </c>
      <c r="W881" s="158">
        <f t="shared" si="169"/>
        <v>600</v>
      </c>
      <c r="X881" s="158">
        <f t="shared" si="165"/>
        <v>582.52427184466</v>
      </c>
      <c r="Y881" s="158">
        <f t="shared" si="170"/>
        <v>17.4757281553398</v>
      </c>
      <c r="Z881" s="158">
        <v>22203.3</v>
      </c>
      <c r="AA881" s="158">
        <f t="shared" si="166"/>
        <v>0</v>
      </c>
      <c r="AB881" s="167">
        <f>IF(O881="返货",(Z881-Q881)/(1+N881),IF(O881="返现",(Z881-Q881),IF(O881="折扣",(Z881-Q881)*N881,IF(O881="无",(Z881-Q881)))))</f>
        <v>19417.4757281553</v>
      </c>
      <c r="AC881" s="168">
        <f t="shared" si="167"/>
        <v>2785.82427184466</v>
      </c>
      <c r="AD881" s="158">
        <f>Z881*0.972201473425119-Q881</f>
        <v>19382.7809748999</v>
      </c>
      <c r="AE881" s="159">
        <v>0.1</v>
      </c>
      <c r="AF881" s="158">
        <f t="shared" si="179"/>
        <v>1938.27809748999</v>
      </c>
      <c r="AG881" s="158">
        <v>1573.63194174757</v>
      </c>
      <c r="AH881" s="175"/>
      <c r="AI881" s="175"/>
      <c r="AJ881" s="157">
        <v>0.03</v>
      </c>
      <c r="AK881" s="177">
        <v>0.03</v>
      </c>
    </row>
    <row r="882" s="140" customFormat="1" ht="15" hidden="1" customHeight="1" spans="1:39">
      <c r="A882" s="140">
        <v>2017</v>
      </c>
      <c r="B882" s="140" t="s">
        <v>38</v>
      </c>
      <c r="C882" s="140" t="s">
        <v>75</v>
      </c>
      <c r="D882" s="140" t="s">
        <v>76</v>
      </c>
      <c r="E882" s="140" t="s">
        <v>649</v>
      </c>
      <c r="F882" s="140" t="s">
        <v>538</v>
      </c>
      <c r="G882" s="140" t="s">
        <v>538</v>
      </c>
      <c r="H882" s="140" t="s">
        <v>538</v>
      </c>
      <c r="I882" s="140" t="s">
        <v>170</v>
      </c>
      <c r="J882" s="140" t="s">
        <v>171</v>
      </c>
      <c r="K882" s="140" t="s">
        <v>172</v>
      </c>
      <c r="L882" s="140" t="s">
        <v>539</v>
      </c>
      <c r="M882" s="140" t="s">
        <v>46</v>
      </c>
      <c r="N882" s="157">
        <v>0.02</v>
      </c>
      <c r="O882" s="156" t="s">
        <v>51</v>
      </c>
      <c r="P882" s="156" t="s">
        <v>440</v>
      </c>
      <c r="Q882" s="158">
        <v>0</v>
      </c>
      <c r="R882" s="158">
        <v>0</v>
      </c>
      <c r="S882" s="158">
        <v>133112918.07</v>
      </c>
      <c r="T882" s="158">
        <f t="shared" si="164"/>
        <v>2662258.3614</v>
      </c>
      <c r="U882" s="158">
        <f t="shared" si="168"/>
        <v>135775176.4314</v>
      </c>
      <c r="V882" s="158">
        <v>153444000</v>
      </c>
      <c r="W882" s="158">
        <f t="shared" si="169"/>
        <v>-17668823.5686</v>
      </c>
      <c r="X882" s="158">
        <f t="shared" si="165"/>
        <v>-17322376.0476471</v>
      </c>
      <c r="Y882" s="158">
        <f t="shared" si="170"/>
        <v>-346447.52095294</v>
      </c>
      <c r="Z882" s="158">
        <v>136399177</v>
      </c>
      <c r="AA882" s="158">
        <f t="shared" si="166"/>
        <v>17044823</v>
      </c>
      <c r="AB882" s="167">
        <f>IF(O882="返货",Z882/(1+N882),IF(O882="返现",Z882,IF(O882="折扣",Z882*N882,IF(O882="无",Z882))))</f>
        <v>133724683.333333</v>
      </c>
      <c r="AC882" s="168">
        <f t="shared" si="167"/>
        <v>2674493.66666667</v>
      </c>
      <c r="AD882" s="158">
        <f>(Z882-Q882)*0.89807640489087</f>
        <v>122496882.510233</v>
      </c>
      <c r="AE882" s="159">
        <v>0.112691732739812</v>
      </c>
      <c r="AF882" s="158">
        <f t="shared" si="179"/>
        <v>13804385.9453034</v>
      </c>
      <c r="AG882" s="158">
        <v>9347806.91814747</v>
      </c>
      <c r="AH882" s="175"/>
      <c r="AI882" s="175"/>
      <c r="AJ882" s="157">
        <v>0.02</v>
      </c>
      <c r="AK882" s="140">
        <v>0</v>
      </c>
      <c r="AM882" s="140" t="s">
        <v>174</v>
      </c>
    </row>
    <row r="883" s="140" customFormat="1" ht="15" hidden="1" customHeight="1" spans="1:37">
      <c r="A883" s="140">
        <v>2017</v>
      </c>
      <c r="B883" s="140" t="s">
        <v>38</v>
      </c>
      <c r="C883" s="140" t="s">
        <v>75</v>
      </c>
      <c r="D883" s="140" t="s">
        <v>76</v>
      </c>
      <c r="E883" s="140" t="s">
        <v>649</v>
      </c>
      <c r="F883" s="140" t="s">
        <v>538</v>
      </c>
      <c r="G883" s="140" t="s">
        <v>538</v>
      </c>
      <c r="H883" s="140" t="s">
        <v>538</v>
      </c>
      <c r="I883" s="140" t="s">
        <v>170</v>
      </c>
      <c r="J883" s="140" t="s">
        <v>171</v>
      </c>
      <c r="K883" s="140" t="s">
        <v>172</v>
      </c>
      <c r="L883" s="140" t="s">
        <v>539</v>
      </c>
      <c r="M883" s="140" t="s">
        <v>160</v>
      </c>
      <c r="N883" s="157">
        <v>0.02</v>
      </c>
      <c r="O883" s="156" t="s">
        <v>51</v>
      </c>
      <c r="P883" s="156"/>
      <c r="Q883" s="158">
        <v>0</v>
      </c>
      <c r="R883" s="158">
        <v>0</v>
      </c>
      <c r="S883" s="158">
        <v>482940</v>
      </c>
      <c r="T883" s="158">
        <f t="shared" si="164"/>
        <v>9658.8</v>
      </c>
      <c r="U883" s="158">
        <f t="shared" si="168"/>
        <v>492598.8</v>
      </c>
      <c r="V883" s="158">
        <v>685355</v>
      </c>
      <c r="W883" s="158">
        <f t="shared" si="169"/>
        <v>-192756.2</v>
      </c>
      <c r="X883" s="158">
        <f t="shared" si="165"/>
        <v>-188976.666666667</v>
      </c>
      <c r="Y883" s="158">
        <f t="shared" si="170"/>
        <v>-3779.53333333333</v>
      </c>
      <c r="Z883" s="158">
        <v>685355</v>
      </c>
      <c r="AA883" s="158">
        <f t="shared" si="166"/>
        <v>0</v>
      </c>
      <c r="AB883" s="167">
        <f>IF(O883="返货",Z883/(1+N883),IF(O883="返现",Z883,IF(O883="折扣",Z883*N883,IF(O883="无",Z883))))</f>
        <v>671916.666666667</v>
      </c>
      <c r="AC883" s="168">
        <f t="shared" si="167"/>
        <v>13438.3333333334</v>
      </c>
      <c r="AD883" s="158">
        <f>(Z883-Q883)*0.826045217867759</f>
        <v>566134.220291758</v>
      </c>
      <c r="AE883" s="159">
        <v>0.112691732739812</v>
      </c>
      <c r="AF883" s="158">
        <f t="shared" si="179"/>
        <v>63798.6462479806</v>
      </c>
      <c r="AG883" s="158">
        <v>47880.1821335903</v>
      </c>
      <c r="AH883" s="175"/>
      <c r="AI883" s="175"/>
      <c r="AJ883" s="156" t="s">
        <v>173</v>
      </c>
      <c r="AK883" s="140" t="s">
        <v>173</v>
      </c>
    </row>
    <row r="884" s="140" customFormat="1" ht="15" hidden="1" customHeight="1" spans="1:37">
      <c r="A884" s="140">
        <v>2017</v>
      </c>
      <c r="B884" s="140" t="s">
        <v>38</v>
      </c>
      <c r="C884" s="140" t="s">
        <v>75</v>
      </c>
      <c r="D884" s="140" t="s">
        <v>76</v>
      </c>
      <c r="E884" s="140" t="s">
        <v>649</v>
      </c>
      <c r="F884" s="140" t="s">
        <v>538</v>
      </c>
      <c r="G884" s="140" t="s">
        <v>538</v>
      </c>
      <c r="H884" s="140" t="s">
        <v>538</v>
      </c>
      <c r="I884" s="140" t="s">
        <v>170</v>
      </c>
      <c r="J884" s="140" t="s">
        <v>171</v>
      </c>
      <c r="K884" s="140" t="s">
        <v>172</v>
      </c>
      <c r="L884" s="140" t="s">
        <v>539</v>
      </c>
      <c r="M884" s="140" t="s">
        <v>185</v>
      </c>
      <c r="N884" s="157">
        <v>0.04</v>
      </c>
      <c r="O884" s="156" t="s">
        <v>51</v>
      </c>
      <c r="P884" s="156"/>
      <c r="Q884" s="158">
        <v>0</v>
      </c>
      <c r="R884" s="158">
        <v>0</v>
      </c>
      <c r="S884" s="158">
        <v>400000</v>
      </c>
      <c r="T884" s="158">
        <f t="shared" si="164"/>
        <v>16000</v>
      </c>
      <c r="U884" s="158">
        <f t="shared" si="168"/>
        <v>416000</v>
      </c>
      <c r="V884" s="158">
        <v>516000</v>
      </c>
      <c r="W884" s="158">
        <f t="shared" si="169"/>
        <v>-100000</v>
      </c>
      <c r="X884" s="158">
        <f t="shared" si="165"/>
        <v>-96153.8461538462</v>
      </c>
      <c r="Y884" s="158">
        <f t="shared" si="170"/>
        <v>-3846.15384615384</v>
      </c>
      <c r="Z884" s="158">
        <v>409928.2</v>
      </c>
      <c r="AA884" s="158">
        <f t="shared" si="166"/>
        <v>106071.8</v>
      </c>
      <c r="AB884" s="167">
        <f>IF(O884="返货",Z884/(1+N884),IF(O884="返现",Z884,IF(O884="折扣",Z884*N884,IF(O884="无",Z884))))</f>
        <v>394161.730769231</v>
      </c>
      <c r="AC884" s="168">
        <f t="shared" si="167"/>
        <v>15766.4692307693</v>
      </c>
      <c r="AD884" s="158">
        <f>(Z884-Q884)*0.91072157793815</f>
        <v>373330.457145346</v>
      </c>
      <c r="AE884" s="159">
        <v>0.112691732739812</v>
      </c>
      <c r="AF884" s="158">
        <f t="shared" si="179"/>
        <v>42071.2561002551</v>
      </c>
      <c r="AG884" s="158">
        <v>20909.6893615342</v>
      </c>
      <c r="AH884" s="175"/>
      <c r="AI884" s="175"/>
      <c r="AJ884" s="156" t="s">
        <v>186</v>
      </c>
      <c r="AK884" s="140" t="s">
        <v>186</v>
      </c>
    </row>
    <row r="885" s="140" customFormat="1" ht="15" hidden="1" customHeight="1" spans="1:37">
      <c r="A885" s="140">
        <v>2017</v>
      </c>
      <c r="B885" s="140" t="s">
        <v>38</v>
      </c>
      <c r="C885" s="140" t="s">
        <v>75</v>
      </c>
      <c r="D885" s="140" t="s">
        <v>76</v>
      </c>
      <c r="E885" s="140" t="s">
        <v>315</v>
      </c>
      <c r="F885" s="140" t="s">
        <v>651</v>
      </c>
      <c r="G885" s="140" t="s">
        <v>651</v>
      </c>
      <c r="H885" s="140" t="s">
        <v>651</v>
      </c>
      <c r="I885" s="140" t="s">
        <v>170</v>
      </c>
      <c r="J885" s="140" t="s">
        <v>171</v>
      </c>
      <c r="K885" s="140" t="s">
        <v>172</v>
      </c>
      <c r="L885" s="140" t="s">
        <v>651</v>
      </c>
      <c r="M885" s="140" t="s">
        <v>46</v>
      </c>
      <c r="N885" s="157">
        <v>0.04</v>
      </c>
      <c r="O885" s="156" t="s">
        <v>51</v>
      </c>
      <c r="P885" s="156"/>
      <c r="Q885" s="158">
        <v>0</v>
      </c>
      <c r="R885" s="158">
        <v>0</v>
      </c>
      <c r="S885" s="158">
        <v>440000</v>
      </c>
      <c r="T885" s="158">
        <f t="shared" si="164"/>
        <v>17600</v>
      </c>
      <c r="U885" s="158">
        <f t="shared" si="168"/>
        <v>457600</v>
      </c>
      <c r="V885" s="158">
        <v>457599.93</v>
      </c>
      <c r="W885" s="158">
        <f t="shared" si="169"/>
        <v>0.0700000000069849</v>
      </c>
      <c r="X885" s="158">
        <f t="shared" si="165"/>
        <v>0.0673076923144086</v>
      </c>
      <c r="Y885" s="158">
        <f t="shared" si="170"/>
        <v>0.00269230769257635</v>
      </c>
      <c r="Z885" s="158">
        <v>441068.3</v>
      </c>
      <c r="AA885" s="158">
        <f t="shared" si="166"/>
        <v>16531.63</v>
      </c>
      <c r="AB885" s="167">
        <f>IF(O885="返货",Z885/(1+N885),IF(O885="返现",Z885,IF(O885="折扣",Z885*N885,IF(O885="无",Z885))))</f>
        <v>424104.134615385</v>
      </c>
      <c r="AC885" s="168">
        <f t="shared" si="167"/>
        <v>16964.1653846154</v>
      </c>
      <c r="AD885" s="158">
        <f t="shared" ref="AD885:AD888" si="180">(Z885-Q885)*0.89807640489087</f>
        <v>396113.033175328</v>
      </c>
      <c r="AE885" s="159">
        <v>0.112691732739812</v>
      </c>
      <c r="AF885" s="158">
        <f t="shared" si="179"/>
        <v>44638.6640693503</v>
      </c>
      <c r="AG885" s="158">
        <v>22498.0890317377</v>
      </c>
      <c r="AH885" s="175"/>
      <c r="AI885" s="175"/>
      <c r="AJ885" s="156" t="s">
        <v>186</v>
      </c>
      <c r="AK885" s="140" t="s">
        <v>186</v>
      </c>
    </row>
    <row r="886" s="140" customFormat="1" ht="15" hidden="1" customHeight="1" spans="1:37">
      <c r="A886" s="140">
        <v>2017</v>
      </c>
      <c r="B886" s="140" t="s">
        <v>38</v>
      </c>
      <c r="C886" s="140" t="s">
        <v>75</v>
      </c>
      <c r="D886" s="140" t="s">
        <v>76</v>
      </c>
      <c r="E886" s="140" t="s">
        <v>150</v>
      </c>
      <c r="F886" s="140" t="s">
        <v>922</v>
      </c>
      <c r="G886" s="140" t="s">
        <v>922</v>
      </c>
      <c r="H886" s="140" t="s">
        <v>922</v>
      </c>
      <c r="I886" s="140" t="s">
        <v>170</v>
      </c>
      <c r="J886" s="140" t="s">
        <v>171</v>
      </c>
      <c r="K886" s="140" t="s">
        <v>172</v>
      </c>
      <c r="L886" s="140" t="s">
        <v>880</v>
      </c>
      <c r="M886" s="140" t="s">
        <v>46</v>
      </c>
      <c r="N886" s="157">
        <v>0.04</v>
      </c>
      <c r="O886" s="156" t="s">
        <v>51</v>
      </c>
      <c r="P886" s="156"/>
      <c r="Q886" s="158">
        <v>0.3</v>
      </c>
      <c r="R886" s="158">
        <v>0</v>
      </c>
      <c r="S886" s="158">
        <v>685600</v>
      </c>
      <c r="T886" s="158">
        <f t="shared" si="164"/>
        <v>27424</v>
      </c>
      <c r="U886" s="158">
        <f t="shared" si="168"/>
        <v>713024</v>
      </c>
      <c r="V886" s="158">
        <v>685600</v>
      </c>
      <c r="W886" s="158">
        <f t="shared" si="169"/>
        <v>27424</v>
      </c>
      <c r="X886" s="158">
        <f t="shared" si="165"/>
        <v>26369.2307692308</v>
      </c>
      <c r="Y886" s="158">
        <f t="shared" si="170"/>
        <v>1054.76923076923</v>
      </c>
      <c r="Z886" s="158">
        <v>0</v>
      </c>
      <c r="AA886" s="158">
        <f t="shared" si="166"/>
        <v>685600.3</v>
      </c>
      <c r="AB886" s="167">
        <f>IF(O886="返货",(Z886-Q886)/(1+N886),IF(O886="返现",(Z886-Q886),IF(O886="折扣",(Z886-Q886)*N886,IF(O886="无",(Z886-Q886)))))</f>
        <v>-0.288461538461538</v>
      </c>
      <c r="AC886" s="168">
        <f t="shared" si="167"/>
        <v>0.288461538461538</v>
      </c>
      <c r="AD886" s="158">
        <f t="shared" si="180"/>
        <v>-0.269422921467261</v>
      </c>
      <c r="AE886" s="159">
        <v>0.112691732739812</v>
      </c>
      <c r="AF886" s="158">
        <f t="shared" si="179"/>
        <v>-0.0303617358599679</v>
      </c>
      <c r="AG886" s="158">
        <v>0</v>
      </c>
      <c r="AH886" s="175"/>
      <c r="AI886" s="175"/>
      <c r="AJ886" s="156" t="s">
        <v>186</v>
      </c>
      <c r="AK886" s="140" t="s">
        <v>186</v>
      </c>
    </row>
    <row r="887" s="140" customFormat="1" ht="15" hidden="1" customHeight="1" spans="1:37">
      <c r="A887" s="140">
        <v>2017</v>
      </c>
      <c r="B887" s="140" t="s">
        <v>38</v>
      </c>
      <c r="C887" s="140" t="s">
        <v>75</v>
      </c>
      <c r="D887" s="140" t="s">
        <v>76</v>
      </c>
      <c r="E887" s="140" t="s">
        <v>150</v>
      </c>
      <c r="F887" s="140" t="s">
        <v>661</v>
      </c>
      <c r="G887" s="140" t="s">
        <v>661</v>
      </c>
      <c r="H887" s="140" t="s">
        <v>661</v>
      </c>
      <c r="I887" s="140" t="s">
        <v>170</v>
      </c>
      <c r="J887" s="140" t="s">
        <v>171</v>
      </c>
      <c r="K887" s="140" t="s">
        <v>172</v>
      </c>
      <c r="L887" s="140" t="s">
        <v>661</v>
      </c>
      <c r="M887" s="140" t="s">
        <v>46</v>
      </c>
      <c r="N887" s="157">
        <v>0.04</v>
      </c>
      <c r="O887" s="156" t="s">
        <v>51</v>
      </c>
      <c r="P887" s="156"/>
      <c r="Q887" s="158">
        <v>0</v>
      </c>
      <c r="R887" s="158">
        <v>0</v>
      </c>
      <c r="S887" s="158">
        <v>50000</v>
      </c>
      <c r="T887" s="158">
        <f t="shared" si="164"/>
        <v>2000</v>
      </c>
      <c r="U887" s="158">
        <f t="shared" si="168"/>
        <v>52000</v>
      </c>
      <c r="V887" s="158">
        <v>50000</v>
      </c>
      <c r="W887" s="158">
        <f t="shared" si="169"/>
        <v>2000</v>
      </c>
      <c r="X887" s="158">
        <f t="shared" si="165"/>
        <v>1923.07692307692</v>
      </c>
      <c r="Y887" s="158">
        <f t="shared" si="170"/>
        <v>76.9230769230769</v>
      </c>
      <c r="Z887" s="158">
        <v>0</v>
      </c>
      <c r="AA887" s="158">
        <f t="shared" si="166"/>
        <v>50000</v>
      </c>
      <c r="AB887" s="167">
        <f>IF(O887="返货",Z887/(1+N887),IF(O887="返现",Z887,IF(O887="折扣",Z887*N887,IF(O887="无",Z887))))</f>
        <v>0</v>
      </c>
      <c r="AC887" s="168">
        <f t="shared" si="167"/>
        <v>0</v>
      </c>
      <c r="AD887" s="158">
        <f t="shared" si="180"/>
        <v>0</v>
      </c>
      <c r="AE887" s="159">
        <v>0.112691732739812</v>
      </c>
      <c r="AF887" s="158">
        <f t="shared" si="179"/>
        <v>0</v>
      </c>
      <c r="AG887" s="158">
        <v>0</v>
      </c>
      <c r="AH887" s="175"/>
      <c r="AI887" s="175"/>
      <c r="AJ887" s="156" t="s">
        <v>186</v>
      </c>
      <c r="AK887" s="140" t="s">
        <v>186</v>
      </c>
    </row>
    <row r="888" s="140" customFormat="1" ht="15" hidden="1" customHeight="1" spans="1:37">
      <c r="A888" s="140">
        <v>2017</v>
      </c>
      <c r="B888" s="140" t="s">
        <v>38</v>
      </c>
      <c r="C888" s="140" t="s">
        <v>75</v>
      </c>
      <c r="D888" s="140" t="s">
        <v>76</v>
      </c>
      <c r="E888" s="140" t="s">
        <v>150</v>
      </c>
      <c r="F888" s="140" t="s">
        <v>151</v>
      </c>
      <c r="G888" s="140" t="s">
        <v>151</v>
      </c>
      <c r="H888" s="140" t="s">
        <v>151</v>
      </c>
      <c r="I888" s="140" t="s">
        <v>170</v>
      </c>
      <c r="J888" s="140" t="s">
        <v>171</v>
      </c>
      <c r="K888" s="140" t="s">
        <v>172</v>
      </c>
      <c r="L888" s="140" t="s">
        <v>151</v>
      </c>
      <c r="M888" s="140" t="s">
        <v>46</v>
      </c>
      <c r="N888" s="157">
        <v>0.06</v>
      </c>
      <c r="O888" s="156" t="s">
        <v>51</v>
      </c>
      <c r="P888" s="156" t="s">
        <v>440</v>
      </c>
      <c r="Q888" s="158">
        <v>0</v>
      </c>
      <c r="R888" s="158">
        <v>0</v>
      </c>
      <c r="S888" s="158">
        <v>300000</v>
      </c>
      <c r="T888" s="158">
        <f t="shared" si="164"/>
        <v>18000</v>
      </c>
      <c r="U888" s="158">
        <f t="shared" si="168"/>
        <v>318000</v>
      </c>
      <c r="V888" s="158">
        <v>312000</v>
      </c>
      <c r="W888" s="158">
        <f t="shared" si="169"/>
        <v>6000</v>
      </c>
      <c r="X888" s="158">
        <f t="shared" si="165"/>
        <v>5660.37735849057</v>
      </c>
      <c r="Y888" s="158">
        <f t="shared" si="170"/>
        <v>339.622641509434</v>
      </c>
      <c r="Z888" s="158">
        <f>310000.1-Z1170</f>
        <v>206000.1</v>
      </c>
      <c r="AA888" s="158">
        <f t="shared" si="166"/>
        <v>105999.9</v>
      </c>
      <c r="AB888" s="167">
        <f>IF(O888="返货",Z888/(1+N888),IF(O888="返现",Z888,IF(O888="折扣",Z888*N888,IF(O888="无",Z888))))</f>
        <v>194339.716981132</v>
      </c>
      <c r="AC888" s="168">
        <f t="shared" si="167"/>
        <v>11660.3830188679</v>
      </c>
      <c r="AD888" s="158">
        <f t="shared" si="180"/>
        <v>185003.82921516</v>
      </c>
      <c r="AE888" s="159">
        <v>0.112691732739812</v>
      </c>
      <c r="AF888" s="158">
        <f t="shared" si="179"/>
        <v>20848.4020777566</v>
      </c>
      <c r="AG888" s="158">
        <v>15812.5393496826</v>
      </c>
      <c r="AH888" s="175"/>
      <c r="AI888" s="175"/>
      <c r="AJ888" s="156">
        <v>0.06</v>
      </c>
      <c r="AK888" s="140" t="s">
        <v>186</v>
      </c>
    </row>
    <row r="889" s="140" customFormat="1" ht="15" hidden="1" customHeight="1" spans="1:39">
      <c r="A889" s="140">
        <v>2017</v>
      </c>
      <c r="B889" s="140" t="s">
        <v>38</v>
      </c>
      <c r="C889" s="140" t="s">
        <v>59</v>
      </c>
      <c r="D889" s="140" t="s">
        <v>106</v>
      </c>
      <c r="E889" s="140" t="s">
        <v>239</v>
      </c>
      <c r="F889" s="140" t="s">
        <v>352</v>
      </c>
      <c r="G889" s="140" t="s">
        <v>352</v>
      </c>
      <c r="H889" s="140" t="s">
        <v>352</v>
      </c>
      <c r="I889" s="152" t="s">
        <v>243</v>
      </c>
      <c r="J889" s="140" t="s">
        <v>244</v>
      </c>
      <c r="K889" s="140" t="s">
        <v>245</v>
      </c>
      <c r="L889" s="140" t="s">
        <v>352</v>
      </c>
      <c r="M889" s="140" t="s">
        <v>46</v>
      </c>
      <c r="N889" s="156">
        <v>0</v>
      </c>
      <c r="O889" s="156" t="s">
        <v>47</v>
      </c>
      <c r="P889" s="156"/>
      <c r="Q889" s="158">
        <v>0</v>
      </c>
      <c r="R889" s="158">
        <v>0</v>
      </c>
      <c r="S889" s="158">
        <v>900000</v>
      </c>
      <c r="T889" s="158">
        <f t="shared" si="164"/>
        <v>0</v>
      </c>
      <c r="U889" s="158">
        <f t="shared" si="168"/>
        <v>900000</v>
      </c>
      <c r="V889" s="158">
        <v>1048000</v>
      </c>
      <c r="W889" s="158">
        <f t="shared" si="169"/>
        <v>-148000</v>
      </c>
      <c r="X889" s="158">
        <f t="shared" si="165"/>
        <v>-148000</v>
      </c>
      <c r="Y889" s="158">
        <f t="shared" si="170"/>
        <v>0</v>
      </c>
      <c r="Z889" s="158">
        <v>1082259.2</v>
      </c>
      <c r="AA889" s="158">
        <f t="shared" si="166"/>
        <v>-34259.2</v>
      </c>
      <c r="AB889" s="167">
        <f>IF(O889="返货",Z889/(1+N889),IF(O889="返现",Z889,IF(O889="折扣",Z889*N889,IF(O889="无",Z889))))</f>
        <v>1082259.2</v>
      </c>
      <c r="AC889" s="168">
        <f t="shared" si="167"/>
        <v>0</v>
      </c>
      <c r="AD889" s="158">
        <v>907222.769326181</v>
      </c>
      <c r="AE889" s="159">
        <v>0.176470588235294</v>
      </c>
      <c r="AF889" s="158">
        <f t="shared" si="179"/>
        <v>160098.135763444</v>
      </c>
      <c r="AG889" s="158">
        <f>AB889-Z889+AF889</f>
        <v>160098.135763444</v>
      </c>
      <c r="AH889" s="175"/>
      <c r="AI889" s="175"/>
      <c r="AJ889" s="157">
        <v>0</v>
      </c>
      <c r="AK889" s="140" t="s">
        <v>120</v>
      </c>
      <c r="AM889" s="152"/>
    </row>
    <row r="890" s="140" customFormat="1" ht="15" hidden="1" customHeight="1" spans="1:37">
      <c r="A890" s="140">
        <v>2017</v>
      </c>
      <c r="B890" s="140" t="s">
        <v>38</v>
      </c>
      <c r="C890" s="140" t="s">
        <v>75</v>
      </c>
      <c r="D890" s="140" t="s">
        <v>76</v>
      </c>
      <c r="E890" s="140" t="s">
        <v>77</v>
      </c>
      <c r="F890" s="140" t="s">
        <v>303</v>
      </c>
      <c r="G890" s="140" t="s">
        <v>303</v>
      </c>
      <c r="H890" s="140" t="s">
        <v>303</v>
      </c>
      <c r="I890" s="140" t="s">
        <v>170</v>
      </c>
      <c r="J890" s="140" t="s">
        <v>605</v>
      </c>
      <c r="K890" s="140" t="s">
        <v>886</v>
      </c>
      <c r="L890" s="140" t="s">
        <v>303</v>
      </c>
      <c r="M890" s="140" t="s">
        <v>46</v>
      </c>
      <c r="N890" s="157">
        <v>0.02</v>
      </c>
      <c r="O890" s="156" t="s">
        <v>51</v>
      </c>
      <c r="P890" s="156"/>
      <c r="Q890" s="158">
        <v>0</v>
      </c>
      <c r="R890" s="158">
        <v>0</v>
      </c>
      <c r="S890" s="158">
        <v>0</v>
      </c>
      <c r="T890" s="158">
        <f t="shared" si="164"/>
        <v>0</v>
      </c>
      <c r="U890" s="158">
        <f t="shared" si="168"/>
        <v>0</v>
      </c>
      <c r="V890" s="158">
        <v>0</v>
      </c>
      <c r="W890" s="158">
        <f t="shared" si="169"/>
        <v>0</v>
      </c>
      <c r="X890" s="158">
        <f t="shared" si="165"/>
        <v>0</v>
      </c>
      <c r="Y890" s="158">
        <f t="shared" si="170"/>
        <v>0</v>
      </c>
      <c r="Z890" s="158">
        <v>0</v>
      </c>
      <c r="AA890" s="158">
        <f t="shared" si="166"/>
        <v>0</v>
      </c>
      <c r="AB890" s="167">
        <f>IF(O890="返货",Z890/(1+N890),IF(O890="返现",Z890,IF(O890="折扣",Z890*N890,IF(O890="无",Z890))))</f>
        <v>0</v>
      </c>
      <c r="AC890" s="168">
        <f t="shared" si="167"/>
        <v>0</v>
      </c>
      <c r="AD890" s="158">
        <v>0</v>
      </c>
      <c r="AE890" s="159">
        <v>0.1</v>
      </c>
      <c r="AF890" s="158">
        <f t="shared" si="179"/>
        <v>0</v>
      </c>
      <c r="AG890" s="158">
        <v>0</v>
      </c>
      <c r="AH890" s="175"/>
      <c r="AI890" s="175"/>
      <c r="AJ890" s="157">
        <v>0.02</v>
      </c>
      <c r="AK890" s="177">
        <v>0.02</v>
      </c>
    </row>
    <row r="891" s="140" customFormat="1" ht="15" hidden="1" customHeight="1" spans="1:37">
      <c r="A891" s="140">
        <v>2017</v>
      </c>
      <c r="B891" s="140" t="s">
        <v>38</v>
      </c>
      <c r="C891" s="140" t="s">
        <v>39</v>
      </c>
      <c r="D891" s="140" t="s">
        <v>81</v>
      </c>
      <c r="E891" s="140" t="s">
        <v>41</v>
      </c>
      <c r="F891" s="140" t="s">
        <v>706</v>
      </c>
      <c r="G891" s="140" t="s">
        <v>706</v>
      </c>
      <c r="H891" s="140" t="s">
        <v>706</v>
      </c>
      <c r="I891" s="140" t="s">
        <v>170</v>
      </c>
      <c r="J891" s="140" t="s">
        <v>171</v>
      </c>
      <c r="K891" s="140" t="s">
        <v>172</v>
      </c>
      <c r="L891" s="140" t="s">
        <v>707</v>
      </c>
      <c r="M891" s="140" t="s">
        <v>46</v>
      </c>
      <c r="N891" s="157">
        <v>0</v>
      </c>
      <c r="O891" s="156" t="s">
        <v>47</v>
      </c>
      <c r="P891" s="156"/>
      <c r="Q891" s="158">
        <v>0</v>
      </c>
      <c r="R891" s="158">
        <v>0</v>
      </c>
      <c r="S891" s="158">
        <v>2011203.1</v>
      </c>
      <c r="T891" s="158">
        <f t="shared" si="164"/>
        <v>0</v>
      </c>
      <c r="U891" s="158">
        <f t="shared" si="168"/>
        <v>2011203.1</v>
      </c>
      <c r="V891" s="158">
        <v>2017631.4</v>
      </c>
      <c r="W891" s="158">
        <f t="shared" si="169"/>
        <v>-6428.29999999981</v>
      </c>
      <c r="X891" s="158">
        <f t="shared" si="165"/>
        <v>-6428.29999999981</v>
      </c>
      <c r="Y891" s="158">
        <f t="shared" si="170"/>
        <v>0</v>
      </c>
      <c r="Z891" s="158">
        <v>2045971.6</v>
      </c>
      <c r="AA891" s="158">
        <f t="shared" si="166"/>
        <v>-28340.2000000002</v>
      </c>
      <c r="AB891" s="167">
        <f>IF(O891="返货",Z891/(1+N891),IF(O891="返现",Z891,IF(O891="折扣",Z891*N891,IF(O891="无",Z891))))</f>
        <v>2045971.6</v>
      </c>
      <c r="AC891" s="168">
        <f t="shared" si="167"/>
        <v>0</v>
      </c>
      <c r="AD891" s="158">
        <f>(Z891-Q891)*0.89807640489087</f>
        <v>1837438.81903682</v>
      </c>
      <c r="AE891" s="159">
        <v>0.112691732739812</v>
      </c>
      <c r="AF891" s="158">
        <f t="shared" si="179"/>
        <v>207064.164320653</v>
      </c>
      <c r="AG891" s="158">
        <v>183052.492794955</v>
      </c>
      <c r="AH891" s="175"/>
      <c r="AI891" s="175"/>
      <c r="AJ891" s="176">
        <v>0</v>
      </c>
      <c r="AK891" s="140">
        <v>0</v>
      </c>
    </row>
    <row r="892" s="140" customFormat="1" ht="15" hidden="1" customHeight="1" spans="1:39">
      <c r="A892" s="140">
        <v>2017</v>
      </c>
      <c r="B892" s="140" t="s">
        <v>252</v>
      </c>
      <c r="C892" s="140" t="s">
        <v>75</v>
      </c>
      <c r="D892" s="140" t="s">
        <v>76</v>
      </c>
      <c r="E892" s="140" t="s">
        <v>77</v>
      </c>
      <c r="F892" s="140" t="s">
        <v>303</v>
      </c>
      <c r="G892" s="140" t="s">
        <v>870</v>
      </c>
      <c r="H892" s="140" t="s">
        <v>871</v>
      </c>
      <c r="I892" s="140" t="s">
        <v>170</v>
      </c>
      <c r="J892" s="140" t="s">
        <v>605</v>
      </c>
      <c r="K892" s="140" t="s">
        <v>886</v>
      </c>
      <c r="L892" s="140" t="s">
        <v>303</v>
      </c>
      <c r="M892" s="140" t="s">
        <v>46</v>
      </c>
      <c r="N892" s="157">
        <v>0.02</v>
      </c>
      <c r="O892" s="156" t="s">
        <v>51</v>
      </c>
      <c r="P892" s="156" t="s">
        <v>15</v>
      </c>
      <c r="Q892" s="158">
        <v>0</v>
      </c>
      <c r="R892" s="158">
        <v>0</v>
      </c>
      <c r="S892" s="158">
        <v>350000</v>
      </c>
      <c r="T892" s="158">
        <f t="shared" si="164"/>
        <v>7000</v>
      </c>
      <c r="U892" s="158">
        <f t="shared" si="168"/>
        <v>357000</v>
      </c>
      <c r="V892" s="158">
        <v>500000</v>
      </c>
      <c r="W892" s="158">
        <f t="shared" si="169"/>
        <v>-143000</v>
      </c>
      <c r="X892" s="158">
        <f t="shared" si="165"/>
        <v>-140196.078431373</v>
      </c>
      <c r="Y892" s="158">
        <f t="shared" si="170"/>
        <v>-2803.92156862744</v>
      </c>
      <c r="Z892" s="158">
        <v>630477.5</v>
      </c>
      <c r="AA892" s="158">
        <f t="shared" si="166"/>
        <v>-130477.5</v>
      </c>
      <c r="AB892" s="167">
        <f>IF(O892="返货",Z892/(1+N892),IF(O892="返现",Z892,IF(O892="折扣",Z892*N892,IF(O892="无",(Z892-38440.9)))))</f>
        <v>618115.196078431</v>
      </c>
      <c r="AC892" s="168">
        <f t="shared" si="167"/>
        <v>12362.3039215687</v>
      </c>
      <c r="AD892" s="158">
        <v>630477.5</v>
      </c>
      <c r="AE892" s="159">
        <v>0.1</v>
      </c>
      <c r="AF892" s="158">
        <f t="shared" si="179"/>
        <v>63047.75</v>
      </c>
      <c r="AG892" s="158">
        <v>0</v>
      </c>
      <c r="AH892" s="175"/>
      <c r="AI892" s="175"/>
      <c r="AJ892" s="156" t="s">
        <v>173</v>
      </c>
      <c r="AK892" s="140" t="s">
        <v>173</v>
      </c>
      <c r="AM892" s="140" t="s">
        <v>174</v>
      </c>
    </row>
    <row r="893" s="140" customFormat="1" ht="15" hidden="1" customHeight="1" spans="1:37">
      <c r="A893" s="140">
        <v>2017</v>
      </c>
      <c r="B893" s="140" t="s">
        <v>38</v>
      </c>
      <c r="C893" s="140" t="s">
        <v>59</v>
      </c>
      <c r="D893" s="140" t="s">
        <v>210</v>
      </c>
      <c r="E893" s="140" t="s">
        <v>131</v>
      </c>
      <c r="F893" s="140" t="s">
        <v>773</v>
      </c>
      <c r="G893" s="140" t="s">
        <v>773</v>
      </c>
      <c r="H893" s="140" t="s">
        <v>773</v>
      </c>
      <c r="I893" s="140" t="s">
        <v>170</v>
      </c>
      <c r="J893" s="140" t="s">
        <v>171</v>
      </c>
      <c r="K893" s="140" t="s">
        <v>172</v>
      </c>
      <c r="L893" s="140" t="s">
        <v>773</v>
      </c>
      <c r="M893" s="140" t="s">
        <v>46</v>
      </c>
      <c r="N893" s="157">
        <v>0.02</v>
      </c>
      <c r="O893" s="156" t="s">
        <v>51</v>
      </c>
      <c r="P893" s="156"/>
      <c r="Q893" s="158">
        <v>0</v>
      </c>
      <c r="R893" s="158">
        <v>0</v>
      </c>
      <c r="S893" s="158">
        <v>1520000</v>
      </c>
      <c r="T893" s="158">
        <f t="shared" si="164"/>
        <v>30400</v>
      </c>
      <c r="U893" s="158">
        <f t="shared" si="168"/>
        <v>1550400</v>
      </c>
      <c r="V893" s="158">
        <v>1457442</v>
      </c>
      <c r="W893" s="158">
        <f t="shared" si="169"/>
        <v>92958</v>
      </c>
      <c r="X893" s="158">
        <f t="shared" si="165"/>
        <v>91135.2941176471</v>
      </c>
      <c r="Y893" s="158">
        <f t="shared" si="170"/>
        <v>1822.70588235294</v>
      </c>
      <c r="Z893" s="158">
        <v>1483886.8</v>
      </c>
      <c r="AA893" s="158">
        <f t="shared" si="166"/>
        <v>-26444.8</v>
      </c>
      <c r="AB893" s="167">
        <f>IF(O893="返货",Z893/(1+N893),IF(O893="返现",Z893,IF(O893="折扣",Z893*N893,IF(O893="无",Z893))))</f>
        <v>1454790.98039216</v>
      </c>
      <c r="AC893" s="168">
        <f t="shared" si="167"/>
        <v>29095.8196078432</v>
      </c>
      <c r="AD893" s="158">
        <f t="shared" ref="AD893:AD895" si="181">(Z893-Q893)*0.89807640489087</f>
        <v>1332643.72260902</v>
      </c>
      <c r="AE893" s="159">
        <v>0.112691732739812</v>
      </c>
      <c r="AF893" s="158">
        <f t="shared" si="179"/>
        <v>150177.930225644</v>
      </c>
      <c r="AG893" s="158">
        <v>103667.107192084</v>
      </c>
      <c r="AH893" s="175"/>
      <c r="AI893" s="175"/>
      <c r="AJ893" s="156" t="s">
        <v>173</v>
      </c>
      <c r="AK893" s="140" t="s">
        <v>173</v>
      </c>
    </row>
    <row r="894" s="140" customFormat="1" ht="15" hidden="1" customHeight="1" spans="1:37">
      <c r="A894" s="140">
        <v>2017</v>
      </c>
      <c r="B894" s="140" t="s">
        <v>38</v>
      </c>
      <c r="C894" s="140" t="s">
        <v>75</v>
      </c>
      <c r="D894" s="140" t="s">
        <v>76</v>
      </c>
      <c r="E894" s="140" t="s">
        <v>450</v>
      </c>
      <c r="F894" s="140" t="s">
        <v>923</v>
      </c>
      <c r="G894" s="140" t="s">
        <v>923</v>
      </c>
      <c r="H894" s="140" t="s">
        <v>923</v>
      </c>
      <c r="I894" s="140" t="s">
        <v>170</v>
      </c>
      <c r="J894" s="140" t="s">
        <v>171</v>
      </c>
      <c r="K894" s="140" t="s">
        <v>172</v>
      </c>
      <c r="L894" s="140" t="s">
        <v>923</v>
      </c>
      <c r="M894" s="140" t="s">
        <v>46</v>
      </c>
      <c r="N894" s="157">
        <v>0.02</v>
      </c>
      <c r="O894" s="156" t="s">
        <v>51</v>
      </c>
      <c r="P894" s="156"/>
      <c r="Q894" s="158">
        <v>0</v>
      </c>
      <c r="R894" s="158">
        <v>0</v>
      </c>
      <c r="S894" s="158">
        <v>250000</v>
      </c>
      <c r="T894" s="158">
        <f t="shared" si="164"/>
        <v>5000</v>
      </c>
      <c r="U894" s="158">
        <f t="shared" si="168"/>
        <v>255000</v>
      </c>
      <c r="V894" s="158">
        <v>254000</v>
      </c>
      <c r="W894" s="158">
        <f t="shared" si="169"/>
        <v>1000</v>
      </c>
      <c r="X894" s="158">
        <f t="shared" si="165"/>
        <v>980.392156862745</v>
      </c>
      <c r="Y894" s="158">
        <f t="shared" si="170"/>
        <v>19.6078431372549</v>
      </c>
      <c r="Z894" s="158">
        <v>217401.1</v>
      </c>
      <c r="AA894" s="158">
        <f t="shared" si="166"/>
        <v>36598.9</v>
      </c>
      <c r="AB894" s="167">
        <f>IF(O894="返货",Z894/(1+N894),IF(O894="返现",Z894,IF(O894="折扣",Z894*N894,IF(O894="无",Z894))))</f>
        <v>213138.333333333</v>
      </c>
      <c r="AC894" s="168">
        <f t="shared" si="167"/>
        <v>4262.76666666666</v>
      </c>
      <c r="AD894" s="158">
        <f t="shared" si="181"/>
        <v>195242.798307321</v>
      </c>
      <c r="AE894" s="159">
        <v>0.112691732739812</v>
      </c>
      <c r="AF894" s="158">
        <f t="shared" si="179"/>
        <v>22002.2492462216</v>
      </c>
      <c r="AG894" s="158">
        <v>15188.0474557607</v>
      </c>
      <c r="AH894" s="175"/>
      <c r="AI894" s="175"/>
      <c r="AJ894" s="156" t="s">
        <v>173</v>
      </c>
      <c r="AK894" s="140" t="s">
        <v>173</v>
      </c>
    </row>
    <row r="895" s="140" customFormat="1" ht="15" hidden="1" customHeight="1" spans="1:37">
      <c r="A895" s="140">
        <v>2017</v>
      </c>
      <c r="B895" s="140" t="s">
        <v>38</v>
      </c>
      <c r="C895" s="140" t="s">
        <v>75</v>
      </c>
      <c r="D895" s="140" t="s">
        <v>76</v>
      </c>
      <c r="E895" s="140" t="s">
        <v>304</v>
      </c>
      <c r="F895" s="140" t="s">
        <v>924</v>
      </c>
      <c r="G895" s="140" t="s">
        <v>924</v>
      </c>
      <c r="H895" s="140" t="s">
        <v>924</v>
      </c>
      <c r="I895" s="140" t="s">
        <v>170</v>
      </c>
      <c r="J895" s="140" t="s">
        <v>171</v>
      </c>
      <c r="K895" s="140" t="s">
        <v>172</v>
      </c>
      <c r="L895" s="140" t="s">
        <v>925</v>
      </c>
      <c r="M895" s="140" t="s">
        <v>46</v>
      </c>
      <c r="N895" s="157">
        <v>0.02</v>
      </c>
      <c r="O895" s="156" t="s">
        <v>51</v>
      </c>
      <c r="P895" s="156"/>
      <c r="Q895" s="158">
        <v>0</v>
      </c>
      <c r="R895" s="158">
        <v>0</v>
      </c>
      <c r="S895" s="158">
        <v>9606.95</v>
      </c>
      <c r="T895" s="158">
        <f t="shared" si="164"/>
        <v>192.139</v>
      </c>
      <c r="U895" s="158">
        <f t="shared" si="168"/>
        <v>9799.089</v>
      </c>
      <c r="V895" s="158">
        <v>9799</v>
      </c>
      <c r="W895" s="158">
        <f t="shared" si="169"/>
        <v>0.0889999999999418</v>
      </c>
      <c r="X895" s="158">
        <f t="shared" si="165"/>
        <v>0.0872549019607272</v>
      </c>
      <c r="Y895" s="158">
        <f t="shared" si="170"/>
        <v>0.00174509803921455</v>
      </c>
      <c r="Z895" s="158">
        <v>9798.2</v>
      </c>
      <c r="AA895" s="158">
        <f t="shared" si="166"/>
        <v>0.799999999999272</v>
      </c>
      <c r="AB895" s="167">
        <f>IF(O895="返货",Z895/(1+N895),IF(O895="返现",Z895,IF(O895="折扣",Z895*N895,IF(O895="无",Z895))))</f>
        <v>9606.07843137255</v>
      </c>
      <c r="AC895" s="168">
        <f t="shared" si="167"/>
        <v>192.121568627452</v>
      </c>
      <c r="AD895" s="158">
        <f t="shared" si="181"/>
        <v>8799.53223040172</v>
      </c>
      <c r="AE895" s="159">
        <v>0.112691732739812</v>
      </c>
      <c r="AF895" s="158">
        <f t="shared" si="179"/>
        <v>991.634534343793</v>
      </c>
      <c r="AG895" s="158">
        <v>684.520577775524</v>
      </c>
      <c r="AH895" s="175"/>
      <c r="AI895" s="175"/>
      <c r="AJ895" s="156" t="s">
        <v>173</v>
      </c>
      <c r="AK895" s="140" t="s">
        <v>173</v>
      </c>
    </row>
    <row r="896" s="140" customFormat="1" ht="15" hidden="1" customHeight="1" spans="1:37">
      <c r="A896" s="140">
        <v>2017</v>
      </c>
      <c r="B896" s="140" t="s">
        <v>38</v>
      </c>
      <c r="C896" s="140" t="s">
        <v>75</v>
      </c>
      <c r="D896" s="140" t="s">
        <v>76</v>
      </c>
      <c r="E896" s="140" t="s">
        <v>304</v>
      </c>
      <c r="F896" s="140" t="s">
        <v>924</v>
      </c>
      <c r="G896" s="140" t="s">
        <v>924</v>
      </c>
      <c r="H896" s="140" t="s">
        <v>924</v>
      </c>
      <c r="I896" s="140" t="s">
        <v>170</v>
      </c>
      <c r="J896" s="140" t="s">
        <v>171</v>
      </c>
      <c r="K896" s="140" t="s">
        <v>172</v>
      </c>
      <c r="L896" s="140" t="s">
        <v>925</v>
      </c>
      <c r="M896" s="140" t="s">
        <v>185</v>
      </c>
      <c r="N896" s="157">
        <v>0.08</v>
      </c>
      <c r="O896" s="156" t="s">
        <v>51</v>
      </c>
      <c r="P896" s="156"/>
      <c r="Q896" s="158">
        <v>0</v>
      </c>
      <c r="R896" s="158">
        <v>0</v>
      </c>
      <c r="S896" s="158">
        <v>23.05</v>
      </c>
      <c r="T896" s="158">
        <f t="shared" si="164"/>
        <v>1.844</v>
      </c>
      <c r="U896" s="158">
        <f t="shared" si="168"/>
        <v>24.894</v>
      </c>
      <c r="V896" s="158">
        <v>24.8999999999996</v>
      </c>
      <c r="W896" s="158">
        <f t="shared" si="169"/>
        <v>-0.00599999999959877</v>
      </c>
      <c r="X896" s="158">
        <f t="shared" si="165"/>
        <v>-0.00555555555518405</v>
      </c>
      <c r="Y896" s="158">
        <f t="shared" si="170"/>
        <v>-0.000444444444414724</v>
      </c>
      <c r="Z896" s="158">
        <v>24.9</v>
      </c>
      <c r="AA896" s="158">
        <f t="shared" si="166"/>
        <v>-3.97903932025656e-13</v>
      </c>
      <c r="AB896" s="167">
        <f>IF(O896="返货",Z896/(1+N896),IF(O896="返现",Z896,IF(O896="折扣",Z896*N896,IF(O896="无",Z896))))</f>
        <v>23.0555555555556</v>
      </c>
      <c r="AC896" s="168">
        <f t="shared" si="167"/>
        <v>1.84444444444444</v>
      </c>
      <c r="AD896" s="158">
        <f>(Z896-Q896)*0.91072157793815</f>
        <v>22.6769672906599</v>
      </c>
      <c r="AE896" s="159">
        <v>0.112691732739812</v>
      </c>
      <c r="AF896" s="158">
        <f t="shared" si="179"/>
        <v>2.55550673726851</v>
      </c>
      <c r="AG896" s="158">
        <v>0.383351420656705</v>
      </c>
      <c r="AH896" s="175"/>
      <c r="AI896" s="175"/>
      <c r="AJ896" s="156" t="s">
        <v>53</v>
      </c>
      <c r="AK896" s="140" t="s">
        <v>53</v>
      </c>
    </row>
    <row r="897" s="140" customFormat="1" ht="15" hidden="1" customHeight="1" spans="1:37">
      <c r="A897" s="140">
        <v>2017</v>
      </c>
      <c r="B897" s="140" t="s">
        <v>252</v>
      </c>
      <c r="C897" s="140" t="s">
        <v>75</v>
      </c>
      <c r="D897" s="140" t="s">
        <v>76</v>
      </c>
      <c r="E897" s="140" t="s">
        <v>304</v>
      </c>
      <c r="F897" s="140" t="s">
        <v>309</v>
      </c>
      <c r="G897" s="140" t="s">
        <v>310</v>
      </c>
      <c r="H897" s="140" t="s">
        <v>311</v>
      </c>
      <c r="I897" s="140" t="s">
        <v>170</v>
      </c>
      <c r="J897" s="140" t="s">
        <v>171</v>
      </c>
      <c r="K897" s="140" t="s">
        <v>172</v>
      </c>
      <c r="L897" s="140" t="s">
        <v>309</v>
      </c>
      <c r="M897" s="140" t="s">
        <v>46</v>
      </c>
      <c r="N897" s="157">
        <v>0.04</v>
      </c>
      <c r="O897" s="156" t="s">
        <v>51</v>
      </c>
      <c r="P897" s="156"/>
      <c r="Q897" s="158">
        <v>275253.363</v>
      </c>
      <c r="R897" s="158">
        <v>0</v>
      </c>
      <c r="S897" s="158">
        <v>440000</v>
      </c>
      <c r="T897" s="158">
        <f t="shared" si="164"/>
        <v>17600</v>
      </c>
      <c r="U897" s="158">
        <f t="shared" si="168"/>
        <v>457600</v>
      </c>
      <c r="V897" s="158">
        <v>457600</v>
      </c>
      <c r="W897" s="158">
        <f t="shared" si="169"/>
        <v>0</v>
      </c>
      <c r="X897" s="158">
        <f t="shared" si="165"/>
        <v>0</v>
      </c>
      <c r="Y897" s="158">
        <f t="shared" si="170"/>
        <v>0</v>
      </c>
      <c r="Z897" s="158">
        <v>580708.6</v>
      </c>
      <c r="AA897" s="158">
        <f t="shared" si="166"/>
        <v>152144.763</v>
      </c>
      <c r="AB897" s="167">
        <f>IF(O897="返货",(Z897-Q897)/(1+N897),IF(O897="返现",(Z897-Q897),IF(O897="折扣",(Z897-Q897)*N897,IF(O897="无",(Z897-Q897)))))</f>
        <v>293706.958653846</v>
      </c>
      <c r="AC897" s="168">
        <f t="shared" si="167"/>
        <v>287001.641346154</v>
      </c>
      <c r="AD897" s="158">
        <f t="shared" ref="AD897:AD898" si="182">(Z897-Q897)*0.89807640489087</f>
        <v>274322.141100049</v>
      </c>
      <c r="AE897" s="159">
        <v>0.112691732739812</v>
      </c>
      <c r="AF897" s="158">
        <f t="shared" si="179"/>
        <v>30913.8374094597</v>
      </c>
      <c r="AG897" s="158">
        <v>29620.885890679</v>
      </c>
      <c r="AH897" s="175"/>
      <c r="AI897" s="175"/>
      <c r="AJ897" s="156" t="s">
        <v>186</v>
      </c>
      <c r="AK897" s="140" t="s">
        <v>186</v>
      </c>
    </row>
    <row r="898" s="140" customFormat="1" ht="15" hidden="1" customHeight="1" spans="1:37">
      <c r="A898" s="140">
        <v>2017</v>
      </c>
      <c r="B898" s="140" t="s">
        <v>38</v>
      </c>
      <c r="C898" s="140" t="s">
        <v>75</v>
      </c>
      <c r="D898" s="140" t="s">
        <v>76</v>
      </c>
      <c r="E898" s="140" t="s">
        <v>304</v>
      </c>
      <c r="F898" s="140" t="s">
        <v>676</v>
      </c>
      <c r="G898" s="140" t="s">
        <v>676</v>
      </c>
      <c r="H898" s="140" t="s">
        <v>676</v>
      </c>
      <c r="I898" s="140" t="s">
        <v>170</v>
      </c>
      <c r="J898" s="140" t="s">
        <v>171</v>
      </c>
      <c r="K898" s="140" t="s">
        <v>172</v>
      </c>
      <c r="L898" s="140" t="s">
        <v>676</v>
      </c>
      <c r="M898" s="140" t="s">
        <v>46</v>
      </c>
      <c r="N898" s="157">
        <v>0.04</v>
      </c>
      <c r="O898" s="156" t="s">
        <v>51</v>
      </c>
      <c r="P898" s="156"/>
      <c r="Q898" s="158">
        <v>0</v>
      </c>
      <c r="R898" s="158">
        <v>0</v>
      </c>
      <c r="S898" s="158">
        <v>3000000</v>
      </c>
      <c r="T898" s="158">
        <f t="shared" ref="T898:T961" si="183">S898*N898</f>
        <v>120000</v>
      </c>
      <c r="U898" s="158">
        <f t="shared" si="168"/>
        <v>3120000</v>
      </c>
      <c r="V898" s="158">
        <v>3092000</v>
      </c>
      <c r="W898" s="158">
        <f t="shared" si="169"/>
        <v>28000</v>
      </c>
      <c r="X898" s="158">
        <f t="shared" ref="X898:X961" si="184">W898/(1+N898)</f>
        <v>26923.0769230769</v>
      </c>
      <c r="Y898" s="158">
        <f t="shared" si="170"/>
        <v>1076.92307692308</v>
      </c>
      <c r="Z898" s="158">
        <v>0</v>
      </c>
      <c r="AA898" s="158">
        <f t="shared" ref="AA898:AA961" si="185">Q898+V898-Z898</f>
        <v>3092000</v>
      </c>
      <c r="AB898" s="167">
        <f t="shared" ref="AB898:AB906" si="186">IF(O898="返货",Z898/(1+N898),IF(O898="返现",Z898,IF(O898="折扣",Z898*N898,IF(O898="无",Z898))))</f>
        <v>0</v>
      </c>
      <c r="AC898" s="168">
        <f t="shared" ref="AC898:AC961" si="187">IF(O898="返现",Z898*N898,Z898-AB898)</f>
        <v>0</v>
      </c>
      <c r="AD898" s="158">
        <f t="shared" si="182"/>
        <v>0</v>
      </c>
      <c r="AE898" s="159">
        <v>0.112691732739812</v>
      </c>
      <c r="AF898" s="158">
        <f t="shared" si="179"/>
        <v>0</v>
      </c>
      <c r="AG898" s="158">
        <v>0</v>
      </c>
      <c r="AH898" s="175"/>
      <c r="AI898" s="175"/>
      <c r="AJ898" s="156" t="s">
        <v>186</v>
      </c>
      <c r="AK898" s="140" t="s">
        <v>186</v>
      </c>
    </row>
    <row r="899" s="140" customFormat="1" ht="15" hidden="1" customHeight="1" spans="1:37">
      <c r="A899" s="140">
        <v>2017</v>
      </c>
      <c r="B899" s="140" t="s">
        <v>38</v>
      </c>
      <c r="C899" s="140" t="s">
        <v>75</v>
      </c>
      <c r="D899" s="140" t="s">
        <v>76</v>
      </c>
      <c r="E899" s="140" t="s">
        <v>304</v>
      </c>
      <c r="F899" s="140" t="s">
        <v>676</v>
      </c>
      <c r="G899" s="140" t="s">
        <v>676</v>
      </c>
      <c r="H899" s="140" t="s">
        <v>676</v>
      </c>
      <c r="I899" s="140" t="s">
        <v>170</v>
      </c>
      <c r="J899" s="140" t="s">
        <v>171</v>
      </c>
      <c r="K899" s="140" t="s">
        <v>172</v>
      </c>
      <c r="L899" s="140" t="s">
        <v>676</v>
      </c>
      <c r="M899" s="140" t="s">
        <v>160</v>
      </c>
      <c r="N899" s="157">
        <v>0.04</v>
      </c>
      <c r="O899" s="156" t="s">
        <v>51</v>
      </c>
      <c r="P899" s="156"/>
      <c r="Q899" s="158">
        <v>0</v>
      </c>
      <c r="R899" s="158">
        <v>0</v>
      </c>
      <c r="S899" s="158">
        <v>83580</v>
      </c>
      <c r="T899" s="158">
        <f t="shared" si="183"/>
        <v>3343.2</v>
      </c>
      <c r="U899" s="158">
        <f t="shared" ref="U899:U962" si="188">R899+S899+T899</f>
        <v>86923.2</v>
      </c>
      <c r="V899" s="158">
        <v>83580</v>
      </c>
      <c r="W899" s="158">
        <f t="shared" ref="W899:W962" si="189">U899-V899</f>
        <v>3343.2</v>
      </c>
      <c r="X899" s="158">
        <f t="shared" si="184"/>
        <v>3214.61538461538</v>
      </c>
      <c r="Y899" s="158">
        <f t="shared" ref="Y899:Y962" si="190">W899-X899</f>
        <v>128.584615384616</v>
      </c>
      <c r="Z899" s="158">
        <v>83580</v>
      </c>
      <c r="AA899" s="158">
        <f t="shared" si="185"/>
        <v>0</v>
      </c>
      <c r="AB899" s="167">
        <f t="shared" si="186"/>
        <v>80365.3846153846</v>
      </c>
      <c r="AC899" s="168">
        <f t="shared" si="187"/>
        <v>3214.61538461539</v>
      </c>
      <c r="AD899" s="158">
        <f>(Z899-Q899)*0.826045217867759</f>
        <v>69040.8593093873</v>
      </c>
      <c r="AE899" s="159">
        <v>0.112691732739812</v>
      </c>
      <c r="AF899" s="158">
        <f t="shared" si="179"/>
        <v>7780.33406542043</v>
      </c>
      <c r="AG899" s="158">
        <v>4263.26326619401</v>
      </c>
      <c r="AH899" s="175"/>
      <c r="AI899" s="175"/>
      <c r="AJ899" s="156" t="s">
        <v>186</v>
      </c>
      <c r="AK899" s="140" t="s">
        <v>186</v>
      </c>
    </row>
    <row r="900" s="140" customFormat="1" ht="15" hidden="1" customHeight="1" spans="1:37">
      <c r="A900" s="140">
        <v>2017</v>
      </c>
      <c r="B900" s="140" t="s">
        <v>38</v>
      </c>
      <c r="C900" s="140" t="s">
        <v>75</v>
      </c>
      <c r="D900" s="140" t="s">
        <v>76</v>
      </c>
      <c r="E900" s="140" t="s">
        <v>118</v>
      </c>
      <c r="F900" s="140" t="s">
        <v>119</v>
      </c>
      <c r="G900" s="140" t="s">
        <v>926</v>
      </c>
      <c r="H900" s="140" t="s">
        <v>926</v>
      </c>
      <c r="I900" s="140" t="s">
        <v>170</v>
      </c>
      <c r="J900" s="140" t="s">
        <v>171</v>
      </c>
      <c r="K900" s="140" t="s">
        <v>172</v>
      </c>
      <c r="L900" s="140" t="s">
        <v>119</v>
      </c>
      <c r="M900" s="140" t="s">
        <v>46</v>
      </c>
      <c r="N900" s="157">
        <v>0.04</v>
      </c>
      <c r="O900" s="156" t="s">
        <v>51</v>
      </c>
      <c r="P900" s="156" t="s">
        <v>440</v>
      </c>
      <c r="Q900" s="158">
        <v>0</v>
      </c>
      <c r="R900" s="158">
        <v>0</v>
      </c>
      <c r="S900" s="158">
        <v>796538.46</v>
      </c>
      <c r="T900" s="158">
        <f t="shared" si="183"/>
        <v>31861.5384</v>
      </c>
      <c r="U900" s="158">
        <f t="shared" si="188"/>
        <v>828399.9984</v>
      </c>
      <c r="V900" s="158">
        <v>828399.9984</v>
      </c>
      <c r="W900" s="158">
        <f t="shared" si="189"/>
        <v>0</v>
      </c>
      <c r="X900" s="158">
        <f t="shared" si="184"/>
        <v>0</v>
      </c>
      <c r="Y900" s="158">
        <f t="shared" si="190"/>
        <v>0</v>
      </c>
      <c r="Z900" s="158">
        <v>828400</v>
      </c>
      <c r="AA900" s="158">
        <f t="shared" si="185"/>
        <v>-0.0015999999595806</v>
      </c>
      <c r="AB900" s="167">
        <f t="shared" si="186"/>
        <v>796538.461538461</v>
      </c>
      <c r="AC900" s="168">
        <f t="shared" si="187"/>
        <v>31861.5384615385</v>
      </c>
      <c r="AD900" s="158">
        <f t="shared" ref="AD900:AD902" si="191">(Z900-Q900)*0.89807640489087</f>
        <v>743966.493811597</v>
      </c>
      <c r="AE900" s="159">
        <v>0.112691732739812</v>
      </c>
      <c r="AF900" s="158">
        <f t="shared" si="179"/>
        <v>83838.8732879915</v>
      </c>
      <c r="AG900" s="158">
        <v>0</v>
      </c>
      <c r="AH900" s="175"/>
      <c r="AI900" s="175"/>
      <c r="AJ900" s="156" t="s">
        <v>186</v>
      </c>
      <c r="AK900" s="140" t="s">
        <v>186</v>
      </c>
    </row>
    <row r="901" s="140" customFormat="1" ht="15" hidden="1" customHeight="1" spans="1:37">
      <c r="A901" s="140">
        <v>2017</v>
      </c>
      <c r="B901" s="140" t="s">
        <v>38</v>
      </c>
      <c r="C901" s="140" t="s">
        <v>75</v>
      </c>
      <c r="D901" s="140" t="s">
        <v>76</v>
      </c>
      <c r="E901" s="140" t="s">
        <v>118</v>
      </c>
      <c r="F901" s="140" t="s">
        <v>927</v>
      </c>
      <c r="G901" s="140" t="s">
        <v>927</v>
      </c>
      <c r="H901" s="140" t="s">
        <v>927</v>
      </c>
      <c r="I901" s="140" t="s">
        <v>170</v>
      </c>
      <c r="J901" s="140" t="s">
        <v>171</v>
      </c>
      <c r="K901" s="140" t="s">
        <v>172</v>
      </c>
      <c r="L901" s="140" t="s">
        <v>927</v>
      </c>
      <c r="M901" s="140" t="s">
        <v>46</v>
      </c>
      <c r="N901" s="157">
        <v>0.04</v>
      </c>
      <c r="O901" s="156" t="s">
        <v>51</v>
      </c>
      <c r="P901" s="156"/>
      <c r="Q901" s="158">
        <v>0</v>
      </c>
      <c r="R901" s="158">
        <v>0</v>
      </c>
      <c r="S901" s="158">
        <v>170400</v>
      </c>
      <c r="T901" s="158">
        <f t="shared" si="183"/>
        <v>6816</v>
      </c>
      <c r="U901" s="158">
        <f t="shared" si="188"/>
        <v>177216</v>
      </c>
      <c r="V901" s="158">
        <v>170400</v>
      </c>
      <c r="W901" s="158">
        <f t="shared" si="189"/>
        <v>6816</v>
      </c>
      <c r="X901" s="158">
        <f t="shared" si="184"/>
        <v>6553.84615384615</v>
      </c>
      <c r="Y901" s="158">
        <f t="shared" si="190"/>
        <v>262.153846153847</v>
      </c>
      <c r="Z901" s="158">
        <v>170402.1</v>
      </c>
      <c r="AA901" s="158">
        <f t="shared" si="185"/>
        <v>-2.10000000000582</v>
      </c>
      <c r="AB901" s="167">
        <f t="shared" si="186"/>
        <v>163848.173076923</v>
      </c>
      <c r="AC901" s="168">
        <f t="shared" si="187"/>
        <v>6553.92692307694</v>
      </c>
      <c r="AD901" s="158">
        <f t="shared" si="191"/>
        <v>153034.105353855</v>
      </c>
      <c r="AE901" s="159">
        <v>0.112691732739812</v>
      </c>
      <c r="AF901" s="158">
        <f t="shared" si="179"/>
        <v>17245.6785006128</v>
      </c>
      <c r="AG901" s="158">
        <v>8691.90013654365</v>
      </c>
      <c r="AH901" s="175"/>
      <c r="AI901" s="175"/>
      <c r="AJ901" s="156" t="s">
        <v>186</v>
      </c>
      <c r="AK901" s="140" t="s">
        <v>186</v>
      </c>
    </row>
    <row r="902" s="140" customFormat="1" ht="15" hidden="1" customHeight="1" spans="1:37">
      <c r="A902" s="140">
        <v>2017</v>
      </c>
      <c r="B902" s="140" t="s">
        <v>38</v>
      </c>
      <c r="C902" s="140" t="s">
        <v>75</v>
      </c>
      <c r="D902" s="140" t="s">
        <v>76</v>
      </c>
      <c r="E902" s="140" t="s">
        <v>118</v>
      </c>
      <c r="F902" s="140" t="s">
        <v>928</v>
      </c>
      <c r="G902" s="140" t="s">
        <v>928</v>
      </c>
      <c r="H902" s="140" t="s">
        <v>928</v>
      </c>
      <c r="I902" s="140" t="s">
        <v>170</v>
      </c>
      <c r="J902" s="140" t="s">
        <v>171</v>
      </c>
      <c r="K902" s="140" t="s">
        <v>172</v>
      </c>
      <c r="L902" s="140" t="s">
        <v>928</v>
      </c>
      <c r="M902" s="140" t="s">
        <v>46</v>
      </c>
      <c r="N902" s="157">
        <v>0.02</v>
      </c>
      <c r="O902" s="156" t="s">
        <v>51</v>
      </c>
      <c r="P902" s="156"/>
      <c r="Q902" s="158">
        <v>0</v>
      </c>
      <c r="R902" s="158">
        <v>0</v>
      </c>
      <c r="S902" s="158">
        <v>45000</v>
      </c>
      <c r="T902" s="158">
        <f t="shared" si="183"/>
        <v>900</v>
      </c>
      <c r="U902" s="158">
        <f t="shared" si="188"/>
        <v>45900</v>
      </c>
      <c r="V902" s="158">
        <v>45000</v>
      </c>
      <c r="W902" s="158">
        <f t="shared" si="189"/>
        <v>900</v>
      </c>
      <c r="X902" s="158">
        <f t="shared" si="184"/>
        <v>882.352941176471</v>
      </c>
      <c r="Y902" s="158">
        <f t="shared" si="190"/>
        <v>17.6470588235294</v>
      </c>
      <c r="Z902" s="158">
        <v>44024.5</v>
      </c>
      <c r="AA902" s="158">
        <f t="shared" si="185"/>
        <v>975.5</v>
      </c>
      <c r="AB902" s="167">
        <f t="shared" si="186"/>
        <v>43161.2745098039</v>
      </c>
      <c r="AC902" s="168">
        <f t="shared" si="187"/>
        <v>863.225490196077</v>
      </c>
      <c r="AD902" s="158">
        <f t="shared" si="191"/>
        <v>39537.3646871181</v>
      </c>
      <c r="AE902" s="159">
        <v>0.112691732739812</v>
      </c>
      <c r="AF902" s="158">
        <f t="shared" si="179"/>
        <v>4455.53413455719</v>
      </c>
      <c r="AG902" s="158">
        <v>3075.63390993025</v>
      </c>
      <c r="AH902" s="175"/>
      <c r="AI902" s="175"/>
      <c r="AJ902" s="156" t="s">
        <v>173</v>
      </c>
      <c r="AK902" s="140" t="s">
        <v>173</v>
      </c>
    </row>
    <row r="903" s="140" customFormat="1" ht="15" hidden="1" customHeight="1" spans="1:39">
      <c r="A903" s="140">
        <v>2017</v>
      </c>
      <c r="B903" s="140" t="s">
        <v>38</v>
      </c>
      <c r="C903" s="140" t="s">
        <v>75</v>
      </c>
      <c r="D903" s="140" t="s">
        <v>76</v>
      </c>
      <c r="E903" s="140" t="s">
        <v>118</v>
      </c>
      <c r="F903" s="140" t="s">
        <v>929</v>
      </c>
      <c r="G903" s="140" t="s">
        <v>929</v>
      </c>
      <c r="H903" s="140" t="s">
        <v>929</v>
      </c>
      <c r="I903" s="140" t="s">
        <v>170</v>
      </c>
      <c r="J903" s="140" t="s">
        <v>171</v>
      </c>
      <c r="K903" s="140" t="s">
        <v>172</v>
      </c>
      <c r="L903" s="140" t="s">
        <v>929</v>
      </c>
      <c r="M903" s="140" t="s">
        <v>185</v>
      </c>
      <c r="N903" s="157">
        <v>0.9</v>
      </c>
      <c r="O903" s="156" t="s">
        <v>259</v>
      </c>
      <c r="P903" s="156"/>
      <c r="Q903" s="158">
        <v>0</v>
      </c>
      <c r="R903" s="158">
        <v>0</v>
      </c>
      <c r="S903" s="158">
        <v>38181.82</v>
      </c>
      <c r="T903" s="158">
        <f t="shared" si="183"/>
        <v>34363.638</v>
      </c>
      <c r="U903" s="158">
        <f t="shared" si="188"/>
        <v>72545.458</v>
      </c>
      <c r="V903" s="158">
        <v>31500</v>
      </c>
      <c r="W903" s="158">
        <f t="shared" si="189"/>
        <v>41045.458</v>
      </c>
      <c r="X903" s="158">
        <f t="shared" si="184"/>
        <v>21602.8726315789</v>
      </c>
      <c r="Y903" s="158">
        <f t="shared" si="190"/>
        <v>19442.5853684211</v>
      </c>
      <c r="Z903" s="158">
        <v>10281.92</v>
      </c>
      <c r="AA903" s="158">
        <f t="shared" si="185"/>
        <v>21218.08</v>
      </c>
      <c r="AB903" s="167">
        <f t="shared" si="186"/>
        <v>9253.728</v>
      </c>
      <c r="AC903" s="168">
        <f t="shared" si="187"/>
        <v>1028.192</v>
      </c>
      <c r="AD903" s="158">
        <f>(Z903-Q903)*0.91072157793815</f>
        <v>9363.96640663382</v>
      </c>
      <c r="AE903" s="159">
        <v>0.112691732739812</v>
      </c>
      <c r="AF903" s="158">
        <f t="shared" si="179"/>
        <v>1055.24159968096</v>
      </c>
      <c r="AG903" s="158">
        <v>919.437299744147</v>
      </c>
      <c r="AH903" s="175"/>
      <c r="AI903" s="175"/>
      <c r="AJ903" s="156" t="s">
        <v>930</v>
      </c>
      <c r="AK903" s="140" t="s">
        <v>930</v>
      </c>
      <c r="AM903" s="140" t="s">
        <v>174</v>
      </c>
    </row>
    <row r="904" s="140" customFormat="1" ht="15" hidden="1" customHeight="1" spans="1:37">
      <c r="A904" s="140">
        <v>2017</v>
      </c>
      <c r="B904" s="140" t="s">
        <v>38</v>
      </c>
      <c r="C904" s="140" t="s">
        <v>75</v>
      </c>
      <c r="D904" s="140" t="s">
        <v>76</v>
      </c>
      <c r="E904" s="140" t="s">
        <v>118</v>
      </c>
      <c r="F904" s="140" t="s">
        <v>929</v>
      </c>
      <c r="G904" s="140" t="s">
        <v>929</v>
      </c>
      <c r="H904" s="140" t="s">
        <v>929</v>
      </c>
      <c r="I904" s="140" t="s">
        <v>170</v>
      </c>
      <c r="J904" s="140" t="s">
        <v>171</v>
      </c>
      <c r="K904" s="140" t="s">
        <v>172</v>
      </c>
      <c r="L904" s="140" t="s">
        <v>929</v>
      </c>
      <c r="M904" s="140" t="s">
        <v>46</v>
      </c>
      <c r="N904" s="157">
        <v>0.9</v>
      </c>
      <c r="O904" s="156" t="s">
        <v>259</v>
      </c>
      <c r="P904" s="156"/>
      <c r="Q904" s="158">
        <v>0</v>
      </c>
      <c r="R904" s="158">
        <v>0</v>
      </c>
      <c r="S904" s="158">
        <v>9450</v>
      </c>
      <c r="T904" s="158">
        <f t="shared" si="183"/>
        <v>8505</v>
      </c>
      <c r="U904" s="158">
        <f t="shared" si="188"/>
        <v>17955</v>
      </c>
      <c r="V904" s="158">
        <v>0</v>
      </c>
      <c r="W904" s="158">
        <f t="shared" si="189"/>
        <v>17955</v>
      </c>
      <c r="X904" s="158">
        <f t="shared" si="184"/>
        <v>9450</v>
      </c>
      <c r="Y904" s="158">
        <f t="shared" si="190"/>
        <v>8505</v>
      </c>
      <c r="Z904" s="158">
        <v>0</v>
      </c>
      <c r="AA904" s="158">
        <f t="shared" si="185"/>
        <v>0</v>
      </c>
      <c r="AB904" s="167">
        <f t="shared" si="186"/>
        <v>0</v>
      </c>
      <c r="AC904" s="168">
        <f t="shared" si="187"/>
        <v>0</v>
      </c>
      <c r="AD904" s="158">
        <f t="shared" ref="AD904:AD905" si="192">(Z904-Q904)*0.89807640489087</f>
        <v>0</v>
      </c>
      <c r="AE904" s="159">
        <v>0.112691732739812</v>
      </c>
      <c r="AF904" s="158">
        <f t="shared" si="179"/>
        <v>0</v>
      </c>
      <c r="AG904" s="158">
        <v>0</v>
      </c>
      <c r="AH904" s="175"/>
      <c r="AI904" s="175"/>
      <c r="AJ904" s="156" t="s">
        <v>931</v>
      </c>
      <c r="AK904" s="140" t="s">
        <v>931</v>
      </c>
    </row>
    <row r="905" s="140" customFormat="1" ht="15" hidden="1" customHeight="1" spans="1:37">
      <c r="A905" s="140">
        <v>2017</v>
      </c>
      <c r="B905" s="140" t="s">
        <v>38</v>
      </c>
      <c r="C905" s="140" t="s">
        <v>75</v>
      </c>
      <c r="D905" s="140" t="s">
        <v>76</v>
      </c>
      <c r="E905" s="140" t="s">
        <v>118</v>
      </c>
      <c r="F905" s="140" t="s">
        <v>679</v>
      </c>
      <c r="G905" s="140" t="s">
        <v>679</v>
      </c>
      <c r="H905" s="140" t="s">
        <v>679</v>
      </c>
      <c r="I905" s="140" t="s">
        <v>170</v>
      </c>
      <c r="J905" s="140" t="s">
        <v>171</v>
      </c>
      <c r="K905" s="140" t="s">
        <v>172</v>
      </c>
      <c r="L905" s="140" t="s">
        <v>679</v>
      </c>
      <c r="M905" s="140" t="s">
        <v>46</v>
      </c>
      <c r="N905" s="157">
        <v>0.04</v>
      </c>
      <c r="O905" s="156" t="s">
        <v>51</v>
      </c>
      <c r="P905" s="156"/>
      <c r="Q905" s="158">
        <v>0</v>
      </c>
      <c r="R905" s="158">
        <v>0</v>
      </c>
      <c r="S905" s="158">
        <v>1381126.24</v>
      </c>
      <c r="T905" s="158">
        <f t="shared" si="183"/>
        <v>55245.0496</v>
      </c>
      <c r="U905" s="158">
        <f t="shared" si="188"/>
        <v>1436371.2896</v>
      </c>
      <c r="V905" s="158">
        <v>1426766.15</v>
      </c>
      <c r="W905" s="158">
        <f t="shared" si="189"/>
        <v>9605.13960000011</v>
      </c>
      <c r="X905" s="158">
        <f t="shared" si="184"/>
        <v>9235.71115384626</v>
      </c>
      <c r="Y905" s="158">
        <f t="shared" si="190"/>
        <v>369.42844615385</v>
      </c>
      <c r="Z905" s="158">
        <v>1376696.2</v>
      </c>
      <c r="AA905" s="158">
        <f t="shared" si="185"/>
        <v>50069.95</v>
      </c>
      <c r="AB905" s="167">
        <f t="shared" si="186"/>
        <v>1323746.34615385</v>
      </c>
      <c r="AC905" s="168">
        <f t="shared" si="187"/>
        <v>52949.8538461539</v>
      </c>
      <c r="AD905" s="158">
        <f t="shared" si="192"/>
        <v>1236378.37392292</v>
      </c>
      <c r="AE905" s="159">
        <v>0.112691732739812</v>
      </c>
      <c r="AF905" s="158">
        <f t="shared" si="179"/>
        <v>139329.621279405</v>
      </c>
      <c r="AG905" s="158">
        <v>70222.7606863949</v>
      </c>
      <c r="AH905" s="175"/>
      <c r="AI905" s="175"/>
      <c r="AJ905" s="156" t="s">
        <v>186</v>
      </c>
      <c r="AK905" s="140" t="s">
        <v>186</v>
      </c>
    </row>
    <row r="906" s="140" customFormat="1" ht="15" hidden="1" customHeight="1" spans="1:39">
      <c r="A906" s="140">
        <v>2017</v>
      </c>
      <c r="B906" s="140" t="s">
        <v>38</v>
      </c>
      <c r="C906" s="140" t="s">
        <v>75</v>
      </c>
      <c r="D906" s="140" t="s">
        <v>76</v>
      </c>
      <c r="E906" s="140" t="s">
        <v>118</v>
      </c>
      <c r="F906" s="140" t="s">
        <v>679</v>
      </c>
      <c r="G906" s="140" t="s">
        <v>679</v>
      </c>
      <c r="H906" s="140" t="s">
        <v>679</v>
      </c>
      <c r="I906" s="140" t="s">
        <v>170</v>
      </c>
      <c r="J906" s="140" t="s">
        <v>171</v>
      </c>
      <c r="K906" s="140" t="s">
        <v>172</v>
      </c>
      <c r="L906" s="140" t="s">
        <v>679</v>
      </c>
      <c r="M906" s="140" t="s">
        <v>185</v>
      </c>
      <c r="N906" s="157">
        <v>0.08</v>
      </c>
      <c r="O906" s="156" t="s">
        <v>51</v>
      </c>
      <c r="P906" s="156"/>
      <c r="Q906" s="158">
        <v>0</v>
      </c>
      <c r="R906" s="158">
        <v>0</v>
      </c>
      <c r="S906" s="158">
        <v>72500.75</v>
      </c>
      <c r="T906" s="158">
        <f t="shared" si="183"/>
        <v>5800.06</v>
      </c>
      <c r="U906" s="158">
        <f t="shared" si="188"/>
        <v>78300.81</v>
      </c>
      <c r="V906" s="158">
        <v>78300</v>
      </c>
      <c r="W906" s="158">
        <f t="shared" si="189"/>
        <v>0.809999999997672</v>
      </c>
      <c r="X906" s="158">
        <f t="shared" si="184"/>
        <v>0.749999999997844</v>
      </c>
      <c r="Y906" s="158">
        <f t="shared" si="190"/>
        <v>0.0599999999998276</v>
      </c>
      <c r="Z906" s="158">
        <v>51533.02</v>
      </c>
      <c r="AA906" s="158">
        <f t="shared" si="185"/>
        <v>26766.98</v>
      </c>
      <c r="AB906" s="167">
        <f t="shared" si="186"/>
        <v>47715.7592592593</v>
      </c>
      <c r="AC906" s="168">
        <f t="shared" si="187"/>
        <v>3817.26074074074</v>
      </c>
      <c r="AD906" s="158">
        <f>(Z906-Q906)*0.91072157793815</f>
        <v>46932.2332903182</v>
      </c>
      <c r="AE906" s="159">
        <v>0.112691732739812</v>
      </c>
      <c r="AF906" s="158">
        <f t="shared" si="179"/>
        <v>5288.87469083505</v>
      </c>
      <c r="AG906" s="158">
        <v>793.059714069299</v>
      </c>
      <c r="AH906" s="175"/>
      <c r="AI906" s="175"/>
      <c r="AJ906" s="156" t="s">
        <v>53</v>
      </c>
      <c r="AK906" s="140" t="s">
        <v>53</v>
      </c>
      <c r="AM906" s="140" t="s">
        <v>174</v>
      </c>
    </row>
    <row r="907" s="140" customFormat="1" ht="15" hidden="1" customHeight="1" spans="1:39">
      <c r="A907" s="140">
        <v>2017</v>
      </c>
      <c r="F907" s="152" t="e">
        <v>#N/A</v>
      </c>
      <c r="G907" s="152"/>
      <c r="H907" s="152"/>
      <c r="I907" s="140" t="s">
        <v>170</v>
      </c>
      <c r="J907" s="140" t="s">
        <v>171</v>
      </c>
      <c r="K907" s="140" t="s">
        <v>172</v>
      </c>
      <c r="L907" s="140" t="s">
        <v>932</v>
      </c>
      <c r="M907" s="140" t="s">
        <v>46</v>
      </c>
      <c r="N907" s="156">
        <v>0</v>
      </c>
      <c r="O907" s="156" t="s">
        <v>47</v>
      </c>
      <c r="P907" s="156" t="s">
        <v>855</v>
      </c>
      <c r="Q907" s="158">
        <v>0.6</v>
      </c>
      <c r="R907" s="158">
        <v>0</v>
      </c>
      <c r="S907" s="158"/>
      <c r="T907" s="158">
        <f t="shared" si="183"/>
        <v>0</v>
      </c>
      <c r="U907" s="158">
        <f t="shared" si="188"/>
        <v>0</v>
      </c>
      <c r="V907" s="158">
        <v>0</v>
      </c>
      <c r="W907" s="158">
        <f t="shared" si="189"/>
        <v>0</v>
      </c>
      <c r="X907" s="158">
        <f t="shared" si="184"/>
        <v>0</v>
      </c>
      <c r="Y907" s="158">
        <f t="shared" si="190"/>
        <v>0</v>
      </c>
      <c r="Z907" s="158">
        <v>23526.6</v>
      </c>
      <c r="AA907" s="158">
        <f t="shared" si="185"/>
        <v>-23526</v>
      </c>
      <c r="AB907" s="167">
        <v>0</v>
      </c>
      <c r="AC907" s="168">
        <f t="shared" si="187"/>
        <v>23526.6</v>
      </c>
      <c r="AD907" s="158">
        <f t="shared" ref="AD907:AD911" si="193">(Z907-Q907)*0.89807640489087</f>
        <v>21128.1455014626</v>
      </c>
      <c r="AE907" s="159">
        <v>0.112691732739812</v>
      </c>
      <c r="AF907" s="158">
        <f t="shared" si="179"/>
        <v>2380.96732613869</v>
      </c>
      <c r="AG907" s="158">
        <v>2104.9181606381</v>
      </c>
      <c r="AH907" s="175"/>
      <c r="AI907" s="175"/>
      <c r="AJ907" s="156" t="e">
        <v>#N/A</v>
      </c>
      <c r="AK907" s="140" t="s">
        <v>47</v>
      </c>
      <c r="AM907" s="152" t="s">
        <v>208</v>
      </c>
    </row>
    <row r="908" s="140" customFormat="1" ht="15" hidden="1" customHeight="1" spans="1:37">
      <c r="A908" s="140">
        <v>2017</v>
      </c>
      <c r="B908" s="140" t="s">
        <v>38</v>
      </c>
      <c r="C908" s="140" t="s">
        <v>75</v>
      </c>
      <c r="D908" s="140" t="s">
        <v>76</v>
      </c>
      <c r="E908" s="140" t="s">
        <v>118</v>
      </c>
      <c r="F908" s="140" t="s">
        <v>933</v>
      </c>
      <c r="G908" s="140" t="s">
        <v>933</v>
      </c>
      <c r="H908" s="140" t="s">
        <v>933</v>
      </c>
      <c r="I908" s="140" t="s">
        <v>170</v>
      </c>
      <c r="J908" s="140" t="s">
        <v>171</v>
      </c>
      <c r="K908" s="140" t="s">
        <v>172</v>
      </c>
      <c r="L908" s="140" t="s">
        <v>934</v>
      </c>
      <c r="M908" s="140" t="s">
        <v>46</v>
      </c>
      <c r="N908" s="156">
        <v>0.06</v>
      </c>
      <c r="O908" s="156" t="s">
        <v>51</v>
      </c>
      <c r="P908" s="156"/>
      <c r="Q908" s="158">
        <v>2649.7</v>
      </c>
      <c r="R908" s="158">
        <v>0</v>
      </c>
      <c r="S908" s="158">
        <v>134000</v>
      </c>
      <c r="T908" s="158">
        <f t="shared" si="183"/>
        <v>8040</v>
      </c>
      <c r="U908" s="158">
        <f t="shared" si="188"/>
        <v>142040</v>
      </c>
      <c r="V908" s="158">
        <v>30000</v>
      </c>
      <c r="W908" s="158">
        <f t="shared" si="189"/>
        <v>112040</v>
      </c>
      <c r="X908" s="158">
        <f t="shared" si="184"/>
        <v>105698.113207547</v>
      </c>
      <c r="Y908" s="158">
        <f t="shared" si="190"/>
        <v>6341.88679245283</v>
      </c>
      <c r="Z908" s="158">
        <v>0</v>
      </c>
      <c r="AA908" s="158">
        <f t="shared" si="185"/>
        <v>32649.7</v>
      </c>
      <c r="AB908" s="167">
        <f>IF(O908="返货",(Z908-Q908)/(1+N908),IF(O908="返现",(Z908-Q908),IF(O908="折扣",(Z908-Q908)*N908,IF(O908="无",(Z908-Q908)))))</f>
        <v>-2499.71698113208</v>
      </c>
      <c r="AC908" s="168">
        <f t="shared" si="187"/>
        <v>2499.71698113208</v>
      </c>
      <c r="AD908" s="158">
        <f t="shared" si="193"/>
        <v>-2379.63305003934</v>
      </c>
      <c r="AE908" s="159">
        <v>0.112691732739812</v>
      </c>
      <c r="AF908" s="158">
        <f t="shared" si="179"/>
        <v>-268.164971693857</v>
      </c>
      <c r="AG908" s="158">
        <v>0</v>
      </c>
      <c r="AH908" s="175"/>
      <c r="AI908" s="175"/>
      <c r="AJ908" s="156" t="s">
        <v>193</v>
      </c>
      <c r="AK908" s="140" t="s">
        <v>193</v>
      </c>
    </row>
    <row r="909" s="140" customFormat="1" ht="15" hidden="1" customHeight="1" spans="1:37">
      <c r="A909" s="140">
        <v>2017</v>
      </c>
      <c r="B909" s="140" t="s">
        <v>38</v>
      </c>
      <c r="C909" s="140" t="s">
        <v>75</v>
      </c>
      <c r="D909" s="140" t="s">
        <v>76</v>
      </c>
      <c r="E909" s="140" t="s">
        <v>118</v>
      </c>
      <c r="F909" s="140" t="s">
        <v>681</v>
      </c>
      <c r="G909" s="140" t="s">
        <v>681</v>
      </c>
      <c r="H909" s="140" t="s">
        <v>681</v>
      </c>
      <c r="I909" s="140" t="s">
        <v>170</v>
      </c>
      <c r="J909" s="140" t="s">
        <v>171</v>
      </c>
      <c r="K909" s="140" t="s">
        <v>172</v>
      </c>
      <c r="L909" s="140" t="s">
        <v>681</v>
      </c>
      <c r="M909" s="140" t="s">
        <v>46</v>
      </c>
      <c r="N909" s="156">
        <v>0.06</v>
      </c>
      <c r="O909" s="156" t="s">
        <v>51</v>
      </c>
      <c r="P909" s="156"/>
      <c r="Q909" s="158">
        <v>100000</v>
      </c>
      <c r="R909" s="158">
        <v>0</v>
      </c>
      <c r="S909" s="158">
        <v>662954</v>
      </c>
      <c r="T909" s="158">
        <f t="shared" si="183"/>
        <v>39777.24</v>
      </c>
      <c r="U909" s="158">
        <f t="shared" si="188"/>
        <v>702731.24</v>
      </c>
      <c r="V909" s="158">
        <v>792697.97</v>
      </c>
      <c r="W909" s="158">
        <f t="shared" si="189"/>
        <v>-89966.73</v>
      </c>
      <c r="X909" s="158">
        <f t="shared" si="184"/>
        <v>-84874.2735849056</v>
      </c>
      <c r="Y909" s="158">
        <f t="shared" si="190"/>
        <v>-5092.45641509435</v>
      </c>
      <c r="Z909" s="158">
        <v>615795.2</v>
      </c>
      <c r="AA909" s="158">
        <f t="shared" si="185"/>
        <v>276902.77</v>
      </c>
      <c r="AB909" s="167">
        <f>IF(O909="返货",(Z909-Q909)/(1+N909),IF(O909="返现",(Z909-Q909),IF(O909="折扣",(Z909-Q909)*N909,IF(O909="无",(Z909-Q909)))))</f>
        <v>486599.245283019</v>
      </c>
      <c r="AC909" s="168">
        <f t="shared" si="187"/>
        <v>129195.954716981</v>
      </c>
      <c r="AD909" s="158">
        <f t="shared" si="193"/>
        <v>463223.498875967</v>
      </c>
      <c r="AE909" s="159">
        <v>0.112691732739812</v>
      </c>
      <c r="AF909" s="158">
        <f t="shared" si="179"/>
        <v>52201.4587341311</v>
      </c>
      <c r="AG909" s="158">
        <v>20238.6880172646</v>
      </c>
      <c r="AH909" s="175"/>
      <c r="AI909" s="175"/>
      <c r="AJ909" s="156" t="s">
        <v>193</v>
      </c>
      <c r="AK909" s="140" t="s">
        <v>193</v>
      </c>
    </row>
    <row r="910" s="140" customFormat="1" ht="15" hidden="1" customHeight="1" spans="1:37">
      <c r="A910" s="140">
        <v>2017</v>
      </c>
      <c r="B910" s="140" t="s">
        <v>38</v>
      </c>
      <c r="C910" s="140" t="s">
        <v>75</v>
      </c>
      <c r="D910" s="140" t="s">
        <v>76</v>
      </c>
      <c r="E910" s="140" t="s">
        <v>118</v>
      </c>
      <c r="F910" s="140" t="s">
        <v>119</v>
      </c>
      <c r="G910" s="140" t="s">
        <v>119</v>
      </c>
      <c r="H910" s="140" t="s">
        <v>119</v>
      </c>
      <c r="I910" s="140" t="s">
        <v>170</v>
      </c>
      <c r="J910" s="140" t="s">
        <v>171</v>
      </c>
      <c r="K910" s="140" t="s">
        <v>172</v>
      </c>
      <c r="L910" s="140" t="s">
        <v>119</v>
      </c>
      <c r="M910" s="140" t="s">
        <v>46</v>
      </c>
      <c r="N910" s="156">
        <v>0.06</v>
      </c>
      <c r="O910" s="156" t="s">
        <v>51</v>
      </c>
      <c r="P910" s="156" t="s">
        <v>440</v>
      </c>
      <c r="Q910" s="158">
        <v>0</v>
      </c>
      <c r="R910" s="158">
        <v>0</v>
      </c>
      <c r="S910" s="158">
        <v>1996226.41</v>
      </c>
      <c r="T910" s="158">
        <f t="shared" si="183"/>
        <v>119773.5846</v>
      </c>
      <c r="U910" s="158">
        <f t="shared" si="188"/>
        <v>2115999.9946</v>
      </c>
      <c r="V910" s="158">
        <v>2115999.9946</v>
      </c>
      <c r="W910" s="158">
        <f t="shared" si="189"/>
        <v>0</v>
      </c>
      <c r="X910" s="158">
        <f t="shared" si="184"/>
        <v>0</v>
      </c>
      <c r="Y910" s="158">
        <f t="shared" si="190"/>
        <v>0</v>
      </c>
      <c r="Z910" s="158">
        <f>2920389.2-Z900</f>
        <v>2091989.2</v>
      </c>
      <c r="AA910" s="158">
        <f t="shared" si="185"/>
        <v>24010.7945999997</v>
      </c>
      <c r="AB910" s="167">
        <f>IF(O910="返货",Z910/(1+N910),IF(O910="返现",Z910,IF(O910="折扣",Z910*N910,IF(O910="无",Z910))))</f>
        <v>1973574.71698113</v>
      </c>
      <c r="AC910" s="168">
        <f t="shared" si="187"/>
        <v>118414.483018868</v>
      </c>
      <c r="AD910" s="158">
        <f t="shared" si="193"/>
        <v>1878766.13980653</v>
      </c>
      <c r="AE910" s="159">
        <v>0.112691732739812</v>
      </c>
      <c r="AF910" s="158">
        <f t="shared" si="179"/>
        <v>211721.411707685</v>
      </c>
      <c r="AG910" s="158">
        <v>95981.335852876</v>
      </c>
      <c r="AH910" s="175"/>
      <c r="AI910" s="175"/>
      <c r="AJ910" s="156" t="s">
        <v>193</v>
      </c>
      <c r="AK910" s="140" t="s">
        <v>193</v>
      </c>
    </row>
    <row r="911" s="140" customFormat="1" ht="15" hidden="1" customHeight="1" spans="1:37">
      <c r="A911" s="140">
        <v>2017</v>
      </c>
      <c r="B911" s="140" t="s">
        <v>38</v>
      </c>
      <c r="C911" s="140" t="s">
        <v>75</v>
      </c>
      <c r="D911" s="140" t="s">
        <v>76</v>
      </c>
      <c r="E911" s="140" t="s">
        <v>118</v>
      </c>
      <c r="F911" s="140" t="s">
        <v>935</v>
      </c>
      <c r="G911" s="140" t="s">
        <v>935</v>
      </c>
      <c r="H911" s="140" t="s">
        <v>935</v>
      </c>
      <c r="I911" s="140" t="s">
        <v>170</v>
      </c>
      <c r="J911" s="140" t="s">
        <v>171</v>
      </c>
      <c r="K911" s="140" t="s">
        <v>172</v>
      </c>
      <c r="L911" s="140" t="s">
        <v>935</v>
      </c>
      <c r="M911" s="140" t="s">
        <v>46</v>
      </c>
      <c r="N911" s="156">
        <v>0.06</v>
      </c>
      <c r="O911" s="156" t="s">
        <v>51</v>
      </c>
      <c r="P911" s="156"/>
      <c r="Q911" s="158">
        <v>0</v>
      </c>
      <c r="R911" s="158">
        <v>0</v>
      </c>
      <c r="S911" s="158">
        <v>340094.37</v>
      </c>
      <c r="T911" s="158">
        <f t="shared" si="183"/>
        <v>20405.6622</v>
      </c>
      <c r="U911" s="158">
        <f t="shared" si="188"/>
        <v>360500.0322</v>
      </c>
      <c r="V911" s="158">
        <v>360500</v>
      </c>
      <c r="W911" s="158">
        <f t="shared" si="189"/>
        <v>0.0322000000160187</v>
      </c>
      <c r="X911" s="158">
        <f t="shared" si="184"/>
        <v>0.0303773585056781</v>
      </c>
      <c r="Y911" s="158">
        <f t="shared" si="190"/>
        <v>0.00182264151034069</v>
      </c>
      <c r="Z911" s="158">
        <v>338262.9</v>
      </c>
      <c r="AA911" s="158">
        <f t="shared" si="185"/>
        <v>22237.1</v>
      </c>
      <c r="AB911" s="167">
        <f>IF(O911="返货",Z911/(1+N911),IF(O911="返现",Z911,IF(O911="折扣",Z911*N911,IF(O911="无",Z911))))</f>
        <v>319115.943396226</v>
      </c>
      <c r="AC911" s="168">
        <f t="shared" si="187"/>
        <v>19146.9566037736</v>
      </c>
      <c r="AD911" s="158">
        <f t="shared" si="193"/>
        <v>303785.92913996</v>
      </c>
      <c r="AE911" s="159">
        <v>0.112691732739812</v>
      </c>
      <c r="AF911" s="158">
        <f t="shared" si="179"/>
        <v>34234.1627367558</v>
      </c>
      <c r="AG911" s="158">
        <v>11117.3281326571</v>
      </c>
      <c r="AH911" s="175"/>
      <c r="AI911" s="175"/>
      <c r="AJ911" s="156" t="s">
        <v>193</v>
      </c>
      <c r="AK911" s="140" t="s">
        <v>193</v>
      </c>
    </row>
    <row r="912" s="140" customFormat="1" ht="15" hidden="1" customHeight="1" spans="1:37">
      <c r="A912" s="140">
        <v>2017</v>
      </c>
      <c r="B912" s="140" t="s">
        <v>38</v>
      </c>
      <c r="C912" s="140" t="s">
        <v>75</v>
      </c>
      <c r="D912" s="140" t="s">
        <v>256</v>
      </c>
      <c r="E912" s="140" t="s">
        <v>257</v>
      </c>
      <c r="F912" s="140" t="s">
        <v>936</v>
      </c>
      <c r="G912" s="140" t="s">
        <v>936</v>
      </c>
      <c r="H912" s="140" t="s">
        <v>936</v>
      </c>
      <c r="I912" s="140" t="s">
        <v>170</v>
      </c>
      <c r="J912" s="140" t="s">
        <v>868</v>
      </c>
      <c r="K912" s="140" t="s">
        <v>869</v>
      </c>
      <c r="L912" s="140" t="s">
        <v>936</v>
      </c>
      <c r="M912" s="140" t="s">
        <v>46</v>
      </c>
      <c r="N912" s="156">
        <v>0</v>
      </c>
      <c r="O912" s="156" t="s">
        <v>47</v>
      </c>
      <c r="P912" s="156"/>
      <c r="Q912" s="158">
        <v>5013.71500000001</v>
      </c>
      <c r="R912" s="158">
        <v>0</v>
      </c>
      <c r="S912" s="158">
        <v>100000</v>
      </c>
      <c r="T912" s="158">
        <f t="shared" si="183"/>
        <v>0</v>
      </c>
      <c r="U912" s="158">
        <f t="shared" si="188"/>
        <v>100000</v>
      </c>
      <c r="V912" s="158">
        <v>239890</v>
      </c>
      <c r="W912" s="158">
        <f t="shared" si="189"/>
        <v>-139890</v>
      </c>
      <c r="X912" s="158">
        <f t="shared" si="184"/>
        <v>-139890</v>
      </c>
      <c r="Y912" s="158">
        <f t="shared" si="190"/>
        <v>0</v>
      </c>
      <c r="Z912" s="158">
        <v>239894.7</v>
      </c>
      <c r="AA912" s="158">
        <f t="shared" si="185"/>
        <v>5009.01499999998</v>
      </c>
      <c r="AB912" s="167">
        <f>IF(O912="返货",(Z912-Q912)/(1+N912),IF(O912="返现",(Z912-Q912),IF(O912="折扣",(Z912-Q912)*N912,IF(O912="无",(Z912-Q912)))))</f>
        <v>234880.985</v>
      </c>
      <c r="AC912" s="168">
        <f t="shared" si="187"/>
        <v>5013.715</v>
      </c>
      <c r="AD912" s="158">
        <f>Z912*0.972201473425119-Q912</f>
        <v>228212.265806877</v>
      </c>
      <c r="AE912" s="159">
        <v>0.1</v>
      </c>
      <c r="AF912" s="158">
        <f t="shared" si="179"/>
        <v>22821.2265806877</v>
      </c>
      <c r="AG912" s="158">
        <v>23989.47</v>
      </c>
      <c r="AH912" s="175"/>
      <c r="AI912" s="175"/>
      <c r="AJ912" s="157">
        <v>1</v>
      </c>
      <c r="AK912" s="177">
        <v>1</v>
      </c>
    </row>
    <row r="913" s="140" customFormat="1" ht="15" hidden="1" customHeight="1" spans="1:37">
      <c r="A913" s="140">
        <v>2017</v>
      </c>
      <c r="B913" s="140" t="s">
        <v>38</v>
      </c>
      <c r="C913" s="140" t="s">
        <v>75</v>
      </c>
      <c r="D913" s="140" t="s">
        <v>256</v>
      </c>
      <c r="E913" s="140" t="s">
        <v>257</v>
      </c>
      <c r="F913" s="140" t="s">
        <v>937</v>
      </c>
      <c r="G913" s="140" t="s">
        <v>937</v>
      </c>
      <c r="H913" s="140" t="s">
        <v>937</v>
      </c>
      <c r="I913" s="140" t="s">
        <v>170</v>
      </c>
      <c r="J913" s="140" t="s">
        <v>171</v>
      </c>
      <c r="K913" s="140" t="s">
        <v>172</v>
      </c>
      <c r="L913" s="140" t="s">
        <v>937</v>
      </c>
      <c r="M913" s="140" t="s">
        <v>46</v>
      </c>
      <c r="N913" s="157">
        <v>0.02</v>
      </c>
      <c r="O913" s="156" t="s">
        <v>51</v>
      </c>
      <c r="P913" s="156"/>
      <c r="Q913" s="158">
        <v>0</v>
      </c>
      <c r="R913" s="158">
        <v>0</v>
      </c>
      <c r="S913" s="158">
        <v>230000</v>
      </c>
      <c r="T913" s="158">
        <f t="shared" si="183"/>
        <v>4600</v>
      </c>
      <c r="U913" s="158">
        <f t="shared" si="188"/>
        <v>234600</v>
      </c>
      <c r="V913" s="158">
        <v>234600</v>
      </c>
      <c r="W913" s="158">
        <f t="shared" si="189"/>
        <v>0</v>
      </c>
      <c r="X913" s="158">
        <f t="shared" si="184"/>
        <v>0</v>
      </c>
      <c r="Y913" s="158">
        <f t="shared" si="190"/>
        <v>0</v>
      </c>
      <c r="Z913" s="158">
        <v>201385.5</v>
      </c>
      <c r="AA913" s="158">
        <f t="shared" si="185"/>
        <v>33214.5</v>
      </c>
      <c r="AB913" s="167">
        <f>IF(O913="返货",Z913/(1+N913),IF(O913="返现",Z913,IF(O913="折扣",Z913*N913,IF(O913="无",Z913))))</f>
        <v>197436.764705882</v>
      </c>
      <c r="AC913" s="168">
        <f t="shared" si="187"/>
        <v>3948.73529411765</v>
      </c>
      <c r="AD913" s="158">
        <f>(Z913-Q913)*0.89807640489087</f>
        <v>180859.56583715</v>
      </c>
      <c r="AE913" s="159">
        <v>0.112691732739812</v>
      </c>
      <c r="AF913" s="158">
        <f t="shared" si="179"/>
        <v>20381.3778567586</v>
      </c>
      <c r="AG913" s="158">
        <v>14069.1676854537</v>
      </c>
      <c r="AH913" s="175"/>
      <c r="AI913" s="175"/>
      <c r="AJ913" s="156" t="s">
        <v>173</v>
      </c>
      <c r="AK913" s="140" t="s">
        <v>173</v>
      </c>
    </row>
    <row r="914" s="140" customFormat="1" ht="15" hidden="1" customHeight="1" spans="1:37">
      <c r="A914" s="140">
        <v>2017</v>
      </c>
      <c r="B914" s="140" t="s">
        <v>199</v>
      </c>
      <c r="C914" s="140" t="s">
        <v>75</v>
      </c>
      <c r="D914" s="140" t="s">
        <v>256</v>
      </c>
      <c r="E914" s="140" t="s">
        <v>175</v>
      </c>
      <c r="F914" s="140" t="s">
        <v>938</v>
      </c>
      <c r="G914" s="140" t="s">
        <v>939</v>
      </c>
      <c r="H914" s="140" t="s">
        <v>940</v>
      </c>
      <c r="I914" s="140" t="s">
        <v>170</v>
      </c>
      <c r="J914" s="140" t="s">
        <v>868</v>
      </c>
      <c r="K914" s="140" t="s">
        <v>869</v>
      </c>
      <c r="L914" s="140" t="s">
        <v>938</v>
      </c>
      <c r="M914" s="140" t="s">
        <v>46</v>
      </c>
      <c r="N914" s="157">
        <v>0.02</v>
      </c>
      <c r="O914" s="156" t="s">
        <v>51</v>
      </c>
      <c r="P914" s="156"/>
      <c r="Q914" s="158">
        <v>219641.01</v>
      </c>
      <c r="R914" s="158">
        <v>0</v>
      </c>
      <c r="S914" s="158">
        <v>2457064.3</v>
      </c>
      <c r="T914" s="158">
        <f t="shared" si="183"/>
        <v>49141.286</v>
      </c>
      <c r="U914" s="158">
        <f t="shared" si="188"/>
        <v>2506205.586</v>
      </c>
      <c r="V914" s="158">
        <v>2823005.586</v>
      </c>
      <c r="W914" s="158">
        <f t="shared" si="189"/>
        <v>-316800</v>
      </c>
      <c r="X914" s="158">
        <f t="shared" si="184"/>
        <v>-310588.235294118</v>
      </c>
      <c r="Y914" s="158">
        <f t="shared" si="190"/>
        <v>-6211.76470588235</v>
      </c>
      <c r="Z914" s="158">
        <v>3027446.6</v>
      </c>
      <c r="AA914" s="158">
        <f t="shared" si="185"/>
        <v>15199.9959999998</v>
      </c>
      <c r="AB914" s="167">
        <f>IF(O914="返货",(Z914-Q914)/(1+N914),IF(O914="返现",(Z914-Q914),IF(O914="折扣",(Z914-Q914)*N914,IF(O914="无",(Z914-Q914)))))</f>
        <v>2752750.57843137</v>
      </c>
      <c r="AC914" s="168">
        <f t="shared" si="187"/>
        <v>274696.021568628</v>
      </c>
      <c r="AD914" s="158">
        <f>Z914*0.972201473425119-Q914</f>
        <v>2723647.03523587</v>
      </c>
      <c r="AE914" s="159">
        <v>0.1</v>
      </c>
      <c r="AF914" s="158">
        <f t="shared" si="179"/>
        <v>272364.703523587</v>
      </c>
      <c r="AG914" s="158">
        <v>243382.961960784</v>
      </c>
      <c r="AH914" s="175"/>
      <c r="AI914" s="175"/>
      <c r="AJ914" s="156" t="s">
        <v>173</v>
      </c>
      <c r="AK914" s="140" t="s">
        <v>173</v>
      </c>
    </row>
    <row r="915" s="140" customFormat="1" ht="15" hidden="1" customHeight="1" spans="1:37">
      <c r="A915" s="140">
        <v>2017</v>
      </c>
      <c r="B915" s="140" t="s">
        <v>199</v>
      </c>
      <c r="C915" s="140" t="s">
        <v>75</v>
      </c>
      <c r="D915" s="140" t="s">
        <v>256</v>
      </c>
      <c r="E915" s="140" t="s">
        <v>175</v>
      </c>
      <c r="F915" s="140" t="s">
        <v>938</v>
      </c>
      <c r="G915" s="140" t="s">
        <v>939</v>
      </c>
      <c r="H915" s="140" t="s">
        <v>940</v>
      </c>
      <c r="I915" s="140" t="s">
        <v>170</v>
      </c>
      <c r="J915" s="140" t="s">
        <v>868</v>
      </c>
      <c r="K915" s="140" t="s">
        <v>869</v>
      </c>
      <c r="L915" s="140" t="s">
        <v>938</v>
      </c>
      <c r="M915" s="140" t="s">
        <v>160</v>
      </c>
      <c r="N915" s="156">
        <v>0</v>
      </c>
      <c r="O915" s="156" t="s">
        <v>47</v>
      </c>
      <c r="P915" s="156"/>
      <c r="Q915" s="158">
        <v>0</v>
      </c>
      <c r="R915" s="158">
        <v>0</v>
      </c>
      <c r="S915" s="158">
        <v>15200</v>
      </c>
      <c r="T915" s="158">
        <f t="shared" si="183"/>
        <v>0</v>
      </c>
      <c r="U915" s="158">
        <f t="shared" si="188"/>
        <v>15200</v>
      </c>
      <c r="V915" s="158">
        <v>15200</v>
      </c>
      <c r="W915" s="158">
        <f t="shared" si="189"/>
        <v>0</v>
      </c>
      <c r="X915" s="158">
        <f t="shared" si="184"/>
        <v>0</v>
      </c>
      <c r="Y915" s="158">
        <f t="shared" si="190"/>
        <v>0</v>
      </c>
      <c r="Z915" s="158">
        <v>15200</v>
      </c>
      <c r="AA915" s="158">
        <f t="shared" si="185"/>
        <v>0</v>
      </c>
      <c r="AB915" s="167">
        <f>IF(O915="返货",Z915/(1+N915),IF(O915="返现",Z915,IF(O915="折扣",Z915*N915,IF(O915="无",Z915))))</f>
        <v>15200</v>
      </c>
      <c r="AC915" s="168">
        <f t="shared" si="187"/>
        <v>0</v>
      </c>
      <c r="AD915" s="158">
        <f>Z915</f>
        <v>15200</v>
      </c>
      <c r="AE915" s="159">
        <v>0</v>
      </c>
      <c r="AF915" s="158">
        <f t="shared" si="179"/>
        <v>0</v>
      </c>
      <c r="AG915" s="158">
        <v>1520</v>
      </c>
      <c r="AH915" s="175"/>
      <c r="AI915" s="175"/>
      <c r="AJ915" s="156" t="s">
        <v>47</v>
      </c>
      <c r="AK915" s="140" t="s">
        <v>47</v>
      </c>
    </row>
    <row r="916" s="140" customFormat="1" ht="15" hidden="1" customHeight="1" spans="1:37">
      <c r="A916" s="140">
        <v>2017</v>
      </c>
      <c r="B916" s="140" t="s">
        <v>199</v>
      </c>
      <c r="C916" s="140" t="s">
        <v>75</v>
      </c>
      <c r="D916" s="140" t="s">
        <v>256</v>
      </c>
      <c r="E916" s="140" t="s">
        <v>175</v>
      </c>
      <c r="F916" s="140" t="s">
        <v>938</v>
      </c>
      <c r="G916" s="140" t="s">
        <v>939</v>
      </c>
      <c r="H916" s="140" t="s">
        <v>940</v>
      </c>
      <c r="I916" s="140" t="s">
        <v>170</v>
      </c>
      <c r="J916" s="140" t="s">
        <v>171</v>
      </c>
      <c r="K916" s="140" t="s">
        <v>172</v>
      </c>
      <c r="L916" s="140" t="s">
        <v>938</v>
      </c>
      <c r="M916" s="140" t="s">
        <v>46</v>
      </c>
      <c r="N916" s="157">
        <v>0.02</v>
      </c>
      <c r="O916" s="156" t="s">
        <v>51</v>
      </c>
      <c r="P916" s="156"/>
      <c r="Q916" s="158">
        <v>0</v>
      </c>
      <c r="R916" s="158">
        <v>0</v>
      </c>
      <c r="S916" s="158">
        <v>300000</v>
      </c>
      <c r="T916" s="158">
        <f t="shared" si="183"/>
        <v>6000</v>
      </c>
      <c r="U916" s="158">
        <f t="shared" si="188"/>
        <v>306000</v>
      </c>
      <c r="V916" s="158">
        <v>0</v>
      </c>
      <c r="W916" s="158">
        <f t="shared" si="189"/>
        <v>306000</v>
      </c>
      <c r="X916" s="158">
        <f t="shared" si="184"/>
        <v>300000</v>
      </c>
      <c r="Y916" s="158">
        <f t="shared" si="190"/>
        <v>6000</v>
      </c>
      <c r="Z916" s="158">
        <v>0</v>
      </c>
      <c r="AA916" s="158">
        <f t="shared" si="185"/>
        <v>0</v>
      </c>
      <c r="AB916" s="167">
        <f>IF(O916="返货",Z916/(1+N916),IF(O916="返现",Z916,IF(O916="折扣",Z916*N916,IF(O916="无",Z916))))</f>
        <v>0</v>
      </c>
      <c r="AC916" s="168">
        <f t="shared" si="187"/>
        <v>0</v>
      </c>
      <c r="AD916" s="158">
        <f t="shared" ref="AD916:AD917" si="194">(Z916-Q916)*0.89807640489087</f>
        <v>0</v>
      </c>
      <c r="AE916" s="159">
        <v>0.112691732739812</v>
      </c>
      <c r="AF916" s="158">
        <f t="shared" si="179"/>
        <v>0</v>
      </c>
      <c r="AG916" s="158">
        <v>0</v>
      </c>
      <c r="AH916" s="175"/>
      <c r="AI916" s="175"/>
      <c r="AJ916" s="156" t="s">
        <v>173</v>
      </c>
      <c r="AK916" s="140" t="s">
        <v>173</v>
      </c>
    </row>
    <row r="917" s="140" customFormat="1" ht="15" hidden="1" customHeight="1" spans="1:37">
      <c r="A917" s="140">
        <v>2017</v>
      </c>
      <c r="B917" s="140" t="s">
        <v>38</v>
      </c>
      <c r="C917" s="140" t="s">
        <v>75</v>
      </c>
      <c r="D917" s="140" t="s">
        <v>256</v>
      </c>
      <c r="E917" s="140" t="s">
        <v>175</v>
      </c>
      <c r="F917" s="140" t="s">
        <v>383</v>
      </c>
      <c r="G917" s="140" t="s">
        <v>448</v>
      </c>
      <c r="H917" s="140" t="s">
        <v>448</v>
      </c>
      <c r="I917" s="140" t="s">
        <v>170</v>
      </c>
      <c r="J917" s="140" t="s">
        <v>171</v>
      </c>
      <c r="K917" s="140" t="s">
        <v>172</v>
      </c>
      <c r="L917" s="140" t="s">
        <v>383</v>
      </c>
      <c r="M917" s="140" t="s">
        <v>46</v>
      </c>
      <c r="N917" s="157">
        <v>0.02</v>
      </c>
      <c r="O917" s="156" t="s">
        <v>51</v>
      </c>
      <c r="P917" s="156"/>
      <c r="Q917" s="158">
        <v>0</v>
      </c>
      <c r="R917" s="158">
        <v>0</v>
      </c>
      <c r="S917" s="158">
        <v>450000</v>
      </c>
      <c r="T917" s="158">
        <f t="shared" si="183"/>
        <v>9000</v>
      </c>
      <c r="U917" s="158">
        <f t="shared" si="188"/>
        <v>459000</v>
      </c>
      <c r="V917" s="158">
        <v>459000</v>
      </c>
      <c r="W917" s="158">
        <f t="shared" si="189"/>
        <v>0</v>
      </c>
      <c r="X917" s="158">
        <f t="shared" si="184"/>
        <v>0</v>
      </c>
      <c r="Y917" s="158">
        <f t="shared" si="190"/>
        <v>0</v>
      </c>
      <c r="Z917" s="158">
        <v>445580</v>
      </c>
      <c r="AA917" s="158">
        <f t="shared" si="185"/>
        <v>13420</v>
      </c>
      <c r="AB917" s="167">
        <f>IF(O917="返货",Z917/(1+N917),IF(O917="返现",Z917,IF(O917="折扣",Z917*N917,IF(O917="无",Z917))))</f>
        <v>436843.137254902</v>
      </c>
      <c r="AC917" s="168">
        <f t="shared" si="187"/>
        <v>8736.86274509807</v>
      </c>
      <c r="AD917" s="158">
        <f t="shared" si="194"/>
        <v>400164.884491274</v>
      </c>
      <c r="AE917" s="159">
        <v>0.112691732739812</v>
      </c>
      <c r="AF917" s="158">
        <f t="shared" si="179"/>
        <v>45095.2742149484</v>
      </c>
      <c r="AG917" s="158">
        <v>31129.052177463</v>
      </c>
      <c r="AH917" s="175"/>
      <c r="AI917" s="175"/>
      <c r="AJ917" s="156" t="s">
        <v>173</v>
      </c>
      <c r="AK917" s="140" t="s">
        <v>173</v>
      </c>
    </row>
    <row r="918" s="140" customFormat="1" ht="15" hidden="1" customHeight="1" spans="1:37">
      <c r="A918" s="140">
        <v>2017</v>
      </c>
      <c r="B918" s="140" t="s">
        <v>38</v>
      </c>
      <c r="C918" s="140" t="s">
        <v>75</v>
      </c>
      <c r="D918" s="140" t="s">
        <v>256</v>
      </c>
      <c r="E918" s="140" t="s">
        <v>225</v>
      </c>
      <c r="F918" s="140" t="s">
        <v>941</v>
      </c>
      <c r="G918" s="140" t="s">
        <v>941</v>
      </c>
      <c r="H918" s="140" t="s">
        <v>941</v>
      </c>
      <c r="I918" s="140" t="s">
        <v>170</v>
      </c>
      <c r="J918" s="140" t="s">
        <v>868</v>
      </c>
      <c r="K918" s="140" t="s">
        <v>869</v>
      </c>
      <c r="L918" s="140" t="s">
        <v>941</v>
      </c>
      <c r="M918" s="140" t="s">
        <v>46</v>
      </c>
      <c r="N918" s="157">
        <v>0.02</v>
      </c>
      <c r="O918" s="156" t="s">
        <v>51</v>
      </c>
      <c r="P918" s="156"/>
      <c r="Q918" s="158">
        <v>0</v>
      </c>
      <c r="R918" s="158">
        <v>0</v>
      </c>
      <c r="S918" s="158">
        <v>100000</v>
      </c>
      <c r="T918" s="158">
        <f t="shared" si="183"/>
        <v>2000</v>
      </c>
      <c r="U918" s="158">
        <f t="shared" si="188"/>
        <v>102000</v>
      </c>
      <c r="V918" s="158">
        <v>102000</v>
      </c>
      <c r="W918" s="158">
        <f t="shared" si="189"/>
        <v>0</v>
      </c>
      <c r="X918" s="158">
        <f t="shared" si="184"/>
        <v>0</v>
      </c>
      <c r="Y918" s="158">
        <f t="shared" si="190"/>
        <v>0</v>
      </c>
      <c r="Z918" s="158">
        <v>0</v>
      </c>
      <c r="AA918" s="158">
        <f t="shared" si="185"/>
        <v>102000</v>
      </c>
      <c r="AB918" s="167">
        <f>IF(O918="返货",Z918/(1+N918),IF(O918="返现",Z918,IF(O918="折扣",Z918*N918,IF(O918="无",Z918))))</f>
        <v>0</v>
      </c>
      <c r="AC918" s="168">
        <f t="shared" si="187"/>
        <v>0</v>
      </c>
      <c r="AD918" s="158">
        <f>Z918*0.972201473425119-Q918</f>
        <v>0</v>
      </c>
      <c r="AE918" s="159">
        <v>0.1</v>
      </c>
      <c r="AF918" s="158">
        <f t="shared" si="179"/>
        <v>0</v>
      </c>
      <c r="AG918" s="158">
        <v>0</v>
      </c>
      <c r="AH918" s="175"/>
      <c r="AI918" s="175"/>
      <c r="AJ918" s="156" t="s">
        <v>173</v>
      </c>
      <c r="AK918" s="140" t="s">
        <v>173</v>
      </c>
    </row>
    <row r="919" s="140" customFormat="1" ht="15" hidden="1" customHeight="1" spans="1:37">
      <c r="A919" s="140">
        <v>2017</v>
      </c>
      <c r="B919" s="140" t="s">
        <v>252</v>
      </c>
      <c r="C919" s="140" t="s">
        <v>88</v>
      </c>
      <c r="D919" s="140" t="s">
        <v>128</v>
      </c>
      <c r="E919" s="140" t="s">
        <v>194</v>
      </c>
      <c r="F919" s="140" t="s">
        <v>942</v>
      </c>
      <c r="G919" s="140" t="s">
        <v>943</v>
      </c>
      <c r="H919" s="140" t="s">
        <v>943</v>
      </c>
      <c r="I919" s="140" t="s">
        <v>170</v>
      </c>
      <c r="J919" s="140" t="s">
        <v>171</v>
      </c>
      <c r="K919" s="140" t="s">
        <v>172</v>
      </c>
      <c r="L919" s="140" t="s">
        <v>942</v>
      </c>
      <c r="M919" s="140" t="s">
        <v>46</v>
      </c>
      <c r="N919" s="156">
        <v>0</v>
      </c>
      <c r="O919" s="156" t="s">
        <v>47</v>
      </c>
      <c r="P919" s="156"/>
      <c r="Q919" s="158">
        <v>100000</v>
      </c>
      <c r="R919" s="158">
        <v>0</v>
      </c>
      <c r="S919" s="158">
        <v>300000</v>
      </c>
      <c r="T919" s="158">
        <f t="shared" si="183"/>
        <v>0</v>
      </c>
      <c r="U919" s="158">
        <f t="shared" si="188"/>
        <v>300000</v>
      </c>
      <c r="V919" s="158">
        <v>300000</v>
      </c>
      <c r="W919" s="158">
        <f t="shared" si="189"/>
        <v>0</v>
      </c>
      <c r="X919" s="158">
        <f t="shared" si="184"/>
        <v>0</v>
      </c>
      <c r="Y919" s="158">
        <f t="shared" si="190"/>
        <v>0</v>
      </c>
      <c r="Z919" s="158">
        <v>420774.3</v>
      </c>
      <c r="AA919" s="158">
        <f t="shared" si="185"/>
        <v>-20774.3</v>
      </c>
      <c r="AB919" s="167">
        <f>IF(O919="返货",(Z919-Q919)/(1+N919),IF(O919="返现",(Z919-Q919),IF(O919="折扣",(Z919-Q919)*N919,IF(O919="无",(Z919-Q919)))))</f>
        <v>320774.3</v>
      </c>
      <c r="AC919" s="168">
        <f t="shared" si="187"/>
        <v>100000</v>
      </c>
      <c r="AD919" s="158">
        <f t="shared" ref="AD919:AD922" si="195">(Z919-Q919)*0.89807640489087</f>
        <v>288079.830125385</v>
      </c>
      <c r="AE919" s="159">
        <v>0.112691732739812</v>
      </c>
      <c r="AF919" s="158">
        <f t="shared" si="179"/>
        <v>32464.2152242204</v>
      </c>
      <c r="AG919" s="158">
        <v>29396.0795808507</v>
      </c>
      <c r="AH919" s="175"/>
      <c r="AI919" s="175"/>
      <c r="AJ919" s="156" t="s">
        <v>47</v>
      </c>
      <c r="AK919" s="140" t="s">
        <v>47</v>
      </c>
    </row>
    <row r="920" s="140" customFormat="1" ht="15" hidden="1" customHeight="1" spans="1:37">
      <c r="A920" s="140">
        <v>2017</v>
      </c>
      <c r="B920" s="140" t="s">
        <v>38</v>
      </c>
      <c r="C920" s="140" t="s">
        <v>75</v>
      </c>
      <c r="D920" s="140" t="s">
        <v>256</v>
      </c>
      <c r="E920" s="140" t="s">
        <v>321</v>
      </c>
      <c r="F920" s="140" t="s">
        <v>944</v>
      </c>
      <c r="G920" s="140" t="s">
        <v>944</v>
      </c>
      <c r="H920" s="140" t="s">
        <v>944</v>
      </c>
      <c r="I920" s="140" t="s">
        <v>170</v>
      </c>
      <c r="J920" s="140" t="s">
        <v>171</v>
      </c>
      <c r="K920" s="140" t="s">
        <v>172</v>
      </c>
      <c r="L920" s="140" t="s">
        <v>944</v>
      </c>
      <c r="M920" s="140" t="s">
        <v>46</v>
      </c>
      <c r="N920" s="157">
        <v>0.02</v>
      </c>
      <c r="O920" s="156" t="s">
        <v>51</v>
      </c>
      <c r="P920" s="156"/>
      <c r="Q920" s="158">
        <v>0</v>
      </c>
      <c r="R920" s="158">
        <v>0</v>
      </c>
      <c r="S920" s="158">
        <v>783065.99</v>
      </c>
      <c r="T920" s="158">
        <f t="shared" si="183"/>
        <v>15661.3198</v>
      </c>
      <c r="U920" s="158">
        <f t="shared" si="188"/>
        <v>798727.3098</v>
      </c>
      <c r="V920" s="158">
        <v>836400</v>
      </c>
      <c r="W920" s="158">
        <f t="shared" si="189"/>
        <v>-37672.6902</v>
      </c>
      <c r="X920" s="158">
        <f t="shared" si="184"/>
        <v>-36934.01</v>
      </c>
      <c r="Y920" s="158">
        <f t="shared" si="190"/>
        <v>-738.680200000003</v>
      </c>
      <c r="Z920" s="158">
        <v>798727.3</v>
      </c>
      <c r="AA920" s="158">
        <f t="shared" si="185"/>
        <v>37672.7</v>
      </c>
      <c r="AB920" s="167">
        <f t="shared" ref="AB920:AB927" si="196">IF(O920="返货",Z920/(1+N920),IF(O920="返现",Z920,IF(O920="折扣",Z920*N920,IF(O920="无",Z920))))</f>
        <v>783065.980392157</v>
      </c>
      <c r="AC920" s="168">
        <f t="shared" si="187"/>
        <v>15661.3196078432</v>
      </c>
      <c r="AD920" s="158">
        <f t="shared" si="195"/>
        <v>717318.142072191</v>
      </c>
      <c r="AE920" s="159">
        <v>0.112691732739812</v>
      </c>
      <c r="AF920" s="158">
        <f t="shared" si="179"/>
        <v>80835.8243558179</v>
      </c>
      <c r="AG920" s="158">
        <v>55800.583054141</v>
      </c>
      <c r="AH920" s="175"/>
      <c r="AI920" s="175"/>
      <c r="AJ920" s="156" t="s">
        <v>173</v>
      </c>
      <c r="AK920" s="140" t="s">
        <v>173</v>
      </c>
    </row>
    <row r="921" s="140" customFormat="1" ht="15" hidden="1" customHeight="1" spans="1:37">
      <c r="A921" s="140">
        <v>2017</v>
      </c>
      <c r="B921" s="140" t="s">
        <v>38</v>
      </c>
      <c r="C921" s="140" t="s">
        <v>39</v>
      </c>
      <c r="D921" s="140" t="s">
        <v>81</v>
      </c>
      <c r="E921" s="140" t="s">
        <v>48</v>
      </c>
      <c r="F921" s="140" t="s">
        <v>455</v>
      </c>
      <c r="G921" s="140" t="s">
        <v>455</v>
      </c>
      <c r="H921" s="140" t="s">
        <v>455</v>
      </c>
      <c r="I921" s="140" t="s">
        <v>170</v>
      </c>
      <c r="J921" s="140" t="s">
        <v>171</v>
      </c>
      <c r="K921" s="140" t="s">
        <v>172</v>
      </c>
      <c r="L921" s="140" t="s">
        <v>704</v>
      </c>
      <c r="M921" s="140" t="s">
        <v>46</v>
      </c>
      <c r="N921" s="157">
        <v>0.04</v>
      </c>
      <c r="O921" s="156" t="s">
        <v>51</v>
      </c>
      <c r="P921" s="156"/>
      <c r="Q921" s="158">
        <v>0</v>
      </c>
      <c r="R921" s="158">
        <v>0</v>
      </c>
      <c r="S921" s="158">
        <v>14377193.08</v>
      </c>
      <c r="T921" s="158">
        <f t="shared" si="183"/>
        <v>575087.7232</v>
      </c>
      <c r="U921" s="158">
        <f t="shared" si="188"/>
        <v>14952280.8032</v>
      </c>
      <c r="V921" s="158">
        <v>14952280.8</v>
      </c>
      <c r="W921" s="158">
        <f t="shared" si="189"/>
        <v>0.00320000015199184</v>
      </c>
      <c r="X921" s="158">
        <f t="shared" si="184"/>
        <v>0.00307692322306908</v>
      </c>
      <c r="Y921" s="158">
        <f t="shared" si="190"/>
        <v>0.000123076928922764</v>
      </c>
      <c r="Z921" s="158">
        <v>14952280.3</v>
      </c>
      <c r="AA921" s="158">
        <f t="shared" si="185"/>
        <v>0.5</v>
      </c>
      <c r="AB921" s="167">
        <f t="shared" si="196"/>
        <v>14377192.5961538</v>
      </c>
      <c r="AC921" s="168">
        <f t="shared" si="187"/>
        <v>575087.703846155</v>
      </c>
      <c r="AD921" s="158">
        <f t="shared" si="195"/>
        <v>13428290.1367446</v>
      </c>
      <c r="AE921" s="159">
        <v>0.112691732739812</v>
      </c>
      <c r="AF921" s="158">
        <f t="shared" si="179"/>
        <v>1513257.28324267</v>
      </c>
      <c r="AG921" s="158">
        <v>762688.530136712</v>
      </c>
      <c r="AH921" s="175"/>
      <c r="AI921" s="175"/>
      <c r="AJ921" s="156" t="s">
        <v>186</v>
      </c>
      <c r="AK921" s="140" t="s">
        <v>186</v>
      </c>
    </row>
    <row r="922" s="140" customFormat="1" ht="15" hidden="1" customHeight="1" spans="1:37">
      <c r="A922" s="140">
        <v>2017</v>
      </c>
      <c r="B922" s="140" t="s">
        <v>38</v>
      </c>
      <c r="C922" s="140" t="s">
        <v>39</v>
      </c>
      <c r="D922" s="140" t="s">
        <v>81</v>
      </c>
      <c r="E922" s="140" t="s">
        <v>48</v>
      </c>
      <c r="F922" s="140" t="s">
        <v>945</v>
      </c>
      <c r="G922" s="140" t="s">
        <v>945</v>
      </c>
      <c r="H922" s="140" t="s">
        <v>945</v>
      </c>
      <c r="I922" s="140" t="s">
        <v>170</v>
      </c>
      <c r="J922" s="140" t="s">
        <v>171</v>
      </c>
      <c r="K922" s="140" t="s">
        <v>172</v>
      </c>
      <c r="L922" s="140" t="s">
        <v>946</v>
      </c>
      <c r="M922" s="140" t="s">
        <v>46</v>
      </c>
      <c r="N922" s="157">
        <v>0.04</v>
      </c>
      <c r="O922" s="156" t="s">
        <v>51</v>
      </c>
      <c r="P922" s="156"/>
      <c r="Q922" s="158">
        <v>0</v>
      </c>
      <c r="R922" s="158">
        <v>0</v>
      </c>
      <c r="S922" s="158">
        <v>300000</v>
      </c>
      <c r="T922" s="158">
        <f t="shared" si="183"/>
        <v>12000</v>
      </c>
      <c r="U922" s="158">
        <f t="shared" si="188"/>
        <v>312000</v>
      </c>
      <c r="V922" s="158">
        <v>300000</v>
      </c>
      <c r="W922" s="158">
        <f t="shared" si="189"/>
        <v>12000</v>
      </c>
      <c r="X922" s="158">
        <f t="shared" si="184"/>
        <v>11538.4615384615</v>
      </c>
      <c r="Y922" s="158">
        <f t="shared" si="190"/>
        <v>461.538461538463</v>
      </c>
      <c r="Z922" s="158">
        <v>283999.2</v>
      </c>
      <c r="AA922" s="158">
        <f t="shared" si="185"/>
        <v>16000.8</v>
      </c>
      <c r="AB922" s="167">
        <f t="shared" si="196"/>
        <v>273076.153846154</v>
      </c>
      <c r="AC922" s="168">
        <f t="shared" si="187"/>
        <v>10923.0461538461</v>
      </c>
      <c r="AD922" s="158">
        <f t="shared" si="195"/>
        <v>255052.980527883</v>
      </c>
      <c r="AE922" s="159">
        <v>0.112691732739812</v>
      </c>
      <c r="AF922" s="158">
        <f t="shared" si="179"/>
        <v>28742.3623161407</v>
      </c>
      <c r="AG922" s="158">
        <v>14486.2808924203</v>
      </c>
      <c r="AH922" s="175"/>
      <c r="AI922" s="175"/>
      <c r="AJ922" s="157">
        <v>0.04</v>
      </c>
      <c r="AK922" s="177">
        <v>0.04</v>
      </c>
    </row>
    <row r="923" s="140" customFormat="1" ht="15" hidden="1" customHeight="1" spans="1:39">
      <c r="A923" s="140">
        <v>2017</v>
      </c>
      <c r="B923" s="140" t="s">
        <v>38</v>
      </c>
      <c r="C923" s="140" t="s">
        <v>39</v>
      </c>
      <c r="D923" s="140" t="s">
        <v>81</v>
      </c>
      <c r="E923" s="140" t="s">
        <v>48</v>
      </c>
      <c r="F923" s="140" t="s">
        <v>947</v>
      </c>
      <c r="G923" s="140" t="s">
        <v>947</v>
      </c>
      <c r="H923" s="140" t="s">
        <v>947</v>
      </c>
      <c r="I923" s="140" t="s">
        <v>170</v>
      </c>
      <c r="J923" s="140" t="s">
        <v>605</v>
      </c>
      <c r="K923" s="140" t="s">
        <v>886</v>
      </c>
      <c r="L923" s="140" t="s">
        <v>947</v>
      </c>
      <c r="M923" s="140" t="s">
        <v>46</v>
      </c>
      <c r="N923" s="157">
        <v>0.02</v>
      </c>
      <c r="O923" s="156" t="s">
        <v>51</v>
      </c>
      <c r="P923" s="156"/>
      <c r="Q923" s="158">
        <v>0</v>
      </c>
      <c r="R923" s="158">
        <v>0</v>
      </c>
      <c r="S923" s="158">
        <v>50000</v>
      </c>
      <c r="T923" s="158">
        <f t="shared" si="183"/>
        <v>1000</v>
      </c>
      <c r="U923" s="158">
        <f t="shared" si="188"/>
        <v>51000</v>
      </c>
      <c r="V923" s="158">
        <v>50000</v>
      </c>
      <c r="W923" s="158">
        <f t="shared" si="189"/>
        <v>1000</v>
      </c>
      <c r="X923" s="158">
        <f t="shared" si="184"/>
        <v>980.392156862745</v>
      </c>
      <c r="Y923" s="158">
        <f t="shared" si="190"/>
        <v>19.6078431372549</v>
      </c>
      <c r="Z923" s="158">
        <v>35349</v>
      </c>
      <c r="AA923" s="158">
        <f t="shared" si="185"/>
        <v>14651</v>
      </c>
      <c r="AB923" s="167">
        <f t="shared" si="196"/>
        <v>34655.8823529412</v>
      </c>
      <c r="AC923" s="168">
        <f t="shared" si="187"/>
        <v>693.117647058825</v>
      </c>
      <c r="AD923" s="158">
        <v>35349</v>
      </c>
      <c r="AE923" s="159">
        <v>0.1</v>
      </c>
      <c r="AF923" s="158">
        <f t="shared" si="179"/>
        <v>3534.9</v>
      </c>
      <c r="AG923" s="158">
        <v>0</v>
      </c>
      <c r="AH923" s="175"/>
      <c r="AI923" s="175"/>
      <c r="AJ923" s="157">
        <v>0.02</v>
      </c>
      <c r="AK923" s="177">
        <v>0.02</v>
      </c>
      <c r="AM923" s="140" t="s">
        <v>174</v>
      </c>
    </row>
    <row r="924" s="140" customFormat="1" ht="15" hidden="1" customHeight="1" spans="1:39">
      <c r="A924" s="140">
        <v>2017</v>
      </c>
      <c r="B924" s="140" t="s">
        <v>38</v>
      </c>
      <c r="C924" s="140" t="s">
        <v>39</v>
      </c>
      <c r="D924" s="140" t="s">
        <v>81</v>
      </c>
      <c r="E924" s="140" t="s">
        <v>48</v>
      </c>
      <c r="F924" s="140" t="s">
        <v>947</v>
      </c>
      <c r="G924" s="140" t="s">
        <v>947</v>
      </c>
      <c r="H924" s="140" t="s">
        <v>947</v>
      </c>
      <c r="I924" s="140" t="s">
        <v>170</v>
      </c>
      <c r="J924" s="140" t="s">
        <v>868</v>
      </c>
      <c r="K924" s="140" t="s">
        <v>869</v>
      </c>
      <c r="L924" s="140" t="s">
        <v>947</v>
      </c>
      <c r="M924" s="140" t="s">
        <v>46</v>
      </c>
      <c r="N924" s="157">
        <v>0.02</v>
      </c>
      <c r="O924" s="156" t="s">
        <v>51</v>
      </c>
      <c r="P924" s="156"/>
      <c r="Q924" s="158">
        <v>0</v>
      </c>
      <c r="R924" s="158">
        <v>0</v>
      </c>
      <c r="S924" s="158">
        <v>388500</v>
      </c>
      <c r="T924" s="158">
        <f t="shared" si="183"/>
        <v>7770</v>
      </c>
      <c r="U924" s="158">
        <f t="shared" si="188"/>
        <v>396270</v>
      </c>
      <c r="V924" s="158">
        <v>347049</v>
      </c>
      <c r="W924" s="158">
        <f t="shared" si="189"/>
        <v>49221</v>
      </c>
      <c r="X924" s="158">
        <f t="shared" si="184"/>
        <v>48255.8823529412</v>
      </c>
      <c r="Y924" s="158">
        <f t="shared" si="190"/>
        <v>965.117647058825</v>
      </c>
      <c r="Z924" s="158">
        <v>256562</v>
      </c>
      <c r="AA924" s="158">
        <f t="shared" si="185"/>
        <v>90487</v>
      </c>
      <c r="AB924" s="167">
        <f t="shared" si="196"/>
        <v>251531.37254902</v>
      </c>
      <c r="AC924" s="168">
        <f t="shared" si="187"/>
        <v>5030.62745098039</v>
      </c>
      <c r="AD924" s="158">
        <f>Z924*0.972201473425119-Q924</f>
        <v>249429.954424895</v>
      </c>
      <c r="AE924" s="159">
        <v>0.1</v>
      </c>
      <c r="AF924" s="158">
        <f t="shared" si="179"/>
        <v>24942.9954424895</v>
      </c>
      <c r="AG924" s="158">
        <v>23467.3549019608</v>
      </c>
      <c r="AH924" s="175"/>
      <c r="AI924" s="175"/>
      <c r="AJ924" s="157">
        <v>0.02</v>
      </c>
      <c r="AK924" s="140" t="s">
        <v>173</v>
      </c>
      <c r="AM924" s="140" t="s">
        <v>174</v>
      </c>
    </row>
    <row r="925" s="140" customFormat="1" ht="15" hidden="1" customHeight="1" spans="1:39">
      <c r="A925" s="140">
        <v>2017</v>
      </c>
      <c r="B925" s="140" t="s">
        <v>38</v>
      </c>
      <c r="C925" s="140" t="s">
        <v>39</v>
      </c>
      <c r="D925" s="140" t="s">
        <v>81</v>
      </c>
      <c r="E925" s="140" t="s">
        <v>48</v>
      </c>
      <c r="F925" s="140" t="s">
        <v>947</v>
      </c>
      <c r="G925" s="140" t="s">
        <v>947</v>
      </c>
      <c r="H925" s="140" t="s">
        <v>947</v>
      </c>
      <c r="I925" s="140" t="s">
        <v>170</v>
      </c>
      <c r="J925" s="140" t="s">
        <v>868</v>
      </c>
      <c r="K925" s="140" t="s">
        <v>869</v>
      </c>
      <c r="L925" s="140" t="s">
        <v>947</v>
      </c>
      <c r="M925" s="140" t="s">
        <v>185</v>
      </c>
      <c r="N925" s="157">
        <v>0.04</v>
      </c>
      <c r="O925" s="156" t="s">
        <v>51</v>
      </c>
      <c r="P925" s="156"/>
      <c r="Q925" s="158">
        <v>0</v>
      </c>
      <c r="R925" s="158">
        <v>0</v>
      </c>
      <c r="S925" s="158">
        <v>10000</v>
      </c>
      <c r="T925" s="158">
        <f t="shared" si="183"/>
        <v>400</v>
      </c>
      <c r="U925" s="158">
        <f t="shared" si="188"/>
        <v>10400</v>
      </c>
      <c r="V925" s="158">
        <v>10000</v>
      </c>
      <c r="W925" s="158">
        <f t="shared" si="189"/>
        <v>400</v>
      </c>
      <c r="X925" s="158">
        <f t="shared" si="184"/>
        <v>384.615384615385</v>
      </c>
      <c r="Y925" s="158">
        <f t="shared" si="190"/>
        <v>15.3846153846154</v>
      </c>
      <c r="Z925" s="158">
        <v>7961.2</v>
      </c>
      <c r="AA925" s="158">
        <f t="shared" si="185"/>
        <v>2038.8</v>
      </c>
      <c r="AB925" s="167">
        <f t="shared" si="196"/>
        <v>7655</v>
      </c>
      <c r="AC925" s="168">
        <f t="shared" si="187"/>
        <v>306.2</v>
      </c>
      <c r="AD925" s="158">
        <f>Z925</f>
        <v>7961.2</v>
      </c>
      <c r="AE925" s="159">
        <v>0.1</v>
      </c>
      <c r="AF925" s="158">
        <f t="shared" si="179"/>
        <v>796.12</v>
      </c>
      <c r="AG925" s="158">
        <v>592.344615384615</v>
      </c>
      <c r="AH925" s="175"/>
      <c r="AI925" s="175"/>
      <c r="AJ925" s="157">
        <v>0.04</v>
      </c>
      <c r="AK925" s="177">
        <v>0.04</v>
      </c>
      <c r="AM925" s="140" t="s">
        <v>174</v>
      </c>
    </row>
    <row r="926" s="140" customFormat="1" ht="15" hidden="1" customHeight="1" spans="1:37">
      <c r="A926" s="140">
        <v>2017</v>
      </c>
      <c r="B926" s="140" t="s">
        <v>38</v>
      </c>
      <c r="C926" s="140" t="s">
        <v>39</v>
      </c>
      <c r="D926" s="140" t="s">
        <v>81</v>
      </c>
      <c r="E926" s="140" t="s">
        <v>48</v>
      </c>
      <c r="F926" s="140" t="s">
        <v>947</v>
      </c>
      <c r="G926" s="140" t="s">
        <v>947</v>
      </c>
      <c r="H926" s="140" t="s">
        <v>947</v>
      </c>
      <c r="I926" s="140" t="s">
        <v>170</v>
      </c>
      <c r="J926" s="140" t="s">
        <v>868</v>
      </c>
      <c r="K926" s="140" t="s">
        <v>869</v>
      </c>
      <c r="L926" s="140" t="s">
        <v>947</v>
      </c>
      <c r="M926" s="140" t="s">
        <v>160</v>
      </c>
      <c r="N926" s="156">
        <v>0</v>
      </c>
      <c r="O926" s="156" t="s">
        <v>47</v>
      </c>
      <c r="P926" s="156"/>
      <c r="Q926" s="158">
        <v>0</v>
      </c>
      <c r="R926" s="158">
        <v>0</v>
      </c>
      <c r="S926" s="158">
        <v>55130</v>
      </c>
      <c r="T926" s="158">
        <f t="shared" si="183"/>
        <v>0</v>
      </c>
      <c r="U926" s="158">
        <f t="shared" si="188"/>
        <v>55130</v>
      </c>
      <c r="V926" s="158">
        <v>55130</v>
      </c>
      <c r="W926" s="158">
        <f t="shared" si="189"/>
        <v>0</v>
      </c>
      <c r="X926" s="158">
        <f t="shared" si="184"/>
        <v>0</v>
      </c>
      <c r="Y926" s="158">
        <f t="shared" si="190"/>
        <v>0</v>
      </c>
      <c r="Z926" s="158">
        <v>55130</v>
      </c>
      <c r="AA926" s="158">
        <f t="shared" si="185"/>
        <v>0</v>
      </c>
      <c r="AB926" s="167">
        <f t="shared" si="196"/>
        <v>55130</v>
      </c>
      <c r="AC926" s="168">
        <f t="shared" si="187"/>
        <v>0</v>
      </c>
      <c r="AD926" s="158">
        <f>Z926</f>
        <v>55130</v>
      </c>
      <c r="AE926" s="159">
        <v>0</v>
      </c>
      <c r="AF926" s="158">
        <f t="shared" si="179"/>
        <v>0</v>
      </c>
      <c r="AG926" s="158">
        <v>5513</v>
      </c>
      <c r="AH926" s="175"/>
      <c r="AI926" s="175"/>
      <c r="AJ926" s="156" t="s">
        <v>47</v>
      </c>
      <c r="AK926" s="140" t="s">
        <v>47</v>
      </c>
    </row>
    <row r="927" s="140" customFormat="1" ht="15" hidden="1" customHeight="1" spans="1:37">
      <c r="A927" s="140">
        <v>2017</v>
      </c>
      <c r="B927" s="140" t="s">
        <v>38</v>
      </c>
      <c r="C927" s="140" t="s">
        <v>39</v>
      </c>
      <c r="D927" s="140" t="s">
        <v>81</v>
      </c>
      <c r="E927" s="140" t="s">
        <v>41</v>
      </c>
      <c r="F927" s="140" t="s">
        <v>948</v>
      </c>
      <c r="G927" s="140" t="s">
        <v>948</v>
      </c>
      <c r="H927" s="140" t="s">
        <v>948</v>
      </c>
      <c r="I927" s="140" t="s">
        <v>170</v>
      </c>
      <c r="J927" s="140" t="s">
        <v>171</v>
      </c>
      <c r="K927" s="140" t="s">
        <v>172</v>
      </c>
      <c r="L927" s="140" t="s">
        <v>948</v>
      </c>
      <c r="M927" s="140" t="s">
        <v>160</v>
      </c>
      <c r="N927" s="157">
        <v>0</v>
      </c>
      <c r="O927" s="156" t="s">
        <v>47</v>
      </c>
      <c r="P927" s="156"/>
      <c r="Q927" s="158">
        <v>0</v>
      </c>
      <c r="R927" s="158">
        <v>0</v>
      </c>
      <c r="S927" s="158">
        <v>261020</v>
      </c>
      <c r="T927" s="158">
        <f t="shared" si="183"/>
        <v>0</v>
      </c>
      <c r="U927" s="158">
        <f t="shared" si="188"/>
        <v>261020</v>
      </c>
      <c r="V927" s="158">
        <v>240500</v>
      </c>
      <c r="W927" s="158">
        <f t="shared" si="189"/>
        <v>20520</v>
      </c>
      <c r="X927" s="158">
        <f t="shared" si="184"/>
        <v>20520</v>
      </c>
      <c r="Y927" s="158">
        <f t="shared" si="190"/>
        <v>0</v>
      </c>
      <c r="Z927" s="158">
        <v>240500</v>
      </c>
      <c r="AA927" s="158">
        <f t="shared" si="185"/>
        <v>0</v>
      </c>
      <c r="AB927" s="167">
        <f t="shared" si="196"/>
        <v>240500</v>
      </c>
      <c r="AC927" s="168">
        <f t="shared" si="187"/>
        <v>0</v>
      </c>
      <c r="AD927" s="158">
        <f>(Z927-Q927)*0.826045217867759</f>
        <v>198663.874897196</v>
      </c>
      <c r="AE927" s="159">
        <v>0.112691732739812</v>
      </c>
      <c r="AF927" s="158">
        <f t="shared" si="179"/>
        <v>22387.7762949703</v>
      </c>
      <c r="AG927" s="158">
        <v>21517.4660866195</v>
      </c>
      <c r="AH927" s="175"/>
      <c r="AI927" s="175"/>
      <c r="AJ927" s="157">
        <v>0</v>
      </c>
      <c r="AK927" s="177">
        <v>0</v>
      </c>
    </row>
    <row r="928" s="140" customFormat="1" ht="15" hidden="1" customHeight="1" spans="1:39">
      <c r="A928" s="140">
        <v>2017</v>
      </c>
      <c r="B928" s="140" t="s">
        <v>199</v>
      </c>
      <c r="C928" s="140" t="s">
        <v>39</v>
      </c>
      <c r="D928" s="140" t="s">
        <v>81</v>
      </c>
      <c r="E928" s="140" t="s">
        <v>41</v>
      </c>
      <c r="F928" s="140" t="s">
        <v>949</v>
      </c>
      <c r="G928" s="140" t="s">
        <v>950</v>
      </c>
      <c r="H928" s="140" t="s">
        <v>950</v>
      </c>
      <c r="I928" s="140" t="s">
        <v>170</v>
      </c>
      <c r="J928" s="140" t="s">
        <v>868</v>
      </c>
      <c r="K928" s="140" t="s">
        <v>869</v>
      </c>
      <c r="L928" s="140" t="s">
        <v>949</v>
      </c>
      <c r="M928" s="140" t="s">
        <v>46</v>
      </c>
      <c r="N928" s="157">
        <v>0.02</v>
      </c>
      <c r="O928" s="156" t="s">
        <v>51</v>
      </c>
      <c r="P928" s="156"/>
      <c r="Q928" s="158">
        <v>4800</v>
      </c>
      <c r="R928" s="158">
        <v>0</v>
      </c>
      <c r="S928" s="158">
        <v>20000</v>
      </c>
      <c r="T928" s="158">
        <f t="shared" si="183"/>
        <v>400</v>
      </c>
      <c r="U928" s="158">
        <f t="shared" si="188"/>
        <v>20400</v>
      </c>
      <c r="V928" s="158">
        <v>4392.5</v>
      </c>
      <c r="W928" s="158">
        <f t="shared" si="189"/>
        <v>16007.5</v>
      </c>
      <c r="X928" s="158">
        <f t="shared" si="184"/>
        <v>15693.6274509804</v>
      </c>
      <c r="Y928" s="158">
        <f t="shared" si="190"/>
        <v>313.872549019608</v>
      </c>
      <c r="Z928" s="158">
        <v>4392.5</v>
      </c>
      <c r="AA928" s="158">
        <f t="shared" si="185"/>
        <v>4800</v>
      </c>
      <c r="AB928" s="167">
        <f>IF(O928="返货",(Z928-Q928)/(1+N928),IF(O928="返现",(Z928-Q928),IF(O928="折扣",(Z928-Q928)*N928,IF(O928="无",(Z928-Q928)))))</f>
        <v>-399.509803921569</v>
      </c>
      <c r="AC928" s="168">
        <f t="shared" si="187"/>
        <v>4792.00980392157</v>
      </c>
      <c r="AD928" s="158">
        <f>Z928*0.972201473425119-Q928</f>
        <v>-529.605027980165</v>
      </c>
      <c r="AE928" s="159">
        <v>0.1</v>
      </c>
      <c r="AF928" s="158">
        <f t="shared" si="179"/>
        <v>-52.9605027980165</v>
      </c>
      <c r="AG928" s="158">
        <v>441.513725490196</v>
      </c>
      <c r="AH928" s="175"/>
      <c r="AI928" s="175"/>
      <c r="AJ928" s="157">
        <v>0.02</v>
      </c>
      <c r="AK928" s="177">
        <v>0.02</v>
      </c>
      <c r="AM928" s="140" t="s">
        <v>174</v>
      </c>
    </row>
    <row r="929" s="140" customFormat="1" ht="15" hidden="1" customHeight="1" spans="1:37">
      <c r="A929" s="140">
        <v>2017</v>
      </c>
      <c r="B929" s="140" t="s">
        <v>38</v>
      </c>
      <c r="C929" s="140" t="s">
        <v>39</v>
      </c>
      <c r="D929" s="140" t="s">
        <v>81</v>
      </c>
      <c r="E929" s="140" t="s">
        <v>41</v>
      </c>
      <c r="F929" s="140" t="s">
        <v>706</v>
      </c>
      <c r="G929" s="140" t="s">
        <v>706</v>
      </c>
      <c r="H929" s="140" t="s">
        <v>706</v>
      </c>
      <c r="I929" s="140" t="s">
        <v>170</v>
      </c>
      <c r="J929" s="140" t="s">
        <v>171</v>
      </c>
      <c r="K929" s="140" t="s">
        <v>172</v>
      </c>
      <c r="L929" s="140" t="s">
        <v>707</v>
      </c>
      <c r="M929" s="140" t="s">
        <v>185</v>
      </c>
      <c r="N929" s="157">
        <v>0</v>
      </c>
      <c r="O929" s="156" t="s">
        <v>47</v>
      </c>
      <c r="P929" s="156"/>
      <c r="Q929" s="158">
        <v>0</v>
      </c>
      <c r="R929" s="158">
        <v>0</v>
      </c>
      <c r="S929" s="158">
        <v>65000</v>
      </c>
      <c r="T929" s="158">
        <f t="shared" si="183"/>
        <v>0</v>
      </c>
      <c r="U929" s="158">
        <f t="shared" si="188"/>
        <v>65000</v>
      </c>
      <c r="V929" s="158">
        <v>39945.7</v>
      </c>
      <c r="W929" s="158">
        <f t="shared" si="189"/>
        <v>25054.3</v>
      </c>
      <c r="X929" s="158">
        <f t="shared" si="184"/>
        <v>25054.3</v>
      </c>
      <c r="Y929" s="158">
        <f t="shared" si="190"/>
        <v>0</v>
      </c>
      <c r="Z929" s="158">
        <v>39945.7</v>
      </c>
      <c r="AA929" s="158">
        <f t="shared" si="185"/>
        <v>0</v>
      </c>
      <c r="AB929" s="167">
        <f t="shared" ref="AB929:AB953" si="197">IF(O929="返货",Z929/(1+N929),IF(O929="返现",Z929,IF(O929="折扣",Z929*N929,IF(O929="无",Z929))))</f>
        <v>39945.7</v>
      </c>
      <c r="AC929" s="168">
        <f t="shared" si="187"/>
        <v>0</v>
      </c>
      <c r="AD929" s="158">
        <f>(Z929-Q929)*0.91072157793815</f>
        <v>36379.410935844</v>
      </c>
      <c r="AE929" s="159">
        <v>0.112691732739812</v>
      </c>
      <c r="AF929" s="158">
        <f t="shared" si="179"/>
        <v>4099.65885441392</v>
      </c>
      <c r="AG929" s="158">
        <v>3573.93033287434</v>
      </c>
      <c r="AH929" s="175"/>
      <c r="AI929" s="175"/>
      <c r="AJ929" s="176">
        <v>0</v>
      </c>
      <c r="AK929" s="140">
        <v>0</v>
      </c>
    </row>
    <row r="930" s="140" customFormat="1" ht="15" hidden="1" customHeight="1" spans="1:37">
      <c r="A930" s="140">
        <v>2017</v>
      </c>
      <c r="B930" s="140" t="s">
        <v>199</v>
      </c>
      <c r="C930" s="140" t="s">
        <v>200</v>
      </c>
      <c r="D930" s="140" t="s">
        <v>201</v>
      </c>
      <c r="E930" s="140" t="s">
        <v>399</v>
      </c>
      <c r="F930" s="140" t="s">
        <v>951</v>
      </c>
      <c r="G930" s="140" t="s">
        <v>952</v>
      </c>
      <c r="H930" s="140" t="s">
        <v>952</v>
      </c>
      <c r="I930" s="140" t="s">
        <v>170</v>
      </c>
      <c r="J930" s="140" t="s">
        <v>171</v>
      </c>
      <c r="K930" s="140" t="s">
        <v>172</v>
      </c>
      <c r="L930" s="140" t="s">
        <v>953</v>
      </c>
      <c r="M930" s="140" t="s">
        <v>46</v>
      </c>
      <c r="N930" s="157">
        <v>0.04</v>
      </c>
      <c r="O930" s="156" t="s">
        <v>51</v>
      </c>
      <c r="P930" s="156"/>
      <c r="Q930" s="163">
        <v>248056.659999999</v>
      </c>
      <c r="R930" s="158">
        <v>0</v>
      </c>
      <c r="S930" s="158">
        <v>5265998.87</v>
      </c>
      <c r="T930" s="158">
        <f t="shared" si="183"/>
        <v>210639.9548</v>
      </c>
      <c r="U930" s="158">
        <f t="shared" si="188"/>
        <v>5476638.8248</v>
      </c>
      <c r="V930" s="158">
        <v>5570648.48</v>
      </c>
      <c r="W930" s="158">
        <f t="shared" si="189"/>
        <v>-94009.6551999999</v>
      </c>
      <c r="X930" s="158">
        <f t="shared" si="184"/>
        <v>-90393.8992307692</v>
      </c>
      <c r="Y930" s="158">
        <f t="shared" si="190"/>
        <v>-3615.75596923077</v>
      </c>
      <c r="Z930" s="158">
        <v>5591306.1</v>
      </c>
      <c r="AA930" s="158">
        <f t="shared" si="185"/>
        <v>227399.04</v>
      </c>
      <c r="AB930" s="167">
        <f>IF(O930="返货",(Z930-Q930)/(1+N930),IF(O930="返现",(Z930-Q930),IF(O930="折扣",(Z930-Q930)*N930,IF(O930="无",(Z930-Q930)))))</f>
        <v>5137739.84615385</v>
      </c>
      <c r="AC930" s="168">
        <f t="shared" si="187"/>
        <v>453566.253846154</v>
      </c>
      <c r="AD930" s="158">
        <f t="shared" ref="AD930:AD931" si="198">(Z930-Q930)*0.89807640489087</f>
        <v>4798646.24751035</v>
      </c>
      <c r="AE930" s="159">
        <v>0.112691732739812</v>
      </c>
      <c r="AF930" s="158">
        <f t="shared" si="179"/>
        <v>540767.760437339</v>
      </c>
      <c r="AG930" s="158">
        <v>285202.320006898</v>
      </c>
      <c r="AH930" s="175"/>
      <c r="AI930" s="175"/>
      <c r="AJ930" s="156" t="s">
        <v>186</v>
      </c>
      <c r="AK930" s="140" t="s">
        <v>186</v>
      </c>
    </row>
    <row r="931" s="140" customFormat="1" ht="15" hidden="1" customHeight="1" spans="1:37">
      <c r="A931" s="140">
        <v>2017</v>
      </c>
      <c r="B931" s="140" t="s">
        <v>38</v>
      </c>
      <c r="C931" s="140" t="s">
        <v>39</v>
      </c>
      <c r="D931" s="140" t="s">
        <v>81</v>
      </c>
      <c r="E931" s="140" t="s">
        <v>82</v>
      </c>
      <c r="F931" s="140" t="s">
        <v>954</v>
      </c>
      <c r="G931" s="140" t="s">
        <v>954</v>
      </c>
      <c r="H931" s="140" t="s">
        <v>954</v>
      </c>
      <c r="I931" s="140" t="s">
        <v>170</v>
      </c>
      <c r="J931" s="140" t="s">
        <v>171</v>
      </c>
      <c r="K931" s="140" t="s">
        <v>172</v>
      </c>
      <c r="L931" s="140" t="s">
        <v>955</v>
      </c>
      <c r="M931" s="140" t="s">
        <v>46</v>
      </c>
      <c r="N931" s="157">
        <v>0.03</v>
      </c>
      <c r="O931" s="156" t="s">
        <v>51</v>
      </c>
      <c r="P931" s="156"/>
      <c r="Q931" s="158">
        <v>0</v>
      </c>
      <c r="R931" s="158">
        <v>0</v>
      </c>
      <c r="S931" s="158">
        <v>10000</v>
      </c>
      <c r="T931" s="158">
        <f t="shared" si="183"/>
        <v>300</v>
      </c>
      <c r="U931" s="158">
        <f t="shared" si="188"/>
        <v>10300</v>
      </c>
      <c r="V931" s="158">
        <v>10300</v>
      </c>
      <c r="W931" s="158">
        <f t="shared" si="189"/>
        <v>0</v>
      </c>
      <c r="X931" s="158">
        <f t="shared" si="184"/>
        <v>0</v>
      </c>
      <c r="Y931" s="158">
        <f t="shared" si="190"/>
        <v>0</v>
      </c>
      <c r="Z931" s="158">
        <v>10299.1</v>
      </c>
      <c r="AA931" s="158">
        <f t="shared" si="185"/>
        <v>0.899999999999636</v>
      </c>
      <c r="AB931" s="167">
        <f t="shared" si="197"/>
        <v>9999.12621359223</v>
      </c>
      <c r="AC931" s="168">
        <f t="shared" si="187"/>
        <v>299.973786407767</v>
      </c>
      <c r="AD931" s="158">
        <f t="shared" si="198"/>
        <v>9249.37870161156</v>
      </c>
      <c r="AE931" s="159">
        <v>0.112691732739812</v>
      </c>
      <c r="AF931" s="158">
        <f t="shared" si="179"/>
        <v>1042.32851265132</v>
      </c>
      <c r="AG931" s="158">
        <v>621.483739466259</v>
      </c>
      <c r="AH931" s="175"/>
      <c r="AI931" s="175"/>
      <c r="AJ931" s="157">
        <v>0.03</v>
      </c>
      <c r="AK931" s="177">
        <v>0.03</v>
      </c>
    </row>
    <row r="932" s="140" customFormat="1" ht="15" hidden="1" customHeight="1" spans="1:39">
      <c r="A932" s="140">
        <v>2017</v>
      </c>
      <c r="B932" s="140" t="s">
        <v>38</v>
      </c>
      <c r="C932" s="140" t="s">
        <v>137</v>
      </c>
      <c r="D932" s="140" t="s">
        <v>138</v>
      </c>
      <c r="F932" s="152" t="s">
        <v>575</v>
      </c>
      <c r="G932" s="152" t="s">
        <v>576</v>
      </c>
      <c r="H932" s="152" t="s">
        <v>576</v>
      </c>
      <c r="I932" s="140" t="s">
        <v>170</v>
      </c>
      <c r="J932" s="140" t="s">
        <v>171</v>
      </c>
      <c r="K932" s="140" t="s">
        <v>172</v>
      </c>
      <c r="L932" s="140" t="s">
        <v>956</v>
      </c>
      <c r="M932" s="140" t="s">
        <v>185</v>
      </c>
      <c r="N932" s="157">
        <v>0.08</v>
      </c>
      <c r="O932" s="156" t="s">
        <v>51</v>
      </c>
      <c r="P932" s="156"/>
      <c r="Q932" s="158">
        <v>0</v>
      </c>
      <c r="R932" s="158">
        <v>0</v>
      </c>
      <c r="S932" s="158"/>
      <c r="T932" s="158">
        <f t="shared" si="183"/>
        <v>0</v>
      </c>
      <c r="U932" s="158">
        <f t="shared" si="188"/>
        <v>0</v>
      </c>
      <c r="V932" s="158">
        <v>0</v>
      </c>
      <c r="W932" s="158">
        <f t="shared" si="189"/>
        <v>0</v>
      </c>
      <c r="X932" s="158">
        <f t="shared" si="184"/>
        <v>0</v>
      </c>
      <c r="Y932" s="158">
        <f t="shared" si="190"/>
        <v>0</v>
      </c>
      <c r="Z932" s="158">
        <v>19729.2</v>
      </c>
      <c r="AA932" s="158">
        <f t="shared" si="185"/>
        <v>-19729.2</v>
      </c>
      <c r="AB932" s="167">
        <f t="shared" si="197"/>
        <v>18267.7777777778</v>
      </c>
      <c r="AC932" s="168">
        <f t="shared" si="187"/>
        <v>1461.42222222222</v>
      </c>
      <c r="AD932" s="158">
        <f>(Z932-Q932)*0.91072157793815</f>
        <v>17967.8081554574</v>
      </c>
      <c r="AE932" s="159">
        <v>0.112691732739812</v>
      </c>
      <c r="AF932" s="158">
        <f t="shared" si="179"/>
        <v>2024.82343457501</v>
      </c>
      <c r="AG932" s="158">
        <v>303.743648530933</v>
      </c>
      <c r="AH932" s="175"/>
      <c r="AI932" s="175"/>
      <c r="AJ932" s="157">
        <v>0.08</v>
      </c>
      <c r="AK932" s="140" t="s">
        <v>47</v>
      </c>
      <c r="AM932" s="152" t="s">
        <v>208</v>
      </c>
    </row>
    <row r="933" s="140" customFormat="1" ht="15" hidden="1" customHeight="1" spans="1:37">
      <c r="A933" s="140">
        <v>2017</v>
      </c>
      <c r="B933" s="140" t="s">
        <v>38</v>
      </c>
      <c r="C933" s="140" t="s">
        <v>39</v>
      </c>
      <c r="D933" s="140" t="s">
        <v>81</v>
      </c>
      <c r="E933" s="140" t="s">
        <v>82</v>
      </c>
      <c r="F933" s="140" t="s">
        <v>83</v>
      </c>
      <c r="G933" s="140" t="s">
        <v>83</v>
      </c>
      <c r="H933" s="140" t="s">
        <v>83</v>
      </c>
      <c r="I933" s="140" t="s">
        <v>170</v>
      </c>
      <c r="J933" s="140" t="s">
        <v>171</v>
      </c>
      <c r="K933" s="140" t="s">
        <v>172</v>
      </c>
      <c r="L933" s="140" t="s">
        <v>83</v>
      </c>
      <c r="M933" s="140" t="s">
        <v>46</v>
      </c>
      <c r="N933" s="157">
        <v>0.03</v>
      </c>
      <c r="O933" s="156" t="s">
        <v>51</v>
      </c>
      <c r="P933" s="156" t="s">
        <v>440</v>
      </c>
      <c r="Q933" s="158">
        <v>0</v>
      </c>
      <c r="R933" s="158">
        <v>0</v>
      </c>
      <c r="S933" s="158">
        <v>4130000</v>
      </c>
      <c r="T933" s="158">
        <f t="shared" si="183"/>
        <v>123900</v>
      </c>
      <c r="U933" s="158">
        <f t="shared" si="188"/>
        <v>4253900</v>
      </c>
      <c r="V933" s="158">
        <v>3950000</v>
      </c>
      <c r="W933" s="158">
        <f t="shared" si="189"/>
        <v>303900</v>
      </c>
      <c r="X933" s="158">
        <f t="shared" si="184"/>
        <v>295048.54368932</v>
      </c>
      <c r="Y933" s="158">
        <f t="shared" si="190"/>
        <v>8851.45631067961</v>
      </c>
      <c r="Z933" s="158">
        <f>3867353.4-Z1162</f>
        <v>2047853.4</v>
      </c>
      <c r="AA933" s="158">
        <f t="shared" si="185"/>
        <v>1902146.6</v>
      </c>
      <c r="AB933" s="167">
        <f t="shared" si="197"/>
        <v>1988207.18446602</v>
      </c>
      <c r="AC933" s="168">
        <f t="shared" si="187"/>
        <v>59646.2155339806</v>
      </c>
      <c r="AD933" s="158">
        <f t="shared" ref="AD933:AD936" si="199">(Z933-Q933)*0.89807640489087</f>
        <v>1839128.81921554</v>
      </c>
      <c r="AE933" s="159">
        <v>0.112691732739812</v>
      </c>
      <c r="AF933" s="158">
        <f t="shared" si="179"/>
        <v>207254.613369124</v>
      </c>
      <c r="AG933" s="158">
        <v>270180.541714819</v>
      </c>
      <c r="AH933" s="175"/>
      <c r="AI933" s="175"/>
      <c r="AJ933" s="156" t="s">
        <v>189</v>
      </c>
      <c r="AK933" s="140" t="s">
        <v>173</v>
      </c>
    </row>
    <row r="934" s="140" customFormat="1" ht="15" hidden="1" customHeight="1" spans="1:37">
      <c r="A934" s="140">
        <v>2017</v>
      </c>
      <c r="B934" s="140" t="s">
        <v>38</v>
      </c>
      <c r="C934" s="140" t="s">
        <v>39</v>
      </c>
      <c r="D934" s="140" t="s">
        <v>81</v>
      </c>
      <c r="E934" s="140" t="s">
        <v>82</v>
      </c>
      <c r="F934" s="140" t="s">
        <v>957</v>
      </c>
      <c r="G934" s="140" t="s">
        <v>957</v>
      </c>
      <c r="H934" s="140" t="s">
        <v>957</v>
      </c>
      <c r="I934" s="140" t="s">
        <v>170</v>
      </c>
      <c r="J934" s="140" t="s">
        <v>171</v>
      </c>
      <c r="K934" s="140" t="s">
        <v>172</v>
      </c>
      <c r="L934" s="140" t="s">
        <v>957</v>
      </c>
      <c r="M934" s="140" t="s">
        <v>46</v>
      </c>
      <c r="N934" s="156">
        <v>0.05</v>
      </c>
      <c r="O934" s="156" t="s">
        <v>51</v>
      </c>
      <c r="P934" s="156"/>
      <c r="Q934" s="158">
        <v>0</v>
      </c>
      <c r="R934" s="158">
        <v>0</v>
      </c>
      <c r="S934" s="158">
        <v>105000</v>
      </c>
      <c r="T934" s="158">
        <f t="shared" si="183"/>
        <v>5250</v>
      </c>
      <c r="U934" s="158">
        <f t="shared" si="188"/>
        <v>110250</v>
      </c>
      <c r="V934" s="158">
        <v>108500</v>
      </c>
      <c r="W934" s="158">
        <f t="shared" si="189"/>
        <v>1750</v>
      </c>
      <c r="X934" s="158">
        <f t="shared" si="184"/>
        <v>1666.66666666667</v>
      </c>
      <c r="Y934" s="158">
        <f t="shared" si="190"/>
        <v>83.3333333333335</v>
      </c>
      <c r="Z934" s="158">
        <v>97285.6</v>
      </c>
      <c r="AA934" s="158">
        <f t="shared" si="185"/>
        <v>11214.4</v>
      </c>
      <c r="AB934" s="167">
        <f t="shared" si="197"/>
        <v>92652.9523809524</v>
      </c>
      <c r="AC934" s="168">
        <f t="shared" si="187"/>
        <v>4632.64761904762</v>
      </c>
      <c r="AD934" s="158">
        <f t="shared" si="199"/>
        <v>87369.9018956512</v>
      </c>
      <c r="AE934" s="159">
        <v>0.112691732739812</v>
      </c>
      <c r="AF934" s="158">
        <f t="shared" si="179"/>
        <v>9845.86563392832</v>
      </c>
      <c r="AG934" s="158">
        <v>4071.46713653006</v>
      </c>
      <c r="AH934" s="175"/>
      <c r="AI934" s="175"/>
      <c r="AJ934" s="156" t="s">
        <v>63</v>
      </c>
      <c r="AK934" s="140" t="s">
        <v>63</v>
      </c>
    </row>
    <row r="935" s="140" customFormat="1" ht="15" hidden="1" customHeight="1" spans="1:37">
      <c r="A935" s="140">
        <v>2017</v>
      </c>
      <c r="B935" s="140" t="s">
        <v>38</v>
      </c>
      <c r="C935" s="140" t="s">
        <v>39</v>
      </c>
      <c r="D935" s="140" t="s">
        <v>81</v>
      </c>
      <c r="E935" s="140" t="s">
        <v>82</v>
      </c>
      <c r="F935" s="140" t="s">
        <v>958</v>
      </c>
      <c r="G935" s="140" t="s">
        <v>958</v>
      </c>
      <c r="H935" s="140" t="s">
        <v>958</v>
      </c>
      <c r="I935" s="140" t="s">
        <v>170</v>
      </c>
      <c r="J935" s="140" t="s">
        <v>171</v>
      </c>
      <c r="K935" s="140" t="s">
        <v>172</v>
      </c>
      <c r="L935" s="140" t="s">
        <v>958</v>
      </c>
      <c r="M935" s="140" t="s">
        <v>46</v>
      </c>
      <c r="N935" s="157">
        <v>0.02</v>
      </c>
      <c r="O935" s="156" t="s">
        <v>51</v>
      </c>
      <c r="P935" s="156"/>
      <c r="Q935" s="158">
        <v>0</v>
      </c>
      <c r="R935" s="158">
        <v>0</v>
      </c>
      <c r="S935" s="158">
        <v>20000</v>
      </c>
      <c r="T935" s="158">
        <f t="shared" si="183"/>
        <v>400</v>
      </c>
      <c r="U935" s="158">
        <f t="shared" si="188"/>
        <v>20400</v>
      </c>
      <c r="V935" s="158">
        <v>20000</v>
      </c>
      <c r="W935" s="158">
        <f t="shared" si="189"/>
        <v>400</v>
      </c>
      <c r="X935" s="158">
        <f t="shared" si="184"/>
        <v>392.156862745098</v>
      </c>
      <c r="Y935" s="158">
        <f t="shared" si="190"/>
        <v>7.84313725490199</v>
      </c>
      <c r="Z935" s="158">
        <v>20001.3</v>
      </c>
      <c r="AA935" s="158">
        <f t="shared" si="185"/>
        <v>-1.29999999999927</v>
      </c>
      <c r="AB935" s="167">
        <f t="shared" si="197"/>
        <v>19609.1176470588</v>
      </c>
      <c r="AC935" s="168">
        <f t="shared" si="187"/>
        <v>392.182352941178</v>
      </c>
      <c r="AD935" s="158">
        <f t="shared" si="199"/>
        <v>17962.6955971438</v>
      </c>
      <c r="AE935" s="159">
        <v>0.112691732739812</v>
      </c>
      <c r="AF935" s="158">
        <f t="shared" si="179"/>
        <v>2024.24729151992</v>
      </c>
      <c r="AG935" s="158">
        <v>1397.32822684387</v>
      </c>
      <c r="AH935" s="175"/>
      <c r="AI935" s="175"/>
      <c r="AJ935" s="157">
        <v>0.02</v>
      </c>
      <c r="AK935" s="177">
        <v>0.02</v>
      </c>
    </row>
    <row r="936" s="140" customFormat="1" ht="15" hidden="1" customHeight="1" spans="1:37">
      <c r="A936" s="140">
        <v>2017</v>
      </c>
      <c r="B936" s="140" t="s">
        <v>38</v>
      </c>
      <c r="C936" s="140" t="s">
        <v>39</v>
      </c>
      <c r="D936" s="140" t="s">
        <v>81</v>
      </c>
      <c r="E936" s="140" t="s">
        <v>82</v>
      </c>
      <c r="F936" s="140" t="s">
        <v>959</v>
      </c>
      <c r="G936" s="140" t="s">
        <v>959</v>
      </c>
      <c r="H936" s="140" t="s">
        <v>959</v>
      </c>
      <c r="I936" s="140" t="s">
        <v>170</v>
      </c>
      <c r="J936" s="140" t="s">
        <v>171</v>
      </c>
      <c r="K936" s="140" t="s">
        <v>172</v>
      </c>
      <c r="L936" s="140" t="s">
        <v>959</v>
      </c>
      <c r="M936" s="140" t="s">
        <v>46</v>
      </c>
      <c r="N936" s="157">
        <v>0</v>
      </c>
      <c r="O936" s="156" t="s">
        <v>47</v>
      </c>
      <c r="P936" s="156"/>
      <c r="Q936" s="158">
        <v>0</v>
      </c>
      <c r="R936" s="158">
        <v>0</v>
      </c>
      <c r="S936" s="158">
        <v>445000</v>
      </c>
      <c r="T936" s="158">
        <f t="shared" si="183"/>
        <v>0</v>
      </c>
      <c r="U936" s="158">
        <f t="shared" si="188"/>
        <v>445000</v>
      </c>
      <c r="V936" s="158">
        <v>449400</v>
      </c>
      <c r="W936" s="158">
        <f t="shared" si="189"/>
        <v>-4400</v>
      </c>
      <c r="X936" s="158">
        <f t="shared" si="184"/>
        <v>-4400</v>
      </c>
      <c r="Y936" s="158">
        <f t="shared" si="190"/>
        <v>0</v>
      </c>
      <c r="Z936" s="158">
        <v>450461</v>
      </c>
      <c r="AA936" s="158">
        <f t="shared" si="185"/>
        <v>-1061</v>
      </c>
      <c r="AB936" s="167">
        <f t="shared" si="197"/>
        <v>450461</v>
      </c>
      <c r="AC936" s="168">
        <f t="shared" si="187"/>
        <v>0</v>
      </c>
      <c r="AD936" s="158">
        <f t="shared" si="199"/>
        <v>404548.395423546</v>
      </c>
      <c r="AE936" s="159">
        <v>0.112691732739812</v>
      </c>
      <c r="AF936" s="158">
        <f t="shared" si="179"/>
        <v>45589.2596573901</v>
      </c>
      <c r="AG936" s="158">
        <v>0</v>
      </c>
      <c r="AH936" s="175"/>
      <c r="AI936" s="175"/>
      <c r="AJ936" s="157">
        <v>0</v>
      </c>
      <c r="AK936" s="177">
        <v>0</v>
      </c>
    </row>
    <row r="937" s="140" customFormat="1" ht="15" hidden="1" customHeight="1" spans="1:37">
      <c r="A937" s="140">
        <v>2017</v>
      </c>
      <c r="B937" s="140" t="s">
        <v>38</v>
      </c>
      <c r="C937" s="140" t="s">
        <v>39</v>
      </c>
      <c r="D937" s="140" t="s">
        <v>81</v>
      </c>
      <c r="E937" s="140" t="s">
        <v>82</v>
      </c>
      <c r="F937" s="140" t="s">
        <v>959</v>
      </c>
      <c r="G937" s="140" t="s">
        <v>959</v>
      </c>
      <c r="H937" s="140" t="s">
        <v>959</v>
      </c>
      <c r="I937" s="140" t="s">
        <v>170</v>
      </c>
      <c r="J937" s="140" t="s">
        <v>171</v>
      </c>
      <c r="K937" s="140" t="s">
        <v>172</v>
      </c>
      <c r="L937" s="140" t="s">
        <v>959</v>
      </c>
      <c r="M937" s="140" t="s">
        <v>185</v>
      </c>
      <c r="N937" s="156">
        <v>0</v>
      </c>
      <c r="O937" s="156" t="s">
        <v>47</v>
      </c>
      <c r="P937" s="156"/>
      <c r="Q937" s="158">
        <v>0</v>
      </c>
      <c r="R937" s="158">
        <v>0</v>
      </c>
      <c r="S937" s="158">
        <v>5000</v>
      </c>
      <c r="T937" s="158">
        <f t="shared" si="183"/>
        <v>0</v>
      </c>
      <c r="U937" s="158">
        <f t="shared" si="188"/>
        <v>5000</v>
      </c>
      <c r="V937" s="158">
        <v>5010.18</v>
      </c>
      <c r="W937" s="158">
        <f t="shared" si="189"/>
        <v>-10.1800000000003</v>
      </c>
      <c r="X937" s="158">
        <f t="shared" si="184"/>
        <v>-10.1800000000003</v>
      </c>
      <c r="Y937" s="158">
        <f t="shared" si="190"/>
        <v>0</v>
      </c>
      <c r="Z937" s="158">
        <v>1017.9</v>
      </c>
      <c r="AA937" s="158">
        <f t="shared" si="185"/>
        <v>3992.28</v>
      </c>
      <c r="AB937" s="167">
        <f t="shared" si="197"/>
        <v>1017.9</v>
      </c>
      <c r="AC937" s="168">
        <f t="shared" si="187"/>
        <v>0</v>
      </c>
      <c r="AD937" s="158">
        <f>(Z937-Q937)*0.91072157793815</f>
        <v>927.023494183243</v>
      </c>
      <c r="AE937" s="159">
        <v>0.112691732739812</v>
      </c>
      <c r="AF937" s="158">
        <f t="shared" si="179"/>
        <v>104.467883850025</v>
      </c>
      <c r="AG937" s="158">
        <v>91.0712213287735</v>
      </c>
      <c r="AH937" s="175"/>
      <c r="AI937" s="175"/>
      <c r="AJ937" s="156" t="s">
        <v>47</v>
      </c>
      <c r="AK937" s="140" t="s">
        <v>47</v>
      </c>
    </row>
    <row r="938" s="140" customFormat="1" ht="15" hidden="1" customHeight="1" spans="1:37">
      <c r="A938" s="140">
        <v>2017</v>
      </c>
      <c r="B938" s="140" t="s">
        <v>38</v>
      </c>
      <c r="C938" s="140" t="s">
        <v>39</v>
      </c>
      <c r="D938" s="140" t="s">
        <v>81</v>
      </c>
      <c r="E938" s="140" t="s">
        <v>82</v>
      </c>
      <c r="F938" s="140" t="s">
        <v>960</v>
      </c>
      <c r="G938" s="140" t="s">
        <v>960</v>
      </c>
      <c r="H938" s="140" t="s">
        <v>960</v>
      </c>
      <c r="I938" s="140" t="s">
        <v>170</v>
      </c>
      <c r="J938" s="140" t="s">
        <v>171</v>
      </c>
      <c r="K938" s="140" t="s">
        <v>172</v>
      </c>
      <c r="L938" s="140" t="s">
        <v>961</v>
      </c>
      <c r="M938" s="140" t="s">
        <v>46</v>
      </c>
      <c r="N938" s="157">
        <v>0.02</v>
      </c>
      <c r="O938" s="156" t="s">
        <v>51</v>
      </c>
      <c r="P938" s="156"/>
      <c r="Q938" s="158">
        <v>0</v>
      </c>
      <c r="R938" s="158">
        <v>0</v>
      </c>
      <c r="S938" s="158">
        <v>10000</v>
      </c>
      <c r="T938" s="158">
        <f t="shared" si="183"/>
        <v>200</v>
      </c>
      <c r="U938" s="158">
        <f t="shared" si="188"/>
        <v>10200</v>
      </c>
      <c r="V938" s="158">
        <v>0</v>
      </c>
      <c r="W938" s="158">
        <f t="shared" si="189"/>
        <v>10200</v>
      </c>
      <c r="X938" s="158">
        <f t="shared" si="184"/>
        <v>10000</v>
      </c>
      <c r="Y938" s="158">
        <f t="shared" si="190"/>
        <v>200</v>
      </c>
      <c r="Z938" s="158">
        <v>0</v>
      </c>
      <c r="AA938" s="158">
        <f t="shared" si="185"/>
        <v>0</v>
      </c>
      <c r="AB938" s="167">
        <f t="shared" si="197"/>
        <v>0</v>
      </c>
      <c r="AC938" s="168">
        <f t="shared" si="187"/>
        <v>0</v>
      </c>
      <c r="AD938" s="158">
        <f t="shared" ref="AD938:AD939" si="200">(Z938-Q938)*0.89807640489087</f>
        <v>0</v>
      </c>
      <c r="AE938" s="159">
        <v>0.112691732739812</v>
      </c>
      <c r="AF938" s="158">
        <f t="shared" si="179"/>
        <v>0</v>
      </c>
      <c r="AG938" s="158">
        <v>0</v>
      </c>
      <c r="AH938" s="175"/>
      <c r="AI938" s="175"/>
      <c r="AJ938" s="157">
        <v>0.02</v>
      </c>
      <c r="AK938" s="177">
        <v>0.02</v>
      </c>
    </row>
    <row r="939" s="140" customFormat="1" ht="15" hidden="1" customHeight="1" spans="1:37">
      <c r="A939" s="140">
        <v>2017</v>
      </c>
      <c r="B939" s="140" t="s">
        <v>38</v>
      </c>
      <c r="C939" s="140" t="s">
        <v>39</v>
      </c>
      <c r="D939" s="140" t="s">
        <v>81</v>
      </c>
      <c r="E939" s="140" t="s">
        <v>82</v>
      </c>
      <c r="F939" s="140" t="s">
        <v>962</v>
      </c>
      <c r="G939" s="140" t="s">
        <v>962</v>
      </c>
      <c r="H939" s="140" t="s">
        <v>962</v>
      </c>
      <c r="I939" s="140" t="s">
        <v>170</v>
      </c>
      <c r="J939" s="140" t="s">
        <v>171</v>
      </c>
      <c r="K939" s="140" t="s">
        <v>172</v>
      </c>
      <c r="L939" s="140" t="s">
        <v>959</v>
      </c>
      <c r="M939" s="140" t="s">
        <v>46</v>
      </c>
      <c r="N939" s="157">
        <v>0.01</v>
      </c>
      <c r="O939" s="156" t="s">
        <v>51</v>
      </c>
      <c r="P939" s="156"/>
      <c r="Q939" s="158">
        <v>0</v>
      </c>
      <c r="R939" s="158">
        <v>0</v>
      </c>
      <c r="S939" s="158">
        <v>40000</v>
      </c>
      <c r="T939" s="158">
        <f t="shared" si="183"/>
        <v>400</v>
      </c>
      <c r="U939" s="158">
        <f t="shared" si="188"/>
        <v>40400</v>
      </c>
      <c r="V939" s="158">
        <v>40400</v>
      </c>
      <c r="W939" s="158">
        <f t="shared" si="189"/>
        <v>0</v>
      </c>
      <c r="X939" s="158">
        <f t="shared" si="184"/>
        <v>0</v>
      </c>
      <c r="Y939" s="158">
        <f t="shared" si="190"/>
        <v>0</v>
      </c>
      <c r="Z939" s="158">
        <f>475074.9-Z936</f>
        <v>24613.9</v>
      </c>
      <c r="AA939" s="158">
        <f t="shared" si="185"/>
        <v>15786.1</v>
      </c>
      <c r="AB939" s="167">
        <f t="shared" si="197"/>
        <v>24370.198019802</v>
      </c>
      <c r="AC939" s="168">
        <f t="shared" si="187"/>
        <v>243.70198019802</v>
      </c>
      <c r="AD939" s="158">
        <f t="shared" si="200"/>
        <v>22105.1628223434</v>
      </c>
      <c r="AE939" s="159">
        <v>0.112691732739812</v>
      </c>
      <c r="AF939" s="158">
        <f t="shared" si="179"/>
        <v>2491.06910094555</v>
      </c>
      <c r="AG939" s="158">
        <v>37801.1032928417</v>
      </c>
      <c r="AH939" s="175"/>
      <c r="AI939" s="175"/>
      <c r="AJ939" s="156" t="s">
        <v>963</v>
      </c>
      <c r="AK939" s="140" t="s">
        <v>963</v>
      </c>
    </row>
    <row r="940" s="140" customFormat="1" ht="15" hidden="1" customHeight="1" spans="1:39">
      <c r="A940" s="140">
        <v>2017</v>
      </c>
      <c r="B940" s="140" t="s">
        <v>38</v>
      </c>
      <c r="C940" s="140" t="s">
        <v>39</v>
      </c>
      <c r="D940" s="140" t="s">
        <v>40</v>
      </c>
      <c r="E940" s="140" t="s">
        <v>48</v>
      </c>
      <c r="F940" s="140" t="s">
        <v>911</v>
      </c>
      <c r="G940" s="140" t="s">
        <v>911</v>
      </c>
      <c r="H940" s="140" t="s">
        <v>911</v>
      </c>
      <c r="I940" s="140" t="s">
        <v>170</v>
      </c>
      <c r="J940" s="140" t="s">
        <v>868</v>
      </c>
      <c r="K940" s="140" t="s">
        <v>869</v>
      </c>
      <c r="L940" s="140" t="s">
        <v>964</v>
      </c>
      <c r="M940" s="140" t="s">
        <v>46</v>
      </c>
      <c r="N940" s="157">
        <v>0.05</v>
      </c>
      <c r="O940" s="156" t="s">
        <v>51</v>
      </c>
      <c r="P940" s="156"/>
      <c r="Q940" s="158">
        <v>0</v>
      </c>
      <c r="R940" s="158">
        <v>0</v>
      </c>
      <c r="S940" s="158">
        <v>28571.43</v>
      </c>
      <c r="T940" s="158">
        <f t="shared" si="183"/>
        <v>1428.5715</v>
      </c>
      <c r="U940" s="158">
        <f t="shared" si="188"/>
        <v>30000.0015</v>
      </c>
      <c r="V940" s="158">
        <v>30000.0015</v>
      </c>
      <c r="W940" s="158">
        <f t="shared" si="189"/>
        <v>0</v>
      </c>
      <c r="X940" s="158">
        <f t="shared" si="184"/>
        <v>0</v>
      </c>
      <c r="Y940" s="158">
        <f t="shared" si="190"/>
        <v>0</v>
      </c>
      <c r="Z940" s="158">
        <v>21245.5</v>
      </c>
      <c r="AA940" s="158">
        <f t="shared" si="185"/>
        <v>8754.5015</v>
      </c>
      <c r="AB940" s="167">
        <f t="shared" si="197"/>
        <v>20233.8095238095</v>
      </c>
      <c r="AC940" s="168">
        <f t="shared" si="187"/>
        <v>1011.69047619048</v>
      </c>
      <c r="AD940" s="158">
        <f>Z940*0.972201473425119-Q940</f>
        <v>20654.9064036534</v>
      </c>
      <c r="AE940" s="159">
        <v>0.1</v>
      </c>
      <c r="AF940" s="158">
        <f t="shared" si="179"/>
        <v>2065.49064036534</v>
      </c>
      <c r="AG940" s="158">
        <v>1571.41809523809</v>
      </c>
      <c r="AH940" s="175"/>
      <c r="AI940" s="175"/>
      <c r="AJ940" s="157">
        <v>0.05</v>
      </c>
      <c r="AK940" s="177">
        <v>0.05</v>
      </c>
      <c r="AM940" s="140" t="s">
        <v>174</v>
      </c>
    </row>
    <row r="941" s="140" customFormat="1" ht="15" hidden="1" customHeight="1" spans="1:37">
      <c r="A941" s="140">
        <v>2017</v>
      </c>
      <c r="B941" s="140" t="s">
        <v>38</v>
      </c>
      <c r="C941" s="140" t="s">
        <v>39</v>
      </c>
      <c r="D941" s="140" t="s">
        <v>40</v>
      </c>
      <c r="E941" s="140" t="s">
        <v>41</v>
      </c>
      <c r="F941" s="140" t="s">
        <v>42</v>
      </c>
      <c r="G941" s="140" t="s">
        <v>42</v>
      </c>
      <c r="H941" s="140" t="s">
        <v>42</v>
      </c>
      <c r="I941" s="140" t="s">
        <v>170</v>
      </c>
      <c r="J941" s="140" t="s">
        <v>171</v>
      </c>
      <c r="K941" s="140" t="s">
        <v>172</v>
      </c>
      <c r="L941" s="140" t="s">
        <v>42</v>
      </c>
      <c r="M941" s="140" t="s">
        <v>185</v>
      </c>
      <c r="N941" s="156">
        <v>0</v>
      </c>
      <c r="O941" s="156" t="s">
        <v>47</v>
      </c>
      <c r="P941" s="156"/>
      <c r="Q941" s="158">
        <v>0</v>
      </c>
      <c r="R941" s="158">
        <v>0</v>
      </c>
      <c r="S941" s="158">
        <v>4000</v>
      </c>
      <c r="T941" s="158">
        <f t="shared" si="183"/>
        <v>0</v>
      </c>
      <c r="U941" s="158">
        <f t="shared" si="188"/>
        <v>4000</v>
      </c>
      <c r="V941" s="158">
        <v>0</v>
      </c>
      <c r="W941" s="158">
        <f t="shared" si="189"/>
        <v>4000</v>
      </c>
      <c r="X941" s="158">
        <f t="shared" si="184"/>
        <v>4000</v>
      </c>
      <c r="Y941" s="158">
        <f t="shared" si="190"/>
        <v>0</v>
      </c>
      <c r="Z941" s="158">
        <v>0</v>
      </c>
      <c r="AA941" s="158">
        <f t="shared" si="185"/>
        <v>0</v>
      </c>
      <c r="AB941" s="167">
        <f t="shared" si="197"/>
        <v>0</v>
      </c>
      <c r="AC941" s="168">
        <f t="shared" si="187"/>
        <v>0</v>
      </c>
      <c r="AD941" s="158">
        <f>(Z941-Q941)*0.91072157793815</f>
        <v>0</v>
      </c>
      <c r="AE941" s="159">
        <v>0.112691732739812</v>
      </c>
      <c r="AF941" s="158">
        <f t="shared" si="179"/>
        <v>0</v>
      </c>
      <c r="AG941" s="158">
        <v>0</v>
      </c>
      <c r="AH941" s="175"/>
      <c r="AI941" s="175"/>
      <c r="AJ941" s="156" t="s">
        <v>47</v>
      </c>
      <c r="AK941" s="140" t="s">
        <v>47</v>
      </c>
    </row>
    <row r="942" s="140" customFormat="1" ht="15" hidden="1" customHeight="1" spans="1:37">
      <c r="A942" s="140">
        <v>2017</v>
      </c>
      <c r="B942" s="140" t="s">
        <v>333</v>
      </c>
      <c r="C942" s="140" t="s">
        <v>39</v>
      </c>
      <c r="D942" s="140" t="s">
        <v>40</v>
      </c>
      <c r="E942" s="140" t="s">
        <v>41</v>
      </c>
      <c r="F942" s="140" t="s">
        <v>457</v>
      </c>
      <c r="G942" s="140" t="s">
        <v>965</v>
      </c>
      <c r="H942" s="140" t="s">
        <v>965</v>
      </c>
      <c r="I942" s="140" t="s">
        <v>170</v>
      </c>
      <c r="J942" s="140" t="s">
        <v>171</v>
      </c>
      <c r="K942" s="140" t="s">
        <v>172</v>
      </c>
      <c r="L942" s="140" t="s">
        <v>457</v>
      </c>
      <c r="M942" s="140" t="s">
        <v>46</v>
      </c>
      <c r="N942" s="157">
        <v>0.02</v>
      </c>
      <c r="O942" s="156" t="s">
        <v>51</v>
      </c>
      <c r="P942" s="156"/>
      <c r="Q942" s="158">
        <v>0</v>
      </c>
      <c r="R942" s="158">
        <v>0</v>
      </c>
      <c r="S942" s="158">
        <v>5205000</v>
      </c>
      <c r="T942" s="158">
        <f t="shared" si="183"/>
        <v>104100</v>
      </c>
      <c r="U942" s="158">
        <f t="shared" si="188"/>
        <v>5309100</v>
      </c>
      <c r="V942" s="158">
        <v>5275700</v>
      </c>
      <c r="W942" s="158">
        <f t="shared" si="189"/>
        <v>33400</v>
      </c>
      <c r="X942" s="158">
        <f t="shared" si="184"/>
        <v>32745.0980392157</v>
      </c>
      <c r="Y942" s="158">
        <f t="shared" si="190"/>
        <v>654.901960784315</v>
      </c>
      <c r="Z942" s="158">
        <v>5195706.4</v>
      </c>
      <c r="AA942" s="158">
        <f t="shared" si="185"/>
        <v>79993.5999999996</v>
      </c>
      <c r="AB942" s="167">
        <f t="shared" si="197"/>
        <v>5093829.80392157</v>
      </c>
      <c r="AC942" s="168">
        <f t="shared" si="187"/>
        <v>101876.596078431</v>
      </c>
      <c r="AD942" s="158">
        <f t="shared" ref="AD942:AD946" si="201">(Z942-Q942)*0.89807640489087</f>
        <v>4666141.32458049</v>
      </c>
      <c r="AE942" s="159">
        <v>0.112691732739812</v>
      </c>
      <c r="AF942" s="158">
        <f t="shared" si="179"/>
        <v>525835.551075816</v>
      </c>
      <c r="AG942" s="158">
        <v>362981.766740829</v>
      </c>
      <c r="AH942" s="175"/>
      <c r="AI942" s="175"/>
      <c r="AJ942" s="156" t="s">
        <v>173</v>
      </c>
      <c r="AK942" s="140" t="s">
        <v>173</v>
      </c>
    </row>
    <row r="943" s="140" customFormat="1" ht="15" hidden="1" customHeight="1" spans="1:37">
      <c r="A943" s="140">
        <v>2017</v>
      </c>
      <c r="B943" s="140" t="s">
        <v>38</v>
      </c>
      <c r="C943" s="140" t="s">
        <v>39</v>
      </c>
      <c r="D943" s="140" t="s">
        <v>40</v>
      </c>
      <c r="E943" s="140" t="s">
        <v>82</v>
      </c>
      <c r="F943" s="140" t="s">
        <v>966</v>
      </c>
      <c r="G943" s="140" t="s">
        <v>966</v>
      </c>
      <c r="H943" s="140" t="s">
        <v>966</v>
      </c>
      <c r="I943" s="140" t="s">
        <v>170</v>
      </c>
      <c r="J943" s="140" t="s">
        <v>171</v>
      </c>
      <c r="K943" s="140" t="s">
        <v>172</v>
      </c>
      <c r="L943" s="140" t="s">
        <v>966</v>
      </c>
      <c r="M943" s="140" t="s">
        <v>46</v>
      </c>
      <c r="N943" s="157">
        <v>0.02</v>
      </c>
      <c r="O943" s="156" t="s">
        <v>51</v>
      </c>
      <c r="P943" s="156"/>
      <c r="Q943" s="158">
        <v>0</v>
      </c>
      <c r="R943" s="158">
        <v>0</v>
      </c>
      <c r="S943" s="158">
        <v>618164</v>
      </c>
      <c r="T943" s="158">
        <f t="shared" si="183"/>
        <v>12363.28</v>
      </c>
      <c r="U943" s="158">
        <f t="shared" si="188"/>
        <v>630527.28</v>
      </c>
      <c r="V943" s="158">
        <v>630527</v>
      </c>
      <c r="W943" s="158">
        <f t="shared" si="189"/>
        <v>0.28000000002794</v>
      </c>
      <c r="X943" s="158">
        <f t="shared" si="184"/>
        <v>0.27450980394896</v>
      </c>
      <c r="Y943" s="158">
        <f t="shared" si="190"/>
        <v>0.00549019607897921</v>
      </c>
      <c r="Z943" s="158">
        <v>467118</v>
      </c>
      <c r="AA943" s="158">
        <f t="shared" si="185"/>
        <v>163409</v>
      </c>
      <c r="AB943" s="167">
        <f t="shared" si="197"/>
        <v>457958.823529412</v>
      </c>
      <c r="AC943" s="168">
        <f t="shared" si="187"/>
        <v>9159.17647058825</v>
      </c>
      <c r="AD943" s="158">
        <f t="shared" si="201"/>
        <v>419507.654099813</v>
      </c>
      <c r="AE943" s="159">
        <v>0.112691732739812</v>
      </c>
      <c r="AF943" s="158">
        <f t="shared" ref="AF943:AF1006" si="202">AD943*AE943</f>
        <v>47275.0444381217</v>
      </c>
      <c r="AG943" s="158">
        <v>32633.7371404286</v>
      </c>
      <c r="AH943" s="175"/>
      <c r="AI943" s="175"/>
      <c r="AJ943" s="156" t="s">
        <v>173</v>
      </c>
      <c r="AK943" s="140" t="s">
        <v>173</v>
      </c>
    </row>
    <row r="944" s="140" customFormat="1" ht="15" hidden="1" customHeight="1" spans="1:37">
      <c r="A944" s="140">
        <v>2017</v>
      </c>
      <c r="B944" s="140" t="s">
        <v>38</v>
      </c>
      <c r="C944" s="140" t="s">
        <v>39</v>
      </c>
      <c r="D944" s="140" t="s">
        <v>40</v>
      </c>
      <c r="E944" s="140" t="s">
        <v>82</v>
      </c>
      <c r="F944" s="140" t="s">
        <v>717</v>
      </c>
      <c r="G944" s="140" t="s">
        <v>717</v>
      </c>
      <c r="H944" s="140" t="s">
        <v>717</v>
      </c>
      <c r="I944" s="140" t="s">
        <v>170</v>
      </c>
      <c r="J944" s="140" t="s">
        <v>171</v>
      </c>
      <c r="K944" s="140" t="s">
        <v>172</v>
      </c>
      <c r="L944" s="140" t="s">
        <v>717</v>
      </c>
      <c r="M944" s="140" t="s">
        <v>46</v>
      </c>
      <c r="N944" s="156">
        <v>0.05</v>
      </c>
      <c r="O944" s="156" t="s">
        <v>51</v>
      </c>
      <c r="P944" s="156"/>
      <c r="Q944" s="158">
        <v>0</v>
      </c>
      <c r="R944" s="158">
        <v>0</v>
      </c>
      <c r="S944" s="158">
        <v>80000</v>
      </c>
      <c r="T944" s="158">
        <f t="shared" si="183"/>
        <v>4000</v>
      </c>
      <c r="U944" s="158">
        <f t="shared" si="188"/>
        <v>84000</v>
      </c>
      <c r="V944" s="158">
        <v>60000</v>
      </c>
      <c r="W944" s="158">
        <f t="shared" si="189"/>
        <v>24000</v>
      </c>
      <c r="X944" s="158">
        <f t="shared" si="184"/>
        <v>22857.1428571429</v>
      </c>
      <c r="Y944" s="158">
        <f t="shared" si="190"/>
        <v>1142.85714285714</v>
      </c>
      <c r="Z944" s="158">
        <v>49988.6</v>
      </c>
      <c r="AA944" s="158">
        <f t="shared" si="185"/>
        <v>10011.4</v>
      </c>
      <c r="AB944" s="167">
        <f t="shared" si="197"/>
        <v>47608.1904761905</v>
      </c>
      <c r="AC944" s="168">
        <f t="shared" si="187"/>
        <v>2380.40952380953</v>
      </c>
      <c r="AD944" s="158">
        <f t="shared" si="201"/>
        <v>44893.5821735277</v>
      </c>
      <c r="AE944" s="159">
        <v>0.112691732739812</v>
      </c>
      <c r="AF944" s="158">
        <f t="shared" si="202"/>
        <v>5059.13556403198</v>
      </c>
      <c r="AG944" s="158">
        <v>2092.05619435093</v>
      </c>
      <c r="AH944" s="175"/>
      <c r="AI944" s="175"/>
      <c r="AJ944" s="156" t="s">
        <v>63</v>
      </c>
      <c r="AK944" s="140" t="s">
        <v>63</v>
      </c>
    </row>
    <row r="945" s="140" customFormat="1" ht="15" hidden="1" customHeight="1" spans="1:37">
      <c r="A945" s="140">
        <v>2017</v>
      </c>
      <c r="B945" s="140" t="s">
        <v>38</v>
      </c>
      <c r="C945" s="140" t="s">
        <v>39</v>
      </c>
      <c r="D945" s="140" t="s">
        <v>40</v>
      </c>
      <c r="E945" s="140" t="s">
        <v>82</v>
      </c>
      <c r="F945" s="140" t="s">
        <v>676</v>
      </c>
      <c r="G945" s="140" t="s">
        <v>967</v>
      </c>
      <c r="H945" s="140" t="s">
        <v>967</v>
      </c>
      <c r="I945" s="140" t="s">
        <v>170</v>
      </c>
      <c r="J945" s="140" t="s">
        <v>171</v>
      </c>
      <c r="K945" s="140" t="s">
        <v>172</v>
      </c>
      <c r="L945" s="140" t="s">
        <v>676</v>
      </c>
      <c r="M945" s="140" t="s">
        <v>46</v>
      </c>
      <c r="N945" s="157">
        <v>0.04</v>
      </c>
      <c r="O945" s="156" t="s">
        <v>51</v>
      </c>
      <c r="P945" s="156"/>
      <c r="Q945" s="158">
        <v>0</v>
      </c>
      <c r="R945" s="158">
        <v>0</v>
      </c>
      <c r="S945" s="158">
        <v>150000</v>
      </c>
      <c r="T945" s="158">
        <f t="shared" si="183"/>
        <v>6000</v>
      </c>
      <c r="U945" s="158">
        <f t="shared" si="188"/>
        <v>156000</v>
      </c>
      <c r="V945" s="158">
        <v>154000</v>
      </c>
      <c r="W945" s="158">
        <f t="shared" si="189"/>
        <v>2000</v>
      </c>
      <c r="X945" s="158">
        <f t="shared" si="184"/>
        <v>1923.07692307692</v>
      </c>
      <c r="Y945" s="158">
        <f t="shared" si="190"/>
        <v>76.9230769230769</v>
      </c>
      <c r="Z945" s="158">
        <v>3237849.8</v>
      </c>
      <c r="AA945" s="158">
        <f t="shared" si="185"/>
        <v>-3083849.8</v>
      </c>
      <c r="AB945" s="167">
        <f t="shared" si="197"/>
        <v>3113317.11538462</v>
      </c>
      <c r="AC945" s="168">
        <f t="shared" si="187"/>
        <v>124532.684615385</v>
      </c>
      <c r="AD945" s="158">
        <f t="shared" si="201"/>
        <v>2907836.50796062</v>
      </c>
      <c r="AE945" s="159">
        <v>0.112691732739812</v>
      </c>
      <c r="AF945" s="158">
        <f t="shared" si="202"/>
        <v>327689.134606167</v>
      </c>
      <c r="AG945" s="158">
        <v>165156.809210261</v>
      </c>
      <c r="AH945" s="175"/>
      <c r="AI945" s="175"/>
      <c r="AJ945" s="156" t="s">
        <v>186</v>
      </c>
      <c r="AK945" s="140" t="s">
        <v>186</v>
      </c>
    </row>
    <row r="946" s="140" customFormat="1" ht="15" hidden="1" customHeight="1" spans="1:37">
      <c r="A946" s="140">
        <v>2017</v>
      </c>
      <c r="B946" s="140" t="s">
        <v>38</v>
      </c>
      <c r="C946" s="140" t="s">
        <v>59</v>
      </c>
      <c r="D946" s="140" t="s">
        <v>154</v>
      </c>
      <c r="E946" s="140" t="s">
        <v>107</v>
      </c>
      <c r="F946" s="140" t="s">
        <v>464</v>
      </c>
      <c r="G946" s="140" t="s">
        <v>464</v>
      </c>
      <c r="H946" s="140" t="s">
        <v>464</v>
      </c>
      <c r="I946" s="140" t="s">
        <v>170</v>
      </c>
      <c r="J946" s="140" t="s">
        <v>171</v>
      </c>
      <c r="K946" s="140" t="s">
        <v>172</v>
      </c>
      <c r="L946" s="140" t="s">
        <v>464</v>
      </c>
      <c r="M946" s="140" t="s">
        <v>46</v>
      </c>
      <c r="N946" s="157">
        <v>0.04</v>
      </c>
      <c r="O946" s="156" t="s">
        <v>51</v>
      </c>
      <c r="P946" s="156"/>
      <c r="Q946" s="158">
        <v>0</v>
      </c>
      <c r="R946" s="158">
        <v>0</v>
      </c>
      <c r="S946" s="158">
        <v>950000</v>
      </c>
      <c r="T946" s="158">
        <f t="shared" si="183"/>
        <v>38000</v>
      </c>
      <c r="U946" s="158">
        <f t="shared" si="188"/>
        <v>988000</v>
      </c>
      <c r="V946" s="158">
        <v>996400</v>
      </c>
      <c r="W946" s="158">
        <f t="shared" si="189"/>
        <v>-8400</v>
      </c>
      <c r="X946" s="158">
        <f t="shared" si="184"/>
        <v>-8076.92307692308</v>
      </c>
      <c r="Y946" s="158">
        <f t="shared" si="190"/>
        <v>-323.076923076924</v>
      </c>
      <c r="Z946" s="158">
        <v>908062</v>
      </c>
      <c r="AA946" s="158">
        <f t="shared" si="185"/>
        <v>88338</v>
      </c>
      <c r="AB946" s="167">
        <f t="shared" si="197"/>
        <v>873136.538461538</v>
      </c>
      <c r="AC946" s="168">
        <f t="shared" si="187"/>
        <v>34925.4615384616</v>
      </c>
      <c r="AD946" s="158">
        <f t="shared" si="201"/>
        <v>815509.056378013</v>
      </c>
      <c r="AE946" s="159">
        <v>0.112691732739812</v>
      </c>
      <c r="AF946" s="158">
        <f t="shared" si="202"/>
        <v>91901.1286282473</v>
      </c>
      <c r="AG946" s="158">
        <v>46318.5854035255</v>
      </c>
      <c r="AH946" s="175"/>
      <c r="AI946" s="175"/>
      <c r="AJ946" s="156" t="s">
        <v>186</v>
      </c>
      <c r="AK946" s="140" t="s">
        <v>186</v>
      </c>
    </row>
    <row r="947" s="140" customFormat="1" ht="15" hidden="1" customHeight="1" spans="1:37">
      <c r="A947" s="140">
        <v>2017</v>
      </c>
      <c r="B947" s="140" t="s">
        <v>38</v>
      </c>
      <c r="C947" s="140" t="s">
        <v>59</v>
      </c>
      <c r="D947" s="140" t="s">
        <v>154</v>
      </c>
      <c r="E947" s="140" t="s">
        <v>107</v>
      </c>
      <c r="F947" s="140" t="s">
        <v>338</v>
      </c>
      <c r="G947" s="140" t="s">
        <v>339</v>
      </c>
      <c r="H947" s="140" t="s">
        <v>339</v>
      </c>
      <c r="I947" s="140" t="s">
        <v>170</v>
      </c>
      <c r="J947" s="140" t="s">
        <v>868</v>
      </c>
      <c r="K947" s="140" t="s">
        <v>869</v>
      </c>
      <c r="L947" s="140" t="s">
        <v>338</v>
      </c>
      <c r="M947" s="140" t="s">
        <v>46</v>
      </c>
      <c r="N947" s="156">
        <v>0</v>
      </c>
      <c r="O947" s="156" t="s">
        <v>47</v>
      </c>
      <c r="P947" s="156"/>
      <c r="Q947" s="158">
        <v>0</v>
      </c>
      <c r="R947" s="158">
        <v>0</v>
      </c>
      <c r="S947" s="158">
        <v>10000</v>
      </c>
      <c r="T947" s="158">
        <f t="shared" si="183"/>
        <v>0</v>
      </c>
      <c r="U947" s="158">
        <f t="shared" si="188"/>
        <v>10000</v>
      </c>
      <c r="V947" s="158">
        <v>10000</v>
      </c>
      <c r="W947" s="158">
        <f t="shared" si="189"/>
        <v>0</v>
      </c>
      <c r="X947" s="158">
        <f t="shared" si="184"/>
        <v>0</v>
      </c>
      <c r="Y947" s="158">
        <f t="shared" si="190"/>
        <v>0</v>
      </c>
      <c r="Z947" s="158">
        <v>10000.5</v>
      </c>
      <c r="AA947" s="158">
        <f t="shared" si="185"/>
        <v>-0.5</v>
      </c>
      <c r="AB947" s="167">
        <f t="shared" si="197"/>
        <v>10000.5</v>
      </c>
      <c r="AC947" s="168">
        <f t="shared" si="187"/>
        <v>0</v>
      </c>
      <c r="AD947" s="158">
        <f>Z947*0.972201473425119-Q947</f>
        <v>9722.5008349879</v>
      </c>
      <c r="AE947" s="159">
        <v>0.1</v>
      </c>
      <c r="AF947" s="158">
        <f t="shared" si="202"/>
        <v>972.25008349879</v>
      </c>
      <c r="AG947" s="158">
        <v>1000.05</v>
      </c>
      <c r="AH947" s="175"/>
      <c r="AI947" s="175"/>
      <c r="AJ947" s="156" t="s">
        <v>47</v>
      </c>
      <c r="AK947" s="140" t="s">
        <v>47</v>
      </c>
    </row>
    <row r="948" s="140" customFormat="1" ht="15" hidden="1" customHeight="1" spans="1:37">
      <c r="A948" s="140">
        <v>2017</v>
      </c>
      <c r="B948" s="140" t="s">
        <v>38</v>
      </c>
      <c r="C948" s="140" t="s">
        <v>59</v>
      </c>
      <c r="D948" s="140" t="s">
        <v>154</v>
      </c>
      <c r="E948" s="140" t="s">
        <v>107</v>
      </c>
      <c r="F948" s="140" t="s">
        <v>155</v>
      </c>
      <c r="G948" s="140" t="s">
        <v>155</v>
      </c>
      <c r="H948" s="140" t="s">
        <v>155</v>
      </c>
      <c r="I948" s="140" t="s">
        <v>170</v>
      </c>
      <c r="J948" s="140" t="s">
        <v>171</v>
      </c>
      <c r="K948" s="140" t="s">
        <v>172</v>
      </c>
      <c r="L948" s="140" t="s">
        <v>155</v>
      </c>
      <c r="M948" s="140" t="s">
        <v>46</v>
      </c>
      <c r="N948" s="157">
        <v>0.02</v>
      </c>
      <c r="O948" s="156" t="s">
        <v>51</v>
      </c>
      <c r="P948" s="156"/>
      <c r="Q948" s="158">
        <v>0</v>
      </c>
      <c r="R948" s="158">
        <v>0</v>
      </c>
      <c r="S948" s="158">
        <v>51756</v>
      </c>
      <c r="T948" s="158">
        <f t="shared" si="183"/>
        <v>1035.12</v>
      </c>
      <c r="U948" s="158">
        <f t="shared" si="188"/>
        <v>52791.12</v>
      </c>
      <c r="V948" s="158">
        <v>52791</v>
      </c>
      <c r="W948" s="158">
        <f t="shared" si="189"/>
        <v>0.120000000002619</v>
      </c>
      <c r="X948" s="158">
        <f t="shared" si="184"/>
        <v>0.117647058826097</v>
      </c>
      <c r="Y948" s="158">
        <f t="shared" si="190"/>
        <v>0.00235294117652195</v>
      </c>
      <c r="Z948" s="158">
        <v>51259.9</v>
      </c>
      <c r="AA948" s="158">
        <f t="shared" si="185"/>
        <v>1531.1</v>
      </c>
      <c r="AB948" s="167">
        <f t="shared" si="197"/>
        <v>50254.8039215686</v>
      </c>
      <c r="AC948" s="168">
        <f t="shared" si="187"/>
        <v>1005.09607843137</v>
      </c>
      <c r="AD948" s="158">
        <f t="shared" ref="AD948:AD949" si="203">(Z948-Q948)*0.89807640489087</f>
        <v>46035.3067070655</v>
      </c>
      <c r="AE948" s="159">
        <v>0.112691732739812</v>
      </c>
      <c r="AF948" s="158">
        <f t="shared" si="202"/>
        <v>5187.7984800279</v>
      </c>
      <c r="AG948" s="158">
        <v>3581.11248644808</v>
      </c>
      <c r="AH948" s="175"/>
      <c r="AI948" s="175"/>
      <c r="AJ948" s="156" t="s">
        <v>173</v>
      </c>
      <c r="AK948" s="140" t="s">
        <v>173</v>
      </c>
    </row>
    <row r="949" s="140" customFormat="1" ht="15" hidden="1" customHeight="1" spans="1:37">
      <c r="A949" s="140">
        <v>2017</v>
      </c>
      <c r="B949" s="140" t="s">
        <v>38</v>
      </c>
      <c r="C949" s="140" t="s">
        <v>59</v>
      </c>
      <c r="D949" s="140" t="s">
        <v>154</v>
      </c>
      <c r="E949" s="140" t="s">
        <v>61</v>
      </c>
      <c r="F949" s="140" t="s">
        <v>724</v>
      </c>
      <c r="G949" s="140" t="s">
        <v>725</v>
      </c>
      <c r="H949" s="140" t="s">
        <v>725</v>
      </c>
      <c r="I949" s="140" t="s">
        <v>170</v>
      </c>
      <c r="J949" s="140" t="s">
        <v>171</v>
      </c>
      <c r="K949" s="140" t="s">
        <v>172</v>
      </c>
      <c r="L949" s="140" t="s">
        <v>833</v>
      </c>
      <c r="M949" s="140" t="s">
        <v>46</v>
      </c>
      <c r="N949" s="157">
        <v>0.02</v>
      </c>
      <c r="O949" s="156" t="s">
        <v>51</v>
      </c>
      <c r="P949" s="156"/>
      <c r="Q949" s="158">
        <v>0</v>
      </c>
      <c r="R949" s="158">
        <v>0</v>
      </c>
      <c r="S949" s="158">
        <v>562523.3</v>
      </c>
      <c r="T949" s="158">
        <f t="shared" si="183"/>
        <v>11250.466</v>
      </c>
      <c r="U949" s="158">
        <f t="shared" si="188"/>
        <v>573773.766</v>
      </c>
      <c r="V949" s="158">
        <v>573773.77</v>
      </c>
      <c r="W949" s="158">
        <f t="shared" si="189"/>
        <v>-0.00399999995715916</v>
      </c>
      <c r="X949" s="158">
        <f t="shared" si="184"/>
        <v>-0.00392156858545016</v>
      </c>
      <c r="Y949" s="158">
        <f t="shared" si="190"/>
        <v>-7.84313717090033e-5</v>
      </c>
      <c r="Z949" s="158">
        <v>524673.8</v>
      </c>
      <c r="AA949" s="158">
        <f t="shared" si="185"/>
        <v>49099.97</v>
      </c>
      <c r="AB949" s="167">
        <f t="shared" si="197"/>
        <v>514386.078431373</v>
      </c>
      <c r="AC949" s="168">
        <f t="shared" si="187"/>
        <v>10287.7215686275</v>
      </c>
      <c r="AD949" s="158">
        <f t="shared" si="203"/>
        <v>471197.160044431</v>
      </c>
      <c r="AE949" s="159">
        <v>0.112691732739812</v>
      </c>
      <c r="AF949" s="158">
        <f t="shared" si="202"/>
        <v>53100.0244274855</v>
      </c>
      <c r="AG949" s="158">
        <v>36654.6929762283</v>
      </c>
      <c r="AH949" s="175"/>
      <c r="AI949" s="175"/>
      <c r="AJ949" s="156" t="s">
        <v>173</v>
      </c>
      <c r="AK949" s="140" t="s">
        <v>173</v>
      </c>
    </row>
    <row r="950" s="140" customFormat="1" ht="15" hidden="1" customHeight="1" spans="1:37">
      <c r="A950" s="140">
        <v>2017</v>
      </c>
      <c r="B950" s="140" t="s">
        <v>38</v>
      </c>
      <c r="C950" s="140" t="s">
        <v>59</v>
      </c>
      <c r="D950" s="140" t="s">
        <v>154</v>
      </c>
      <c r="E950" s="140" t="s">
        <v>61</v>
      </c>
      <c r="F950" s="140" t="s">
        <v>724</v>
      </c>
      <c r="G950" s="140" t="s">
        <v>725</v>
      </c>
      <c r="H950" s="140" t="s">
        <v>725</v>
      </c>
      <c r="I950" s="140" t="s">
        <v>170</v>
      </c>
      <c r="J950" s="140" t="s">
        <v>171</v>
      </c>
      <c r="K950" s="140" t="s">
        <v>172</v>
      </c>
      <c r="L950" s="140" t="s">
        <v>833</v>
      </c>
      <c r="M950" s="140" t="s">
        <v>185</v>
      </c>
      <c r="N950" s="157">
        <v>0.04</v>
      </c>
      <c r="O950" s="156" t="s">
        <v>51</v>
      </c>
      <c r="P950" s="156"/>
      <c r="Q950" s="158">
        <v>0</v>
      </c>
      <c r="R950" s="158">
        <v>0</v>
      </c>
      <c r="S950" s="158">
        <v>7476.7</v>
      </c>
      <c r="T950" s="158">
        <f t="shared" si="183"/>
        <v>299.068</v>
      </c>
      <c r="U950" s="158">
        <f t="shared" si="188"/>
        <v>7775.768</v>
      </c>
      <c r="V950" s="158">
        <v>7476.7</v>
      </c>
      <c r="W950" s="158">
        <f t="shared" si="189"/>
        <v>299.068</v>
      </c>
      <c r="X950" s="158">
        <f t="shared" si="184"/>
        <v>287.565384615385</v>
      </c>
      <c r="Y950" s="158">
        <f t="shared" si="190"/>
        <v>11.5026153846154</v>
      </c>
      <c r="Z950" s="158">
        <v>7476.7</v>
      </c>
      <c r="AA950" s="158">
        <f t="shared" si="185"/>
        <v>0</v>
      </c>
      <c r="AB950" s="167">
        <f t="shared" si="197"/>
        <v>7189.13461538462</v>
      </c>
      <c r="AC950" s="168">
        <f t="shared" si="187"/>
        <v>287.565384615385</v>
      </c>
      <c r="AD950" s="158">
        <f>(Z950-Q950)*0.91072157793815</f>
        <v>6809.19202177017</v>
      </c>
      <c r="AE950" s="159">
        <v>0.112691732739812</v>
      </c>
      <c r="AF950" s="158">
        <f t="shared" si="202"/>
        <v>767.339647491384</v>
      </c>
      <c r="AG950" s="158">
        <v>381.372821995128</v>
      </c>
      <c r="AH950" s="175"/>
      <c r="AI950" s="175"/>
      <c r="AJ950" s="156" t="s">
        <v>186</v>
      </c>
      <c r="AK950" s="140" t="s">
        <v>186</v>
      </c>
    </row>
    <row r="951" s="140" customFormat="1" ht="15" hidden="1" customHeight="1" spans="1:37">
      <c r="A951" s="140">
        <v>2017</v>
      </c>
      <c r="B951" s="140" t="s">
        <v>38</v>
      </c>
      <c r="C951" s="140" t="s">
        <v>59</v>
      </c>
      <c r="D951" s="140" t="s">
        <v>154</v>
      </c>
      <c r="E951" s="140" t="s">
        <v>468</v>
      </c>
      <c r="F951" s="140" t="s">
        <v>726</v>
      </c>
      <c r="G951" s="140" t="s">
        <v>726</v>
      </c>
      <c r="H951" s="140" t="s">
        <v>726</v>
      </c>
      <c r="I951" s="140" t="s">
        <v>170</v>
      </c>
      <c r="J951" s="140" t="s">
        <v>171</v>
      </c>
      <c r="K951" s="140" t="s">
        <v>172</v>
      </c>
      <c r="L951" s="140" t="s">
        <v>726</v>
      </c>
      <c r="M951" s="140" t="s">
        <v>46</v>
      </c>
      <c r="N951" s="157">
        <v>0.02</v>
      </c>
      <c r="O951" s="156" t="s">
        <v>51</v>
      </c>
      <c r="P951" s="156"/>
      <c r="Q951" s="158">
        <v>0</v>
      </c>
      <c r="R951" s="158">
        <v>0</v>
      </c>
      <c r="S951" s="158">
        <v>8000</v>
      </c>
      <c r="T951" s="158">
        <f t="shared" si="183"/>
        <v>160</v>
      </c>
      <c r="U951" s="158">
        <f t="shared" si="188"/>
        <v>8160</v>
      </c>
      <c r="V951" s="158">
        <v>8160</v>
      </c>
      <c r="W951" s="158">
        <f t="shared" si="189"/>
        <v>0</v>
      </c>
      <c r="X951" s="158">
        <f t="shared" si="184"/>
        <v>0</v>
      </c>
      <c r="Y951" s="158">
        <f t="shared" si="190"/>
        <v>0</v>
      </c>
      <c r="Z951" s="158">
        <v>8158.9</v>
      </c>
      <c r="AA951" s="158">
        <f t="shared" si="185"/>
        <v>1.10000000000036</v>
      </c>
      <c r="AB951" s="167">
        <f t="shared" si="197"/>
        <v>7998.92156862745</v>
      </c>
      <c r="AC951" s="168">
        <f t="shared" si="187"/>
        <v>159.978431372549</v>
      </c>
      <c r="AD951" s="158">
        <f>(Z951-Q951)*0.89807640489087</f>
        <v>7327.31557986412</v>
      </c>
      <c r="AE951" s="159">
        <v>0.112691732739812</v>
      </c>
      <c r="AF951" s="158">
        <f t="shared" si="202"/>
        <v>825.727889026308</v>
      </c>
      <c r="AG951" s="158">
        <v>569.996013758927</v>
      </c>
      <c r="AH951" s="175"/>
      <c r="AI951" s="175"/>
      <c r="AJ951" s="156" t="s">
        <v>173</v>
      </c>
      <c r="AK951" s="140" t="s">
        <v>173</v>
      </c>
    </row>
    <row r="952" s="140" customFormat="1" ht="15" hidden="1" customHeight="1" spans="1:37">
      <c r="A952" s="140">
        <v>2017</v>
      </c>
      <c r="B952" s="140" t="s">
        <v>38</v>
      </c>
      <c r="C952" s="140" t="s">
        <v>59</v>
      </c>
      <c r="D952" s="140" t="s">
        <v>154</v>
      </c>
      <c r="E952" s="140" t="s">
        <v>468</v>
      </c>
      <c r="F952" s="140" t="s">
        <v>726</v>
      </c>
      <c r="G952" s="140" t="s">
        <v>726</v>
      </c>
      <c r="H952" s="140" t="s">
        <v>726</v>
      </c>
      <c r="I952" s="140" t="s">
        <v>170</v>
      </c>
      <c r="J952" s="140" t="s">
        <v>171</v>
      </c>
      <c r="K952" s="140" t="s">
        <v>172</v>
      </c>
      <c r="L952" s="140" t="s">
        <v>726</v>
      </c>
      <c r="M952" s="140" t="s">
        <v>185</v>
      </c>
      <c r="N952" s="157">
        <v>0.04</v>
      </c>
      <c r="O952" s="156" t="s">
        <v>51</v>
      </c>
      <c r="P952" s="156"/>
      <c r="Q952" s="158">
        <v>0</v>
      </c>
      <c r="R952" s="158">
        <v>0</v>
      </c>
      <c r="S952" s="158">
        <v>2000</v>
      </c>
      <c r="T952" s="158">
        <f t="shared" si="183"/>
        <v>80</v>
      </c>
      <c r="U952" s="158">
        <f t="shared" si="188"/>
        <v>2080</v>
      </c>
      <c r="V952" s="158">
        <v>2080</v>
      </c>
      <c r="W952" s="158">
        <f t="shared" si="189"/>
        <v>0</v>
      </c>
      <c r="X952" s="158">
        <f t="shared" si="184"/>
        <v>0</v>
      </c>
      <c r="Y952" s="158">
        <f t="shared" si="190"/>
        <v>0</v>
      </c>
      <c r="Z952" s="158">
        <v>1673.5</v>
      </c>
      <c r="AA952" s="158">
        <f t="shared" si="185"/>
        <v>406.5</v>
      </c>
      <c r="AB952" s="167">
        <f t="shared" si="197"/>
        <v>1609.13461538462</v>
      </c>
      <c r="AC952" s="168">
        <f t="shared" si="187"/>
        <v>64.3653846153848</v>
      </c>
      <c r="AD952" s="158">
        <f>(Z952-Q952)*0.91072157793815</f>
        <v>1524.09256067949</v>
      </c>
      <c r="AE952" s="159">
        <v>0.112691732739812</v>
      </c>
      <c r="AF952" s="158">
        <f t="shared" si="202"/>
        <v>171.752631518829</v>
      </c>
      <c r="AG952" s="158">
        <v>85.3621808563732</v>
      </c>
      <c r="AH952" s="175"/>
      <c r="AI952" s="175"/>
      <c r="AJ952" s="156" t="s">
        <v>186</v>
      </c>
      <c r="AK952" s="140" t="s">
        <v>186</v>
      </c>
    </row>
    <row r="953" s="140" customFormat="1" ht="15" hidden="1" customHeight="1" spans="1:37">
      <c r="A953" s="140">
        <v>2017</v>
      </c>
      <c r="B953" s="140" t="s">
        <v>199</v>
      </c>
      <c r="C953" s="140" t="s">
        <v>59</v>
      </c>
      <c r="D953" s="140" t="s">
        <v>154</v>
      </c>
      <c r="E953" s="140" t="s">
        <v>192</v>
      </c>
      <c r="F953" s="140" t="s">
        <v>968</v>
      </c>
      <c r="G953" s="140" t="s">
        <v>969</v>
      </c>
      <c r="H953" s="140" t="s">
        <v>969</v>
      </c>
      <c r="I953" s="140" t="s">
        <v>170</v>
      </c>
      <c r="J953" s="140" t="s">
        <v>171</v>
      </c>
      <c r="K953" s="140" t="s">
        <v>172</v>
      </c>
      <c r="L953" s="140" t="s">
        <v>968</v>
      </c>
      <c r="M953" s="140" t="s">
        <v>46</v>
      </c>
      <c r="N953" s="157">
        <v>0.02</v>
      </c>
      <c r="O953" s="156" t="s">
        <v>51</v>
      </c>
      <c r="P953" s="156"/>
      <c r="Q953" s="158">
        <v>0</v>
      </c>
      <c r="R953" s="158">
        <v>0</v>
      </c>
      <c r="S953" s="158">
        <v>60000</v>
      </c>
      <c r="T953" s="158">
        <f t="shared" si="183"/>
        <v>1200</v>
      </c>
      <c r="U953" s="158">
        <f t="shared" si="188"/>
        <v>61200</v>
      </c>
      <c r="V953" s="158">
        <v>61200</v>
      </c>
      <c r="W953" s="158">
        <f t="shared" si="189"/>
        <v>0</v>
      </c>
      <c r="X953" s="158">
        <f t="shared" si="184"/>
        <v>0</v>
      </c>
      <c r="Y953" s="158">
        <f t="shared" si="190"/>
        <v>0</v>
      </c>
      <c r="Z953" s="158">
        <v>61199.3</v>
      </c>
      <c r="AA953" s="158">
        <f t="shared" si="185"/>
        <v>0.69999999999709</v>
      </c>
      <c r="AB953" s="167">
        <f t="shared" si="197"/>
        <v>59999.3137254902</v>
      </c>
      <c r="AC953" s="168">
        <f t="shared" si="187"/>
        <v>1199.98627450981</v>
      </c>
      <c r="AD953" s="158">
        <f t="shared" ref="AD953:AD954" si="204">(Z953-Q953)*0.89807640489087</f>
        <v>54961.6473258378</v>
      </c>
      <c r="AE953" s="159">
        <v>0.112691732739812</v>
      </c>
      <c r="AF953" s="158">
        <f t="shared" si="202"/>
        <v>6193.72327138312</v>
      </c>
      <c r="AG953" s="158">
        <v>4275.49756031288</v>
      </c>
      <c r="AH953" s="175"/>
      <c r="AI953" s="175"/>
      <c r="AJ953" s="156" t="s">
        <v>173</v>
      </c>
      <c r="AK953" s="140" t="s">
        <v>173</v>
      </c>
    </row>
    <row r="954" s="140" customFormat="1" ht="15" hidden="1" customHeight="1" spans="1:39">
      <c r="A954" s="140">
        <v>2017</v>
      </c>
      <c r="B954" s="140" t="s">
        <v>38</v>
      </c>
      <c r="C954" s="140" t="s">
        <v>54</v>
      </c>
      <c r="D954" s="140" t="s">
        <v>102</v>
      </c>
      <c r="E954" s="140" t="s">
        <v>115</v>
      </c>
      <c r="F954" s="140" t="s">
        <v>573</v>
      </c>
      <c r="G954" s="140" t="s">
        <v>573</v>
      </c>
      <c r="H954" s="140" t="s">
        <v>573</v>
      </c>
      <c r="I954" s="140" t="s">
        <v>170</v>
      </c>
      <c r="J954" s="140" t="s">
        <v>171</v>
      </c>
      <c r="K954" s="140" t="s">
        <v>172</v>
      </c>
      <c r="L954" s="140" t="s">
        <v>573</v>
      </c>
      <c r="M954" s="140" t="s">
        <v>46</v>
      </c>
      <c r="N954" s="157">
        <v>0.02</v>
      </c>
      <c r="O954" s="156" t="s">
        <v>51</v>
      </c>
      <c r="P954" s="156"/>
      <c r="Q954" s="158">
        <v>50805.6408162512</v>
      </c>
      <c r="R954" s="158">
        <v>0</v>
      </c>
      <c r="S954" s="158">
        <v>205904.7</v>
      </c>
      <c r="T954" s="158">
        <f t="shared" si="183"/>
        <v>4118.094</v>
      </c>
      <c r="U954" s="158">
        <f t="shared" si="188"/>
        <v>210022.794</v>
      </c>
      <c r="V954" s="158">
        <v>222385.4</v>
      </c>
      <c r="W954" s="158">
        <f t="shared" si="189"/>
        <v>-12362.606</v>
      </c>
      <c r="X954" s="158">
        <f t="shared" si="184"/>
        <v>-12120.2019607843</v>
      </c>
      <c r="Y954" s="158">
        <f t="shared" si="190"/>
        <v>-242.404039215686</v>
      </c>
      <c r="Z954" s="158">
        <v>292138</v>
      </c>
      <c r="AA954" s="158">
        <f t="shared" si="185"/>
        <v>-18946.9591837488</v>
      </c>
      <c r="AB954" s="167">
        <f>IF(O954="返货",(Z954-Q954)/(1+N954),IF(O954="返现",(Z954-Q954),IF(O954="折扣",(Z954-Q954)*N954,IF(O954="无",(Z954-Q954)))))</f>
        <v>236600.35214093</v>
      </c>
      <c r="AC954" s="168">
        <f t="shared" si="187"/>
        <v>55537.6478590698</v>
      </c>
      <c r="AD954" s="158">
        <f t="shared" si="204"/>
        <v>216734.897519573</v>
      </c>
      <c r="AE954" s="159">
        <v>0.112691732739812</v>
      </c>
      <c r="AF954" s="158">
        <f t="shared" si="202"/>
        <v>24424.2311466663</v>
      </c>
      <c r="AG954" s="158">
        <v>15933.4247087725</v>
      </c>
      <c r="AH954" s="175"/>
      <c r="AI954" s="175"/>
      <c r="AJ954" s="156" t="s">
        <v>173</v>
      </c>
      <c r="AK954" s="140" t="s">
        <v>173</v>
      </c>
      <c r="AM954" s="140" t="s">
        <v>174</v>
      </c>
    </row>
    <row r="955" s="140" customFormat="1" ht="15" hidden="1" customHeight="1" spans="1:37">
      <c r="A955" s="140">
        <v>2017</v>
      </c>
      <c r="B955" s="140" t="s">
        <v>38</v>
      </c>
      <c r="C955" s="140" t="s">
        <v>59</v>
      </c>
      <c r="D955" s="140" t="s">
        <v>154</v>
      </c>
      <c r="E955" s="140" t="s">
        <v>192</v>
      </c>
      <c r="F955" s="140" t="s">
        <v>970</v>
      </c>
      <c r="G955" s="140" t="s">
        <v>970</v>
      </c>
      <c r="H955" s="140" t="s">
        <v>970</v>
      </c>
      <c r="I955" s="140" t="s">
        <v>170</v>
      </c>
      <c r="J955" s="140" t="s">
        <v>171</v>
      </c>
      <c r="K955" s="140" t="s">
        <v>172</v>
      </c>
      <c r="L955" s="140" t="s">
        <v>970</v>
      </c>
      <c r="M955" s="140" t="s">
        <v>185</v>
      </c>
      <c r="N955" s="157">
        <v>0.08</v>
      </c>
      <c r="O955" s="156" t="s">
        <v>51</v>
      </c>
      <c r="P955" s="156"/>
      <c r="Q955" s="158">
        <v>0</v>
      </c>
      <c r="R955" s="158">
        <v>0</v>
      </c>
      <c r="S955" s="158">
        <v>18518.52</v>
      </c>
      <c r="T955" s="158">
        <f t="shared" si="183"/>
        <v>1481.4816</v>
      </c>
      <c r="U955" s="158">
        <f t="shared" si="188"/>
        <v>20000.0016</v>
      </c>
      <c r="V955" s="158">
        <v>20000</v>
      </c>
      <c r="W955" s="158">
        <f t="shared" si="189"/>
        <v>0.00159999999959837</v>
      </c>
      <c r="X955" s="158">
        <f t="shared" si="184"/>
        <v>0.0014814814811096</v>
      </c>
      <c r="Y955" s="158">
        <f t="shared" si="190"/>
        <v>0.000118518518488768</v>
      </c>
      <c r="Z955" s="158">
        <v>0</v>
      </c>
      <c r="AA955" s="158">
        <f t="shared" si="185"/>
        <v>20000</v>
      </c>
      <c r="AB955" s="167">
        <f t="shared" ref="AB955:AB961" si="205">IF(O955="返货",Z955/(1+N955),IF(O955="返现",Z955,IF(O955="折扣",Z955*N955,IF(O955="无",Z955))))</f>
        <v>0</v>
      </c>
      <c r="AC955" s="168">
        <f t="shared" si="187"/>
        <v>0</v>
      </c>
      <c r="AD955" s="158">
        <f>(Z955-Q955)*0.91072157793815</f>
        <v>0</v>
      </c>
      <c r="AE955" s="159">
        <v>0.112691732739812</v>
      </c>
      <c r="AF955" s="158">
        <f t="shared" si="202"/>
        <v>0</v>
      </c>
      <c r="AG955" s="158">
        <v>0</v>
      </c>
      <c r="AH955" s="175"/>
      <c r="AI955" s="175"/>
      <c r="AJ955" s="157">
        <v>0.08</v>
      </c>
      <c r="AK955" s="177">
        <v>0.08</v>
      </c>
    </row>
    <row r="956" s="140" customFormat="1" ht="15" hidden="1" customHeight="1" spans="1:37">
      <c r="A956" s="140">
        <v>2017</v>
      </c>
      <c r="B956" s="140" t="s">
        <v>38</v>
      </c>
      <c r="C956" s="140" t="s">
        <v>59</v>
      </c>
      <c r="D956" s="140" t="s">
        <v>729</v>
      </c>
      <c r="E956" s="140" t="s">
        <v>131</v>
      </c>
      <c r="F956" s="140" t="s">
        <v>733</v>
      </c>
      <c r="G956" s="140" t="s">
        <v>733</v>
      </c>
      <c r="H956" s="140" t="s">
        <v>733</v>
      </c>
      <c r="I956" s="140" t="s">
        <v>170</v>
      </c>
      <c r="J956" s="140" t="s">
        <v>171</v>
      </c>
      <c r="K956" s="140" t="s">
        <v>172</v>
      </c>
      <c r="L956" s="140" t="s">
        <v>733</v>
      </c>
      <c r="M956" s="140" t="s">
        <v>46</v>
      </c>
      <c r="N956" s="157">
        <v>0.02</v>
      </c>
      <c r="O956" s="156" t="s">
        <v>51</v>
      </c>
      <c r="P956" s="156"/>
      <c r="Q956" s="158">
        <v>0</v>
      </c>
      <c r="R956" s="158">
        <v>0</v>
      </c>
      <c r="S956" s="158">
        <v>10000</v>
      </c>
      <c r="T956" s="158">
        <f t="shared" si="183"/>
        <v>200</v>
      </c>
      <c r="U956" s="158">
        <f t="shared" si="188"/>
        <v>10200</v>
      </c>
      <c r="V956" s="158">
        <v>10000</v>
      </c>
      <c r="W956" s="158">
        <f t="shared" si="189"/>
        <v>200</v>
      </c>
      <c r="X956" s="158">
        <f t="shared" si="184"/>
        <v>196.078431372549</v>
      </c>
      <c r="Y956" s="158">
        <f t="shared" si="190"/>
        <v>3.92156862745099</v>
      </c>
      <c r="Z956" s="158">
        <v>6960.4</v>
      </c>
      <c r="AA956" s="158">
        <f t="shared" si="185"/>
        <v>3039.6</v>
      </c>
      <c r="AB956" s="167">
        <f t="shared" si="205"/>
        <v>6823.92156862745</v>
      </c>
      <c r="AC956" s="168">
        <f t="shared" si="187"/>
        <v>136.478431372549</v>
      </c>
      <c r="AD956" s="158">
        <f t="shared" ref="AD956:AD959" si="206">(Z956-Q956)*0.89807640489087</f>
        <v>6250.97100860241</v>
      </c>
      <c r="AE956" s="159">
        <v>0.112691732739812</v>
      </c>
      <c r="AF956" s="158">
        <f t="shared" si="202"/>
        <v>704.432754265736</v>
      </c>
      <c r="AG956" s="158">
        <v>486.266562179661</v>
      </c>
      <c r="AH956" s="175"/>
      <c r="AI956" s="175"/>
      <c r="AJ956" s="156" t="s">
        <v>173</v>
      </c>
      <c r="AK956" s="140" t="s">
        <v>173</v>
      </c>
    </row>
    <row r="957" s="140" customFormat="1" ht="15" hidden="1" customHeight="1" spans="1:37">
      <c r="A957" s="140">
        <v>2017</v>
      </c>
      <c r="B957" s="140" t="s">
        <v>38</v>
      </c>
      <c r="C957" s="140" t="s">
        <v>59</v>
      </c>
      <c r="D957" s="140" t="s">
        <v>181</v>
      </c>
      <c r="E957" s="140" t="s">
        <v>61</v>
      </c>
      <c r="F957" s="140" t="s">
        <v>971</v>
      </c>
      <c r="G957" s="140" t="s">
        <v>971</v>
      </c>
      <c r="H957" s="140" t="s">
        <v>971</v>
      </c>
      <c r="I957" s="140" t="s">
        <v>170</v>
      </c>
      <c r="J957" s="140" t="s">
        <v>171</v>
      </c>
      <c r="K957" s="140" t="s">
        <v>172</v>
      </c>
      <c r="L957" s="140" t="s">
        <v>971</v>
      </c>
      <c r="M957" s="140" t="s">
        <v>46</v>
      </c>
      <c r="N957" s="157">
        <v>0.02</v>
      </c>
      <c r="O957" s="156" t="s">
        <v>51</v>
      </c>
      <c r="P957" s="156"/>
      <c r="Q957" s="158">
        <v>0</v>
      </c>
      <c r="R957" s="158">
        <v>0</v>
      </c>
      <c r="S957" s="158">
        <v>20000</v>
      </c>
      <c r="T957" s="158">
        <f t="shared" si="183"/>
        <v>400</v>
      </c>
      <c r="U957" s="158">
        <f t="shared" si="188"/>
        <v>20400</v>
      </c>
      <c r="V957" s="158">
        <v>20400</v>
      </c>
      <c r="W957" s="158">
        <f t="shared" si="189"/>
        <v>0</v>
      </c>
      <c r="X957" s="158">
        <f t="shared" si="184"/>
        <v>0</v>
      </c>
      <c r="Y957" s="158">
        <f t="shared" si="190"/>
        <v>0</v>
      </c>
      <c r="Z957" s="158">
        <v>15652.6</v>
      </c>
      <c r="AA957" s="158">
        <f t="shared" si="185"/>
        <v>4747.4</v>
      </c>
      <c r="AB957" s="167">
        <f t="shared" si="205"/>
        <v>15345.6862745098</v>
      </c>
      <c r="AC957" s="168">
        <f t="shared" si="187"/>
        <v>306.913725490196</v>
      </c>
      <c r="AD957" s="158">
        <f t="shared" si="206"/>
        <v>14057.2307351948</v>
      </c>
      <c r="AE957" s="159">
        <v>0.112691732739812</v>
      </c>
      <c r="AF957" s="158">
        <f t="shared" si="202"/>
        <v>1584.13368907245</v>
      </c>
      <c r="AG957" s="158">
        <v>1093.51991138058</v>
      </c>
      <c r="AH957" s="175"/>
      <c r="AI957" s="175"/>
      <c r="AJ957" s="156" t="s">
        <v>173</v>
      </c>
      <c r="AK957" s="140" t="s">
        <v>173</v>
      </c>
    </row>
    <row r="958" s="140" customFormat="1" ht="15" hidden="1" customHeight="1" spans="1:37">
      <c r="A958" s="140">
        <v>2017</v>
      </c>
      <c r="B958" s="140" t="s">
        <v>38</v>
      </c>
      <c r="C958" s="140" t="s">
        <v>59</v>
      </c>
      <c r="D958" s="140" t="s">
        <v>181</v>
      </c>
      <c r="E958" s="140" t="s">
        <v>61</v>
      </c>
      <c r="F958" s="140" t="s">
        <v>972</v>
      </c>
      <c r="G958" s="140" t="s">
        <v>972</v>
      </c>
      <c r="H958" s="140" t="s">
        <v>972</v>
      </c>
      <c r="I958" s="140" t="s">
        <v>170</v>
      </c>
      <c r="J958" s="140" t="s">
        <v>171</v>
      </c>
      <c r="K958" s="140" t="s">
        <v>172</v>
      </c>
      <c r="L958" s="140" t="s">
        <v>972</v>
      </c>
      <c r="M958" s="140" t="s">
        <v>46</v>
      </c>
      <c r="N958" s="157">
        <v>0.02</v>
      </c>
      <c r="O958" s="156" t="s">
        <v>51</v>
      </c>
      <c r="P958" s="156"/>
      <c r="Q958" s="158">
        <v>0</v>
      </c>
      <c r="R958" s="158">
        <v>0</v>
      </c>
      <c r="S958" s="158">
        <v>10000</v>
      </c>
      <c r="T958" s="158">
        <f t="shared" si="183"/>
        <v>200</v>
      </c>
      <c r="U958" s="158">
        <f t="shared" si="188"/>
        <v>10200</v>
      </c>
      <c r="V958" s="158">
        <v>10200</v>
      </c>
      <c r="W958" s="158">
        <f t="shared" si="189"/>
        <v>0</v>
      </c>
      <c r="X958" s="158">
        <f t="shared" si="184"/>
        <v>0</v>
      </c>
      <c r="Y958" s="158">
        <f t="shared" si="190"/>
        <v>0</v>
      </c>
      <c r="Z958" s="158">
        <v>3631.4</v>
      </c>
      <c r="AA958" s="158">
        <f t="shared" si="185"/>
        <v>6568.6</v>
      </c>
      <c r="AB958" s="167">
        <f t="shared" si="205"/>
        <v>3560.19607843137</v>
      </c>
      <c r="AC958" s="168">
        <f t="shared" si="187"/>
        <v>71.2039215686277</v>
      </c>
      <c r="AD958" s="158">
        <f t="shared" si="206"/>
        <v>3261.27465672071</v>
      </c>
      <c r="AE958" s="159">
        <v>0.112691732739812</v>
      </c>
      <c r="AF958" s="158">
        <f t="shared" si="202"/>
        <v>367.518692006292</v>
      </c>
      <c r="AG958" s="158">
        <v>253.696395882309</v>
      </c>
      <c r="AH958" s="175"/>
      <c r="AI958" s="175"/>
      <c r="AJ958" s="156" t="s">
        <v>173</v>
      </c>
      <c r="AK958" s="140" t="s">
        <v>173</v>
      </c>
    </row>
    <row r="959" s="140" customFormat="1" ht="15" hidden="1" customHeight="1" spans="1:37">
      <c r="A959" s="140">
        <v>2017</v>
      </c>
      <c r="B959" s="140" t="s">
        <v>38</v>
      </c>
      <c r="C959" s="140" t="s">
        <v>59</v>
      </c>
      <c r="D959" s="140" t="s">
        <v>181</v>
      </c>
      <c r="E959" s="140" t="s">
        <v>61</v>
      </c>
      <c r="F959" s="140" t="s">
        <v>471</v>
      </c>
      <c r="G959" s="140" t="s">
        <v>471</v>
      </c>
      <c r="H959" s="140" t="s">
        <v>471</v>
      </c>
      <c r="I959" s="140" t="s">
        <v>170</v>
      </c>
      <c r="J959" s="140" t="s">
        <v>171</v>
      </c>
      <c r="K959" s="140" t="s">
        <v>172</v>
      </c>
      <c r="L959" s="140" t="s">
        <v>471</v>
      </c>
      <c r="M959" s="140" t="s">
        <v>46</v>
      </c>
      <c r="N959" s="157">
        <v>0.04</v>
      </c>
      <c r="O959" s="156" t="s">
        <v>51</v>
      </c>
      <c r="P959" s="156"/>
      <c r="Q959" s="158">
        <v>0</v>
      </c>
      <c r="R959" s="158">
        <v>0</v>
      </c>
      <c r="S959" s="158">
        <v>10000</v>
      </c>
      <c r="T959" s="158">
        <f t="shared" si="183"/>
        <v>400</v>
      </c>
      <c r="U959" s="158">
        <f t="shared" si="188"/>
        <v>10400</v>
      </c>
      <c r="V959" s="158">
        <v>10620.6</v>
      </c>
      <c r="W959" s="158">
        <f t="shared" si="189"/>
        <v>-220.6</v>
      </c>
      <c r="X959" s="158">
        <f t="shared" si="184"/>
        <v>-212.115384615385</v>
      </c>
      <c r="Y959" s="158">
        <f t="shared" si="190"/>
        <v>-8.48461538461541</v>
      </c>
      <c r="Z959" s="158">
        <v>9051.1</v>
      </c>
      <c r="AA959" s="158">
        <f t="shared" si="185"/>
        <v>1569.5</v>
      </c>
      <c r="AB959" s="167">
        <f t="shared" si="205"/>
        <v>8702.98076923077</v>
      </c>
      <c r="AC959" s="168">
        <f t="shared" si="187"/>
        <v>348.119230769231</v>
      </c>
      <c r="AD959" s="158">
        <f t="shared" si="206"/>
        <v>8128.57934830775</v>
      </c>
      <c r="AE959" s="159">
        <v>0.112691732739812</v>
      </c>
      <c r="AF959" s="158">
        <f t="shared" si="202"/>
        <v>916.023691473853</v>
      </c>
      <c r="AG959" s="158">
        <v>461.680092709364</v>
      </c>
      <c r="AH959" s="175"/>
      <c r="AI959" s="175"/>
      <c r="AJ959" s="156" t="s">
        <v>186</v>
      </c>
      <c r="AK959" s="140" t="s">
        <v>186</v>
      </c>
    </row>
    <row r="960" s="140" customFormat="1" ht="15" hidden="1" customHeight="1" spans="1:37">
      <c r="A960" s="140">
        <v>2017</v>
      </c>
      <c r="B960" s="140" t="s">
        <v>38</v>
      </c>
      <c r="C960" s="140" t="s">
        <v>59</v>
      </c>
      <c r="D960" s="140" t="s">
        <v>181</v>
      </c>
      <c r="E960" s="140" t="s">
        <v>61</v>
      </c>
      <c r="F960" s="140" t="s">
        <v>973</v>
      </c>
      <c r="G960" s="140" t="s">
        <v>973</v>
      </c>
      <c r="H960" s="140" t="s">
        <v>973</v>
      </c>
      <c r="I960" s="140" t="s">
        <v>170</v>
      </c>
      <c r="J960" s="140" t="s">
        <v>605</v>
      </c>
      <c r="K960" s="140" t="s">
        <v>886</v>
      </c>
      <c r="L960" s="140" t="s">
        <v>973</v>
      </c>
      <c r="M960" s="140" t="s">
        <v>46</v>
      </c>
      <c r="N960" s="157">
        <v>0.02</v>
      </c>
      <c r="O960" s="156" t="s">
        <v>51</v>
      </c>
      <c r="P960" s="156"/>
      <c r="Q960" s="158">
        <v>0</v>
      </c>
      <c r="R960" s="158">
        <v>0</v>
      </c>
      <c r="S960" s="158">
        <v>330000</v>
      </c>
      <c r="T960" s="158">
        <f t="shared" si="183"/>
        <v>6600</v>
      </c>
      <c r="U960" s="158">
        <f t="shared" si="188"/>
        <v>336600</v>
      </c>
      <c r="V960" s="158">
        <v>280000</v>
      </c>
      <c r="W960" s="158">
        <f t="shared" si="189"/>
        <v>56600</v>
      </c>
      <c r="X960" s="158">
        <f t="shared" si="184"/>
        <v>55490.1960784314</v>
      </c>
      <c r="Y960" s="158">
        <f t="shared" si="190"/>
        <v>1109.80392156863</v>
      </c>
      <c r="Z960" s="158">
        <v>281660.9</v>
      </c>
      <c r="AA960" s="158">
        <f t="shared" si="185"/>
        <v>-1660.90000000002</v>
      </c>
      <c r="AB960" s="167">
        <f t="shared" si="205"/>
        <v>276138.137254902</v>
      </c>
      <c r="AC960" s="168">
        <f t="shared" si="187"/>
        <v>5522.76274509804</v>
      </c>
      <c r="AD960" s="158">
        <v>281660.9</v>
      </c>
      <c r="AE960" s="159">
        <v>0.1</v>
      </c>
      <c r="AF960" s="158">
        <f t="shared" si="202"/>
        <v>28166.09</v>
      </c>
      <c r="AG960" s="158">
        <v>22643.327254902</v>
      </c>
      <c r="AH960" s="175"/>
      <c r="AI960" s="175"/>
      <c r="AJ960" s="156" t="s">
        <v>173</v>
      </c>
      <c r="AK960" s="140" t="s">
        <v>173</v>
      </c>
    </row>
    <row r="961" s="140" customFormat="1" ht="15" hidden="1" customHeight="1" spans="1:37">
      <c r="A961" s="140">
        <v>2017</v>
      </c>
      <c r="B961" s="140" t="s">
        <v>38</v>
      </c>
      <c r="C961" s="140" t="s">
        <v>59</v>
      </c>
      <c r="D961" s="140" t="s">
        <v>181</v>
      </c>
      <c r="E961" s="140" t="s">
        <v>61</v>
      </c>
      <c r="F961" s="140" t="s">
        <v>974</v>
      </c>
      <c r="G961" s="140" t="s">
        <v>974</v>
      </c>
      <c r="H961" s="140" t="s">
        <v>974</v>
      </c>
      <c r="I961" s="140" t="s">
        <v>170</v>
      </c>
      <c r="J961" s="140" t="s">
        <v>171</v>
      </c>
      <c r="K961" s="140" t="s">
        <v>172</v>
      </c>
      <c r="L961" s="140" t="s">
        <v>974</v>
      </c>
      <c r="M961" s="140" t="s">
        <v>46</v>
      </c>
      <c r="N961" s="157">
        <v>0.02</v>
      </c>
      <c r="O961" s="156" t="s">
        <v>51</v>
      </c>
      <c r="P961" s="156"/>
      <c r="Q961" s="158">
        <v>0</v>
      </c>
      <c r="R961" s="158">
        <v>0</v>
      </c>
      <c r="S961" s="158">
        <v>10000</v>
      </c>
      <c r="T961" s="158">
        <f t="shared" si="183"/>
        <v>200</v>
      </c>
      <c r="U961" s="158">
        <f t="shared" si="188"/>
        <v>10200</v>
      </c>
      <c r="V961" s="158">
        <v>10000</v>
      </c>
      <c r="W961" s="158">
        <f t="shared" si="189"/>
        <v>200</v>
      </c>
      <c r="X961" s="158">
        <f t="shared" si="184"/>
        <v>196.078431372549</v>
      </c>
      <c r="Y961" s="158">
        <f t="shared" si="190"/>
        <v>3.92156862745099</v>
      </c>
      <c r="Z961" s="158">
        <v>9999.5</v>
      </c>
      <c r="AA961" s="158">
        <f t="shared" si="185"/>
        <v>0.5</v>
      </c>
      <c r="AB961" s="167">
        <f t="shared" si="205"/>
        <v>9803.43137254902</v>
      </c>
      <c r="AC961" s="168">
        <f t="shared" si="187"/>
        <v>196.068627450981</v>
      </c>
      <c r="AD961" s="158">
        <f t="shared" ref="AD961:AD963" si="207">(Z961-Q961)*0.89807640489087</f>
        <v>8980.31501070626</v>
      </c>
      <c r="AE961" s="159">
        <v>0.112691732739812</v>
      </c>
      <c r="AF961" s="158">
        <f t="shared" si="202"/>
        <v>1012.00725910583</v>
      </c>
      <c r="AG961" s="158">
        <v>698.583772271065</v>
      </c>
      <c r="AH961" s="175"/>
      <c r="AI961" s="175"/>
      <c r="AJ961" s="156" t="s">
        <v>173</v>
      </c>
      <c r="AK961" s="140" t="s">
        <v>173</v>
      </c>
    </row>
    <row r="962" s="140" customFormat="1" ht="15" hidden="1" customHeight="1" spans="1:39">
      <c r="A962" s="140">
        <v>2017</v>
      </c>
      <c r="B962" s="140" t="s">
        <v>199</v>
      </c>
      <c r="C962" s="140" t="s">
        <v>200</v>
      </c>
      <c r="D962" s="140" t="s">
        <v>201</v>
      </c>
      <c r="F962" s="152" t="s">
        <v>951</v>
      </c>
      <c r="G962" s="152" t="s">
        <v>952</v>
      </c>
      <c r="H962" s="152" t="s">
        <v>952</v>
      </c>
      <c r="I962" s="140" t="s">
        <v>170</v>
      </c>
      <c r="J962" s="140" t="s">
        <v>171</v>
      </c>
      <c r="K962" s="140" t="s">
        <v>172</v>
      </c>
      <c r="L962" s="140" t="s">
        <v>975</v>
      </c>
      <c r="M962" s="140" t="s">
        <v>46</v>
      </c>
      <c r="N962" s="157">
        <v>0.04</v>
      </c>
      <c r="O962" s="156" t="s">
        <v>51</v>
      </c>
      <c r="P962" s="156"/>
      <c r="Q962" s="158">
        <v>204392.144020054</v>
      </c>
      <c r="R962" s="158">
        <v>0</v>
      </c>
      <c r="S962" s="158"/>
      <c r="T962" s="158">
        <f t="shared" ref="T962:T1025" si="208">S962*N962</f>
        <v>0</v>
      </c>
      <c r="U962" s="158">
        <f t="shared" si="188"/>
        <v>0</v>
      </c>
      <c r="V962" s="158">
        <v>0</v>
      </c>
      <c r="W962" s="158">
        <f t="shared" si="189"/>
        <v>0</v>
      </c>
      <c r="X962" s="158">
        <f t="shared" ref="X962:X1025" si="209">W962/(1+N962)</f>
        <v>0</v>
      </c>
      <c r="Y962" s="158">
        <f t="shared" si="190"/>
        <v>0</v>
      </c>
      <c r="Z962" s="158">
        <v>222871.5</v>
      </c>
      <c r="AA962" s="158">
        <f t="shared" ref="AA962:AA1025" si="210">Q962+V962-Z962</f>
        <v>-18479.355979946</v>
      </c>
      <c r="AB962" s="167">
        <f>IF(O962="返货",(Z962-Q962)/(1+N962),IF(O962="返现",(Z962-Q962),IF(O962="折扣",(Z962-Q962)*N962,IF(O962="无",(Z962-Q962)))))</f>
        <v>17768.6115191789</v>
      </c>
      <c r="AC962" s="168">
        <f t="shared" ref="AC962:AC1025" si="211">IF(O962="返现",Z962*N962,Z962-AB962)</f>
        <v>205102.888480821</v>
      </c>
      <c r="AD962" s="158">
        <f t="shared" si="207"/>
        <v>16595.8735831685</v>
      </c>
      <c r="AE962" s="159">
        <v>0.112691732739812</v>
      </c>
      <c r="AF962" s="158">
        <f t="shared" si="202"/>
        <v>1870.21775041813</v>
      </c>
      <c r="AG962" s="158">
        <v>19940.2492429273</v>
      </c>
      <c r="AH962" s="175"/>
      <c r="AI962" s="175"/>
      <c r="AJ962" s="156" t="s">
        <v>186</v>
      </c>
      <c r="AK962" s="140" t="s">
        <v>47</v>
      </c>
      <c r="AM962" s="152" t="s">
        <v>208</v>
      </c>
    </row>
    <row r="963" s="140" customFormat="1" ht="15" hidden="1" customHeight="1" spans="1:37">
      <c r="A963" s="140">
        <v>2017</v>
      </c>
      <c r="B963" s="140" t="s">
        <v>38</v>
      </c>
      <c r="C963" s="140" t="s">
        <v>59</v>
      </c>
      <c r="D963" s="140" t="s">
        <v>181</v>
      </c>
      <c r="E963" s="140" t="s">
        <v>976</v>
      </c>
      <c r="F963" s="140" t="s">
        <v>472</v>
      </c>
      <c r="G963" s="140" t="s">
        <v>472</v>
      </c>
      <c r="H963" s="140" t="s">
        <v>472</v>
      </c>
      <c r="I963" s="140" t="s">
        <v>170</v>
      </c>
      <c r="J963" s="140" t="s">
        <v>171</v>
      </c>
      <c r="K963" s="140" t="s">
        <v>172</v>
      </c>
      <c r="L963" s="140" t="s">
        <v>472</v>
      </c>
      <c r="M963" s="140" t="s">
        <v>46</v>
      </c>
      <c r="N963" s="157">
        <v>0.04</v>
      </c>
      <c r="O963" s="156" t="s">
        <v>51</v>
      </c>
      <c r="P963" s="156"/>
      <c r="Q963" s="158">
        <v>0</v>
      </c>
      <c r="R963" s="158">
        <v>0</v>
      </c>
      <c r="S963" s="158">
        <v>10000</v>
      </c>
      <c r="T963" s="158">
        <f t="shared" si="208"/>
        <v>400</v>
      </c>
      <c r="U963" s="158">
        <f t="shared" ref="U963:U1026" si="212">R963+S963+T963</f>
        <v>10400</v>
      </c>
      <c r="V963" s="158">
        <v>9779.4</v>
      </c>
      <c r="W963" s="158">
        <f t="shared" ref="W963:W1026" si="213">U963-V963</f>
        <v>620.6</v>
      </c>
      <c r="X963" s="158">
        <f t="shared" si="209"/>
        <v>596.73076923077</v>
      </c>
      <c r="Y963" s="158">
        <f t="shared" ref="Y963:Y1026" si="214">W963-X963</f>
        <v>23.8692307692309</v>
      </c>
      <c r="Z963" s="158">
        <v>9779.4</v>
      </c>
      <c r="AA963" s="158">
        <f t="shared" si="210"/>
        <v>0</v>
      </c>
      <c r="AB963" s="167">
        <f t="shared" ref="AB963:AB970" si="215">IF(O963="返货",Z963/(1+N963),IF(O963="返现",Z963,IF(O963="折扣",Z963*N963,IF(O963="无",Z963))))</f>
        <v>9403.26923076923</v>
      </c>
      <c r="AC963" s="168">
        <f t="shared" si="211"/>
        <v>376.130769230769</v>
      </c>
      <c r="AD963" s="158">
        <f t="shared" si="207"/>
        <v>8782.64839398977</v>
      </c>
      <c r="AE963" s="159">
        <v>0.112691732739812</v>
      </c>
      <c r="AF963" s="158">
        <f t="shared" si="202"/>
        <v>989.731865563235</v>
      </c>
      <c r="AG963" s="158">
        <v>498.829346559198</v>
      </c>
      <c r="AH963" s="175"/>
      <c r="AI963" s="175"/>
      <c r="AJ963" s="156" t="s">
        <v>186</v>
      </c>
      <c r="AK963" s="140" t="s">
        <v>186</v>
      </c>
    </row>
    <row r="964" s="140" customFormat="1" ht="15" hidden="1" customHeight="1" spans="1:37">
      <c r="A964" s="140">
        <v>2017</v>
      </c>
      <c r="B964" s="140" t="s">
        <v>38</v>
      </c>
      <c r="C964" s="140" t="s">
        <v>59</v>
      </c>
      <c r="D964" s="140" t="s">
        <v>181</v>
      </c>
      <c r="E964" s="140" t="s">
        <v>131</v>
      </c>
      <c r="F964" s="140" t="s">
        <v>977</v>
      </c>
      <c r="G964" s="140" t="s">
        <v>977</v>
      </c>
      <c r="H964" s="140" t="s">
        <v>977</v>
      </c>
      <c r="I964" s="140" t="s">
        <v>170</v>
      </c>
      <c r="J964" s="140" t="s">
        <v>868</v>
      </c>
      <c r="K964" s="140" t="s">
        <v>869</v>
      </c>
      <c r="L964" s="140" t="s">
        <v>977</v>
      </c>
      <c r="M964" s="140" t="s">
        <v>46</v>
      </c>
      <c r="N964" s="156">
        <v>0</v>
      </c>
      <c r="O964" s="156" t="s">
        <v>47</v>
      </c>
      <c r="P964" s="156"/>
      <c r="Q964" s="158">
        <v>0</v>
      </c>
      <c r="R964" s="158">
        <v>0</v>
      </c>
      <c r="S964" s="158">
        <v>180000</v>
      </c>
      <c r="T964" s="158">
        <f t="shared" si="208"/>
        <v>0</v>
      </c>
      <c r="U964" s="158">
        <f t="shared" si="212"/>
        <v>180000</v>
      </c>
      <c r="V964" s="158">
        <v>180600</v>
      </c>
      <c r="W964" s="158">
        <f t="shared" si="213"/>
        <v>-600</v>
      </c>
      <c r="X964" s="158">
        <f t="shared" si="209"/>
        <v>-600</v>
      </c>
      <c r="Y964" s="158">
        <f t="shared" si="214"/>
        <v>0</v>
      </c>
      <c r="Z964" s="158">
        <v>180594.2</v>
      </c>
      <c r="AA964" s="158">
        <f t="shared" si="210"/>
        <v>5.79999999998836</v>
      </c>
      <c r="AB964" s="167">
        <f t="shared" si="215"/>
        <v>180594.2</v>
      </c>
      <c r="AC964" s="168">
        <f t="shared" si="211"/>
        <v>0</v>
      </c>
      <c r="AD964" s="158">
        <f>Z964*0.972201473425119-Q964</f>
        <v>175573.947332031</v>
      </c>
      <c r="AE964" s="159">
        <v>0.1</v>
      </c>
      <c r="AF964" s="158">
        <f t="shared" si="202"/>
        <v>17557.3947332031</v>
      </c>
      <c r="AG964" s="158">
        <v>18059.42</v>
      </c>
      <c r="AH964" s="175"/>
      <c r="AI964" s="175"/>
      <c r="AJ964" s="176">
        <v>0</v>
      </c>
      <c r="AK964" s="140">
        <v>0</v>
      </c>
    </row>
    <row r="965" s="140" customFormat="1" ht="15" hidden="1" customHeight="1" spans="1:37">
      <c r="A965" s="140">
        <v>2017</v>
      </c>
      <c r="B965" s="140" t="s">
        <v>38</v>
      </c>
      <c r="C965" s="140" t="s">
        <v>59</v>
      </c>
      <c r="D965" s="140" t="s">
        <v>181</v>
      </c>
      <c r="E965" s="140" t="s">
        <v>192</v>
      </c>
      <c r="F965" s="140" t="s">
        <v>978</v>
      </c>
      <c r="G965" s="140" t="s">
        <v>978</v>
      </c>
      <c r="H965" s="140" t="s">
        <v>978</v>
      </c>
      <c r="I965" s="140" t="s">
        <v>170</v>
      </c>
      <c r="J965" s="140" t="s">
        <v>171</v>
      </c>
      <c r="K965" s="140" t="s">
        <v>172</v>
      </c>
      <c r="L965" s="140" t="s">
        <v>978</v>
      </c>
      <c r="M965" s="140" t="s">
        <v>185</v>
      </c>
      <c r="N965" s="157">
        <v>0.04</v>
      </c>
      <c r="O965" s="156" t="s">
        <v>51</v>
      </c>
      <c r="P965" s="156"/>
      <c r="Q965" s="158">
        <v>0</v>
      </c>
      <c r="R965" s="158">
        <v>0</v>
      </c>
      <c r="S965" s="158">
        <v>30994.4</v>
      </c>
      <c r="T965" s="158">
        <f t="shared" si="208"/>
        <v>1239.776</v>
      </c>
      <c r="U965" s="158">
        <f t="shared" si="212"/>
        <v>32234.176</v>
      </c>
      <c r="V965" s="158">
        <v>70000</v>
      </c>
      <c r="W965" s="158">
        <f t="shared" si="213"/>
        <v>-37765.824</v>
      </c>
      <c r="X965" s="158">
        <f t="shared" si="209"/>
        <v>-36313.2923076923</v>
      </c>
      <c r="Y965" s="158">
        <f t="shared" si="214"/>
        <v>-1452.53169230769</v>
      </c>
      <c r="Z965" s="158">
        <v>45404.7</v>
      </c>
      <c r="AA965" s="158">
        <f t="shared" si="210"/>
        <v>24595.3</v>
      </c>
      <c r="AB965" s="167">
        <f t="shared" si="215"/>
        <v>43658.3653846154</v>
      </c>
      <c r="AC965" s="168">
        <f t="shared" si="211"/>
        <v>1746.33461538461</v>
      </c>
      <c r="AD965" s="158">
        <f>(Z965-Q965)*0.91072157793815</f>
        <v>41351.0400298083</v>
      </c>
      <c r="AE965" s="159">
        <v>0.112691732739812</v>
      </c>
      <c r="AF965" s="158">
        <f t="shared" si="202"/>
        <v>4659.92035155243</v>
      </c>
      <c r="AG965" s="158">
        <v>2316.01088325628</v>
      </c>
      <c r="AH965" s="175"/>
      <c r="AI965" s="175"/>
      <c r="AJ965" s="157">
        <v>0.04</v>
      </c>
      <c r="AK965" s="177">
        <v>0.04</v>
      </c>
    </row>
    <row r="966" s="140" customFormat="1" ht="15" hidden="1" customHeight="1" spans="1:37">
      <c r="A966" s="140">
        <v>2017</v>
      </c>
      <c r="B966" s="140" t="s">
        <v>38</v>
      </c>
      <c r="C966" s="140" t="s">
        <v>59</v>
      </c>
      <c r="D966" s="140" t="s">
        <v>181</v>
      </c>
      <c r="E966" s="140" t="s">
        <v>192</v>
      </c>
      <c r="F966" s="140" t="s">
        <v>973</v>
      </c>
      <c r="G966" s="140" t="s">
        <v>973</v>
      </c>
      <c r="H966" s="140" t="s">
        <v>973</v>
      </c>
      <c r="I966" s="140" t="s">
        <v>170</v>
      </c>
      <c r="J966" s="140" t="s">
        <v>868</v>
      </c>
      <c r="K966" s="140" t="s">
        <v>869</v>
      </c>
      <c r="L966" s="140" t="s">
        <v>973</v>
      </c>
      <c r="M966" s="140" t="s">
        <v>46</v>
      </c>
      <c r="N966" s="157">
        <v>0.02</v>
      </c>
      <c r="O966" s="156" t="s">
        <v>51</v>
      </c>
      <c r="P966" s="156"/>
      <c r="Q966" s="158">
        <v>0</v>
      </c>
      <c r="R966" s="158">
        <v>0</v>
      </c>
      <c r="S966" s="158">
        <v>10000</v>
      </c>
      <c r="T966" s="158">
        <f t="shared" si="208"/>
        <v>200</v>
      </c>
      <c r="U966" s="158">
        <f t="shared" si="212"/>
        <v>10200</v>
      </c>
      <c r="V966" s="158">
        <v>10200</v>
      </c>
      <c r="W966" s="158">
        <f t="shared" si="213"/>
        <v>0</v>
      </c>
      <c r="X966" s="158">
        <f t="shared" si="209"/>
        <v>0</v>
      </c>
      <c r="Y966" s="158">
        <f t="shared" si="214"/>
        <v>0</v>
      </c>
      <c r="Z966" s="158">
        <v>0</v>
      </c>
      <c r="AA966" s="158">
        <f t="shared" si="210"/>
        <v>10200</v>
      </c>
      <c r="AB966" s="167">
        <f t="shared" si="215"/>
        <v>0</v>
      </c>
      <c r="AC966" s="168">
        <f t="shared" si="211"/>
        <v>0</v>
      </c>
      <c r="AD966" s="158">
        <f>Z966*0.972201473425119-Q966</f>
        <v>0</v>
      </c>
      <c r="AE966" s="159">
        <v>0.1</v>
      </c>
      <c r="AF966" s="158">
        <f t="shared" si="202"/>
        <v>0</v>
      </c>
      <c r="AG966" s="158">
        <v>0</v>
      </c>
      <c r="AH966" s="175"/>
      <c r="AI966" s="175"/>
      <c r="AJ966" s="156" t="s">
        <v>173</v>
      </c>
      <c r="AK966" s="140" t="s">
        <v>173</v>
      </c>
    </row>
    <row r="967" s="140" customFormat="1" ht="15" hidden="1" customHeight="1" spans="1:37">
      <c r="A967" s="140">
        <v>2017</v>
      </c>
      <c r="B967" s="140" t="s">
        <v>199</v>
      </c>
      <c r="C967" s="140" t="s">
        <v>59</v>
      </c>
      <c r="D967" s="140" t="s">
        <v>106</v>
      </c>
      <c r="E967" s="140" t="s">
        <v>107</v>
      </c>
      <c r="F967" s="140" t="s">
        <v>750</v>
      </c>
      <c r="G967" s="140" t="s">
        <v>751</v>
      </c>
      <c r="H967" s="140" t="s">
        <v>751</v>
      </c>
      <c r="I967" s="140" t="s">
        <v>170</v>
      </c>
      <c r="J967" s="140" t="s">
        <v>171</v>
      </c>
      <c r="K967" s="140" t="s">
        <v>172</v>
      </c>
      <c r="L967" s="140" t="s">
        <v>750</v>
      </c>
      <c r="M967" s="140" t="s">
        <v>46</v>
      </c>
      <c r="N967" s="157">
        <v>0.02</v>
      </c>
      <c r="O967" s="156" t="s">
        <v>51</v>
      </c>
      <c r="P967" s="156"/>
      <c r="Q967" s="158">
        <v>0</v>
      </c>
      <c r="R967" s="158">
        <v>0</v>
      </c>
      <c r="S967" s="158">
        <v>440000</v>
      </c>
      <c r="T967" s="158">
        <f t="shared" si="208"/>
        <v>8800</v>
      </c>
      <c r="U967" s="158">
        <f t="shared" si="212"/>
        <v>448800</v>
      </c>
      <c r="V967" s="158">
        <v>448800</v>
      </c>
      <c r="W967" s="158">
        <f t="shared" si="213"/>
        <v>0</v>
      </c>
      <c r="X967" s="158">
        <f t="shared" si="209"/>
        <v>0</v>
      </c>
      <c r="Y967" s="158">
        <f t="shared" si="214"/>
        <v>0</v>
      </c>
      <c r="Z967" s="158">
        <v>448798.7</v>
      </c>
      <c r="AA967" s="158">
        <f t="shared" si="210"/>
        <v>1.29999999998836</v>
      </c>
      <c r="AB967" s="167">
        <f t="shared" si="215"/>
        <v>439998.725490196</v>
      </c>
      <c r="AC967" s="168">
        <f t="shared" si="211"/>
        <v>8799.97450980393</v>
      </c>
      <c r="AD967" s="158">
        <f t="shared" ref="AD967:AD968" si="216">(Z967-Q967)*0.89807640489087</f>
        <v>403055.523015696</v>
      </c>
      <c r="AE967" s="159">
        <v>0.112691732739812</v>
      </c>
      <c r="AF967" s="158">
        <f t="shared" si="202"/>
        <v>45421.02527899</v>
      </c>
      <c r="AG967" s="158">
        <v>31353.916579464</v>
      </c>
      <c r="AH967" s="175"/>
      <c r="AI967" s="175"/>
      <c r="AJ967" s="156" t="s">
        <v>173</v>
      </c>
      <c r="AK967" s="140" t="s">
        <v>173</v>
      </c>
    </row>
    <row r="968" s="140" customFormat="1" ht="15" hidden="1" customHeight="1" spans="1:37">
      <c r="A968" s="140">
        <v>2017</v>
      </c>
      <c r="B968" s="140" t="s">
        <v>38</v>
      </c>
      <c r="C968" s="140" t="s">
        <v>59</v>
      </c>
      <c r="D968" s="140" t="s">
        <v>106</v>
      </c>
      <c r="E968" s="140" t="s">
        <v>107</v>
      </c>
      <c r="F968" s="140" t="s">
        <v>979</v>
      </c>
      <c r="G968" s="140" t="s">
        <v>979</v>
      </c>
      <c r="H968" s="140" t="s">
        <v>979</v>
      </c>
      <c r="I968" s="140" t="s">
        <v>170</v>
      </c>
      <c r="J968" s="140" t="s">
        <v>171</v>
      </c>
      <c r="K968" s="140" t="s">
        <v>172</v>
      </c>
      <c r="L968" s="140" t="s">
        <v>979</v>
      </c>
      <c r="M968" s="140" t="s">
        <v>46</v>
      </c>
      <c r="N968" s="157">
        <v>0.04</v>
      </c>
      <c r="O968" s="156" t="s">
        <v>51</v>
      </c>
      <c r="P968" s="156"/>
      <c r="Q968" s="158">
        <v>0</v>
      </c>
      <c r="R968" s="158">
        <v>0</v>
      </c>
      <c r="S968" s="158">
        <v>20000</v>
      </c>
      <c r="T968" s="158">
        <f t="shared" si="208"/>
        <v>800</v>
      </c>
      <c r="U968" s="158">
        <f t="shared" si="212"/>
        <v>20800</v>
      </c>
      <c r="V968" s="158">
        <v>20000</v>
      </c>
      <c r="W968" s="158">
        <f t="shared" si="213"/>
        <v>800</v>
      </c>
      <c r="X968" s="158">
        <f t="shared" si="209"/>
        <v>769.230769230769</v>
      </c>
      <c r="Y968" s="158">
        <f t="shared" si="214"/>
        <v>30.7692307692308</v>
      </c>
      <c r="Z968" s="158">
        <v>0</v>
      </c>
      <c r="AA968" s="158">
        <f t="shared" si="210"/>
        <v>20000</v>
      </c>
      <c r="AB968" s="167">
        <f t="shared" si="215"/>
        <v>0</v>
      </c>
      <c r="AC968" s="168">
        <f t="shared" si="211"/>
        <v>0</v>
      </c>
      <c r="AD968" s="158">
        <f t="shared" si="216"/>
        <v>0</v>
      </c>
      <c r="AE968" s="159">
        <v>0.112691732739812</v>
      </c>
      <c r="AF968" s="158">
        <f t="shared" si="202"/>
        <v>0</v>
      </c>
      <c r="AG968" s="158">
        <v>0</v>
      </c>
      <c r="AH968" s="175"/>
      <c r="AI968" s="175"/>
      <c r="AJ968" s="156" t="s">
        <v>186</v>
      </c>
      <c r="AK968" s="140" t="s">
        <v>186</v>
      </c>
    </row>
    <row r="969" s="140" customFormat="1" ht="15" hidden="1" customHeight="1" spans="1:39">
      <c r="A969" s="140">
        <v>2017</v>
      </c>
      <c r="B969" s="140" t="s">
        <v>252</v>
      </c>
      <c r="C969" s="140" t="s">
        <v>75</v>
      </c>
      <c r="D969" s="140" t="s">
        <v>76</v>
      </c>
      <c r="E969" s="140" t="s">
        <v>150</v>
      </c>
      <c r="F969" s="140" t="s">
        <v>297</v>
      </c>
      <c r="G969" s="140" t="s">
        <v>298</v>
      </c>
      <c r="H969" s="140" t="s">
        <v>299</v>
      </c>
      <c r="I969" s="152" t="s">
        <v>243</v>
      </c>
      <c r="J969" s="140" t="s">
        <v>244</v>
      </c>
      <c r="K969" s="140" t="s">
        <v>245</v>
      </c>
      <c r="L969" s="140" t="s">
        <v>300</v>
      </c>
      <c r="M969" s="140" t="s">
        <v>46</v>
      </c>
      <c r="N969" s="156">
        <v>0</v>
      </c>
      <c r="O969" s="156" t="s">
        <v>47</v>
      </c>
      <c r="P969" s="156"/>
      <c r="Q969" s="158">
        <v>0</v>
      </c>
      <c r="R969" s="158">
        <v>0</v>
      </c>
      <c r="S969" s="158">
        <v>550008</v>
      </c>
      <c r="T969" s="158">
        <f t="shared" si="208"/>
        <v>0</v>
      </c>
      <c r="U969" s="158">
        <f t="shared" si="212"/>
        <v>550008</v>
      </c>
      <c r="V969" s="158">
        <v>317500</v>
      </c>
      <c r="W969" s="158">
        <f t="shared" si="213"/>
        <v>232508</v>
      </c>
      <c r="X969" s="158">
        <f t="shared" si="209"/>
        <v>232508</v>
      </c>
      <c r="Y969" s="158">
        <f t="shared" si="214"/>
        <v>0</v>
      </c>
      <c r="Z969" s="158">
        <v>334662.25</v>
      </c>
      <c r="AA969" s="158">
        <f t="shared" si="210"/>
        <v>-17162.25</v>
      </c>
      <c r="AB969" s="167">
        <f t="shared" si="215"/>
        <v>334662.25</v>
      </c>
      <c r="AC969" s="168">
        <f t="shared" si="211"/>
        <v>0</v>
      </c>
      <c r="AD969" s="158">
        <v>280536.504779937</v>
      </c>
      <c r="AE969" s="159">
        <v>0.176470588235294</v>
      </c>
      <c r="AF969" s="158">
        <f t="shared" si="202"/>
        <v>49506.4420199888</v>
      </c>
      <c r="AG969" s="158">
        <f>AB969-Z969+AF969</f>
        <v>49506.4420199888</v>
      </c>
      <c r="AH969" s="175"/>
      <c r="AI969" s="175"/>
      <c r="AJ969" s="156" t="s">
        <v>47</v>
      </c>
      <c r="AK969" s="140" t="s">
        <v>47</v>
      </c>
      <c r="AM969" s="152"/>
    </row>
    <row r="970" s="140" customFormat="1" ht="15" hidden="1" customHeight="1" spans="1:39">
      <c r="A970" s="140">
        <v>2017</v>
      </c>
      <c r="B970" s="140" t="s">
        <v>38</v>
      </c>
      <c r="C970" s="140" t="s">
        <v>75</v>
      </c>
      <c r="D970" s="140" t="s">
        <v>518</v>
      </c>
      <c r="F970" s="152" t="s">
        <v>643</v>
      </c>
      <c r="G970" s="152" t="s">
        <v>643</v>
      </c>
      <c r="H970" s="152" t="s">
        <v>643</v>
      </c>
      <c r="I970" s="140" t="s">
        <v>170</v>
      </c>
      <c r="J970" s="140" t="s">
        <v>171</v>
      </c>
      <c r="K970" s="140" t="s">
        <v>172</v>
      </c>
      <c r="L970" s="140" t="s">
        <v>643</v>
      </c>
      <c r="M970" s="140" t="s">
        <v>185</v>
      </c>
      <c r="N970" s="157">
        <v>0.1</v>
      </c>
      <c r="O970" s="156" t="s">
        <v>51</v>
      </c>
      <c r="P970" s="156"/>
      <c r="Q970" s="158">
        <v>0</v>
      </c>
      <c r="R970" s="158">
        <v>0</v>
      </c>
      <c r="S970" s="158"/>
      <c r="T970" s="158">
        <f t="shared" si="208"/>
        <v>0</v>
      </c>
      <c r="U970" s="158">
        <f t="shared" si="212"/>
        <v>0</v>
      </c>
      <c r="V970" s="158">
        <v>590.76</v>
      </c>
      <c r="W970" s="158">
        <f t="shared" si="213"/>
        <v>-590.76</v>
      </c>
      <c r="X970" s="158">
        <f t="shared" si="209"/>
        <v>-537.054545454545</v>
      </c>
      <c r="Y970" s="158">
        <f t="shared" si="214"/>
        <v>-53.7054545454546</v>
      </c>
      <c r="Z970" s="158">
        <v>15655.2</v>
      </c>
      <c r="AA970" s="158">
        <f t="shared" si="210"/>
        <v>-15064.44</v>
      </c>
      <c r="AB970" s="167">
        <f t="shared" si="215"/>
        <v>14232</v>
      </c>
      <c r="AC970" s="168">
        <f t="shared" si="211"/>
        <v>1423.2</v>
      </c>
      <c r="AD970" s="158">
        <f>(Z970-Q970)*0.91072157793815</f>
        <v>14257.5284469373</v>
      </c>
      <c r="AE970" s="159">
        <v>0.112691732739812</v>
      </c>
      <c r="AF970" s="158">
        <f t="shared" si="202"/>
        <v>1606.70558527253</v>
      </c>
      <c r="AG970" s="158">
        <v>-22.533741874237</v>
      </c>
      <c r="AH970" s="175"/>
      <c r="AI970" s="175"/>
      <c r="AJ970" s="157">
        <v>0.1</v>
      </c>
      <c r="AK970" s="177">
        <v>0.1</v>
      </c>
      <c r="AM970" s="152" t="s">
        <v>208</v>
      </c>
    </row>
    <row r="971" s="141" customFormat="1" ht="15" hidden="1" customHeight="1" spans="1:39">
      <c r="A971" s="140">
        <v>2017</v>
      </c>
      <c r="B971" s="140" t="s">
        <v>38</v>
      </c>
      <c r="C971" s="140" t="s">
        <v>59</v>
      </c>
      <c r="D971" s="140" t="s">
        <v>106</v>
      </c>
      <c r="E971" s="140" t="s">
        <v>107</v>
      </c>
      <c r="F971" s="140" t="s">
        <v>108</v>
      </c>
      <c r="G971" s="140" t="s">
        <v>108</v>
      </c>
      <c r="H971" s="140" t="s">
        <v>108</v>
      </c>
      <c r="I971" s="140" t="s">
        <v>165</v>
      </c>
      <c r="J971" s="140" t="s">
        <v>44</v>
      </c>
      <c r="K971" s="140" t="s">
        <v>166</v>
      </c>
      <c r="L971" s="140" t="s">
        <v>109</v>
      </c>
      <c r="M971" s="158" t="s">
        <v>185</v>
      </c>
      <c r="N971" s="156">
        <v>0</v>
      </c>
      <c r="O971" s="156" t="s">
        <v>47</v>
      </c>
      <c r="P971" s="156"/>
      <c r="Q971" s="158">
        <f>Z971-V971</f>
        <v>870828.378867924</v>
      </c>
      <c r="R971" s="158">
        <v>0</v>
      </c>
      <c r="S971" s="158">
        <v>100000</v>
      </c>
      <c r="T971" s="158">
        <f t="shared" si="208"/>
        <v>0</v>
      </c>
      <c r="U971" s="158">
        <f t="shared" si="212"/>
        <v>100000</v>
      </c>
      <c r="V971" s="158">
        <v>100000</v>
      </c>
      <c r="W971" s="158">
        <f t="shared" si="213"/>
        <v>0</v>
      </c>
      <c r="X971" s="158">
        <f t="shared" si="209"/>
        <v>0</v>
      </c>
      <c r="Y971" s="158">
        <f t="shared" si="214"/>
        <v>0</v>
      </c>
      <c r="Z971" s="158">
        <v>970828.378867924</v>
      </c>
      <c r="AA971" s="158">
        <f t="shared" si="210"/>
        <v>0</v>
      </c>
      <c r="AB971" s="167">
        <f>IF(O971="返货",(Z971-Q971)/(1+N971),IF(O971="返现",(Z971-Q971),IF(O971="折扣",(Z971-Q971)*N971,IF(O971="无",(Z971-Q971)))))</f>
        <v>100000</v>
      </c>
      <c r="AC971" s="168">
        <f t="shared" si="211"/>
        <v>870828.378867924</v>
      </c>
      <c r="AD971" s="158">
        <f>970828.378867924-Q971</f>
        <v>100000</v>
      </c>
      <c r="AE971" s="156">
        <v>0</v>
      </c>
      <c r="AF971" s="158">
        <f t="shared" si="202"/>
        <v>0</v>
      </c>
      <c r="AG971" s="158">
        <v>38071.7011320755</v>
      </c>
      <c r="AH971" s="158"/>
      <c r="AI971" s="158"/>
      <c r="AJ971" s="156" t="s">
        <v>186</v>
      </c>
      <c r="AK971" s="174" t="s">
        <v>186</v>
      </c>
      <c r="AL971" s="140" t="s">
        <v>980</v>
      </c>
      <c r="AM971" s="140"/>
    </row>
    <row r="972" s="140" customFormat="1" ht="15" hidden="1" customHeight="1" spans="1:39">
      <c r="A972" s="140">
        <v>2017</v>
      </c>
      <c r="B972" s="140" t="s">
        <v>38</v>
      </c>
      <c r="C972" s="140" t="s">
        <v>59</v>
      </c>
      <c r="D972" s="140" t="s">
        <v>154</v>
      </c>
      <c r="E972" s="140" t="s">
        <v>107</v>
      </c>
      <c r="F972" s="140" t="s">
        <v>338</v>
      </c>
      <c r="G972" s="140" t="s">
        <v>339</v>
      </c>
      <c r="H972" s="140" t="s">
        <v>339</v>
      </c>
      <c r="I972" s="184" t="s">
        <v>204</v>
      </c>
      <c r="J972" s="140" t="s">
        <v>205</v>
      </c>
      <c r="K972" s="140" t="s">
        <v>206</v>
      </c>
      <c r="L972" s="140" t="s">
        <v>338</v>
      </c>
      <c r="M972" s="140" t="s">
        <v>185</v>
      </c>
      <c r="N972" s="156">
        <v>0</v>
      </c>
      <c r="O972" s="156" t="s">
        <v>47</v>
      </c>
      <c r="P972" s="156"/>
      <c r="Q972" s="158">
        <v>0</v>
      </c>
      <c r="R972" s="158">
        <v>0</v>
      </c>
      <c r="S972" s="158">
        <v>23191.66</v>
      </c>
      <c r="T972" s="158">
        <f t="shared" si="208"/>
        <v>0</v>
      </c>
      <c r="U972" s="158">
        <f t="shared" si="212"/>
        <v>23191.66</v>
      </c>
      <c r="V972" s="158">
        <v>0</v>
      </c>
      <c r="W972" s="158">
        <f t="shared" si="213"/>
        <v>23191.66</v>
      </c>
      <c r="X972" s="158">
        <f t="shared" si="209"/>
        <v>23191.66</v>
      </c>
      <c r="Y972" s="158">
        <f t="shared" si="214"/>
        <v>0</v>
      </c>
      <c r="Z972" s="158">
        <v>14690</v>
      </c>
      <c r="AA972" s="158">
        <f t="shared" si="210"/>
        <v>-14690</v>
      </c>
      <c r="AB972" s="167">
        <f>IF(O972="返货",Z972/(1+N972),IF(O972="返现",Z972,IF(O972="折扣",Z972*N972,IF(O972="无",Z972))))</f>
        <v>14690</v>
      </c>
      <c r="AC972" s="168">
        <f t="shared" si="211"/>
        <v>0</v>
      </c>
      <c r="AD972" s="158">
        <v>14690</v>
      </c>
      <c r="AE972" s="159">
        <v>0.2</v>
      </c>
      <c r="AF972" s="158">
        <f t="shared" si="202"/>
        <v>2938</v>
      </c>
      <c r="AG972" s="158">
        <v>2938</v>
      </c>
      <c r="AH972" s="175"/>
      <c r="AI972" s="175"/>
      <c r="AJ972" s="156" t="s">
        <v>47</v>
      </c>
      <c r="AK972" s="140" t="s">
        <v>47</v>
      </c>
      <c r="AM972" s="152"/>
    </row>
    <row r="973" s="140" customFormat="1" ht="15" hidden="1" customHeight="1" spans="1:37">
      <c r="A973" s="140">
        <v>2017</v>
      </c>
      <c r="B973" s="140" t="s">
        <v>38</v>
      </c>
      <c r="C973" s="140" t="s">
        <v>59</v>
      </c>
      <c r="D973" s="140" t="s">
        <v>106</v>
      </c>
      <c r="E973" s="140" t="s">
        <v>190</v>
      </c>
      <c r="F973" s="140" t="s">
        <v>191</v>
      </c>
      <c r="G973" s="140" t="s">
        <v>191</v>
      </c>
      <c r="H973" s="140" t="s">
        <v>191</v>
      </c>
      <c r="I973" s="140" t="s">
        <v>170</v>
      </c>
      <c r="J973" s="140" t="s">
        <v>171</v>
      </c>
      <c r="K973" s="140" t="s">
        <v>172</v>
      </c>
      <c r="L973" s="140" t="s">
        <v>191</v>
      </c>
      <c r="M973" s="140" t="s">
        <v>185</v>
      </c>
      <c r="N973" s="157">
        <v>0.04</v>
      </c>
      <c r="O973" s="156" t="s">
        <v>51</v>
      </c>
      <c r="P973" s="156"/>
      <c r="Q973" s="158">
        <v>0</v>
      </c>
      <c r="R973" s="158">
        <v>0</v>
      </c>
      <c r="S973" s="158">
        <v>300000</v>
      </c>
      <c r="T973" s="158">
        <f t="shared" si="208"/>
        <v>12000</v>
      </c>
      <c r="U973" s="158">
        <f t="shared" si="212"/>
        <v>312000</v>
      </c>
      <c r="V973" s="158">
        <v>312000</v>
      </c>
      <c r="W973" s="158">
        <f t="shared" si="213"/>
        <v>0</v>
      </c>
      <c r="X973" s="158">
        <f t="shared" si="209"/>
        <v>0</v>
      </c>
      <c r="Y973" s="158">
        <f t="shared" si="214"/>
        <v>0</v>
      </c>
      <c r="Z973" s="158">
        <v>52163.42</v>
      </c>
      <c r="AA973" s="158">
        <f t="shared" si="210"/>
        <v>259836.58</v>
      </c>
      <c r="AB973" s="167">
        <f>IF(O973="返货",Z973/(1+N973),IF(O973="返现",Z973,IF(O973="折扣",Z973*N973,IF(O973="无",Z973))))</f>
        <v>50157.1346153846</v>
      </c>
      <c r="AC973" s="168">
        <f t="shared" si="211"/>
        <v>2006.28538461539</v>
      </c>
      <c r="AD973" s="158">
        <f>(Z973-Q973)*0.91072157793815</f>
        <v>47506.3521730505</v>
      </c>
      <c r="AE973" s="159">
        <v>0.112691732739812</v>
      </c>
      <c r="AF973" s="158">
        <f t="shared" si="202"/>
        <v>5353.57314252879</v>
      </c>
      <c r="AG973" s="158">
        <v>2660.76085576753</v>
      </c>
      <c r="AH973" s="175"/>
      <c r="AI973" s="175"/>
      <c r="AJ973" s="156" t="s">
        <v>186</v>
      </c>
      <c r="AK973" s="140" t="s">
        <v>186</v>
      </c>
    </row>
    <row r="974" s="140" customFormat="1" ht="15" hidden="1" customHeight="1" spans="1:37">
      <c r="A974" s="140">
        <v>2017</v>
      </c>
      <c r="B974" s="140" t="s">
        <v>38</v>
      </c>
      <c r="C974" s="140" t="s">
        <v>59</v>
      </c>
      <c r="D974" s="140" t="s">
        <v>106</v>
      </c>
      <c r="E974" s="140" t="s">
        <v>190</v>
      </c>
      <c r="F974" s="140" t="s">
        <v>134</v>
      </c>
      <c r="G974" s="140" t="s">
        <v>134</v>
      </c>
      <c r="H974" s="140" t="s">
        <v>134</v>
      </c>
      <c r="I974" s="140" t="s">
        <v>170</v>
      </c>
      <c r="J974" s="140" t="s">
        <v>171</v>
      </c>
      <c r="K974" s="140" t="s">
        <v>172</v>
      </c>
      <c r="L974" s="140" t="s">
        <v>134</v>
      </c>
      <c r="M974" s="140" t="s">
        <v>46</v>
      </c>
      <c r="N974" s="156">
        <v>0</v>
      </c>
      <c r="O974" s="156" t="s">
        <v>47</v>
      </c>
      <c r="P974" s="156"/>
      <c r="Q974" s="158">
        <v>100000</v>
      </c>
      <c r="R974" s="158">
        <v>0</v>
      </c>
      <c r="S974" s="158">
        <v>32700</v>
      </c>
      <c r="T974" s="158">
        <f t="shared" si="208"/>
        <v>0</v>
      </c>
      <c r="U974" s="158">
        <f t="shared" si="212"/>
        <v>32700</v>
      </c>
      <c r="V974" s="158">
        <v>32700</v>
      </c>
      <c r="W974" s="158">
        <f t="shared" si="213"/>
        <v>0</v>
      </c>
      <c r="X974" s="158">
        <f t="shared" si="209"/>
        <v>0</v>
      </c>
      <c r="Y974" s="158">
        <f t="shared" si="214"/>
        <v>0</v>
      </c>
      <c r="Z974" s="158">
        <v>84742.8</v>
      </c>
      <c r="AA974" s="158">
        <f t="shared" si="210"/>
        <v>47957.2</v>
      </c>
      <c r="AB974" s="167">
        <f>IF(O974="返货",(Z974-Q974)/(1+N974),IF(O974="返现",(Z974-Q974),IF(O974="折扣",(Z974-Q974)*N974,IF(O974="无",(Z974-Q974)))))</f>
        <v>-15257.2</v>
      </c>
      <c r="AC974" s="168">
        <f t="shared" si="211"/>
        <v>100000</v>
      </c>
      <c r="AD974" s="158">
        <f t="shared" ref="AD974:AD975" si="217">(Z974-Q974)*0.89807640489087</f>
        <v>-13702.131324701</v>
      </c>
      <c r="AE974" s="159">
        <v>0.112691732739812</v>
      </c>
      <c r="AF974" s="158">
        <f t="shared" si="202"/>
        <v>-1544.11692120901</v>
      </c>
      <c r="AG974" s="158">
        <v>7581.91403361822</v>
      </c>
      <c r="AH974" s="175"/>
      <c r="AI974" s="175"/>
      <c r="AJ974" s="156" t="s">
        <v>47</v>
      </c>
      <c r="AK974" s="140" t="s">
        <v>47</v>
      </c>
    </row>
    <row r="975" s="140" customFormat="1" ht="15" hidden="1" customHeight="1" spans="1:37">
      <c r="A975" s="140">
        <v>2017</v>
      </c>
      <c r="B975" s="140" t="s">
        <v>38</v>
      </c>
      <c r="C975" s="140" t="s">
        <v>59</v>
      </c>
      <c r="D975" s="140" t="s">
        <v>154</v>
      </c>
      <c r="E975" s="140" t="s">
        <v>192</v>
      </c>
      <c r="F975" s="140" t="s">
        <v>970</v>
      </c>
      <c r="G975" s="140" t="s">
        <v>970</v>
      </c>
      <c r="H975" s="140" t="s">
        <v>970</v>
      </c>
      <c r="I975" s="140" t="s">
        <v>170</v>
      </c>
      <c r="J975" s="140" t="s">
        <v>171</v>
      </c>
      <c r="K975" s="140" t="s">
        <v>172</v>
      </c>
      <c r="L975" s="140" t="s">
        <v>970</v>
      </c>
      <c r="M975" s="140" t="s">
        <v>46</v>
      </c>
      <c r="N975" s="157">
        <v>0.04</v>
      </c>
      <c r="O975" s="156" t="s">
        <v>51</v>
      </c>
      <c r="P975" s="156"/>
      <c r="Q975" s="158">
        <v>0</v>
      </c>
      <c r="R975" s="158">
        <v>0</v>
      </c>
      <c r="S975" s="158">
        <v>19230.77</v>
      </c>
      <c r="T975" s="158">
        <f t="shared" si="208"/>
        <v>769.2308</v>
      </c>
      <c r="U975" s="158">
        <f t="shared" si="212"/>
        <v>20000.0008</v>
      </c>
      <c r="V975" s="158">
        <v>20000</v>
      </c>
      <c r="W975" s="158">
        <f t="shared" si="213"/>
        <v>0.000800000001618173</v>
      </c>
      <c r="X975" s="158">
        <f t="shared" si="209"/>
        <v>0.000769230770786705</v>
      </c>
      <c r="Y975" s="158">
        <f t="shared" si="214"/>
        <v>3.07692308314682e-5</v>
      </c>
      <c r="Z975" s="158">
        <v>34366.2</v>
      </c>
      <c r="AA975" s="158">
        <f t="shared" si="210"/>
        <v>-14366.2</v>
      </c>
      <c r="AB975" s="167">
        <f t="shared" ref="AB975:AB982" si="218">IF(O975="返货",Z975/(1+N975),IF(O975="返现",Z975,IF(O975="折扣",Z975*N975,IF(O975="无",Z975))))</f>
        <v>33044.4230769231</v>
      </c>
      <c r="AC975" s="168">
        <f t="shared" si="211"/>
        <v>1321.77692307693</v>
      </c>
      <c r="AD975" s="158">
        <f t="shared" si="217"/>
        <v>30863.4733457606</v>
      </c>
      <c r="AE975" s="159">
        <v>0.112691732739812</v>
      </c>
      <c r="AF975" s="158">
        <f t="shared" si="202"/>
        <v>3478.05828970277</v>
      </c>
      <c r="AG975" s="158">
        <v>1752.95714355918</v>
      </c>
      <c r="AH975" s="175"/>
      <c r="AI975" s="175"/>
      <c r="AJ975" s="157">
        <v>0.04</v>
      </c>
      <c r="AK975" s="177">
        <v>0.04</v>
      </c>
    </row>
    <row r="976" s="140" customFormat="1" ht="15" hidden="1" customHeight="1" spans="1:37">
      <c r="A976" s="140">
        <v>2017</v>
      </c>
      <c r="B976" s="140" t="s">
        <v>38</v>
      </c>
      <c r="C976" s="140" t="s">
        <v>59</v>
      </c>
      <c r="D976" s="140" t="s">
        <v>106</v>
      </c>
      <c r="E976" s="140" t="s">
        <v>190</v>
      </c>
      <c r="F976" s="140" t="s">
        <v>197</v>
      </c>
      <c r="G976" s="140" t="s">
        <v>197</v>
      </c>
      <c r="H976" s="140" t="s">
        <v>197</v>
      </c>
      <c r="I976" s="140" t="s">
        <v>170</v>
      </c>
      <c r="J976" s="140" t="s">
        <v>171</v>
      </c>
      <c r="K976" s="140" t="s">
        <v>172</v>
      </c>
      <c r="L976" s="140" t="s">
        <v>197</v>
      </c>
      <c r="M976" s="140" t="s">
        <v>160</v>
      </c>
      <c r="N976" s="157">
        <v>0.02</v>
      </c>
      <c r="O976" s="156" t="s">
        <v>51</v>
      </c>
      <c r="P976" s="156"/>
      <c r="Q976" s="158">
        <v>0</v>
      </c>
      <c r="R976" s="158">
        <v>0</v>
      </c>
      <c r="S976" s="158">
        <v>34540</v>
      </c>
      <c r="T976" s="158">
        <f t="shared" si="208"/>
        <v>690.8</v>
      </c>
      <c r="U976" s="158">
        <f t="shared" si="212"/>
        <v>35230.8</v>
      </c>
      <c r="V976" s="158">
        <v>34540</v>
      </c>
      <c r="W976" s="158">
        <f t="shared" si="213"/>
        <v>690.800000000003</v>
      </c>
      <c r="X976" s="158">
        <f t="shared" si="209"/>
        <v>677.254901960787</v>
      </c>
      <c r="Y976" s="158">
        <f t="shared" si="214"/>
        <v>13.5450980392158</v>
      </c>
      <c r="Z976" s="158">
        <v>34540</v>
      </c>
      <c r="AA976" s="158">
        <f t="shared" si="210"/>
        <v>0</v>
      </c>
      <c r="AB976" s="167">
        <f t="shared" si="218"/>
        <v>33862.7450980392</v>
      </c>
      <c r="AC976" s="168">
        <f t="shared" si="211"/>
        <v>677.254901960783</v>
      </c>
      <c r="AD976" s="158">
        <f>(Z976-Q976)*0.826045217867759</f>
        <v>28531.6018251524</v>
      </c>
      <c r="AE976" s="159">
        <v>0.112691732739812</v>
      </c>
      <c r="AF976" s="158">
        <f t="shared" si="202"/>
        <v>3215.27564751881</v>
      </c>
      <c r="AG976" s="158">
        <v>2413.02900087431</v>
      </c>
      <c r="AH976" s="175"/>
      <c r="AI976" s="175"/>
      <c r="AJ976" s="156" t="s">
        <v>173</v>
      </c>
      <c r="AK976" s="140" t="s">
        <v>173</v>
      </c>
    </row>
    <row r="977" s="140" customFormat="1" ht="15" hidden="1" customHeight="1" spans="1:37">
      <c r="A977" s="140">
        <v>2017</v>
      </c>
      <c r="B977" s="140" t="s">
        <v>38</v>
      </c>
      <c r="C977" s="140" t="s">
        <v>59</v>
      </c>
      <c r="D977" s="140" t="s">
        <v>106</v>
      </c>
      <c r="E977" s="140" t="s">
        <v>190</v>
      </c>
      <c r="F977" s="140" t="s">
        <v>439</v>
      </c>
      <c r="G977" s="140" t="s">
        <v>439</v>
      </c>
      <c r="H977" s="140" t="s">
        <v>439</v>
      </c>
      <c r="I977" s="140" t="s">
        <v>170</v>
      </c>
      <c r="J977" s="140" t="s">
        <v>171</v>
      </c>
      <c r="K977" s="140" t="s">
        <v>172</v>
      </c>
      <c r="L977" s="140" t="s">
        <v>439</v>
      </c>
      <c r="M977" s="140" t="s">
        <v>185</v>
      </c>
      <c r="N977" s="157">
        <v>0.08</v>
      </c>
      <c r="O977" s="156" t="s">
        <v>51</v>
      </c>
      <c r="P977" s="156"/>
      <c r="Q977" s="158">
        <v>0</v>
      </c>
      <c r="R977" s="158">
        <v>0</v>
      </c>
      <c r="S977" s="158">
        <v>260000</v>
      </c>
      <c r="T977" s="158">
        <f t="shared" si="208"/>
        <v>20800</v>
      </c>
      <c r="U977" s="158">
        <f t="shared" si="212"/>
        <v>280800</v>
      </c>
      <c r="V977" s="158">
        <v>270400</v>
      </c>
      <c r="W977" s="158">
        <f t="shared" si="213"/>
        <v>10400</v>
      </c>
      <c r="X977" s="158">
        <f t="shared" si="209"/>
        <v>9629.62962962963</v>
      </c>
      <c r="Y977" s="158">
        <f t="shared" si="214"/>
        <v>770.37037037037</v>
      </c>
      <c r="Z977" s="158">
        <v>260115.62</v>
      </c>
      <c r="AA977" s="158">
        <f t="shared" si="210"/>
        <v>10284.38</v>
      </c>
      <c r="AB977" s="167">
        <f t="shared" si="218"/>
        <v>240847.796296296</v>
      </c>
      <c r="AC977" s="168">
        <f t="shared" si="211"/>
        <v>19267.8237037037</v>
      </c>
      <c r="AD977" s="158">
        <f>(Z977-Q977)*0.91072157793815</f>
        <v>236892.90789276</v>
      </c>
      <c r="AE977" s="159">
        <v>0.112691732739812</v>
      </c>
      <c r="AF977" s="158">
        <f t="shared" si="202"/>
        <v>26695.8722642078</v>
      </c>
      <c r="AG977" s="158">
        <v>4004.64628361442</v>
      </c>
      <c r="AH977" s="175"/>
      <c r="AI977" s="175"/>
      <c r="AJ977" s="156" t="s">
        <v>53</v>
      </c>
      <c r="AK977" s="140" t="s">
        <v>53</v>
      </c>
    </row>
    <row r="978" s="140" customFormat="1" ht="15" hidden="1" customHeight="1" spans="1:37">
      <c r="A978" s="140">
        <v>2017</v>
      </c>
      <c r="B978" s="140" t="s">
        <v>38</v>
      </c>
      <c r="C978" s="140" t="s">
        <v>59</v>
      </c>
      <c r="D978" s="140" t="s">
        <v>106</v>
      </c>
      <c r="E978" s="140" t="s">
        <v>190</v>
      </c>
      <c r="F978" s="140" t="s">
        <v>439</v>
      </c>
      <c r="G978" s="140" t="s">
        <v>981</v>
      </c>
      <c r="H978" s="140" t="s">
        <v>981</v>
      </c>
      <c r="I978" s="140" t="s">
        <v>170</v>
      </c>
      <c r="J978" s="140" t="s">
        <v>171</v>
      </c>
      <c r="K978" s="140" t="s">
        <v>172</v>
      </c>
      <c r="L978" s="140" t="s">
        <v>439</v>
      </c>
      <c r="M978" s="140" t="s">
        <v>46</v>
      </c>
      <c r="N978" s="157">
        <v>0.02</v>
      </c>
      <c r="O978" s="156" t="s">
        <v>51</v>
      </c>
      <c r="P978" s="156" t="s">
        <v>440</v>
      </c>
      <c r="Q978" s="158">
        <v>0</v>
      </c>
      <c r="R978" s="158">
        <v>0</v>
      </c>
      <c r="S978" s="158">
        <v>620000</v>
      </c>
      <c r="T978" s="158">
        <f t="shared" si="208"/>
        <v>12400</v>
      </c>
      <c r="U978" s="158">
        <f t="shared" si="212"/>
        <v>632400</v>
      </c>
      <c r="V978" s="158">
        <v>632400</v>
      </c>
      <c r="W978" s="158">
        <f t="shared" si="213"/>
        <v>0</v>
      </c>
      <c r="X978" s="158">
        <f t="shared" si="209"/>
        <v>0</v>
      </c>
      <c r="Y978" s="158">
        <f t="shared" si="214"/>
        <v>0</v>
      </c>
      <c r="Z978" s="158">
        <v>632400</v>
      </c>
      <c r="AA978" s="158">
        <f t="shared" si="210"/>
        <v>0</v>
      </c>
      <c r="AB978" s="167">
        <f t="shared" si="218"/>
        <v>620000</v>
      </c>
      <c r="AC978" s="168">
        <f t="shared" si="211"/>
        <v>12400</v>
      </c>
      <c r="AD978" s="158">
        <f t="shared" ref="AD978:AD980" si="219">(Z978-Q978)*0.89807640489087</f>
        <v>567943.518452986</v>
      </c>
      <c r="AE978" s="159">
        <v>0.112691732739812</v>
      </c>
      <c r="AF978" s="158">
        <f t="shared" si="202"/>
        <v>64002.5391928124</v>
      </c>
      <c r="AG978" s="158">
        <v>0</v>
      </c>
      <c r="AH978" s="175"/>
      <c r="AI978" s="175"/>
      <c r="AJ978" s="156" t="s">
        <v>173</v>
      </c>
      <c r="AK978" s="140" t="s">
        <v>173</v>
      </c>
    </row>
    <row r="979" s="140" customFormat="1" ht="15" hidden="1" customHeight="1" spans="1:37">
      <c r="A979" s="140">
        <v>2017</v>
      </c>
      <c r="B979" s="140" t="s">
        <v>38</v>
      </c>
      <c r="C979" s="140" t="s">
        <v>59</v>
      </c>
      <c r="D979" s="140" t="s">
        <v>106</v>
      </c>
      <c r="E979" s="140" t="s">
        <v>190</v>
      </c>
      <c r="F979" s="140" t="s">
        <v>982</v>
      </c>
      <c r="G979" s="140" t="s">
        <v>982</v>
      </c>
      <c r="H979" s="140" t="s">
        <v>982</v>
      </c>
      <c r="I979" s="140" t="s">
        <v>170</v>
      </c>
      <c r="J979" s="140" t="s">
        <v>171</v>
      </c>
      <c r="K979" s="140" t="s">
        <v>172</v>
      </c>
      <c r="L979" s="140" t="s">
        <v>982</v>
      </c>
      <c r="M979" s="140" t="s">
        <v>46</v>
      </c>
      <c r="N979" s="157">
        <v>0.02</v>
      </c>
      <c r="O979" s="156" t="s">
        <v>51</v>
      </c>
      <c r="P979" s="156"/>
      <c r="Q979" s="158">
        <v>0</v>
      </c>
      <c r="R979" s="158">
        <v>0</v>
      </c>
      <c r="S979" s="158">
        <v>100000</v>
      </c>
      <c r="T979" s="158">
        <f t="shared" si="208"/>
        <v>2000</v>
      </c>
      <c r="U979" s="158">
        <f t="shared" si="212"/>
        <v>102000</v>
      </c>
      <c r="V979" s="158">
        <v>102000</v>
      </c>
      <c r="W979" s="158">
        <f t="shared" si="213"/>
        <v>0</v>
      </c>
      <c r="X979" s="158">
        <f t="shared" si="209"/>
        <v>0</v>
      </c>
      <c r="Y979" s="158">
        <f t="shared" si="214"/>
        <v>0</v>
      </c>
      <c r="Z979" s="158">
        <v>101996.9</v>
      </c>
      <c r="AA979" s="158">
        <f t="shared" si="210"/>
        <v>3.10000000000582</v>
      </c>
      <c r="AB979" s="167">
        <f t="shared" si="218"/>
        <v>99996.9607843137</v>
      </c>
      <c r="AC979" s="168">
        <f t="shared" si="211"/>
        <v>1999.93921568627</v>
      </c>
      <c r="AD979" s="158">
        <f t="shared" si="219"/>
        <v>91601.0092620136</v>
      </c>
      <c r="AE979" s="159">
        <v>0.112691732739812</v>
      </c>
      <c r="AF979" s="158">
        <f t="shared" si="202"/>
        <v>10322.6764544519</v>
      </c>
      <c r="AG979" s="158">
        <v>7125.69420090551</v>
      </c>
      <c r="AH979" s="175"/>
      <c r="AI979" s="175"/>
      <c r="AJ979" s="156" t="s">
        <v>173</v>
      </c>
      <c r="AK979" s="140" t="s">
        <v>173</v>
      </c>
    </row>
    <row r="980" s="140" customFormat="1" ht="15" hidden="1" customHeight="1" spans="1:37">
      <c r="A980" s="140">
        <v>2017</v>
      </c>
      <c r="B980" s="140" t="s">
        <v>38</v>
      </c>
      <c r="C980" s="140" t="s">
        <v>59</v>
      </c>
      <c r="D980" s="140" t="s">
        <v>106</v>
      </c>
      <c r="E980" s="140" t="s">
        <v>61</v>
      </c>
      <c r="F980" s="140" t="s">
        <v>746</v>
      </c>
      <c r="G980" s="140" t="s">
        <v>746</v>
      </c>
      <c r="H980" s="140" t="s">
        <v>746</v>
      </c>
      <c r="I980" s="140" t="s">
        <v>170</v>
      </c>
      <c r="J980" s="140" t="s">
        <v>171</v>
      </c>
      <c r="K980" s="140" t="s">
        <v>172</v>
      </c>
      <c r="L980" s="140" t="s">
        <v>746</v>
      </c>
      <c r="M980" s="140" t="s">
        <v>46</v>
      </c>
      <c r="N980" s="157">
        <v>0.02</v>
      </c>
      <c r="O980" s="156" t="s">
        <v>51</v>
      </c>
      <c r="P980" s="156"/>
      <c r="Q980" s="158">
        <v>0</v>
      </c>
      <c r="R980" s="158">
        <v>0</v>
      </c>
      <c r="S980" s="158">
        <v>240000</v>
      </c>
      <c r="T980" s="158">
        <f t="shared" si="208"/>
        <v>4800</v>
      </c>
      <c r="U980" s="158">
        <f t="shared" si="212"/>
        <v>244800</v>
      </c>
      <c r="V980" s="158">
        <v>242800</v>
      </c>
      <c r="W980" s="158">
        <f t="shared" si="213"/>
        <v>2000</v>
      </c>
      <c r="X980" s="158">
        <f t="shared" si="209"/>
        <v>1960.78431372549</v>
      </c>
      <c r="Y980" s="158">
        <f t="shared" si="214"/>
        <v>39.2156862745098</v>
      </c>
      <c r="Z980" s="158">
        <v>242799.7</v>
      </c>
      <c r="AA980" s="158">
        <f t="shared" si="210"/>
        <v>0.299999999988358</v>
      </c>
      <c r="AB980" s="167">
        <f t="shared" si="218"/>
        <v>238038.921568627</v>
      </c>
      <c r="AC980" s="168">
        <f t="shared" si="211"/>
        <v>4760.77843137254</v>
      </c>
      <c r="AD980" s="158">
        <f t="shared" si="219"/>
        <v>218052.681684582</v>
      </c>
      <c r="AE980" s="159">
        <v>0.112691732739812</v>
      </c>
      <c r="AF980" s="158">
        <f t="shared" si="202"/>
        <v>24572.7345275982</v>
      </c>
      <c r="AG980" s="158">
        <v>16962.4411552861</v>
      </c>
      <c r="AH980" s="175"/>
      <c r="AI980" s="175"/>
      <c r="AJ980" s="156" t="s">
        <v>173</v>
      </c>
      <c r="AK980" s="140" t="s">
        <v>173</v>
      </c>
    </row>
    <row r="981" s="140" customFormat="1" ht="15" hidden="1" customHeight="1" spans="1:37">
      <c r="A981" s="140">
        <v>2017</v>
      </c>
      <c r="B981" s="140" t="s">
        <v>38</v>
      </c>
      <c r="C981" s="140" t="s">
        <v>59</v>
      </c>
      <c r="D981" s="140" t="s">
        <v>106</v>
      </c>
      <c r="E981" s="140" t="s">
        <v>61</v>
      </c>
      <c r="F981" s="140" t="s">
        <v>197</v>
      </c>
      <c r="G981" s="140" t="s">
        <v>197</v>
      </c>
      <c r="H981" s="140" t="s">
        <v>197</v>
      </c>
      <c r="I981" s="140" t="s">
        <v>170</v>
      </c>
      <c r="J981" s="140" t="s">
        <v>171</v>
      </c>
      <c r="K981" s="140" t="s">
        <v>172</v>
      </c>
      <c r="L981" s="140" t="s">
        <v>197</v>
      </c>
      <c r="M981" s="140" t="s">
        <v>185</v>
      </c>
      <c r="N981" s="157">
        <v>0.04</v>
      </c>
      <c r="O981" s="156" t="s">
        <v>51</v>
      </c>
      <c r="P981" s="156"/>
      <c r="Q981" s="158">
        <v>0</v>
      </c>
      <c r="R981" s="158">
        <v>0</v>
      </c>
      <c r="S981" s="158">
        <v>10000</v>
      </c>
      <c r="T981" s="158">
        <f t="shared" si="208"/>
        <v>400</v>
      </c>
      <c r="U981" s="158">
        <f t="shared" si="212"/>
        <v>10400</v>
      </c>
      <c r="V981" s="158">
        <v>10000</v>
      </c>
      <c r="W981" s="158">
        <f t="shared" si="213"/>
        <v>400</v>
      </c>
      <c r="X981" s="158">
        <f t="shared" si="209"/>
        <v>384.615384615385</v>
      </c>
      <c r="Y981" s="158">
        <f t="shared" si="214"/>
        <v>15.3846153846154</v>
      </c>
      <c r="Z981" s="158">
        <v>9507.85</v>
      </c>
      <c r="AA981" s="158">
        <f t="shared" si="210"/>
        <v>492.15</v>
      </c>
      <c r="AB981" s="167">
        <f t="shared" si="218"/>
        <v>9142.16346153846</v>
      </c>
      <c r="AC981" s="168">
        <f t="shared" si="211"/>
        <v>365.686538461539</v>
      </c>
      <c r="AD981" s="158">
        <f>(Z981-Q981)*0.91072157793815</f>
        <v>8659.00415479924</v>
      </c>
      <c r="AE981" s="159">
        <v>0.112691732739812</v>
      </c>
      <c r="AF981" s="158">
        <f t="shared" si="202"/>
        <v>975.798182005558</v>
      </c>
      <c r="AG981" s="158">
        <v>484.978076638941</v>
      </c>
      <c r="AH981" s="175"/>
      <c r="AI981" s="175"/>
      <c r="AJ981" s="156" t="s">
        <v>186</v>
      </c>
      <c r="AK981" s="140" t="s">
        <v>186</v>
      </c>
    </row>
    <row r="982" s="140" customFormat="1" ht="15" hidden="1" customHeight="1" spans="1:37">
      <c r="A982" s="140">
        <v>2017</v>
      </c>
      <c r="B982" s="140" t="s">
        <v>38</v>
      </c>
      <c r="C982" s="140" t="s">
        <v>59</v>
      </c>
      <c r="D982" s="140" t="s">
        <v>106</v>
      </c>
      <c r="E982" s="140" t="s">
        <v>131</v>
      </c>
      <c r="F982" s="140" t="s">
        <v>983</v>
      </c>
      <c r="G982" s="140" t="s">
        <v>983</v>
      </c>
      <c r="H982" s="140" t="s">
        <v>983</v>
      </c>
      <c r="I982" s="140" t="s">
        <v>170</v>
      </c>
      <c r="J982" s="140" t="s">
        <v>171</v>
      </c>
      <c r="K982" s="140" t="s">
        <v>172</v>
      </c>
      <c r="L982" s="140" t="s">
        <v>983</v>
      </c>
      <c r="M982" s="140" t="s">
        <v>46</v>
      </c>
      <c r="N982" s="157">
        <v>0.04</v>
      </c>
      <c r="O982" s="156" t="s">
        <v>51</v>
      </c>
      <c r="P982" s="156"/>
      <c r="Q982" s="158">
        <v>0</v>
      </c>
      <c r="R982" s="158">
        <v>0</v>
      </c>
      <c r="S982" s="158">
        <v>404330.9</v>
      </c>
      <c r="T982" s="158">
        <f t="shared" si="208"/>
        <v>16173.236</v>
      </c>
      <c r="U982" s="158">
        <f t="shared" si="212"/>
        <v>420504.136</v>
      </c>
      <c r="V982" s="158">
        <v>420343</v>
      </c>
      <c r="W982" s="158">
        <f t="shared" si="213"/>
        <v>161.135999999999</v>
      </c>
      <c r="X982" s="158">
        <f t="shared" si="209"/>
        <v>154.93846153846</v>
      </c>
      <c r="Y982" s="158">
        <f t="shared" si="214"/>
        <v>6.19753846153841</v>
      </c>
      <c r="Z982" s="158">
        <v>420343</v>
      </c>
      <c r="AA982" s="158">
        <f t="shared" si="210"/>
        <v>0</v>
      </c>
      <c r="AB982" s="167">
        <f t="shared" si="218"/>
        <v>404175.961538462</v>
      </c>
      <c r="AC982" s="168">
        <f t="shared" si="211"/>
        <v>16167.0384615385</v>
      </c>
      <c r="AD982" s="158">
        <f t="shared" ref="AD982:AD983" si="220">(Z982-Q982)*0.89807640489087</f>
        <v>377500.130261043</v>
      </c>
      <c r="AE982" s="159">
        <v>0.112691732739812</v>
      </c>
      <c r="AF982" s="158">
        <f t="shared" si="202"/>
        <v>42541.1437886217</v>
      </c>
      <c r="AG982" s="158">
        <v>21440.9293024861</v>
      </c>
      <c r="AH982" s="175"/>
      <c r="AI982" s="175"/>
      <c r="AJ982" s="156" t="s">
        <v>186</v>
      </c>
      <c r="AK982" s="140" t="s">
        <v>186</v>
      </c>
    </row>
    <row r="983" s="140" customFormat="1" ht="15" hidden="1" customHeight="1" spans="1:37">
      <c r="A983" s="140">
        <v>2017</v>
      </c>
      <c r="B983" s="140" t="s">
        <v>38</v>
      </c>
      <c r="C983" s="140" t="s">
        <v>59</v>
      </c>
      <c r="D983" s="140" t="s">
        <v>106</v>
      </c>
      <c r="E983" s="140" t="s">
        <v>131</v>
      </c>
      <c r="F983" s="186" t="s">
        <v>358</v>
      </c>
      <c r="G983" s="140" t="s">
        <v>358</v>
      </c>
      <c r="H983" s="140" t="s">
        <v>358</v>
      </c>
      <c r="I983" s="140" t="s">
        <v>170</v>
      </c>
      <c r="J983" s="140" t="s">
        <v>171</v>
      </c>
      <c r="K983" s="140" t="s">
        <v>172</v>
      </c>
      <c r="L983" s="140" t="s">
        <v>358</v>
      </c>
      <c r="M983" s="140" t="s">
        <v>46</v>
      </c>
      <c r="N983" s="157">
        <v>0.02</v>
      </c>
      <c r="O983" s="156" t="s">
        <v>51</v>
      </c>
      <c r="P983" s="156"/>
      <c r="Q983" s="158">
        <f>81667.1</f>
        <v>81667.1</v>
      </c>
      <c r="R983" s="158">
        <v>0</v>
      </c>
      <c r="S983" s="158">
        <v>12262000</v>
      </c>
      <c r="T983" s="158">
        <f t="shared" si="208"/>
        <v>245240</v>
      </c>
      <c r="U983" s="158">
        <f t="shared" si="212"/>
        <v>12507240</v>
      </c>
      <c r="V983" s="158">
        <v>12380240</v>
      </c>
      <c r="W983" s="158">
        <f t="shared" si="213"/>
        <v>127000</v>
      </c>
      <c r="X983" s="158">
        <f t="shared" si="209"/>
        <v>124509.803921569</v>
      </c>
      <c r="Y983" s="158">
        <f t="shared" si="214"/>
        <v>2490.19607843137</v>
      </c>
      <c r="Z983" s="187">
        <f>12379818.1</f>
        <v>12379818.1</v>
      </c>
      <c r="AA983" s="158">
        <f t="shared" si="210"/>
        <v>82089</v>
      </c>
      <c r="AB983" s="167">
        <f>IF(O983="返货",(Z983-Q983)/(1+N983),IF(O983="返现",(Z983-Q983),IF(O983="折扣",(Z983-Q983)*N983,IF(O983="无",(Z983-Q983)))))</f>
        <v>12057010.7843137</v>
      </c>
      <c r="AC983" s="168">
        <f t="shared" si="211"/>
        <v>322807.315686274</v>
      </c>
      <c r="AD983" s="158">
        <f t="shared" si="220"/>
        <v>11044679.2368851</v>
      </c>
      <c r="AE983" s="159">
        <v>0.112691732739812</v>
      </c>
      <c r="AF983" s="158">
        <f t="shared" si="202"/>
        <v>1244644.04076</v>
      </c>
      <c r="AG983" s="158">
        <v>864877.246695096</v>
      </c>
      <c r="AH983" s="175"/>
      <c r="AI983" s="175"/>
      <c r="AJ983" s="156" t="s">
        <v>173</v>
      </c>
      <c r="AK983" s="140" t="s">
        <v>173</v>
      </c>
    </row>
    <row r="984" s="140" customFormat="1" ht="15" hidden="1" customHeight="1" spans="1:37">
      <c r="A984" s="140">
        <v>2017</v>
      </c>
      <c r="B984" s="140" t="s">
        <v>38</v>
      </c>
      <c r="C984" s="140" t="s">
        <v>59</v>
      </c>
      <c r="D984" s="140" t="s">
        <v>106</v>
      </c>
      <c r="E984" s="140" t="s">
        <v>131</v>
      </c>
      <c r="F984" s="186" t="s">
        <v>358</v>
      </c>
      <c r="G984" s="140" t="s">
        <v>358</v>
      </c>
      <c r="H984" s="140" t="s">
        <v>358</v>
      </c>
      <c r="I984" s="140" t="s">
        <v>170</v>
      </c>
      <c r="J984" s="140" t="s">
        <v>171</v>
      </c>
      <c r="K984" s="140" t="s">
        <v>172</v>
      </c>
      <c r="L984" s="140" t="s">
        <v>358</v>
      </c>
      <c r="M984" s="140" t="s">
        <v>185</v>
      </c>
      <c r="N984" s="157">
        <v>0.04</v>
      </c>
      <c r="O984" s="156" t="s">
        <v>51</v>
      </c>
      <c r="P984" s="156"/>
      <c r="Q984" s="158">
        <v>0</v>
      </c>
      <c r="R984" s="158">
        <v>0</v>
      </c>
      <c r="S984" s="158">
        <v>100000</v>
      </c>
      <c r="T984" s="158">
        <f t="shared" si="208"/>
        <v>4000</v>
      </c>
      <c r="U984" s="158">
        <f t="shared" si="212"/>
        <v>104000</v>
      </c>
      <c r="V984" s="158">
        <v>100000</v>
      </c>
      <c r="W984" s="158">
        <f t="shared" si="213"/>
        <v>4000</v>
      </c>
      <c r="X984" s="158">
        <f t="shared" si="209"/>
        <v>3846.15384615385</v>
      </c>
      <c r="Y984" s="158">
        <f t="shared" si="214"/>
        <v>153.846153846154</v>
      </c>
      <c r="Z984" s="187">
        <v>93714.79</v>
      </c>
      <c r="AA984" s="158">
        <f t="shared" si="210"/>
        <v>6285.21000000001</v>
      </c>
      <c r="AB984" s="167">
        <f t="shared" ref="AB984:AB994" si="221">IF(O984="返货",Z984/(1+N984),IF(O984="返现",Z984,IF(O984="折扣",Z984*N984,IF(O984="无",Z984))))</f>
        <v>90110.375</v>
      </c>
      <c r="AC984" s="168">
        <f t="shared" si="211"/>
        <v>3604.41500000001</v>
      </c>
      <c r="AD984" s="158">
        <f t="shared" ref="AD984:AD985" si="222">(Z984-Q984)*0.91072157793815</f>
        <v>85348.0814249424</v>
      </c>
      <c r="AE984" s="159">
        <v>0.112691732739812</v>
      </c>
      <c r="AF984" s="158">
        <f t="shared" si="202"/>
        <v>9618.02318179532</v>
      </c>
      <c r="AG984" s="158">
        <v>4780.22040806516</v>
      </c>
      <c r="AH984" s="175"/>
      <c r="AI984" s="175"/>
      <c r="AJ984" s="156" t="s">
        <v>186</v>
      </c>
      <c r="AK984" s="140" t="s">
        <v>186</v>
      </c>
    </row>
    <row r="985" s="140" customFormat="1" ht="15" hidden="1" customHeight="1" spans="1:37">
      <c r="A985" s="140">
        <v>2017</v>
      </c>
      <c r="B985" s="140" t="s">
        <v>38</v>
      </c>
      <c r="C985" s="140" t="s">
        <v>59</v>
      </c>
      <c r="D985" s="140" t="s">
        <v>60</v>
      </c>
      <c r="E985" s="140" t="s">
        <v>107</v>
      </c>
      <c r="F985" s="140" t="s">
        <v>984</v>
      </c>
      <c r="G985" s="140" t="s">
        <v>984</v>
      </c>
      <c r="H985" s="140" t="s">
        <v>984</v>
      </c>
      <c r="I985" s="140" t="s">
        <v>170</v>
      </c>
      <c r="J985" s="140" t="s">
        <v>171</v>
      </c>
      <c r="K985" s="140" t="s">
        <v>172</v>
      </c>
      <c r="L985" s="140" t="s">
        <v>985</v>
      </c>
      <c r="M985" s="140" t="s">
        <v>185</v>
      </c>
      <c r="N985" s="157">
        <v>0.04</v>
      </c>
      <c r="O985" s="156" t="s">
        <v>51</v>
      </c>
      <c r="P985" s="156"/>
      <c r="Q985" s="158">
        <v>0</v>
      </c>
      <c r="R985" s="158">
        <v>0</v>
      </c>
      <c r="S985" s="158">
        <v>40000</v>
      </c>
      <c r="T985" s="158">
        <f t="shared" si="208"/>
        <v>1600</v>
      </c>
      <c r="U985" s="158">
        <f t="shared" si="212"/>
        <v>41600</v>
      </c>
      <c r="V985" s="158">
        <v>41600</v>
      </c>
      <c r="W985" s="158">
        <f t="shared" si="213"/>
        <v>0</v>
      </c>
      <c r="X985" s="158">
        <f t="shared" si="209"/>
        <v>0</v>
      </c>
      <c r="Y985" s="158">
        <f t="shared" si="214"/>
        <v>0</v>
      </c>
      <c r="Z985" s="158">
        <v>7010.45</v>
      </c>
      <c r="AA985" s="158">
        <f t="shared" si="210"/>
        <v>34589.55</v>
      </c>
      <c r="AB985" s="167">
        <f t="shared" si="221"/>
        <v>6740.81730769231</v>
      </c>
      <c r="AC985" s="168">
        <f t="shared" si="211"/>
        <v>269.632692307692</v>
      </c>
      <c r="AD985" s="158">
        <f t="shared" si="222"/>
        <v>6384.5680860565</v>
      </c>
      <c r="AE985" s="159">
        <v>0.112691732739812</v>
      </c>
      <c r="AF985" s="158">
        <f t="shared" si="202"/>
        <v>719.488040413013</v>
      </c>
      <c r="AG985" s="158">
        <v>357.590260403085</v>
      </c>
      <c r="AH985" s="175"/>
      <c r="AI985" s="175"/>
      <c r="AJ985" s="156" t="s">
        <v>186</v>
      </c>
      <c r="AK985" s="140" t="s">
        <v>186</v>
      </c>
    </row>
    <row r="986" s="140" customFormat="1" ht="15" hidden="1" customHeight="1" spans="1:37">
      <c r="A986" s="140">
        <v>2017</v>
      </c>
      <c r="B986" s="140" t="s">
        <v>38</v>
      </c>
      <c r="C986" s="140" t="s">
        <v>59</v>
      </c>
      <c r="D986" s="140" t="s">
        <v>60</v>
      </c>
      <c r="E986" s="140" t="s">
        <v>190</v>
      </c>
      <c r="F986" s="140" t="s">
        <v>986</v>
      </c>
      <c r="G986" s="140" t="s">
        <v>986</v>
      </c>
      <c r="H986" s="140" t="s">
        <v>986</v>
      </c>
      <c r="I986" s="140" t="s">
        <v>170</v>
      </c>
      <c r="J986" s="140" t="s">
        <v>171</v>
      </c>
      <c r="K986" s="140" t="s">
        <v>172</v>
      </c>
      <c r="L986" s="140" t="s">
        <v>986</v>
      </c>
      <c r="M986" s="140" t="s">
        <v>46</v>
      </c>
      <c r="N986" s="157">
        <v>0.02</v>
      </c>
      <c r="O986" s="156" t="s">
        <v>51</v>
      </c>
      <c r="P986" s="156"/>
      <c r="Q986" s="158">
        <v>0</v>
      </c>
      <c r="R986" s="158">
        <v>0</v>
      </c>
      <c r="S986" s="158">
        <v>59501.9</v>
      </c>
      <c r="T986" s="158">
        <f t="shared" si="208"/>
        <v>1190.038</v>
      </c>
      <c r="U986" s="158">
        <f t="shared" si="212"/>
        <v>60691.938</v>
      </c>
      <c r="V986" s="158">
        <v>60000</v>
      </c>
      <c r="W986" s="158">
        <f t="shared" si="213"/>
        <v>691.938000000002</v>
      </c>
      <c r="X986" s="158">
        <f t="shared" si="209"/>
        <v>678.370588235296</v>
      </c>
      <c r="Y986" s="158">
        <f t="shared" si="214"/>
        <v>13.567411764706</v>
      </c>
      <c r="Z986" s="158">
        <v>30091.9</v>
      </c>
      <c r="AA986" s="158">
        <f t="shared" si="210"/>
        <v>29908.1</v>
      </c>
      <c r="AB986" s="167">
        <f t="shared" si="221"/>
        <v>29501.862745098</v>
      </c>
      <c r="AC986" s="168">
        <f t="shared" si="211"/>
        <v>590.037254901963</v>
      </c>
      <c r="AD986" s="158">
        <f t="shared" ref="AD986:AD990" si="223">(Z986-Q986)*0.89807640489087</f>
        <v>27024.8253683356</v>
      </c>
      <c r="AE986" s="159">
        <v>0.112691732739812</v>
      </c>
      <c r="AF986" s="158">
        <f t="shared" si="202"/>
        <v>3045.47439774856</v>
      </c>
      <c r="AG986" s="158">
        <v>2102.27641550114</v>
      </c>
      <c r="AH986" s="175"/>
      <c r="AI986" s="175"/>
      <c r="AJ986" s="156" t="s">
        <v>173</v>
      </c>
      <c r="AK986" s="140" t="s">
        <v>173</v>
      </c>
    </row>
    <row r="987" s="140" customFormat="1" ht="15" hidden="1" customHeight="1" spans="1:39">
      <c r="A987" s="140">
        <v>2017</v>
      </c>
      <c r="B987" s="140" t="s">
        <v>38</v>
      </c>
      <c r="C987" s="140" t="s">
        <v>59</v>
      </c>
      <c r="D987" s="140" t="s">
        <v>60</v>
      </c>
      <c r="E987" s="140" t="s">
        <v>190</v>
      </c>
      <c r="F987" s="140" t="s">
        <v>753</v>
      </c>
      <c r="G987" s="140" t="s">
        <v>753</v>
      </c>
      <c r="H987" s="140" t="s">
        <v>753</v>
      </c>
      <c r="I987" s="140" t="s">
        <v>170</v>
      </c>
      <c r="J987" s="140" t="s">
        <v>171</v>
      </c>
      <c r="K987" s="140" t="s">
        <v>172</v>
      </c>
      <c r="L987" s="140" t="s">
        <v>753</v>
      </c>
      <c r="M987" s="140" t="s">
        <v>46</v>
      </c>
      <c r="N987" s="157">
        <v>0.04</v>
      </c>
      <c r="O987" s="156" t="s">
        <v>51</v>
      </c>
      <c r="P987" s="156"/>
      <c r="Q987" s="158">
        <v>0</v>
      </c>
      <c r="R987" s="158">
        <v>0</v>
      </c>
      <c r="S987" s="158">
        <v>1100000</v>
      </c>
      <c r="T987" s="158">
        <f t="shared" si="208"/>
        <v>44000</v>
      </c>
      <c r="U987" s="158">
        <f t="shared" si="212"/>
        <v>1144000</v>
      </c>
      <c r="V987" s="158">
        <v>978400</v>
      </c>
      <c r="W987" s="158">
        <f t="shared" si="213"/>
        <v>165600</v>
      </c>
      <c r="X987" s="158">
        <f t="shared" si="209"/>
        <v>159230.769230769</v>
      </c>
      <c r="Y987" s="158">
        <f t="shared" si="214"/>
        <v>6369.23076923078</v>
      </c>
      <c r="Z987" s="158">
        <v>967623.4</v>
      </c>
      <c r="AA987" s="158">
        <f t="shared" si="210"/>
        <v>10776.6</v>
      </c>
      <c r="AB987" s="167">
        <f t="shared" si="221"/>
        <v>930407.115384615</v>
      </c>
      <c r="AC987" s="168">
        <f t="shared" si="211"/>
        <v>37216.2846153846</v>
      </c>
      <c r="AD987" s="158">
        <f t="shared" si="223"/>
        <v>868999.74436028</v>
      </c>
      <c r="AE987" s="159">
        <v>0.112691732739812</v>
      </c>
      <c r="AF987" s="158">
        <f t="shared" si="202"/>
        <v>97929.0869424137</v>
      </c>
      <c r="AG987" s="158">
        <v>49189.0908547146</v>
      </c>
      <c r="AH987" s="175"/>
      <c r="AI987" s="175"/>
      <c r="AJ987" s="156" t="s">
        <v>186</v>
      </c>
      <c r="AK987" s="140" t="s">
        <v>186</v>
      </c>
      <c r="AM987" s="140" t="s">
        <v>174</v>
      </c>
    </row>
    <row r="988" s="140" customFormat="1" ht="15" hidden="1" customHeight="1" spans="1:37">
      <c r="A988" s="140">
        <v>2017</v>
      </c>
      <c r="B988" s="140" t="s">
        <v>38</v>
      </c>
      <c r="C988" s="140" t="s">
        <v>59</v>
      </c>
      <c r="D988" s="140" t="s">
        <v>60</v>
      </c>
      <c r="E988" s="140" t="s">
        <v>190</v>
      </c>
      <c r="F988" s="140" t="s">
        <v>478</v>
      </c>
      <c r="G988" s="140" t="s">
        <v>478</v>
      </c>
      <c r="H988" s="140" t="s">
        <v>478</v>
      </c>
      <c r="I988" s="140" t="s">
        <v>170</v>
      </c>
      <c r="J988" s="140" t="s">
        <v>171</v>
      </c>
      <c r="K988" s="140" t="s">
        <v>172</v>
      </c>
      <c r="L988" s="140" t="s">
        <v>987</v>
      </c>
      <c r="M988" s="140" t="s">
        <v>46</v>
      </c>
      <c r="N988" s="157">
        <v>0.02</v>
      </c>
      <c r="O988" s="156" t="s">
        <v>51</v>
      </c>
      <c r="P988" s="156"/>
      <c r="Q988" s="158">
        <v>0</v>
      </c>
      <c r="R988" s="158">
        <v>0</v>
      </c>
      <c r="S988" s="158">
        <v>480174.8</v>
      </c>
      <c r="T988" s="158">
        <f t="shared" si="208"/>
        <v>9603.496</v>
      </c>
      <c r="U988" s="158">
        <f t="shared" si="212"/>
        <v>489778.296</v>
      </c>
      <c r="V988" s="158">
        <v>492000</v>
      </c>
      <c r="W988" s="158">
        <f t="shared" si="213"/>
        <v>-2221.70400000003</v>
      </c>
      <c r="X988" s="158">
        <f t="shared" si="209"/>
        <v>-2178.14117647061</v>
      </c>
      <c r="Y988" s="158">
        <f t="shared" si="214"/>
        <v>-43.5628235294125</v>
      </c>
      <c r="Z988" s="158">
        <v>0</v>
      </c>
      <c r="AA988" s="158">
        <f t="shared" si="210"/>
        <v>492000</v>
      </c>
      <c r="AB988" s="167">
        <f t="shared" si="221"/>
        <v>0</v>
      </c>
      <c r="AC988" s="168">
        <f t="shared" si="211"/>
        <v>0</v>
      </c>
      <c r="AD988" s="158">
        <f t="shared" si="223"/>
        <v>0</v>
      </c>
      <c r="AE988" s="159">
        <v>0.112691732739812</v>
      </c>
      <c r="AF988" s="158">
        <f t="shared" si="202"/>
        <v>0</v>
      </c>
      <c r="AG988" s="158">
        <v>0</v>
      </c>
      <c r="AH988" s="175"/>
      <c r="AI988" s="175"/>
      <c r="AJ988" s="156" t="s">
        <v>173</v>
      </c>
      <c r="AK988" s="140" t="s">
        <v>173</v>
      </c>
    </row>
    <row r="989" s="140" customFormat="1" ht="15" hidden="1" customHeight="1" spans="1:37">
      <c r="A989" s="140">
        <v>2017</v>
      </c>
      <c r="B989" s="140" t="s">
        <v>38</v>
      </c>
      <c r="C989" s="140" t="s">
        <v>59</v>
      </c>
      <c r="D989" s="140" t="s">
        <v>60</v>
      </c>
      <c r="E989" s="140" t="s">
        <v>190</v>
      </c>
      <c r="F989" s="140" t="s">
        <v>987</v>
      </c>
      <c r="G989" s="140" t="s">
        <v>987</v>
      </c>
      <c r="H989" s="140" t="s">
        <v>987</v>
      </c>
      <c r="I989" s="140" t="s">
        <v>170</v>
      </c>
      <c r="J989" s="140" t="s">
        <v>171</v>
      </c>
      <c r="K989" s="140" t="s">
        <v>172</v>
      </c>
      <c r="L989" s="140" t="s">
        <v>987</v>
      </c>
      <c r="M989" s="140" t="s">
        <v>46</v>
      </c>
      <c r="N989" s="157">
        <v>0.02</v>
      </c>
      <c r="O989" s="156" t="s">
        <v>51</v>
      </c>
      <c r="P989" s="156"/>
      <c r="Q989" s="158">
        <v>0</v>
      </c>
      <c r="R989" s="158">
        <v>0</v>
      </c>
      <c r="S989" s="158">
        <v>2690000</v>
      </c>
      <c r="T989" s="158">
        <f t="shared" si="208"/>
        <v>53800</v>
      </c>
      <c r="U989" s="158">
        <f t="shared" si="212"/>
        <v>2743800</v>
      </c>
      <c r="V989" s="158">
        <v>2804800</v>
      </c>
      <c r="W989" s="158">
        <f t="shared" si="213"/>
        <v>-61000</v>
      </c>
      <c r="X989" s="158">
        <f t="shared" si="209"/>
        <v>-59803.9215686274</v>
      </c>
      <c r="Y989" s="158">
        <f t="shared" si="214"/>
        <v>-1196.07843137255</v>
      </c>
      <c r="Z989" s="158">
        <v>3243525.2</v>
      </c>
      <c r="AA989" s="158">
        <f t="shared" si="210"/>
        <v>-438725.2</v>
      </c>
      <c r="AB989" s="167">
        <f t="shared" si="221"/>
        <v>3179926.66666667</v>
      </c>
      <c r="AC989" s="168">
        <f t="shared" si="211"/>
        <v>63598.5333333332</v>
      </c>
      <c r="AD989" s="158">
        <f t="shared" si="223"/>
        <v>2912933.45078894</v>
      </c>
      <c r="AE989" s="159">
        <v>0.112691732739812</v>
      </c>
      <c r="AF989" s="158">
        <f t="shared" si="202"/>
        <v>328263.517925166</v>
      </c>
      <c r="AG989" s="158">
        <v>226598.736904072</v>
      </c>
      <c r="AH989" s="175"/>
      <c r="AI989" s="175"/>
      <c r="AJ989" s="156" t="s">
        <v>173</v>
      </c>
      <c r="AK989" s="140" t="s">
        <v>173</v>
      </c>
    </row>
    <row r="990" s="140" customFormat="1" ht="15" hidden="1" customHeight="1" spans="1:37">
      <c r="A990" s="140">
        <v>2017</v>
      </c>
      <c r="B990" s="140" t="s">
        <v>38</v>
      </c>
      <c r="C990" s="140" t="s">
        <v>59</v>
      </c>
      <c r="D990" s="140" t="s">
        <v>60</v>
      </c>
      <c r="E990" s="140" t="s">
        <v>61</v>
      </c>
      <c r="F990" s="140" t="s">
        <v>360</v>
      </c>
      <c r="G990" s="140" t="s">
        <v>360</v>
      </c>
      <c r="H990" s="140" t="s">
        <v>360</v>
      </c>
      <c r="I990" s="140" t="s">
        <v>170</v>
      </c>
      <c r="J990" s="140" t="s">
        <v>171</v>
      </c>
      <c r="K990" s="140" t="s">
        <v>172</v>
      </c>
      <c r="L990" s="140" t="s">
        <v>361</v>
      </c>
      <c r="M990" s="140" t="s">
        <v>46</v>
      </c>
      <c r="N990" s="156">
        <v>0.05</v>
      </c>
      <c r="O990" s="156" t="s">
        <v>51</v>
      </c>
      <c r="P990" s="156"/>
      <c r="Q990" s="158">
        <v>0</v>
      </c>
      <c r="R990" s="158">
        <v>0</v>
      </c>
      <c r="S990" s="158">
        <v>1110000</v>
      </c>
      <c r="T990" s="158">
        <f t="shared" si="208"/>
        <v>55500</v>
      </c>
      <c r="U990" s="158">
        <f t="shared" si="212"/>
        <v>1165500</v>
      </c>
      <c r="V990" s="158">
        <v>976540.16</v>
      </c>
      <c r="W990" s="158">
        <f t="shared" si="213"/>
        <v>188959.84</v>
      </c>
      <c r="X990" s="158">
        <f t="shared" si="209"/>
        <v>179961.752380952</v>
      </c>
      <c r="Y990" s="158">
        <f t="shared" si="214"/>
        <v>8998.08761904761</v>
      </c>
      <c r="Z990" s="158">
        <v>923351</v>
      </c>
      <c r="AA990" s="158">
        <f t="shared" si="210"/>
        <v>53189.16</v>
      </c>
      <c r="AB990" s="167">
        <f t="shared" si="221"/>
        <v>879381.904761905</v>
      </c>
      <c r="AC990" s="168">
        <f t="shared" si="211"/>
        <v>43969.0952380953</v>
      </c>
      <c r="AD990" s="158">
        <f t="shared" si="223"/>
        <v>829239.74653239</v>
      </c>
      <c r="AE990" s="159">
        <v>0.112691732739812</v>
      </c>
      <c r="AF990" s="158">
        <f t="shared" si="202"/>
        <v>93448.4638934575</v>
      </c>
      <c r="AG990" s="158">
        <v>38642.8541529494</v>
      </c>
      <c r="AH990" s="175"/>
      <c r="AI990" s="175"/>
      <c r="AJ990" s="156" t="s">
        <v>63</v>
      </c>
      <c r="AK990" s="140" t="s">
        <v>63</v>
      </c>
    </row>
    <row r="991" s="140" customFormat="1" ht="15" hidden="1" customHeight="1" spans="1:37">
      <c r="A991" s="140">
        <v>2017</v>
      </c>
      <c r="B991" s="140" t="s">
        <v>38</v>
      </c>
      <c r="C991" s="140" t="s">
        <v>59</v>
      </c>
      <c r="D991" s="140" t="s">
        <v>60</v>
      </c>
      <c r="E991" s="140" t="s">
        <v>61</v>
      </c>
      <c r="F991" s="140" t="s">
        <v>360</v>
      </c>
      <c r="G991" s="140" t="s">
        <v>360</v>
      </c>
      <c r="H991" s="140" t="s">
        <v>360</v>
      </c>
      <c r="I991" s="140" t="s">
        <v>170</v>
      </c>
      <c r="J991" s="140" t="s">
        <v>171</v>
      </c>
      <c r="K991" s="140" t="s">
        <v>172</v>
      </c>
      <c r="L991" s="140" t="s">
        <v>361</v>
      </c>
      <c r="M991" s="140" t="s">
        <v>185</v>
      </c>
      <c r="N991" s="157">
        <v>0.08</v>
      </c>
      <c r="O991" s="156" t="s">
        <v>51</v>
      </c>
      <c r="P991" s="156"/>
      <c r="Q991" s="158">
        <v>0</v>
      </c>
      <c r="R991" s="158">
        <v>0</v>
      </c>
      <c r="S991" s="158">
        <v>80000</v>
      </c>
      <c r="T991" s="158">
        <f t="shared" si="208"/>
        <v>6400</v>
      </c>
      <c r="U991" s="158">
        <f t="shared" si="212"/>
        <v>86400</v>
      </c>
      <c r="V991" s="158">
        <v>86400</v>
      </c>
      <c r="W991" s="158">
        <f t="shared" si="213"/>
        <v>0</v>
      </c>
      <c r="X991" s="158">
        <f t="shared" si="209"/>
        <v>0</v>
      </c>
      <c r="Y991" s="158">
        <f t="shared" si="214"/>
        <v>0</v>
      </c>
      <c r="Z991" s="158">
        <v>42544.06</v>
      </c>
      <c r="AA991" s="158">
        <f t="shared" si="210"/>
        <v>43855.94</v>
      </c>
      <c r="AB991" s="167">
        <f t="shared" si="221"/>
        <v>39392.6481481481</v>
      </c>
      <c r="AC991" s="168">
        <f t="shared" si="211"/>
        <v>3151.41185185185</v>
      </c>
      <c r="AD991" s="158">
        <f>(Z991-Q991)*0.91072157793815</f>
        <v>38745.7934550953</v>
      </c>
      <c r="AE991" s="159">
        <v>0.112691732739812</v>
      </c>
      <c r="AF991" s="158">
        <f t="shared" si="202"/>
        <v>4366.33060083356</v>
      </c>
      <c r="AG991" s="158">
        <v>654.993005682896</v>
      </c>
      <c r="AH991" s="175"/>
      <c r="AI991" s="175"/>
      <c r="AJ991" s="156" t="s">
        <v>53</v>
      </c>
      <c r="AK991" s="140" t="s">
        <v>53</v>
      </c>
    </row>
    <row r="992" s="140" customFormat="1" ht="15" hidden="1" customHeight="1" spans="1:37">
      <c r="A992" s="140">
        <v>2017</v>
      </c>
      <c r="B992" s="140" t="s">
        <v>38</v>
      </c>
      <c r="C992" s="140" t="s">
        <v>59</v>
      </c>
      <c r="D992" s="140" t="s">
        <v>60</v>
      </c>
      <c r="E992" s="140" t="s">
        <v>61</v>
      </c>
      <c r="F992" s="140" t="s">
        <v>988</v>
      </c>
      <c r="G992" s="140" t="s">
        <v>988</v>
      </c>
      <c r="H992" s="140" t="s">
        <v>988</v>
      </c>
      <c r="I992" s="140" t="s">
        <v>170</v>
      </c>
      <c r="J992" s="140" t="s">
        <v>171</v>
      </c>
      <c r="K992" s="140" t="s">
        <v>172</v>
      </c>
      <c r="L992" s="140" t="s">
        <v>988</v>
      </c>
      <c r="M992" s="140" t="s">
        <v>46</v>
      </c>
      <c r="N992" s="156">
        <v>0</v>
      </c>
      <c r="O992" s="156" t="s">
        <v>47</v>
      </c>
      <c r="P992" s="156"/>
      <c r="Q992" s="158">
        <v>0</v>
      </c>
      <c r="R992" s="158">
        <v>0</v>
      </c>
      <c r="S992" s="158">
        <v>200000</v>
      </c>
      <c r="T992" s="158">
        <f t="shared" si="208"/>
        <v>0</v>
      </c>
      <c r="U992" s="158">
        <f t="shared" si="212"/>
        <v>200000</v>
      </c>
      <c r="V992" s="158">
        <v>200000</v>
      </c>
      <c r="W992" s="158">
        <f t="shared" si="213"/>
        <v>0</v>
      </c>
      <c r="X992" s="158">
        <f t="shared" si="209"/>
        <v>0</v>
      </c>
      <c r="Y992" s="158">
        <f t="shared" si="214"/>
        <v>0</v>
      </c>
      <c r="Z992" s="158">
        <v>158462.7</v>
      </c>
      <c r="AA992" s="158">
        <f t="shared" si="210"/>
        <v>41537.3</v>
      </c>
      <c r="AB992" s="167">
        <f t="shared" si="221"/>
        <v>158462.7</v>
      </c>
      <c r="AC992" s="168">
        <f t="shared" si="211"/>
        <v>0</v>
      </c>
      <c r="AD992" s="158">
        <f t="shared" ref="AD992:AD995" si="224">(Z992-Q992)*0.89807640489087</f>
        <v>142311.6119253</v>
      </c>
      <c r="AE992" s="159">
        <v>0.112691732739812</v>
      </c>
      <c r="AF992" s="158">
        <f t="shared" si="202"/>
        <v>16037.3421368578</v>
      </c>
      <c r="AG992" s="158">
        <v>14177.6123627616</v>
      </c>
      <c r="AH992" s="175"/>
      <c r="AI992" s="175"/>
      <c r="AJ992" s="156" t="s">
        <v>47</v>
      </c>
      <c r="AK992" s="140" t="s">
        <v>47</v>
      </c>
    </row>
    <row r="993" s="140" customFormat="1" ht="15" hidden="1" customHeight="1" spans="1:39">
      <c r="A993" s="140">
        <v>2017</v>
      </c>
      <c r="B993" s="140" t="s">
        <v>38</v>
      </c>
      <c r="C993" s="140" t="s">
        <v>59</v>
      </c>
      <c r="D993" s="140" t="s">
        <v>60</v>
      </c>
      <c r="E993" s="140" t="s">
        <v>61</v>
      </c>
      <c r="F993" s="140" t="s">
        <v>274</v>
      </c>
      <c r="G993" s="140" t="s">
        <v>274</v>
      </c>
      <c r="H993" s="140" t="s">
        <v>274</v>
      </c>
      <c r="I993" s="140" t="s">
        <v>170</v>
      </c>
      <c r="J993" s="140" t="s">
        <v>171</v>
      </c>
      <c r="K993" s="140" t="s">
        <v>172</v>
      </c>
      <c r="L993" s="140" t="s">
        <v>274</v>
      </c>
      <c r="M993" s="140" t="s">
        <v>46</v>
      </c>
      <c r="N993" s="157">
        <v>0.02</v>
      </c>
      <c r="O993" s="156" t="s">
        <v>51</v>
      </c>
      <c r="P993" s="156"/>
      <c r="Q993" s="158">
        <v>0</v>
      </c>
      <c r="R993" s="158">
        <v>0</v>
      </c>
      <c r="S993" s="158">
        <v>95000</v>
      </c>
      <c r="T993" s="158">
        <f t="shared" si="208"/>
        <v>1900</v>
      </c>
      <c r="U993" s="158">
        <f t="shared" si="212"/>
        <v>96900</v>
      </c>
      <c r="V993" s="158">
        <v>96900</v>
      </c>
      <c r="W993" s="158">
        <f t="shared" si="213"/>
        <v>0</v>
      </c>
      <c r="X993" s="158">
        <f t="shared" si="209"/>
        <v>0</v>
      </c>
      <c r="Y993" s="158">
        <f t="shared" si="214"/>
        <v>0</v>
      </c>
      <c r="Z993" s="158">
        <v>92644.8</v>
      </c>
      <c r="AA993" s="158">
        <f t="shared" si="210"/>
        <v>4255.2</v>
      </c>
      <c r="AB993" s="167">
        <f t="shared" si="221"/>
        <v>90828.2352941177</v>
      </c>
      <c r="AC993" s="168">
        <f t="shared" si="211"/>
        <v>1816.56470588235</v>
      </c>
      <c r="AD993" s="158">
        <f t="shared" si="224"/>
        <v>83202.1089158337</v>
      </c>
      <c r="AE993" s="159">
        <v>0.112691732739812</v>
      </c>
      <c r="AF993" s="158">
        <f t="shared" si="202"/>
        <v>9376.18982133186</v>
      </c>
      <c r="AG993" s="158">
        <v>6472.33900348002</v>
      </c>
      <c r="AH993" s="175"/>
      <c r="AI993" s="175"/>
      <c r="AJ993" s="156" t="s">
        <v>173</v>
      </c>
      <c r="AK993" s="140" t="s">
        <v>173</v>
      </c>
      <c r="AM993" s="140" t="s">
        <v>174</v>
      </c>
    </row>
    <row r="994" s="140" customFormat="1" ht="15" hidden="1" customHeight="1" spans="1:37">
      <c r="A994" s="140">
        <v>2017</v>
      </c>
      <c r="B994" s="140" t="s">
        <v>38</v>
      </c>
      <c r="C994" s="140" t="s">
        <v>59</v>
      </c>
      <c r="D994" s="140" t="s">
        <v>60</v>
      </c>
      <c r="E994" s="140" t="s">
        <v>67</v>
      </c>
      <c r="F994" s="140" t="s">
        <v>989</v>
      </c>
      <c r="G994" s="140" t="s">
        <v>990</v>
      </c>
      <c r="H994" s="140" t="s">
        <v>990</v>
      </c>
      <c r="I994" s="140" t="s">
        <v>170</v>
      </c>
      <c r="J994" s="140" t="s">
        <v>171</v>
      </c>
      <c r="K994" s="140" t="s">
        <v>172</v>
      </c>
      <c r="L994" s="140" t="s">
        <v>991</v>
      </c>
      <c r="M994" s="140" t="s">
        <v>46</v>
      </c>
      <c r="N994" s="157">
        <v>0.02</v>
      </c>
      <c r="O994" s="156" t="s">
        <v>51</v>
      </c>
      <c r="P994" s="156"/>
      <c r="Q994" s="158">
        <v>0</v>
      </c>
      <c r="R994" s="158">
        <v>0</v>
      </c>
      <c r="S994" s="158">
        <v>10000</v>
      </c>
      <c r="T994" s="158">
        <f t="shared" si="208"/>
        <v>200</v>
      </c>
      <c r="U994" s="158">
        <f t="shared" si="212"/>
        <v>10200</v>
      </c>
      <c r="V994" s="158">
        <v>10200</v>
      </c>
      <c r="W994" s="158">
        <f t="shared" si="213"/>
        <v>0</v>
      </c>
      <c r="X994" s="158">
        <f t="shared" si="209"/>
        <v>0</v>
      </c>
      <c r="Y994" s="158">
        <f t="shared" si="214"/>
        <v>0</v>
      </c>
      <c r="Z994" s="158">
        <v>10197.5</v>
      </c>
      <c r="AA994" s="158">
        <f t="shared" si="210"/>
        <v>2.5</v>
      </c>
      <c r="AB994" s="167">
        <f t="shared" si="221"/>
        <v>9997.54901960784</v>
      </c>
      <c r="AC994" s="168">
        <f t="shared" si="211"/>
        <v>199.950980392157</v>
      </c>
      <c r="AD994" s="158">
        <f t="shared" si="224"/>
        <v>9158.13413887465</v>
      </c>
      <c r="AE994" s="159">
        <v>0.112691732739812</v>
      </c>
      <c r="AF994" s="158">
        <f t="shared" si="202"/>
        <v>1032.04600477341</v>
      </c>
      <c r="AG994" s="158">
        <v>712.416422594548</v>
      </c>
      <c r="AH994" s="175"/>
      <c r="AI994" s="175"/>
      <c r="AJ994" s="156" t="s">
        <v>173</v>
      </c>
      <c r="AK994" s="140" t="s">
        <v>173</v>
      </c>
    </row>
    <row r="995" s="140" customFormat="1" ht="15" hidden="1" customHeight="1" spans="1:37">
      <c r="A995" s="140">
        <v>2017</v>
      </c>
      <c r="B995" s="140" t="s">
        <v>252</v>
      </c>
      <c r="C995" s="140" t="s">
        <v>59</v>
      </c>
      <c r="D995" s="140" t="s">
        <v>210</v>
      </c>
      <c r="E995" s="140" t="s">
        <v>239</v>
      </c>
      <c r="F995" s="140" t="s">
        <v>757</v>
      </c>
      <c r="G995" s="140" t="s">
        <v>758</v>
      </c>
      <c r="H995" s="140" t="s">
        <v>758</v>
      </c>
      <c r="I995" s="140" t="s">
        <v>170</v>
      </c>
      <c r="J995" s="140" t="s">
        <v>171</v>
      </c>
      <c r="K995" s="140" t="s">
        <v>172</v>
      </c>
      <c r="L995" s="140" t="s">
        <v>757</v>
      </c>
      <c r="M995" s="140" t="s">
        <v>46</v>
      </c>
      <c r="N995" s="156">
        <v>0</v>
      </c>
      <c r="O995" s="156" t="s">
        <v>47</v>
      </c>
      <c r="P995" s="156"/>
      <c r="Q995" s="158">
        <v>266870.05</v>
      </c>
      <c r="R995" s="158">
        <v>0</v>
      </c>
      <c r="S995" s="158">
        <v>1829000</v>
      </c>
      <c r="T995" s="158">
        <f t="shared" si="208"/>
        <v>0</v>
      </c>
      <c r="U995" s="158">
        <f t="shared" si="212"/>
        <v>1829000</v>
      </c>
      <c r="V995" s="158">
        <v>1379983.8</v>
      </c>
      <c r="W995" s="158">
        <f t="shared" si="213"/>
        <v>449016.2</v>
      </c>
      <c r="X995" s="158">
        <f t="shared" si="209"/>
        <v>449016.2</v>
      </c>
      <c r="Y995" s="158">
        <f t="shared" si="214"/>
        <v>0</v>
      </c>
      <c r="Z995" s="158">
        <v>1501010.8</v>
      </c>
      <c r="AA995" s="158">
        <f t="shared" si="210"/>
        <v>145843.05</v>
      </c>
      <c r="AB995" s="167">
        <f>IF(O995="返货",(Z995-Q995)/(1+N995),IF(O995="返现",(Z995-Q995),IF(O995="折扣",(Z995-Q995)*N995,IF(O995="无",(Z995-Q995)))))</f>
        <v>1234140.75</v>
      </c>
      <c r="AC995" s="168">
        <f t="shared" si="211"/>
        <v>266870.05</v>
      </c>
      <c r="AD995" s="158">
        <f t="shared" si="224"/>
        <v>1108352.68788932</v>
      </c>
      <c r="AE995" s="159">
        <v>0.112691732739812</v>
      </c>
      <c r="AF995" s="158">
        <f t="shared" si="202"/>
        <v>124902.184885076</v>
      </c>
      <c r="AG995" s="158">
        <v>90576.2450081308</v>
      </c>
      <c r="AH995" s="175"/>
      <c r="AI995" s="175"/>
      <c r="AJ995" s="156" t="s">
        <v>47</v>
      </c>
      <c r="AK995" s="140" t="s">
        <v>189</v>
      </c>
    </row>
    <row r="996" s="140" customFormat="1" ht="15" hidden="1" customHeight="1" spans="1:37">
      <c r="A996" s="140">
        <v>2017</v>
      </c>
      <c r="B996" s="140" t="s">
        <v>252</v>
      </c>
      <c r="C996" s="140" t="s">
        <v>59</v>
      </c>
      <c r="D996" s="140" t="s">
        <v>210</v>
      </c>
      <c r="E996" s="140" t="s">
        <v>239</v>
      </c>
      <c r="F996" s="140" t="s">
        <v>757</v>
      </c>
      <c r="G996" s="140" t="s">
        <v>758</v>
      </c>
      <c r="H996" s="140" t="s">
        <v>758</v>
      </c>
      <c r="I996" s="140" t="s">
        <v>170</v>
      </c>
      <c r="J996" s="140" t="s">
        <v>171</v>
      </c>
      <c r="K996" s="140" t="s">
        <v>172</v>
      </c>
      <c r="L996" s="140" t="s">
        <v>757</v>
      </c>
      <c r="M996" s="140" t="s">
        <v>160</v>
      </c>
      <c r="N996" s="156">
        <v>0</v>
      </c>
      <c r="O996" s="156" t="s">
        <v>47</v>
      </c>
      <c r="P996" s="156"/>
      <c r="Q996" s="158">
        <v>0</v>
      </c>
      <c r="R996" s="158">
        <v>0</v>
      </c>
      <c r="S996" s="158">
        <v>313160</v>
      </c>
      <c r="T996" s="158">
        <f t="shared" si="208"/>
        <v>0</v>
      </c>
      <c r="U996" s="158">
        <f t="shared" si="212"/>
        <v>313160</v>
      </c>
      <c r="V996" s="158">
        <v>313160</v>
      </c>
      <c r="W996" s="158">
        <f t="shared" si="213"/>
        <v>0</v>
      </c>
      <c r="X996" s="158">
        <f t="shared" si="209"/>
        <v>0</v>
      </c>
      <c r="Y996" s="158">
        <f t="shared" si="214"/>
        <v>0</v>
      </c>
      <c r="Z996" s="158">
        <v>313160</v>
      </c>
      <c r="AA996" s="158">
        <f t="shared" si="210"/>
        <v>0</v>
      </c>
      <c r="AB996" s="167">
        <f t="shared" ref="AB996:AB1001" si="225">IF(O996="返货",Z996/(1+N996),IF(O996="返现",Z996,IF(O996="折扣",Z996*N996,IF(O996="无",Z996))))</f>
        <v>313160</v>
      </c>
      <c r="AC996" s="168">
        <f t="shared" si="211"/>
        <v>0</v>
      </c>
      <c r="AD996" s="158">
        <f>(Z996-Q996)*0.826045217867759</f>
        <v>258684.320427467</v>
      </c>
      <c r="AE996" s="159">
        <v>0.112691732739812</v>
      </c>
      <c r="AF996" s="158">
        <f t="shared" si="202"/>
        <v>29151.584301592</v>
      </c>
      <c r="AG996" s="158">
        <v>28018.3354664689</v>
      </c>
      <c r="AH996" s="175"/>
      <c r="AI996" s="175"/>
      <c r="AJ996" s="156" t="s">
        <v>47</v>
      </c>
      <c r="AK996" s="140" t="s">
        <v>47</v>
      </c>
    </row>
    <row r="997" s="140" customFormat="1" ht="15" hidden="1" customHeight="1" spans="1:37">
      <c r="A997" s="140">
        <v>2017</v>
      </c>
      <c r="B997" s="140" t="s">
        <v>38</v>
      </c>
      <c r="C997" s="140" t="s">
        <v>59</v>
      </c>
      <c r="D997" s="140" t="s">
        <v>210</v>
      </c>
      <c r="E997" s="140" t="s">
        <v>239</v>
      </c>
      <c r="F997" s="140" t="s">
        <v>721</v>
      </c>
      <c r="G997" s="140" t="s">
        <v>721</v>
      </c>
      <c r="H997" s="140" t="s">
        <v>721</v>
      </c>
      <c r="I997" s="140" t="s">
        <v>170</v>
      </c>
      <c r="J997" s="140" t="s">
        <v>171</v>
      </c>
      <c r="K997" s="140" t="s">
        <v>172</v>
      </c>
      <c r="L997" s="140" t="s">
        <v>721</v>
      </c>
      <c r="M997" s="140" t="s">
        <v>46</v>
      </c>
      <c r="N997" s="156">
        <v>0.06</v>
      </c>
      <c r="O997" s="156" t="s">
        <v>51</v>
      </c>
      <c r="P997" s="156"/>
      <c r="Q997" s="158">
        <v>0</v>
      </c>
      <c r="R997" s="158">
        <v>0</v>
      </c>
      <c r="S997" s="158">
        <v>1448248.93</v>
      </c>
      <c r="T997" s="158">
        <f t="shared" si="208"/>
        <v>86894.9358</v>
      </c>
      <c r="U997" s="158">
        <f t="shared" si="212"/>
        <v>1535143.8658</v>
      </c>
      <c r="V997" s="158">
        <v>1524651.11</v>
      </c>
      <c r="W997" s="158">
        <f t="shared" si="213"/>
        <v>10492.7557999999</v>
      </c>
      <c r="X997" s="158">
        <f t="shared" si="209"/>
        <v>9898.82622641502</v>
      </c>
      <c r="Y997" s="158">
        <f t="shared" si="214"/>
        <v>593.929573584903</v>
      </c>
      <c r="Z997" s="158">
        <v>1322085.8</v>
      </c>
      <c r="AA997" s="158">
        <f t="shared" si="210"/>
        <v>202565.31</v>
      </c>
      <c r="AB997" s="167">
        <f t="shared" si="225"/>
        <v>1247250.75471698</v>
      </c>
      <c r="AC997" s="168">
        <f t="shared" si="211"/>
        <v>74835.0452830188</v>
      </c>
      <c r="AD997" s="158">
        <f t="shared" ref="AD997:AD998" si="226">(Z997-Q997)*0.89807640489087</f>
        <v>1187334.06222127</v>
      </c>
      <c r="AE997" s="159">
        <v>0.112691732739812</v>
      </c>
      <c r="AF997" s="158">
        <f t="shared" si="202"/>
        <v>133802.732812715</v>
      </c>
      <c r="AG997" s="158">
        <v>43451.5924097099</v>
      </c>
      <c r="AH997" s="175"/>
      <c r="AI997" s="175"/>
      <c r="AJ997" s="156" t="s">
        <v>193</v>
      </c>
      <c r="AK997" s="140" t="s">
        <v>193</v>
      </c>
    </row>
    <row r="998" s="140" customFormat="1" ht="15" hidden="1" customHeight="1" spans="1:37">
      <c r="A998" s="140">
        <v>2017</v>
      </c>
      <c r="B998" s="140" t="s">
        <v>38</v>
      </c>
      <c r="C998" s="140" t="s">
        <v>59</v>
      </c>
      <c r="D998" s="140" t="s">
        <v>210</v>
      </c>
      <c r="E998" s="140" t="s">
        <v>239</v>
      </c>
      <c r="F998" s="140" t="s">
        <v>240</v>
      </c>
      <c r="G998" s="140" t="s">
        <v>762</v>
      </c>
      <c r="H998" s="140" t="s">
        <v>762</v>
      </c>
      <c r="I998" s="140" t="s">
        <v>170</v>
      </c>
      <c r="J998" s="140" t="s">
        <v>171</v>
      </c>
      <c r="K998" s="140" t="s">
        <v>172</v>
      </c>
      <c r="L998" s="140" t="s">
        <v>240</v>
      </c>
      <c r="M998" s="140" t="s">
        <v>46</v>
      </c>
      <c r="N998" s="157">
        <v>0.02</v>
      </c>
      <c r="O998" s="156" t="s">
        <v>495</v>
      </c>
      <c r="P998" s="156"/>
      <c r="Q998" s="158">
        <v>0</v>
      </c>
      <c r="R998" s="158">
        <v>0</v>
      </c>
      <c r="S998" s="158">
        <v>328102.65</v>
      </c>
      <c r="T998" s="158">
        <f t="shared" si="208"/>
        <v>6562.053</v>
      </c>
      <c r="U998" s="158">
        <f t="shared" si="212"/>
        <v>334664.703</v>
      </c>
      <c r="V998" s="158">
        <v>580000</v>
      </c>
      <c r="W998" s="158">
        <f t="shared" si="213"/>
        <v>-245335.297</v>
      </c>
      <c r="X998" s="158">
        <f t="shared" si="209"/>
        <v>-240524.800980392</v>
      </c>
      <c r="Y998" s="158">
        <f t="shared" si="214"/>
        <v>-4810.49601960785</v>
      </c>
      <c r="Z998" s="158">
        <v>352840.3</v>
      </c>
      <c r="AA998" s="158">
        <f t="shared" si="210"/>
        <v>227159.7</v>
      </c>
      <c r="AB998" s="167">
        <f t="shared" si="225"/>
        <v>352840.3</v>
      </c>
      <c r="AC998" s="168">
        <f t="shared" si="211"/>
        <v>7056.806</v>
      </c>
      <c r="AD998" s="158">
        <f t="shared" si="226"/>
        <v>316877.548124616</v>
      </c>
      <c r="AE998" s="159">
        <v>0.112691732739812</v>
      </c>
      <c r="AF998" s="158">
        <f t="shared" si="202"/>
        <v>35709.4799645062</v>
      </c>
      <c r="AG998" s="158">
        <v>24650.0832824896</v>
      </c>
      <c r="AH998" s="175"/>
      <c r="AI998" s="175"/>
      <c r="AJ998" s="156" t="s">
        <v>173</v>
      </c>
      <c r="AK998" s="140" t="s">
        <v>173</v>
      </c>
    </row>
    <row r="999" s="140" customFormat="1" ht="15" hidden="1" customHeight="1" spans="1:37">
      <c r="A999" s="140">
        <v>2017</v>
      </c>
      <c r="B999" s="140" t="s">
        <v>38</v>
      </c>
      <c r="C999" s="140" t="s">
        <v>59</v>
      </c>
      <c r="D999" s="140" t="s">
        <v>210</v>
      </c>
      <c r="E999" s="140" t="s">
        <v>239</v>
      </c>
      <c r="F999" s="140" t="s">
        <v>240</v>
      </c>
      <c r="G999" s="140" t="s">
        <v>762</v>
      </c>
      <c r="H999" s="140" t="s">
        <v>762</v>
      </c>
      <c r="I999" s="140" t="s">
        <v>170</v>
      </c>
      <c r="J999" s="140" t="s">
        <v>171</v>
      </c>
      <c r="K999" s="140" t="s">
        <v>172</v>
      </c>
      <c r="L999" s="140" t="s">
        <v>240</v>
      </c>
      <c r="M999" s="140" t="s">
        <v>185</v>
      </c>
      <c r="N999" s="157">
        <v>0.04</v>
      </c>
      <c r="O999" s="156" t="s">
        <v>495</v>
      </c>
      <c r="P999" s="156"/>
      <c r="Q999" s="158">
        <v>0</v>
      </c>
      <c r="R999" s="158">
        <v>0</v>
      </c>
      <c r="S999" s="158">
        <v>50139.52</v>
      </c>
      <c r="T999" s="158">
        <f t="shared" si="208"/>
        <v>2005.5808</v>
      </c>
      <c r="U999" s="158">
        <f t="shared" si="212"/>
        <v>52145.1008</v>
      </c>
      <c r="V999" s="158">
        <v>220000</v>
      </c>
      <c r="W999" s="158">
        <f t="shared" si="213"/>
        <v>-167854.8992</v>
      </c>
      <c r="X999" s="158">
        <f t="shared" si="209"/>
        <v>-161398.941538462</v>
      </c>
      <c r="Y999" s="158">
        <f t="shared" si="214"/>
        <v>-6455.95766153847</v>
      </c>
      <c r="Z999" s="158">
        <v>52145.1</v>
      </c>
      <c r="AA999" s="158">
        <f t="shared" si="210"/>
        <v>167854.9</v>
      </c>
      <c r="AB999" s="167">
        <f t="shared" si="225"/>
        <v>52145.1</v>
      </c>
      <c r="AC999" s="168">
        <f t="shared" si="211"/>
        <v>2085.804</v>
      </c>
      <c r="AD999" s="158">
        <f>(Z999-Q999)*0.91072157793815</f>
        <v>47489.6677537426</v>
      </c>
      <c r="AE999" s="159">
        <v>0.112691732739812</v>
      </c>
      <c r="AF999" s="158">
        <f t="shared" si="202"/>
        <v>5351.69294640723</v>
      </c>
      <c r="AG999" s="158">
        <v>2659.8263860016</v>
      </c>
      <c r="AH999" s="175"/>
      <c r="AI999" s="175"/>
      <c r="AJ999" s="156" t="s">
        <v>186</v>
      </c>
      <c r="AK999" s="140" t="s">
        <v>186</v>
      </c>
    </row>
    <row r="1000" s="140" customFormat="1" ht="15" hidden="1" customHeight="1" spans="1:37">
      <c r="A1000" s="140">
        <v>2017</v>
      </c>
      <c r="B1000" s="140" t="s">
        <v>38</v>
      </c>
      <c r="C1000" s="140" t="s">
        <v>59</v>
      </c>
      <c r="D1000" s="140" t="s">
        <v>210</v>
      </c>
      <c r="E1000" s="140" t="s">
        <v>239</v>
      </c>
      <c r="F1000" s="140" t="s">
        <v>763</v>
      </c>
      <c r="G1000" s="140" t="s">
        <v>763</v>
      </c>
      <c r="H1000" s="140" t="s">
        <v>763</v>
      </c>
      <c r="I1000" s="140" t="s">
        <v>170</v>
      </c>
      <c r="J1000" s="140" t="s">
        <v>171</v>
      </c>
      <c r="K1000" s="140" t="s">
        <v>172</v>
      </c>
      <c r="L1000" s="140" t="s">
        <v>763</v>
      </c>
      <c r="M1000" s="140" t="s">
        <v>46</v>
      </c>
      <c r="N1000" s="156">
        <v>0</v>
      </c>
      <c r="O1000" s="156" t="s">
        <v>47</v>
      </c>
      <c r="P1000" s="156"/>
      <c r="Q1000" s="158">
        <v>0</v>
      </c>
      <c r="R1000" s="158">
        <v>0</v>
      </c>
      <c r="S1000" s="158">
        <v>2801251.39</v>
      </c>
      <c r="T1000" s="158">
        <f t="shared" si="208"/>
        <v>0</v>
      </c>
      <c r="U1000" s="158">
        <f t="shared" si="212"/>
        <v>2801251.39</v>
      </c>
      <c r="V1000" s="158">
        <v>2856310.1</v>
      </c>
      <c r="W1000" s="158">
        <f t="shared" si="213"/>
        <v>-55058.71</v>
      </c>
      <c r="X1000" s="158">
        <f t="shared" si="209"/>
        <v>-55058.71</v>
      </c>
      <c r="Y1000" s="158">
        <f t="shared" si="214"/>
        <v>0</v>
      </c>
      <c r="Z1000" s="158">
        <v>2801251.4</v>
      </c>
      <c r="AA1000" s="158">
        <f t="shared" si="210"/>
        <v>55058.7000000002</v>
      </c>
      <c r="AB1000" s="167">
        <f t="shared" si="225"/>
        <v>2801251.4</v>
      </c>
      <c r="AC1000" s="168">
        <f t="shared" si="211"/>
        <v>0</v>
      </c>
      <c r="AD1000" s="158">
        <f>(Z1000-Q1000)*0.89807640489087</f>
        <v>2515737.78650752</v>
      </c>
      <c r="AE1000" s="159">
        <v>0.112691732739812</v>
      </c>
      <c r="AF1000" s="158">
        <f t="shared" si="202"/>
        <v>283502.850280551</v>
      </c>
      <c r="AG1000" s="158">
        <v>250627.160081478</v>
      </c>
      <c r="AH1000" s="175"/>
      <c r="AI1000" s="175"/>
      <c r="AJ1000" s="156" t="s">
        <v>47</v>
      </c>
      <c r="AK1000" s="140" t="s">
        <v>120</v>
      </c>
    </row>
    <row r="1001" s="140" customFormat="1" ht="15" hidden="1" customHeight="1" spans="1:37">
      <c r="A1001" s="140">
        <v>2017</v>
      </c>
      <c r="B1001" s="140" t="s">
        <v>38</v>
      </c>
      <c r="C1001" s="140" t="s">
        <v>59</v>
      </c>
      <c r="D1001" s="140" t="s">
        <v>210</v>
      </c>
      <c r="E1001" s="140" t="s">
        <v>239</v>
      </c>
      <c r="F1001" s="140" t="s">
        <v>763</v>
      </c>
      <c r="G1001" s="140" t="s">
        <v>763</v>
      </c>
      <c r="H1001" s="140" t="s">
        <v>763</v>
      </c>
      <c r="I1001" s="140" t="s">
        <v>170</v>
      </c>
      <c r="J1001" s="140" t="s">
        <v>171</v>
      </c>
      <c r="K1001" s="140" t="s">
        <v>172</v>
      </c>
      <c r="L1001" s="140" t="s">
        <v>763</v>
      </c>
      <c r="M1001" s="140" t="s">
        <v>185</v>
      </c>
      <c r="N1001" s="156">
        <v>0</v>
      </c>
      <c r="O1001" s="156" t="s">
        <v>47</v>
      </c>
      <c r="P1001" s="156"/>
      <c r="Q1001" s="158">
        <v>0</v>
      </c>
      <c r="R1001" s="158">
        <v>0</v>
      </c>
      <c r="S1001" s="158">
        <v>44871.34</v>
      </c>
      <c r="T1001" s="158">
        <f t="shared" si="208"/>
        <v>0</v>
      </c>
      <c r="U1001" s="158">
        <f t="shared" si="212"/>
        <v>44871.34</v>
      </c>
      <c r="V1001" s="158">
        <v>100000</v>
      </c>
      <c r="W1001" s="158">
        <f t="shared" si="213"/>
        <v>-55128.66</v>
      </c>
      <c r="X1001" s="158">
        <f t="shared" si="209"/>
        <v>-55128.66</v>
      </c>
      <c r="Y1001" s="158">
        <f t="shared" si="214"/>
        <v>0</v>
      </c>
      <c r="Z1001" s="158">
        <v>44871.33</v>
      </c>
      <c r="AA1001" s="158">
        <f t="shared" si="210"/>
        <v>55128.67</v>
      </c>
      <c r="AB1001" s="167">
        <f t="shared" si="225"/>
        <v>44871.33</v>
      </c>
      <c r="AC1001" s="168">
        <f t="shared" si="211"/>
        <v>0</v>
      </c>
      <c r="AD1001" s="158">
        <f>(Z1001-Q1001)*0.91072157793815</f>
        <v>40865.2884617834</v>
      </c>
      <c r="AE1001" s="159">
        <v>0.112691732739812</v>
      </c>
      <c r="AF1001" s="158">
        <f t="shared" si="202"/>
        <v>4605.18016567062</v>
      </c>
      <c r="AG1001" s="158">
        <v>4014.62503757386</v>
      </c>
      <c r="AH1001" s="175"/>
      <c r="AI1001" s="175"/>
      <c r="AJ1001" s="156" t="s">
        <v>47</v>
      </c>
      <c r="AK1001" s="140" t="s">
        <v>47</v>
      </c>
    </row>
    <row r="1002" s="140" customFormat="1" ht="15" hidden="1" customHeight="1" spans="1:37">
      <c r="A1002" s="140">
        <v>2017</v>
      </c>
      <c r="B1002" s="140" t="s">
        <v>38</v>
      </c>
      <c r="C1002" s="140" t="s">
        <v>59</v>
      </c>
      <c r="D1002" s="140" t="s">
        <v>210</v>
      </c>
      <c r="E1002" s="140" t="s">
        <v>239</v>
      </c>
      <c r="F1002" s="140" t="s">
        <v>763</v>
      </c>
      <c r="G1002" s="140" t="s">
        <v>763</v>
      </c>
      <c r="H1002" s="140" t="s">
        <v>763</v>
      </c>
      <c r="I1002" s="140" t="s">
        <v>170</v>
      </c>
      <c r="J1002" s="140" t="s">
        <v>171</v>
      </c>
      <c r="K1002" s="140" t="s">
        <v>172</v>
      </c>
      <c r="L1002" s="140" t="s">
        <v>763</v>
      </c>
      <c r="M1002" s="140" t="s">
        <v>160</v>
      </c>
      <c r="N1002" s="156">
        <v>0</v>
      </c>
      <c r="O1002" s="156" t="s">
        <v>47</v>
      </c>
      <c r="P1002" s="156" t="s">
        <v>764</v>
      </c>
      <c r="Q1002" s="158">
        <v>0</v>
      </c>
      <c r="R1002" s="158">
        <v>0</v>
      </c>
      <c r="S1002" s="158">
        <v>883845</v>
      </c>
      <c r="T1002" s="158">
        <f t="shared" si="208"/>
        <v>0</v>
      </c>
      <c r="U1002" s="158">
        <f t="shared" si="212"/>
        <v>883845</v>
      </c>
      <c r="V1002" s="158">
        <v>121845</v>
      </c>
      <c r="W1002" s="158">
        <f t="shared" si="213"/>
        <v>762000</v>
      </c>
      <c r="X1002" s="158">
        <f t="shared" si="209"/>
        <v>762000</v>
      </c>
      <c r="Y1002" s="158">
        <f t="shared" si="214"/>
        <v>0</v>
      </c>
      <c r="Z1002" s="158">
        <v>121845</v>
      </c>
      <c r="AA1002" s="158">
        <f t="shared" si="210"/>
        <v>0</v>
      </c>
      <c r="AB1002" s="167">
        <f>AD1002*2</f>
        <v>201298.959142194</v>
      </c>
      <c r="AC1002" s="168">
        <f t="shared" si="211"/>
        <v>-79453.9591421942</v>
      </c>
      <c r="AD1002" s="158">
        <f>(Z1002-Q1002)*0.826045217867759</f>
        <v>100649.479571097</v>
      </c>
      <c r="AE1002" s="159">
        <v>0.112691732739812</v>
      </c>
      <c r="AF1002" s="158">
        <f t="shared" si="202"/>
        <v>11342.3642522272</v>
      </c>
      <c r="AG1002" s="158">
        <v>10901.4372362751</v>
      </c>
      <c r="AH1002" s="175"/>
      <c r="AI1002" s="175"/>
      <c r="AJ1002" s="156" t="s">
        <v>47</v>
      </c>
      <c r="AK1002" s="140" t="s">
        <v>47</v>
      </c>
    </row>
    <row r="1003" s="140" customFormat="1" ht="15" hidden="1" customHeight="1" spans="1:37">
      <c r="A1003" s="140">
        <v>2017</v>
      </c>
      <c r="B1003" s="140" t="s">
        <v>38</v>
      </c>
      <c r="C1003" s="140" t="s">
        <v>59</v>
      </c>
      <c r="D1003" s="140" t="s">
        <v>210</v>
      </c>
      <c r="E1003" s="140" t="s">
        <v>239</v>
      </c>
      <c r="F1003" s="140" t="s">
        <v>765</v>
      </c>
      <c r="G1003" s="140" t="s">
        <v>765</v>
      </c>
      <c r="H1003" s="140" t="s">
        <v>765</v>
      </c>
      <c r="I1003" s="140" t="s">
        <v>170</v>
      </c>
      <c r="J1003" s="140" t="s">
        <v>171</v>
      </c>
      <c r="K1003" s="140" t="s">
        <v>172</v>
      </c>
      <c r="L1003" s="140" t="s">
        <v>765</v>
      </c>
      <c r="M1003" s="140" t="s">
        <v>46</v>
      </c>
      <c r="N1003" s="157">
        <v>0.02</v>
      </c>
      <c r="O1003" s="156" t="s">
        <v>51</v>
      </c>
      <c r="P1003" s="156"/>
      <c r="Q1003" s="158">
        <v>0</v>
      </c>
      <c r="R1003" s="158">
        <v>0</v>
      </c>
      <c r="S1003" s="158">
        <v>13400000</v>
      </c>
      <c r="T1003" s="158">
        <f t="shared" si="208"/>
        <v>268000</v>
      </c>
      <c r="U1003" s="158">
        <f t="shared" si="212"/>
        <v>13668000</v>
      </c>
      <c r="V1003" s="158">
        <v>13652000</v>
      </c>
      <c r="W1003" s="158">
        <f t="shared" si="213"/>
        <v>16000</v>
      </c>
      <c r="X1003" s="158">
        <f t="shared" si="209"/>
        <v>15686.2745098039</v>
      </c>
      <c r="Y1003" s="158">
        <f t="shared" si="214"/>
        <v>313.725490196079</v>
      </c>
      <c r="Z1003" s="158">
        <v>11626114</v>
      </c>
      <c r="AA1003" s="158">
        <f t="shared" si="210"/>
        <v>2025886</v>
      </c>
      <c r="AB1003" s="167">
        <f>IF(O1003="返货",Z1003/(1+N1003),IF(O1003="返现",Z1003,IF(O1003="折扣",Z1003*N1003,IF(O1003="无",Z1003))))</f>
        <v>11398150.9803922</v>
      </c>
      <c r="AC1003" s="168">
        <f t="shared" si="211"/>
        <v>227963.019607844</v>
      </c>
      <c r="AD1003" s="158">
        <f>(Z1003-Q1003)*0.89807640489087</f>
        <v>10441138.6639714</v>
      </c>
      <c r="AE1003" s="159">
        <v>0.112691732739812</v>
      </c>
      <c r="AF1003" s="158">
        <f t="shared" si="202"/>
        <v>1176630.00781958</v>
      </c>
      <c r="AG1003" s="158">
        <v>812222.068600774</v>
      </c>
      <c r="AH1003" s="175"/>
      <c r="AI1003" s="175"/>
      <c r="AJ1003" s="156" t="s">
        <v>173</v>
      </c>
      <c r="AK1003" s="140" t="s">
        <v>173</v>
      </c>
    </row>
    <row r="1004" s="140" customFormat="1" ht="15" hidden="1" customHeight="1" spans="1:37">
      <c r="A1004" s="140">
        <v>2017</v>
      </c>
      <c r="B1004" s="140" t="s">
        <v>38</v>
      </c>
      <c r="C1004" s="140" t="s">
        <v>59</v>
      </c>
      <c r="D1004" s="140" t="s">
        <v>210</v>
      </c>
      <c r="E1004" s="140" t="s">
        <v>239</v>
      </c>
      <c r="F1004" s="140" t="s">
        <v>765</v>
      </c>
      <c r="G1004" s="140" t="s">
        <v>765</v>
      </c>
      <c r="H1004" s="140" t="s">
        <v>765</v>
      </c>
      <c r="I1004" s="140" t="s">
        <v>170</v>
      </c>
      <c r="J1004" s="140" t="s">
        <v>171</v>
      </c>
      <c r="K1004" s="140" t="s">
        <v>172</v>
      </c>
      <c r="L1004" s="140" t="s">
        <v>765</v>
      </c>
      <c r="M1004" s="140" t="s">
        <v>160</v>
      </c>
      <c r="N1004" s="157">
        <v>0.02</v>
      </c>
      <c r="O1004" s="156" t="s">
        <v>51</v>
      </c>
      <c r="P1004" s="156"/>
      <c r="Q1004" s="158">
        <v>0</v>
      </c>
      <c r="R1004" s="158">
        <v>0</v>
      </c>
      <c r="S1004" s="158">
        <v>329647.08</v>
      </c>
      <c r="T1004" s="158">
        <f t="shared" si="208"/>
        <v>6592.9416</v>
      </c>
      <c r="U1004" s="158">
        <f t="shared" si="212"/>
        <v>336240.0216</v>
      </c>
      <c r="V1004" s="158">
        <v>336240.0216</v>
      </c>
      <c r="W1004" s="158">
        <f t="shared" si="213"/>
        <v>0</v>
      </c>
      <c r="X1004" s="158">
        <f t="shared" si="209"/>
        <v>0</v>
      </c>
      <c r="Y1004" s="158">
        <f t="shared" si="214"/>
        <v>0</v>
      </c>
      <c r="Z1004" s="158">
        <v>336240</v>
      </c>
      <c r="AA1004" s="158">
        <f t="shared" si="210"/>
        <v>0.0215999999782071</v>
      </c>
      <c r="AB1004" s="167">
        <f>IF(O1004="返货",Z1004/(1+N1004),IF(O1004="返现",Z1004,IF(O1004="折扣",Z1004*N1004,IF(O1004="无",Z1004))))</f>
        <v>329647.058823529</v>
      </c>
      <c r="AC1004" s="168">
        <f t="shared" si="211"/>
        <v>6592.9411764706</v>
      </c>
      <c r="AD1004" s="158">
        <f>(Z1004-Q1004)*0.826045217867759</f>
        <v>277749.444055855</v>
      </c>
      <c r="AE1004" s="159">
        <v>0.112691732739812</v>
      </c>
      <c r="AF1004" s="158">
        <f t="shared" si="202"/>
        <v>31300.0661181738</v>
      </c>
      <c r="AG1004" s="158">
        <v>23490.3552766061</v>
      </c>
      <c r="AH1004" s="175"/>
      <c r="AI1004" s="175"/>
      <c r="AJ1004" s="156" t="s">
        <v>173</v>
      </c>
      <c r="AK1004" s="140" t="s">
        <v>173</v>
      </c>
    </row>
    <row r="1005" s="140" customFormat="1" ht="15" hidden="1" customHeight="1" spans="1:37">
      <c r="A1005" s="140">
        <v>2017</v>
      </c>
      <c r="B1005" s="140" t="s">
        <v>38</v>
      </c>
      <c r="C1005" s="140" t="s">
        <v>59</v>
      </c>
      <c r="D1005" s="140" t="s">
        <v>210</v>
      </c>
      <c r="E1005" s="140" t="s">
        <v>239</v>
      </c>
      <c r="F1005" s="140" t="s">
        <v>765</v>
      </c>
      <c r="G1005" s="140" t="s">
        <v>765</v>
      </c>
      <c r="H1005" s="140" t="s">
        <v>765</v>
      </c>
      <c r="I1005" s="140" t="s">
        <v>170</v>
      </c>
      <c r="J1005" s="140" t="s">
        <v>171</v>
      </c>
      <c r="K1005" s="140" t="s">
        <v>172</v>
      </c>
      <c r="L1005" s="140" t="s">
        <v>765</v>
      </c>
      <c r="M1005" s="140" t="s">
        <v>185</v>
      </c>
      <c r="N1005" s="157">
        <v>0.04</v>
      </c>
      <c r="O1005" s="156" t="s">
        <v>51</v>
      </c>
      <c r="P1005" s="156"/>
      <c r="Q1005" s="158">
        <v>0</v>
      </c>
      <c r="R1005" s="158">
        <v>0</v>
      </c>
      <c r="S1005" s="158">
        <v>30000</v>
      </c>
      <c r="T1005" s="158">
        <f t="shared" si="208"/>
        <v>1200</v>
      </c>
      <c r="U1005" s="158">
        <f t="shared" si="212"/>
        <v>31200</v>
      </c>
      <c r="V1005" s="158">
        <v>31200</v>
      </c>
      <c r="W1005" s="158">
        <f t="shared" si="213"/>
        <v>0</v>
      </c>
      <c r="X1005" s="158">
        <f t="shared" si="209"/>
        <v>0</v>
      </c>
      <c r="Y1005" s="158">
        <f t="shared" si="214"/>
        <v>0</v>
      </c>
      <c r="Z1005" s="158">
        <v>30750.98</v>
      </c>
      <c r="AA1005" s="158">
        <f t="shared" si="210"/>
        <v>449.02</v>
      </c>
      <c r="AB1005" s="167">
        <f>IF(O1005="返货",Z1005/(1+N1005),IF(O1005="返现",Z1005,IF(O1005="折扣",Z1005*N1005,IF(O1005="无",Z1005))))</f>
        <v>29568.25</v>
      </c>
      <c r="AC1005" s="168">
        <f t="shared" si="211"/>
        <v>1182.73</v>
      </c>
      <c r="AD1005" s="158">
        <f>(Z1005-Q1005)*0.91072157793815</f>
        <v>28005.5810287445</v>
      </c>
      <c r="AE1005" s="159">
        <v>0.112691732739812</v>
      </c>
      <c r="AF1005" s="158">
        <f t="shared" si="202"/>
        <v>3155.99745251442</v>
      </c>
      <c r="AG1005" s="158">
        <v>1568.55136914892</v>
      </c>
      <c r="AH1005" s="175"/>
      <c r="AI1005" s="175"/>
      <c r="AJ1005" s="156" t="s">
        <v>186</v>
      </c>
      <c r="AK1005" s="140" t="s">
        <v>186</v>
      </c>
    </row>
    <row r="1006" s="140" customFormat="1" ht="15" hidden="1" customHeight="1" spans="1:37">
      <c r="A1006" s="140">
        <v>2017</v>
      </c>
      <c r="B1006" s="140" t="s">
        <v>38</v>
      </c>
      <c r="C1006" s="140" t="s">
        <v>59</v>
      </c>
      <c r="D1006" s="140" t="s">
        <v>210</v>
      </c>
      <c r="E1006" s="140" t="s">
        <v>239</v>
      </c>
      <c r="F1006" s="140" t="s">
        <v>766</v>
      </c>
      <c r="G1006" s="140" t="s">
        <v>766</v>
      </c>
      <c r="H1006" s="140" t="s">
        <v>766</v>
      </c>
      <c r="I1006" s="140" t="s">
        <v>170</v>
      </c>
      <c r="J1006" s="140" t="s">
        <v>171</v>
      </c>
      <c r="K1006" s="140" t="s">
        <v>172</v>
      </c>
      <c r="L1006" s="140" t="s">
        <v>766</v>
      </c>
      <c r="M1006" s="140" t="s">
        <v>46</v>
      </c>
      <c r="N1006" s="157">
        <v>0.02</v>
      </c>
      <c r="O1006" s="156" t="s">
        <v>51</v>
      </c>
      <c r="P1006" s="156"/>
      <c r="Q1006" s="158">
        <v>0</v>
      </c>
      <c r="R1006" s="158">
        <v>0</v>
      </c>
      <c r="S1006" s="158">
        <v>4400000</v>
      </c>
      <c r="T1006" s="158">
        <f t="shared" si="208"/>
        <v>88000</v>
      </c>
      <c r="U1006" s="158">
        <f t="shared" si="212"/>
        <v>4488000</v>
      </c>
      <c r="V1006" s="158">
        <v>4393000</v>
      </c>
      <c r="W1006" s="158">
        <f t="shared" si="213"/>
        <v>95000</v>
      </c>
      <c r="X1006" s="158">
        <f t="shared" si="209"/>
        <v>93137.2549019608</v>
      </c>
      <c r="Y1006" s="158">
        <f t="shared" si="214"/>
        <v>1862.74509803922</v>
      </c>
      <c r="Z1006" s="158">
        <v>4209402.6</v>
      </c>
      <c r="AA1006" s="158">
        <f t="shared" si="210"/>
        <v>183597.4</v>
      </c>
      <c r="AB1006" s="167">
        <f>IF(O1006="返货",Z1006/(1+N1006),IF(O1006="返现",Z1006,IF(O1006="折扣",Z1006*N1006,IF(O1006="无",Z1006))))</f>
        <v>4126865.29411765</v>
      </c>
      <c r="AC1006" s="168">
        <f t="shared" si="211"/>
        <v>82537.3058823529</v>
      </c>
      <c r="AD1006" s="158">
        <f t="shared" ref="AD1006:AD1008" si="227">(Z1006-Q1006)*0.89807640489087</f>
        <v>3780365.15374628</v>
      </c>
      <c r="AE1006" s="159">
        <v>0.112691732739812</v>
      </c>
      <c r="AF1006" s="158">
        <f t="shared" si="202"/>
        <v>426015.899564874</v>
      </c>
      <c r="AG1006" s="158">
        <v>294076.738568492</v>
      </c>
      <c r="AH1006" s="175"/>
      <c r="AI1006" s="175"/>
      <c r="AJ1006" s="156" t="s">
        <v>173</v>
      </c>
      <c r="AK1006" s="140" t="s">
        <v>173</v>
      </c>
    </row>
    <row r="1007" s="140" customFormat="1" ht="15" hidden="1" customHeight="1" spans="1:37">
      <c r="A1007" s="140">
        <v>2017</v>
      </c>
      <c r="B1007" s="140" t="s">
        <v>199</v>
      </c>
      <c r="C1007" s="140" t="s">
        <v>59</v>
      </c>
      <c r="D1007" s="140" t="s">
        <v>210</v>
      </c>
      <c r="E1007" s="140" t="s">
        <v>190</v>
      </c>
      <c r="F1007" s="140" t="s">
        <v>767</v>
      </c>
      <c r="G1007" s="140" t="s">
        <v>992</v>
      </c>
      <c r="H1007" s="140" t="s">
        <v>992</v>
      </c>
      <c r="I1007" s="140" t="s">
        <v>170</v>
      </c>
      <c r="J1007" s="140" t="s">
        <v>171</v>
      </c>
      <c r="K1007" s="140" t="s">
        <v>172</v>
      </c>
      <c r="L1007" s="140" t="s">
        <v>363</v>
      </c>
      <c r="M1007" s="140" t="s">
        <v>46</v>
      </c>
      <c r="N1007" s="157">
        <v>0.02</v>
      </c>
      <c r="O1007" s="156" t="s">
        <v>51</v>
      </c>
      <c r="P1007" s="156"/>
      <c r="Q1007" s="158">
        <v>0</v>
      </c>
      <c r="R1007" s="158">
        <v>0</v>
      </c>
      <c r="S1007" s="158">
        <v>900000</v>
      </c>
      <c r="T1007" s="158">
        <f t="shared" si="208"/>
        <v>18000</v>
      </c>
      <c r="U1007" s="158">
        <f t="shared" si="212"/>
        <v>918000</v>
      </c>
      <c r="V1007" s="158">
        <v>2397000</v>
      </c>
      <c r="W1007" s="158">
        <f t="shared" si="213"/>
        <v>-1479000</v>
      </c>
      <c r="X1007" s="158">
        <f t="shared" si="209"/>
        <v>-1450000</v>
      </c>
      <c r="Y1007" s="158">
        <f t="shared" si="214"/>
        <v>-29000</v>
      </c>
      <c r="Z1007" s="158">
        <v>24477813.2</v>
      </c>
      <c r="AA1007" s="158">
        <f t="shared" si="210"/>
        <v>-22080813.2</v>
      </c>
      <c r="AB1007" s="167">
        <f>IF(O1007="返货",Z1007/(1+N1007),IF(O1007="返现",Z1007,IF(O1007="折扣",Z1007*N1007,IF(O1007="无",Z1007))))</f>
        <v>23997856.0784314</v>
      </c>
      <c r="AC1007" s="168">
        <f t="shared" si="211"/>
        <v>479957.121568628</v>
      </c>
      <c r="AD1007" s="158">
        <f t="shared" si="227"/>
        <v>21982946.4782463</v>
      </c>
      <c r="AE1007" s="159">
        <v>0.112691732739812</v>
      </c>
      <c r="AF1007" s="158">
        <f t="shared" ref="AF1007:AF1069" si="228">AD1007*AE1007</f>
        <v>2477296.32936012</v>
      </c>
      <c r="AG1007" s="158">
        <v>1710065.81151082</v>
      </c>
      <c r="AH1007" s="175"/>
      <c r="AI1007" s="175"/>
      <c r="AJ1007" s="156" t="s">
        <v>173</v>
      </c>
      <c r="AK1007" s="140" t="s">
        <v>173</v>
      </c>
    </row>
    <row r="1008" s="140" customFormat="1" ht="15" hidden="1" customHeight="1" spans="1:37">
      <c r="A1008" s="140">
        <v>2017</v>
      </c>
      <c r="B1008" s="140" t="s">
        <v>38</v>
      </c>
      <c r="C1008" s="140" t="s">
        <v>59</v>
      </c>
      <c r="D1008" s="140" t="s">
        <v>210</v>
      </c>
      <c r="E1008" s="140" t="s">
        <v>190</v>
      </c>
      <c r="F1008" s="140" t="s">
        <v>363</v>
      </c>
      <c r="G1008" s="140" t="s">
        <v>363</v>
      </c>
      <c r="H1008" s="140" t="s">
        <v>363</v>
      </c>
      <c r="I1008" s="140" t="s">
        <v>170</v>
      </c>
      <c r="J1008" s="140" t="s">
        <v>171</v>
      </c>
      <c r="K1008" s="140" t="s">
        <v>172</v>
      </c>
      <c r="L1008" s="140" t="s">
        <v>363</v>
      </c>
      <c r="M1008" s="140" t="s">
        <v>46</v>
      </c>
      <c r="N1008" s="157">
        <v>0.02</v>
      </c>
      <c r="O1008" s="156" t="s">
        <v>51</v>
      </c>
      <c r="P1008" s="156"/>
      <c r="Q1008" s="158">
        <v>204388.2</v>
      </c>
      <c r="R1008" s="158">
        <v>0</v>
      </c>
      <c r="S1008" s="158">
        <v>23711762.73</v>
      </c>
      <c r="T1008" s="158">
        <f t="shared" si="208"/>
        <v>474235.2546</v>
      </c>
      <c r="U1008" s="158">
        <f t="shared" si="212"/>
        <v>24185997.9846</v>
      </c>
      <c r="V1008" s="158">
        <v>22293392.86</v>
      </c>
      <c r="W1008" s="158">
        <f t="shared" si="213"/>
        <v>1892605.1246</v>
      </c>
      <c r="X1008" s="158">
        <f t="shared" si="209"/>
        <v>1855495.22019608</v>
      </c>
      <c r="Y1008" s="158">
        <f t="shared" si="214"/>
        <v>37109.9044039217</v>
      </c>
      <c r="Z1008" s="158">
        <v>0</v>
      </c>
      <c r="AA1008" s="158">
        <f t="shared" si="210"/>
        <v>22497781.06</v>
      </c>
      <c r="AB1008" s="167">
        <f>IF(O1008="返货",(Z1008-Q1008)/(1+N1008),IF(O1008="返现",(Z1008-Q1008),IF(O1008="折扣",(Z1008-Q1008)*N1008,IF(O1008="无",(Z1008-Q1008)))))</f>
        <v>-200380.588235294</v>
      </c>
      <c r="AC1008" s="168">
        <f t="shared" si="211"/>
        <v>200380.588235294</v>
      </c>
      <c r="AD1008" s="158">
        <f t="shared" si="227"/>
        <v>-183556.219858116</v>
      </c>
      <c r="AE1008" s="159">
        <v>0.112691732739812</v>
      </c>
      <c r="AF1008" s="158">
        <f t="shared" si="228"/>
        <v>-20685.268470981</v>
      </c>
      <c r="AG1008" s="158">
        <v>0</v>
      </c>
      <c r="AH1008" s="175"/>
      <c r="AI1008" s="175"/>
      <c r="AJ1008" s="156" t="s">
        <v>173</v>
      </c>
      <c r="AK1008" s="140" t="s">
        <v>173</v>
      </c>
    </row>
    <row r="1009" s="140" customFormat="1" ht="15" hidden="1" customHeight="1" spans="1:37">
      <c r="A1009" s="140">
        <v>2017</v>
      </c>
      <c r="B1009" s="140" t="s">
        <v>38</v>
      </c>
      <c r="C1009" s="140" t="s">
        <v>59</v>
      </c>
      <c r="D1009" s="140" t="s">
        <v>210</v>
      </c>
      <c r="E1009" s="140" t="s">
        <v>190</v>
      </c>
      <c r="F1009" s="140" t="s">
        <v>363</v>
      </c>
      <c r="G1009" s="140" t="s">
        <v>363</v>
      </c>
      <c r="H1009" s="140" t="s">
        <v>363</v>
      </c>
      <c r="I1009" s="140" t="s">
        <v>170</v>
      </c>
      <c r="J1009" s="140" t="s">
        <v>171</v>
      </c>
      <c r="K1009" s="140" t="s">
        <v>172</v>
      </c>
      <c r="L1009" s="140" t="s">
        <v>767</v>
      </c>
      <c r="M1009" s="140" t="s">
        <v>160</v>
      </c>
      <c r="N1009" s="157">
        <v>0.02</v>
      </c>
      <c r="O1009" s="156" t="s">
        <v>51</v>
      </c>
      <c r="P1009" s="156"/>
      <c r="Q1009" s="158">
        <v>0</v>
      </c>
      <c r="R1009" s="158">
        <v>0</v>
      </c>
      <c r="S1009" s="158">
        <v>366603.44</v>
      </c>
      <c r="T1009" s="158">
        <f t="shared" si="208"/>
        <v>7332.0688</v>
      </c>
      <c r="U1009" s="158">
        <f t="shared" si="212"/>
        <v>373935.5088</v>
      </c>
      <c r="V1009" s="158">
        <v>372936.9</v>
      </c>
      <c r="W1009" s="158">
        <f t="shared" si="213"/>
        <v>998.608799999987</v>
      </c>
      <c r="X1009" s="158">
        <f t="shared" si="209"/>
        <v>979.028235294105</v>
      </c>
      <c r="Y1009" s="158">
        <f t="shared" si="214"/>
        <v>19.5805647058821</v>
      </c>
      <c r="Z1009" s="158">
        <v>372936.9</v>
      </c>
      <c r="AA1009" s="158">
        <f t="shared" si="210"/>
        <v>0</v>
      </c>
      <c r="AB1009" s="167">
        <f>IF(O1009="返货",Z1009/(1+N1009),IF(O1009="返现",Z1009,IF(O1009="折扣",Z1009*N1009,IF(O1009="无",Z1009))))</f>
        <v>365624.411764706</v>
      </c>
      <c r="AC1009" s="168">
        <f t="shared" si="211"/>
        <v>7312.48823529412</v>
      </c>
      <c r="AD1009" s="158">
        <f>(Z1009-Q1009)*0.826045217867759</f>
        <v>308062.742811427</v>
      </c>
      <c r="AE1009" s="159">
        <v>0.112691732739812</v>
      </c>
      <c r="AF1009" s="158">
        <f t="shared" si="228"/>
        <v>34716.1242799987</v>
      </c>
      <c r="AG1009" s="158">
        <v>26054.069345575</v>
      </c>
      <c r="AH1009" s="175"/>
      <c r="AI1009" s="175"/>
      <c r="AJ1009" s="157">
        <v>0.02</v>
      </c>
      <c r="AK1009" s="140" t="s">
        <v>173</v>
      </c>
    </row>
    <row r="1010" s="140" customFormat="1" ht="15" hidden="1" customHeight="1" spans="1:37">
      <c r="A1010" s="140">
        <v>2017</v>
      </c>
      <c r="B1010" s="140" t="s">
        <v>38</v>
      </c>
      <c r="C1010" s="140" t="s">
        <v>59</v>
      </c>
      <c r="D1010" s="140" t="s">
        <v>210</v>
      </c>
      <c r="E1010" s="140" t="s">
        <v>249</v>
      </c>
      <c r="F1010" s="140" t="s">
        <v>768</v>
      </c>
      <c r="G1010" s="140" t="s">
        <v>768</v>
      </c>
      <c r="H1010" s="140" t="s">
        <v>768</v>
      </c>
      <c r="I1010" s="140" t="s">
        <v>170</v>
      </c>
      <c r="J1010" s="140" t="s">
        <v>171</v>
      </c>
      <c r="K1010" s="140" t="s">
        <v>172</v>
      </c>
      <c r="L1010" s="140" t="s">
        <v>768</v>
      </c>
      <c r="M1010" s="140" t="s">
        <v>46</v>
      </c>
      <c r="N1010" s="157">
        <v>0.02</v>
      </c>
      <c r="O1010" s="156" t="s">
        <v>51</v>
      </c>
      <c r="P1010" s="156"/>
      <c r="Q1010" s="158">
        <v>0</v>
      </c>
      <c r="R1010" s="158">
        <v>0</v>
      </c>
      <c r="S1010" s="158">
        <v>20000</v>
      </c>
      <c r="T1010" s="158">
        <f t="shared" si="208"/>
        <v>400</v>
      </c>
      <c r="U1010" s="158">
        <f t="shared" si="212"/>
        <v>20400</v>
      </c>
      <c r="V1010" s="158">
        <v>20000</v>
      </c>
      <c r="W1010" s="158">
        <f t="shared" si="213"/>
        <v>400</v>
      </c>
      <c r="X1010" s="158">
        <f t="shared" si="209"/>
        <v>392.156862745098</v>
      </c>
      <c r="Y1010" s="158">
        <f t="shared" si="214"/>
        <v>7.84313725490199</v>
      </c>
      <c r="Z1010" s="158">
        <v>19998.5</v>
      </c>
      <c r="AA1010" s="158">
        <f t="shared" si="210"/>
        <v>1.5</v>
      </c>
      <c r="AB1010" s="167">
        <f>IF(O1010="返货",Z1010/(1+N1010),IF(O1010="返现",Z1010,IF(O1010="折扣",Z1010*N1010,IF(O1010="无",Z1010))))</f>
        <v>19606.3725490196</v>
      </c>
      <c r="AC1010" s="168">
        <f t="shared" si="211"/>
        <v>392.127450980392</v>
      </c>
      <c r="AD1010" s="158">
        <f t="shared" ref="AD1010:AD1011" si="229">(Z1010-Q1010)*0.89807640489087</f>
        <v>17960.1809832101</v>
      </c>
      <c r="AE1010" s="159">
        <v>0.112691732739812</v>
      </c>
      <c r="AF1010" s="158">
        <f t="shared" si="228"/>
        <v>2023.96391531856</v>
      </c>
      <c r="AG1010" s="158">
        <v>1397.13261360697</v>
      </c>
      <c r="AH1010" s="175"/>
      <c r="AI1010" s="175"/>
      <c r="AJ1010" s="157">
        <v>0.02</v>
      </c>
      <c r="AK1010" s="177">
        <v>0.02</v>
      </c>
    </row>
    <row r="1011" s="140" customFormat="1" ht="15" hidden="1" customHeight="1" spans="1:37">
      <c r="A1011" s="140">
        <v>2017</v>
      </c>
      <c r="B1011" s="140" t="s">
        <v>38</v>
      </c>
      <c r="C1011" s="140" t="s">
        <v>59</v>
      </c>
      <c r="D1011" s="140" t="s">
        <v>210</v>
      </c>
      <c r="E1011" s="140" t="s">
        <v>249</v>
      </c>
      <c r="F1011" s="140" t="s">
        <v>769</v>
      </c>
      <c r="G1011" s="140" t="s">
        <v>769</v>
      </c>
      <c r="H1011" s="140" t="s">
        <v>769</v>
      </c>
      <c r="I1011" s="140" t="s">
        <v>170</v>
      </c>
      <c r="J1011" s="140" t="s">
        <v>171</v>
      </c>
      <c r="K1011" s="140" t="s">
        <v>172</v>
      </c>
      <c r="L1011" s="140" t="s">
        <v>769</v>
      </c>
      <c r="M1011" s="140" t="s">
        <v>46</v>
      </c>
      <c r="N1011" s="157">
        <v>0.02</v>
      </c>
      <c r="O1011" s="156" t="s">
        <v>51</v>
      </c>
      <c r="P1011" s="156"/>
      <c r="Q1011" s="158">
        <v>0</v>
      </c>
      <c r="R1011" s="158">
        <v>0</v>
      </c>
      <c r="S1011" s="158">
        <v>3188235.29</v>
      </c>
      <c r="T1011" s="158">
        <f t="shared" si="208"/>
        <v>63764.7058</v>
      </c>
      <c r="U1011" s="158">
        <f t="shared" si="212"/>
        <v>3251999.9958</v>
      </c>
      <c r="V1011" s="158">
        <v>3080000</v>
      </c>
      <c r="W1011" s="158">
        <f t="shared" si="213"/>
        <v>171999.9958</v>
      </c>
      <c r="X1011" s="158">
        <f t="shared" si="209"/>
        <v>168627.446862745</v>
      </c>
      <c r="Y1011" s="158">
        <f t="shared" si="214"/>
        <v>3372.54893725491</v>
      </c>
      <c r="Z1011" s="158">
        <v>2911329.2</v>
      </c>
      <c r="AA1011" s="158">
        <f t="shared" si="210"/>
        <v>168670.8</v>
      </c>
      <c r="AB1011" s="167">
        <f>IF(O1011="返货",Z1011/(1+N1011),IF(O1011="返现",Z1011,IF(O1011="折扣",Z1011*N1011,IF(O1011="无",Z1011))))</f>
        <v>2854244.31372549</v>
      </c>
      <c r="AC1011" s="168">
        <f t="shared" si="211"/>
        <v>57084.8862745101</v>
      </c>
      <c r="AD1011" s="158">
        <f t="shared" si="229"/>
        <v>2614596.06138981</v>
      </c>
      <c r="AE1011" s="159">
        <v>0.112691732739812</v>
      </c>
      <c r="AF1011" s="158">
        <f t="shared" si="228"/>
        <v>294643.360572706</v>
      </c>
      <c r="AG1011" s="158">
        <v>203390.903031042</v>
      </c>
      <c r="AH1011" s="175"/>
      <c r="AI1011" s="175"/>
      <c r="AJ1011" s="156" t="s">
        <v>173</v>
      </c>
      <c r="AK1011" s="140" t="s">
        <v>173</v>
      </c>
    </row>
    <row r="1012" s="140" customFormat="1" ht="15" hidden="1" customHeight="1" spans="1:39">
      <c r="A1012" s="140">
        <v>2017</v>
      </c>
      <c r="B1012" s="140" t="s">
        <v>38</v>
      </c>
      <c r="C1012" s="140" t="s">
        <v>59</v>
      </c>
      <c r="D1012" s="140" t="s">
        <v>210</v>
      </c>
      <c r="E1012" s="140" t="s">
        <v>249</v>
      </c>
      <c r="F1012" s="140" t="s">
        <v>769</v>
      </c>
      <c r="G1012" s="140" t="s">
        <v>769</v>
      </c>
      <c r="H1012" s="140" t="s">
        <v>769</v>
      </c>
      <c r="I1012" s="140" t="s">
        <v>170</v>
      </c>
      <c r="J1012" s="140" t="s">
        <v>171</v>
      </c>
      <c r="K1012" s="140" t="s">
        <v>172</v>
      </c>
      <c r="L1012" s="140" t="s">
        <v>769</v>
      </c>
      <c r="M1012" s="140" t="s">
        <v>185</v>
      </c>
      <c r="N1012" s="157">
        <v>0.04</v>
      </c>
      <c r="O1012" s="156" t="s">
        <v>51</v>
      </c>
      <c r="P1012" s="156"/>
      <c r="Q1012" s="158">
        <v>0</v>
      </c>
      <c r="R1012" s="158">
        <v>0</v>
      </c>
      <c r="S1012" s="158">
        <v>5319230.76</v>
      </c>
      <c r="T1012" s="158">
        <f t="shared" si="208"/>
        <v>212769.2304</v>
      </c>
      <c r="U1012" s="158">
        <f t="shared" si="212"/>
        <v>5531999.9904</v>
      </c>
      <c r="V1012" s="158">
        <v>4330000</v>
      </c>
      <c r="W1012" s="158">
        <f t="shared" si="213"/>
        <v>1201999.9904</v>
      </c>
      <c r="X1012" s="158">
        <f t="shared" si="209"/>
        <v>1155769.22153846</v>
      </c>
      <c r="Y1012" s="158">
        <f t="shared" si="214"/>
        <v>46230.7688615385</v>
      </c>
      <c r="Z1012" s="158">
        <v>4242661.35</v>
      </c>
      <c r="AA1012" s="158">
        <f t="shared" si="210"/>
        <v>87338.6500000004</v>
      </c>
      <c r="AB1012" s="167">
        <f>IF(O1012="返货",Z1012/(1+N1012),IF(O1012="返现",Z1012,IF(O1012="折扣",Z1012*N1012,IF(O1012="无",Z1012))))</f>
        <v>4079482.06730769</v>
      </c>
      <c r="AC1012" s="168">
        <f t="shared" si="211"/>
        <v>163179.282692308</v>
      </c>
      <c r="AD1012" s="158">
        <f>(Z1012-Q1012)*0.91072157793815</f>
        <v>3863883.2393292</v>
      </c>
      <c r="AE1012" s="159">
        <v>0.112691732739812</v>
      </c>
      <c r="AF1012" s="158">
        <f t="shared" si="228"/>
        <v>435427.697344325</v>
      </c>
      <c r="AG1012" s="158">
        <v>216387.304867567</v>
      </c>
      <c r="AH1012" s="175"/>
      <c r="AI1012" s="175"/>
      <c r="AJ1012" s="156" t="s">
        <v>186</v>
      </c>
      <c r="AK1012" s="140" t="s">
        <v>186</v>
      </c>
      <c r="AM1012" s="140" t="s">
        <v>174</v>
      </c>
    </row>
    <row r="1013" s="140" customFormat="1" ht="15" hidden="1" customHeight="1" spans="1:39">
      <c r="A1013" s="140">
        <v>2017</v>
      </c>
      <c r="C1013" s="140" t="s">
        <v>59</v>
      </c>
      <c r="F1013" s="152" t="s">
        <v>133</v>
      </c>
      <c r="G1013" s="152"/>
      <c r="H1013" s="152"/>
      <c r="I1013" s="140" t="s">
        <v>170</v>
      </c>
      <c r="J1013" s="140" t="s">
        <v>171</v>
      </c>
      <c r="K1013" s="140" t="s">
        <v>172</v>
      </c>
      <c r="L1013" s="140" t="s">
        <v>133</v>
      </c>
      <c r="M1013" s="140" t="s">
        <v>46</v>
      </c>
      <c r="N1013" s="156">
        <v>0</v>
      </c>
      <c r="O1013" s="156" t="s">
        <v>47</v>
      </c>
      <c r="P1013" s="156" t="s">
        <v>855</v>
      </c>
      <c r="Q1013" s="158">
        <v>127698.972092825</v>
      </c>
      <c r="R1013" s="158">
        <v>0</v>
      </c>
      <c r="S1013" s="158"/>
      <c r="T1013" s="158">
        <f t="shared" si="208"/>
        <v>0</v>
      </c>
      <c r="U1013" s="158">
        <f t="shared" si="212"/>
        <v>0</v>
      </c>
      <c r="V1013" s="158">
        <v>0</v>
      </c>
      <c r="W1013" s="158">
        <f t="shared" si="213"/>
        <v>0</v>
      </c>
      <c r="X1013" s="158">
        <f t="shared" si="209"/>
        <v>0</v>
      </c>
      <c r="Y1013" s="158">
        <f t="shared" si="214"/>
        <v>0</v>
      </c>
      <c r="Z1013" s="158">
        <v>139244.4</v>
      </c>
      <c r="AA1013" s="158">
        <f t="shared" si="210"/>
        <v>-11545.427907175</v>
      </c>
      <c r="AB1013" s="167">
        <v>0</v>
      </c>
      <c r="AC1013" s="168">
        <f t="shared" si="211"/>
        <v>139244.4</v>
      </c>
      <c r="AD1013" s="158">
        <f>(Z1013-Q1013)*0.89807640489087</f>
        <v>10368.6763878024</v>
      </c>
      <c r="AE1013" s="159">
        <v>0.112691732739812</v>
      </c>
      <c r="AF1013" s="158">
        <f t="shared" si="228"/>
        <v>1168.46410835983</v>
      </c>
      <c r="AG1013" s="158">
        <v>12458.1565686141</v>
      </c>
      <c r="AH1013" s="175"/>
      <c r="AI1013" s="175"/>
      <c r="AJ1013" s="156" t="e">
        <v>#N/A</v>
      </c>
      <c r="AK1013" s="140" t="s">
        <v>47</v>
      </c>
      <c r="AM1013" s="152" t="s">
        <v>208</v>
      </c>
    </row>
    <row r="1014" s="140" customFormat="1" ht="15" hidden="1" customHeight="1" spans="1:37">
      <c r="A1014" s="140">
        <v>2017</v>
      </c>
      <c r="B1014" s="140" t="s">
        <v>38</v>
      </c>
      <c r="C1014" s="140" t="s">
        <v>59</v>
      </c>
      <c r="D1014" s="140" t="s">
        <v>210</v>
      </c>
      <c r="E1014" s="140" t="s">
        <v>61</v>
      </c>
      <c r="F1014" s="140" t="s">
        <v>770</v>
      </c>
      <c r="G1014" s="140" t="s">
        <v>770</v>
      </c>
      <c r="H1014" s="140" t="s">
        <v>770</v>
      </c>
      <c r="I1014" s="140" t="s">
        <v>170</v>
      </c>
      <c r="J1014" s="140" t="s">
        <v>171</v>
      </c>
      <c r="K1014" s="140" t="s">
        <v>172</v>
      </c>
      <c r="L1014" s="140" t="s">
        <v>770</v>
      </c>
      <c r="M1014" s="140" t="s">
        <v>185</v>
      </c>
      <c r="N1014" s="157">
        <v>0.04</v>
      </c>
      <c r="O1014" s="156" t="s">
        <v>51</v>
      </c>
      <c r="P1014" s="156"/>
      <c r="Q1014" s="158">
        <v>0</v>
      </c>
      <c r="R1014" s="158">
        <v>0</v>
      </c>
      <c r="S1014" s="158">
        <v>9615</v>
      </c>
      <c r="T1014" s="158">
        <f t="shared" si="208"/>
        <v>384.6</v>
      </c>
      <c r="U1014" s="158">
        <f t="shared" si="212"/>
        <v>9999.6</v>
      </c>
      <c r="V1014" s="158">
        <v>10000</v>
      </c>
      <c r="W1014" s="158">
        <f t="shared" si="213"/>
        <v>-0.399999999999636</v>
      </c>
      <c r="X1014" s="158">
        <f t="shared" si="209"/>
        <v>-0.384615384615035</v>
      </c>
      <c r="Y1014" s="158">
        <f t="shared" si="214"/>
        <v>-0.0153846153846014</v>
      </c>
      <c r="Z1014" s="158">
        <v>9525.8</v>
      </c>
      <c r="AA1014" s="158">
        <f t="shared" si="210"/>
        <v>474.200000000001</v>
      </c>
      <c r="AB1014" s="167">
        <f>IF(O1014="返货",Z1014/(1+N1014),IF(O1014="返现",Z1014,IF(O1014="折扣",Z1014*N1014,IF(O1014="无",Z1014))))</f>
        <v>9159.42307692308</v>
      </c>
      <c r="AC1014" s="168">
        <f t="shared" si="211"/>
        <v>366.376923076923</v>
      </c>
      <c r="AD1014" s="158">
        <f>(Z1014-Q1014)*0.91072157793815</f>
        <v>8675.35160712323</v>
      </c>
      <c r="AE1014" s="159">
        <v>0.112691732739812</v>
      </c>
      <c r="AF1014" s="158">
        <f t="shared" si="228"/>
        <v>977.640404733829</v>
      </c>
      <c r="AG1014" s="158">
        <v>485.893673380126</v>
      </c>
      <c r="AH1014" s="175"/>
      <c r="AI1014" s="175"/>
      <c r="AJ1014" s="157">
        <v>0.04</v>
      </c>
      <c r="AK1014" s="177">
        <v>0.04</v>
      </c>
    </row>
    <row r="1015" s="140" customFormat="1" ht="15" hidden="1" customHeight="1" spans="1:37">
      <c r="A1015" s="140">
        <v>2017</v>
      </c>
      <c r="B1015" s="140" t="s">
        <v>38</v>
      </c>
      <c r="C1015" s="140" t="s">
        <v>59</v>
      </c>
      <c r="D1015" s="140" t="s">
        <v>210</v>
      </c>
      <c r="E1015" s="140" t="s">
        <v>67</v>
      </c>
      <c r="F1015" s="140" t="s">
        <v>777</v>
      </c>
      <c r="G1015" s="140" t="s">
        <v>777</v>
      </c>
      <c r="H1015" s="140" t="s">
        <v>777</v>
      </c>
      <c r="I1015" s="140" t="s">
        <v>170</v>
      </c>
      <c r="J1015" s="140" t="s">
        <v>868</v>
      </c>
      <c r="K1015" s="140" t="s">
        <v>869</v>
      </c>
      <c r="L1015" s="140" t="s">
        <v>777</v>
      </c>
      <c r="M1015" s="140" t="s">
        <v>46</v>
      </c>
      <c r="N1015" s="157">
        <v>0.02</v>
      </c>
      <c r="O1015" s="156" t="s">
        <v>51</v>
      </c>
      <c r="P1015" s="156"/>
      <c r="Q1015" s="158">
        <v>0</v>
      </c>
      <c r="R1015" s="158">
        <v>0</v>
      </c>
      <c r="S1015" s="158">
        <v>20000</v>
      </c>
      <c r="T1015" s="158">
        <f t="shared" si="208"/>
        <v>400</v>
      </c>
      <c r="U1015" s="158">
        <f t="shared" si="212"/>
        <v>20400</v>
      </c>
      <c r="V1015" s="158">
        <v>20000</v>
      </c>
      <c r="W1015" s="158">
        <f t="shared" si="213"/>
        <v>400</v>
      </c>
      <c r="X1015" s="158">
        <f t="shared" si="209"/>
        <v>392.156862745098</v>
      </c>
      <c r="Y1015" s="158">
        <f t="shared" si="214"/>
        <v>7.84313725490199</v>
      </c>
      <c r="Z1015" s="158">
        <v>0</v>
      </c>
      <c r="AA1015" s="158">
        <f t="shared" si="210"/>
        <v>20000</v>
      </c>
      <c r="AB1015" s="167">
        <f>IF(O1015="返货",Z1015/(1+N1015),IF(O1015="返现",Z1015,IF(O1015="折扣",Z1015*N1015,IF(O1015="无",Z1015))))</f>
        <v>0</v>
      </c>
      <c r="AC1015" s="168">
        <f t="shared" si="211"/>
        <v>0</v>
      </c>
      <c r="AD1015" s="158">
        <f>Z1015*0.972201473425119-Q1015</f>
        <v>0</v>
      </c>
      <c r="AE1015" s="159">
        <v>0.1</v>
      </c>
      <c r="AF1015" s="158">
        <f t="shared" si="228"/>
        <v>0</v>
      </c>
      <c r="AG1015" s="158">
        <v>0</v>
      </c>
      <c r="AH1015" s="175"/>
      <c r="AI1015" s="175"/>
      <c r="AJ1015" s="157">
        <v>0.02</v>
      </c>
      <c r="AK1015" s="140" t="s">
        <v>173</v>
      </c>
    </row>
    <row r="1016" s="140" customFormat="1" ht="15" hidden="1" customHeight="1" spans="1:37">
      <c r="A1016" s="140">
        <v>2017</v>
      </c>
      <c r="B1016" s="140" t="s">
        <v>38</v>
      </c>
      <c r="C1016" s="140" t="s">
        <v>59</v>
      </c>
      <c r="D1016" s="140" t="s">
        <v>210</v>
      </c>
      <c r="E1016" s="140" t="s">
        <v>67</v>
      </c>
      <c r="F1016" s="186" t="s">
        <v>772</v>
      </c>
      <c r="G1016" s="140" t="s">
        <v>772</v>
      </c>
      <c r="H1016" s="140" t="s">
        <v>772</v>
      </c>
      <c r="I1016" s="140" t="s">
        <v>170</v>
      </c>
      <c r="J1016" s="140" t="s">
        <v>171</v>
      </c>
      <c r="K1016" s="140" t="s">
        <v>172</v>
      </c>
      <c r="L1016" s="140" t="s">
        <v>772</v>
      </c>
      <c r="M1016" s="140" t="s">
        <v>46</v>
      </c>
      <c r="N1016" s="157">
        <v>0.04</v>
      </c>
      <c r="O1016" s="156" t="s">
        <v>51</v>
      </c>
      <c r="P1016" s="156" t="s">
        <v>440</v>
      </c>
      <c r="Q1016" s="158">
        <v>0</v>
      </c>
      <c r="R1016" s="158">
        <v>0</v>
      </c>
      <c r="S1016" s="158">
        <v>939645.3</v>
      </c>
      <c r="T1016" s="158">
        <f t="shared" si="208"/>
        <v>37585.812</v>
      </c>
      <c r="U1016" s="158">
        <f t="shared" si="212"/>
        <v>977231.112</v>
      </c>
      <c r="V1016" s="158">
        <v>891468.22</v>
      </c>
      <c r="W1016" s="158">
        <f t="shared" si="213"/>
        <v>85762.8920000001</v>
      </c>
      <c r="X1016" s="158">
        <f t="shared" si="209"/>
        <v>82464.3192307693</v>
      </c>
      <c r="Y1016" s="158">
        <f t="shared" si="214"/>
        <v>3298.57276923077</v>
      </c>
      <c r="Z1016" s="158">
        <v>308260.7</v>
      </c>
      <c r="AA1016" s="158">
        <f t="shared" si="210"/>
        <v>583207.52</v>
      </c>
      <c r="AB1016" s="167">
        <f>IF(O1016="返货",Z1016/(1+N1016),IF(O1016="返现",Z1016,IF(O1016="折扣",Z1016*N1016,IF(O1016="无",Z1016))))</f>
        <v>296404.519230769</v>
      </c>
      <c r="AC1016" s="168">
        <f t="shared" si="211"/>
        <v>11856.1807692308</v>
      </c>
      <c r="AD1016" s="158">
        <f t="shared" ref="AD1016:AD1018" si="230">(Z1016-Q1016)*0.89807640489087</f>
        <v>276841.661225143</v>
      </c>
      <c r="AE1016" s="159">
        <v>0.112691732739812</v>
      </c>
      <c r="AF1016" s="158">
        <f t="shared" si="228"/>
        <v>31197.7664980294</v>
      </c>
      <c r="AG1016" s="158">
        <v>47359.7810615719</v>
      </c>
      <c r="AH1016" s="175"/>
      <c r="AI1016" s="175"/>
      <c r="AJ1016" s="156">
        <v>0.04</v>
      </c>
      <c r="AK1016" s="140" t="s">
        <v>173</v>
      </c>
    </row>
    <row r="1017" s="140" customFormat="1" ht="15" hidden="1" customHeight="1" spans="1:39">
      <c r="A1017" s="140">
        <v>2017</v>
      </c>
      <c r="C1017" s="140" t="s">
        <v>75</v>
      </c>
      <c r="F1017" s="152" t="str">
        <f>L1017</f>
        <v>沪江教育科技（上海）股份有限公司</v>
      </c>
      <c r="G1017" s="152"/>
      <c r="H1017" s="152"/>
      <c r="I1017" s="140" t="s">
        <v>170</v>
      </c>
      <c r="J1017" s="140" t="s">
        <v>171</v>
      </c>
      <c r="K1017" s="140" t="s">
        <v>172</v>
      </c>
      <c r="L1017" s="140" t="s">
        <v>993</v>
      </c>
      <c r="M1017" s="140" t="s">
        <v>46</v>
      </c>
      <c r="N1017" s="156">
        <v>0</v>
      </c>
      <c r="O1017" s="156" t="s">
        <v>47</v>
      </c>
      <c r="P1017" s="156" t="s">
        <v>855</v>
      </c>
      <c r="Q1017" s="158">
        <v>112323.305808839</v>
      </c>
      <c r="R1017" s="158">
        <v>0</v>
      </c>
      <c r="S1017" s="158"/>
      <c r="T1017" s="158">
        <f t="shared" si="208"/>
        <v>0</v>
      </c>
      <c r="U1017" s="158">
        <f t="shared" si="212"/>
        <v>0</v>
      </c>
      <c r="V1017" s="158">
        <v>0</v>
      </c>
      <c r="W1017" s="158">
        <f t="shared" si="213"/>
        <v>0</v>
      </c>
      <c r="X1017" s="158">
        <f t="shared" si="209"/>
        <v>0</v>
      </c>
      <c r="Y1017" s="158">
        <f t="shared" si="214"/>
        <v>0</v>
      </c>
      <c r="Z1017" s="158">
        <v>122478.6</v>
      </c>
      <c r="AA1017" s="158">
        <f t="shared" si="210"/>
        <v>-10155.294191161</v>
      </c>
      <c r="AB1017" s="167">
        <v>0</v>
      </c>
      <c r="AC1017" s="168">
        <f t="shared" si="211"/>
        <v>122478.6</v>
      </c>
      <c r="AD1017" s="158">
        <f t="shared" si="230"/>
        <v>9120.23009780702</v>
      </c>
      <c r="AE1017" s="159">
        <v>0.112691732739812</v>
      </c>
      <c r="AF1017" s="158">
        <f t="shared" si="228"/>
        <v>1027.77453270766</v>
      </c>
      <c r="AG1017" s="158">
        <v>10958.125246722</v>
      </c>
      <c r="AH1017" s="175"/>
      <c r="AI1017" s="175"/>
      <c r="AJ1017" s="156" t="e">
        <v>#N/A</v>
      </c>
      <c r="AK1017" s="140" t="s">
        <v>47</v>
      </c>
      <c r="AM1017" s="152" t="s">
        <v>208</v>
      </c>
    </row>
    <row r="1018" s="140" customFormat="1" ht="15" hidden="1" customHeight="1" spans="1:37">
      <c r="A1018" s="140">
        <v>2017</v>
      </c>
      <c r="B1018" s="140" t="s">
        <v>38</v>
      </c>
      <c r="C1018" s="140" t="s">
        <v>59</v>
      </c>
      <c r="D1018" s="140" t="s">
        <v>210</v>
      </c>
      <c r="E1018" s="140" t="s">
        <v>131</v>
      </c>
      <c r="F1018" s="140" t="s">
        <v>994</v>
      </c>
      <c r="G1018" s="140" t="s">
        <v>994</v>
      </c>
      <c r="H1018" s="140" t="s">
        <v>994</v>
      </c>
      <c r="I1018" s="140" t="s">
        <v>170</v>
      </c>
      <c r="J1018" s="140" t="s">
        <v>171</v>
      </c>
      <c r="K1018" s="140" t="s">
        <v>172</v>
      </c>
      <c r="L1018" s="140" t="s">
        <v>994</v>
      </c>
      <c r="M1018" s="140" t="s">
        <v>46</v>
      </c>
      <c r="N1018" s="156">
        <v>0</v>
      </c>
      <c r="O1018" s="156" t="s">
        <v>47</v>
      </c>
      <c r="P1018" s="156"/>
      <c r="Q1018" s="158">
        <v>0</v>
      </c>
      <c r="R1018" s="158">
        <v>0</v>
      </c>
      <c r="S1018" s="158">
        <v>70000</v>
      </c>
      <c r="T1018" s="158">
        <f t="shared" si="208"/>
        <v>0</v>
      </c>
      <c r="U1018" s="158">
        <f t="shared" si="212"/>
        <v>70000</v>
      </c>
      <c r="V1018" s="158">
        <v>70000</v>
      </c>
      <c r="W1018" s="158">
        <f t="shared" si="213"/>
        <v>0</v>
      </c>
      <c r="X1018" s="158">
        <f t="shared" si="209"/>
        <v>0</v>
      </c>
      <c r="Y1018" s="158">
        <f t="shared" si="214"/>
        <v>0</v>
      </c>
      <c r="Z1018" s="158">
        <v>69997.6</v>
      </c>
      <c r="AA1018" s="158">
        <f t="shared" si="210"/>
        <v>2.39999999999418</v>
      </c>
      <c r="AB1018" s="167">
        <f t="shared" ref="AB1018:AB1050" si="231">IF(O1018="返货",Z1018/(1+N1018),IF(O1018="返现",Z1018,IF(O1018="折扣",Z1018*N1018,IF(O1018="无",Z1018))))</f>
        <v>69997.6</v>
      </c>
      <c r="AC1018" s="168">
        <f t="shared" si="211"/>
        <v>0</v>
      </c>
      <c r="AD1018" s="158">
        <f t="shared" si="230"/>
        <v>62863.1929589892</v>
      </c>
      <c r="AE1018" s="159">
        <v>0.112691732739812</v>
      </c>
      <c r="AF1018" s="158">
        <f t="shared" si="228"/>
        <v>7084.16214010564</v>
      </c>
      <c r="AG1018" s="158">
        <v>6262.66521473913</v>
      </c>
      <c r="AH1018" s="175"/>
      <c r="AI1018" s="175"/>
      <c r="AJ1018" s="156" t="s">
        <v>47</v>
      </c>
      <c r="AK1018" s="140" t="s">
        <v>120</v>
      </c>
    </row>
    <row r="1019" s="140" customFormat="1" ht="15" hidden="1" customHeight="1" spans="1:37">
      <c r="A1019" s="140">
        <v>2017</v>
      </c>
      <c r="B1019" s="140" t="s">
        <v>38</v>
      </c>
      <c r="C1019" s="140" t="s">
        <v>59</v>
      </c>
      <c r="D1019" s="140" t="s">
        <v>210</v>
      </c>
      <c r="E1019" s="140" t="s">
        <v>131</v>
      </c>
      <c r="F1019" s="140" t="s">
        <v>777</v>
      </c>
      <c r="G1019" s="140" t="s">
        <v>777</v>
      </c>
      <c r="H1019" s="140" t="s">
        <v>777</v>
      </c>
      <c r="I1019" s="140" t="s">
        <v>170</v>
      </c>
      <c r="J1019" s="140" t="s">
        <v>605</v>
      </c>
      <c r="K1019" s="140" t="s">
        <v>886</v>
      </c>
      <c r="L1019" s="140" t="s">
        <v>777</v>
      </c>
      <c r="M1019" s="140" t="s">
        <v>46</v>
      </c>
      <c r="N1019" s="157">
        <v>0.02</v>
      </c>
      <c r="O1019" s="156" t="s">
        <v>51</v>
      </c>
      <c r="P1019" s="156"/>
      <c r="Q1019" s="158">
        <v>0</v>
      </c>
      <c r="R1019" s="158">
        <v>0</v>
      </c>
      <c r="S1019" s="158">
        <v>170000</v>
      </c>
      <c r="T1019" s="158">
        <f t="shared" si="208"/>
        <v>3400</v>
      </c>
      <c r="U1019" s="158">
        <f t="shared" si="212"/>
        <v>173400</v>
      </c>
      <c r="V1019" s="158">
        <v>130000</v>
      </c>
      <c r="W1019" s="158">
        <f t="shared" si="213"/>
        <v>43400</v>
      </c>
      <c r="X1019" s="158">
        <f t="shared" si="209"/>
        <v>42549.0196078431</v>
      </c>
      <c r="Y1019" s="158">
        <f t="shared" si="214"/>
        <v>850.98039215686</v>
      </c>
      <c r="Z1019" s="158">
        <v>169998.2</v>
      </c>
      <c r="AA1019" s="158">
        <f t="shared" si="210"/>
        <v>-39998.2</v>
      </c>
      <c r="AB1019" s="167">
        <f t="shared" si="231"/>
        <v>166664.901960784</v>
      </c>
      <c r="AC1019" s="168">
        <f t="shared" si="211"/>
        <v>3333.29803921568</v>
      </c>
      <c r="AD1019" s="158">
        <v>169998.2</v>
      </c>
      <c r="AE1019" s="159">
        <v>0.1</v>
      </c>
      <c r="AF1019" s="158">
        <f t="shared" si="228"/>
        <v>16999.82</v>
      </c>
      <c r="AG1019" s="158">
        <v>13666.5219607843</v>
      </c>
      <c r="AH1019" s="175"/>
      <c r="AI1019" s="175"/>
      <c r="AJ1019" s="156" t="s">
        <v>173</v>
      </c>
      <c r="AK1019" s="140" t="s">
        <v>173</v>
      </c>
    </row>
    <row r="1020" s="140" customFormat="1" ht="15" hidden="1" customHeight="1" spans="1:37">
      <c r="A1020" s="140">
        <v>2017</v>
      </c>
      <c r="B1020" s="140" t="s">
        <v>38</v>
      </c>
      <c r="C1020" s="140" t="s">
        <v>59</v>
      </c>
      <c r="D1020" s="140" t="s">
        <v>210</v>
      </c>
      <c r="E1020" s="140" t="s">
        <v>131</v>
      </c>
      <c r="F1020" s="140" t="s">
        <v>995</v>
      </c>
      <c r="G1020" s="140" t="s">
        <v>995</v>
      </c>
      <c r="H1020" s="140" t="s">
        <v>995</v>
      </c>
      <c r="I1020" s="140" t="s">
        <v>170</v>
      </c>
      <c r="J1020" s="140" t="s">
        <v>171</v>
      </c>
      <c r="K1020" s="140" t="s">
        <v>172</v>
      </c>
      <c r="L1020" s="140" t="s">
        <v>995</v>
      </c>
      <c r="M1020" s="140" t="s">
        <v>46</v>
      </c>
      <c r="N1020" s="156">
        <v>0</v>
      </c>
      <c r="O1020" s="156" t="s">
        <v>47</v>
      </c>
      <c r="P1020" s="156"/>
      <c r="Q1020" s="158">
        <v>0</v>
      </c>
      <c r="R1020" s="158">
        <v>0</v>
      </c>
      <c r="S1020" s="158">
        <v>50000</v>
      </c>
      <c r="T1020" s="158">
        <f t="shared" si="208"/>
        <v>0</v>
      </c>
      <c r="U1020" s="158">
        <f t="shared" si="212"/>
        <v>50000</v>
      </c>
      <c r="V1020" s="158">
        <v>50000</v>
      </c>
      <c r="W1020" s="158">
        <f t="shared" si="213"/>
        <v>0</v>
      </c>
      <c r="X1020" s="158">
        <f t="shared" si="209"/>
        <v>0</v>
      </c>
      <c r="Y1020" s="158">
        <f t="shared" si="214"/>
        <v>0</v>
      </c>
      <c r="Z1020" s="158">
        <v>49979.1</v>
      </c>
      <c r="AA1020" s="158">
        <f t="shared" si="210"/>
        <v>20.9000000000015</v>
      </c>
      <c r="AB1020" s="167">
        <f t="shared" si="231"/>
        <v>49979.1</v>
      </c>
      <c r="AC1020" s="168">
        <f t="shared" si="211"/>
        <v>0</v>
      </c>
      <c r="AD1020" s="158">
        <f t="shared" ref="AD1020:AD1024" si="232">(Z1020-Q1020)*0.89807640489087</f>
        <v>44885.0504476813</v>
      </c>
      <c r="AE1020" s="159">
        <v>0.112691732739812</v>
      </c>
      <c r="AF1020" s="158">
        <f t="shared" si="228"/>
        <v>5058.17410906308</v>
      </c>
      <c r="AG1020" s="158">
        <v>4471.61575588261</v>
      </c>
      <c r="AH1020" s="175"/>
      <c r="AI1020" s="175"/>
      <c r="AJ1020" s="156" t="s">
        <v>47</v>
      </c>
      <c r="AK1020" s="140" t="s">
        <v>47</v>
      </c>
    </row>
    <row r="1021" s="140" customFormat="1" ht="15" hidden="1" customHeight="1" spans="1:37">
      <c r="A1021" s="140">
        <v>2017</v>
      </c>
      <c r="B1021" s="140" t="s">
        <v>38</v>
      </c>
      <c r="C1021" s="140" t="s">
        <v>54</v>
      </c>
      <c r="D1021" s="140" t="s">
        <v>55</v>
      </c>
      <c r="E1021" s="140" t="s">
        <v>56</v>
      </c>
      <c r="F1021" s="140" t="s">
        <v>996</v>
      </c>
      <c r="G1021" s="140" t="s">
        <v>996</v>
      </c>
      <c r="H1021" s="140" t="s">
        <v>996</v>
      </c>
      <c r="I1021" s="140" t="s">
        <v>170</v>
      </c>
      <c r="J1021" s="140" t="s">
        <v>171</v>
      </c>
      <c r="K1021" s="140" t="s">
        <v>172</v>
      </c>
      <c r="L1021" s="140" t="s">
        <v>996</v>
      </c>
      <c r="M1021" s="140" t="s">
        <v>46</v>
      </c>
      <c r="N1021" s="157">
        <v>0.02</v>
      </c>
      <c r="O1021" s="156" t="s">
        <v>51</v>
      </c>
      <c r="P1021" s="156"/>
      <c r="Q1021" s="158">
        <v>0</v>
      </c>
      <c r="R1021" s="158">
        <v>0</v>
      </c>
      <c r="S1021" s="158">
        <v>120000</v>
      </c>
      <c r="T1021" s="158">
        <f t="shared" si="208"/>
        <v>2400</v>
      </c>
      <c r="U1021" s="158">
        <f t="shared" si="212"/>
        <v>122400</v>
      </c>
      <c r="V1021" s="158">
        <v>131172.12</v>
      </c>
      <c r="W1021" s="158">
        <f t="shared" si="213"/>
        <v>-8772.12</v>
      </c>
      <c r="X1021" s="158">
        <f t="shared" si="209"/>
        <v>-8600.11764705882</v>
      </c>
      <c r="Y1021" s="158">
        <f t="shared" si="214"/>
        <v>-172.002352941177</v>
      </c>
      <c r="Z1021" s="158">
        <v>109129.2</v>
      </c>
      <c r="AA1021" s="158">
        <f t="shared" si="210"/>
        <v>22042.92</v>
      </c>
      <c r="AB1021" s="167">
        <f t="shared" si="231"/>
        <v>106989.411764706</v>
      </c>
      <c r="AC1021" s="168">
        <f t="shared" si="211"/>
        <v>2139.78823529412</v>
      </c>
      <c r="AD1021" s="158">
        <f t="shared" si="232"/>
        <v>98006.3596046167</v>
      </c>
      <c r="AE1021" s="159">
        <v>0.112691732739812</v>
      </c>
      <c r="AF1021" s="158">
        <f t="shared" si="228"/>
        <v>11044.5064833654</v>
      </c>
      <c r="AG1021" s="158">
        <v>7623.97001859328</v>
      </c>
      <c r="AH1021" s="175"/>
      <c r="AI1021" s="175"/>
      <c r="AJ1021" s="156" t="s">
        <v>173</v>
      </c>
      <c r="AK1021" s="140" t="s">
        <v>173</v>
      </c>
    </row>
    <row r="1022" s="140" customFormat="1" ht="15" hidden="1" customHeight="1" spans="1:37">
      <c r="A1022" s="140">
        <v>2017</v>
      </c>
      <c r="B1022" s="140" t="s">
        <v>38</v>
      </c>
      <c r="C1022" s="140" t="s">
        <v>54</v>
      </c>
      <c r="D1022" s="140" t="s">
        <v>55</v>
      </c>
      <c r="E1022" s="140" t="s">
        <v>56</v>
      </c>
      <c r="F1022" s="140" t="s">
        <v>997</v>
      </c>
      <c r="G1022" s="140" t="s">
        <v>997</v>
      </c>
      <c r="H1022" s="140" t="s">
        <v>997</v>
      </c>
      <c r="I1022" s="140" t="s">
        <v>170</v>
      </c>
      <c r="J1022" s="140" t="s">
        <v>171</v>
      </c>
      <c r="K1022" s="140" t="s">
        <v>172</v>
      </c>
      <c r="L1022" s="140" t="s">
        <v>997</v>
      </c>
      <c r="M1022" s="140" t="s">
        <v>46</v>
      </c>
      <c r="N1022" s="157">
        <v>0.04</v>
      </c>
      <c r="O1022" s="156" t="s">
        <v>51</v>
      </c>
      <c r="P1022" s="156"/>
      <c r="Q1022" s="158">
        <v>0</v>
      </c>
      <c r="R1022" s="158">
        <v>0</v>
      </c>
      <c r="S1022" s="158">
        <v>19230.77</v>
      </c>
      <c r="T1022" s="158">
        <f t="shared" si="208"/>
        <v>769.2308</v>
      </c>
      <c r="U1022" s="158">
        <f t="shared" si="212"/>
        <v>20000.0008</v>
      </c>
      <c r="V1022" s="158">
        <v>20000</v>
      </c>
      <c r="W1022" s="158">
        <f t="shared" si="213"/>
        <v>0.000800000001618173</v>
      </c>
      <c r="X1022" s="158">
        <f t="shared" si="209"/>
        <v>0.000769230770786705</v>
      </c>
      <c r="Y1022" s="158">
        <f t="shared" si="214"/>
        <v>3.07692308314682e-5</v>
      </c>
      <c r="Z1022" s="158">
        <v>19997.6</v>
      </c>
      <c r="AA1022" s="158">
        <f t="shared" si="210"/>
        <v>2.40000000000146</v>
      </c>
      <c r="AB1022" s="167">
        <f t="shared" si="231"/>
        <v>19228.4615384615</v>
      </c>
      <c r="AC1022" s="168">
        <f t="shared" si="211"/>
        <v>769.138461538463</v>
      </c>
      <c r="AD1022" s="158">
        <f t="shared" si="232"/>
        <v>17959.3727144457</v>
      </c>
      <c r="AE1022" s="159">
        <v>0.112691732739812</v>
      </c>
      <c r="AF1022" s="158">
        <f t="shared" si="228"/>
        <v>2023.87283011098</v>
      </c>
      <c r="AG1022" s="158">
        <v>1020.04108030679</v>
      </c>
      <c r="AH1022" s="175"/>
      <c r="AI1022" s="175"/>
      <c r="AJ1022" s="157">
        <v>0.04</v>
      </c>
      <c r="AK1022" s="177">
        <v>0.04</v>
      </c>
    </row>
    <row r="1023" s="140" customFormat="1" ht="15" hidden="1" customHeight="1" spans="1:37">
      <c r="A1023" s="140">
        <v>2017</v>
      </c>
      <c r="B1023" s="140" t="s">
        <v>38</v>
      </c>
      <c r="C1023" s="140" t="s">
        <v>54</v>
      </c>
      <c r="D1023" s="140" t="s">
        <v>55</v>
      </c>
      <c r="E1023" s="140" t="s">
        <v>368</v>
      </c>
      <c r="F1023" s="140" t="s">
        <v>487</v>
      </c>
      <c r="G1023" s="140" t="s">
        <v>487</v>
      </c>
      <c r="H1023" s="140" t="s">
        <v>487</v>
      </c>
      <c r="I1023" s="140" t="s">
        <v>170</v>
      </c>
      <c r="J1023" s="140" t="s">
        <v>171</v>
      </c>
      <c r="K1023" s="140" t="s">
        <v>172</v>
      </c>
      <c r="L1023" s="140" t="s">
        <v>487</v>
      </c>
      <c r="M1023" s="140" t="s">
        <v>46</v>
      </c>
      <c r="N1023" s="156">
        <v>0</v>
      </c>
      <c r="O1023" s="156" t="s">
        <v>47</v>
      </c>
      <c r="P1023" s="156"/>
      <c r="Q1023" s="158">
        <v>0</v>
      </c>
      <c r="R1023" s="158">
        <v>0</v>
      </c>
      <c r="S1023" s="158">
        <v>10000</v>
      </c>
      <c r="T1023" s="158">
        <f t="shared" si="208"/>
        <v>0</v>
      </c>
      <c r="U1023" s="158">
        <f t="shared" si="212"/>
        <v>10000</v>
      </c>
      <c r="V1023" s="158">
        <v>10000</v>
      </c>
      <c r="W1023" s="158">
        <f t="shared" si="213"/>
        <v>0</v>
      </c>
      <c r="X1023" s="158">
        <f t="shared" si="209"/>
        <v>0</v>
      </c>
      <c r="Y1023" s="158">
        <f t="shared" si="214"/>
        <v>0</v>
      </c>
      <c r="Z1023" s="158">
        <v>2524.4</v>
      </c>
      <c r="AA1023" s="158">
        <f t="shared" si="210"/>
        <v>7475.6</v>
      </c>
      <c r="AB1023" s="167">
        <f t="shared" si="231"/>
        <v>2524.4</v>
      </c>
      <c r="AC1023" s="168">
        <f t="shared" si="211"/>
        <v>0</v>
      </c>
      <c r="AD1023" s="158">
        <f t="shared" si="232"/>
        <v>2267.10407650651</v>
      </c>
      <c r="AE1023" s="159">
        <v>0.112691732739812</v>
      </c>
      <c r="AF1023" s="158">
        <f t="shared" si="228"/>
        <v>255.48388668301</v>
      </c>
      <c r="AG1023" s="158">
        <v>225.857344653066</v>
      </c>
      <c r="AH1023" s="175"/>
      <c r="AI1023" s="175"/>
      <c r="AJ1023" s="176">
        <v>0</v>
      </c>
      <c r="AK1023" s="140">
        <v>0</v>
      </c>
    </row>
    <row r="1024" s="140" customFormat="1" ht="15" hidden="1" customHeight="1" spans="1:37">
      <c r="A1024" s="140">
        <v>2017</v>
      </c>
      <c r="B1024" s="140" t="s">
        <v>38</v>
      </c>
      <c r="C1024" s="140" t="s">
        <v>54</v>
      </c>
      <c r="D1024" s="140" t="s">
        <v>55</v>
      </c>
      <c r="E1024" s="140" t="s">
        <v>368</v>
      </c>
      <c r="F1024" s="140" t="s">
        <v>998</v>
      </c>
      <c r="G1024" s="140" t="s">
        <v>998</v>
      </c>
      <c r="H1024" s="140" t="s">
        <v>998</v>
      </c>
      <c r="I1024" s="140" t="s">
        <v>170</v>
      </c>
      <c r="J1024" s="140" t="s">
        <v>171</v>
      </c>
      <c r="K1024" s="140" t="s">
        <v>172</v>
      </c>
      <c r="L1024" s="140" t="s">
        <v>999</v>
      </c>
      <c r="M1024" s="140" t="s">
        <v>46</v>
      </c>
      <c r="N1024" s="157">
        <v>0.02</v>
      </c>
      <c r="O1024" s="156" t="s">
        <v>51</v>
      </c>
      <c r="P1024" s="156"/>
      <c r="Q1024" s="158">
        <v>0</v>
      </c>
      <c r="R1024" s="158">
        <v>0</v>
      </c>
      <c r="S1024" s="158">
        <v>30000</v>
      </c>
      <c r="T1024" s="158">
        <f t="shared" si="208"/>
        <v>600</v>
      </c>
      <c r="U1024" s="158">
        <f t="shared" si="212"/>
        <v>30600</v>
      </c>
      <c r="V1024" s="158">
        <v>30000</v>
      </c>
      <c r="W1024" s="158">
        <f t="shared" si="213"/>
        <v>600</v>
      </c>
      <c r="X1024" s="158">
        <f t="shared" si="209"/>
        <v>588.235294117647</v>
      </c>
      <c r="Y1024" s="158">
        <f t="shared" si="214"/>
        <v>11.7647058823529</v>
      </c>
      <c r="Z1024" s="158">
        <v>30650.4</v>
      </c>
      <c r="AA1024" s="158">
        <f t="shared" si="210"/>
        <v>-650.400000000001</v>
      </c>
      <c r="AB1024" s="167">
        <f t="shared" si="231"/>
        <v>30049.4117647059</v>
      </c>
      <c r="AC1024" s="168">
        <f t="shared" si="211"/>
        <v>600.988235294117</v>
      </c>
      <c r="AD1024" s="158">
        <f t="shared" si="232"/>
        <v>27526.4010404671</v>
      </c>
      <c r="AE1024" s="159">
        <v>0.112691732739812</v>
      </c>
      <c r="AF1024" s="158">
        <f t="shared" si="228"/>
        <v>3101.9978293412</v>
      </c>
      <c r="AG1024" s="158">
        <v>2141.29427007521</v>
      </c>
      <c r="AH1024" s="175"/>
      <c r="AI1024" s="175"/>
      <c r="AJ1024" s="156" t="s">
        <v>173</v>
      </c>
      <c r="AK1024" s="140" t="s">
        <v>173</v>
      </c>
    </row>
    <row r="1025" s="140" customFormat="1" ht="15" hidden="1" customHeight="1" spans="1:39">
      <c r="A1025" s="140">
        <v>2017</v>
      </c>
      <c r="B1025" s="140" t="s">
        <v>38</v>
      </c>
      <c r="C1025" s="140" t="s">
        <v>54</v>
      </c>
      <c r="D1025" s="140" t="s">
        <v>55</v>
      </c>
      <c r="E1025" s="140" t="s">
        <v>368</v>
      </c>
      <c r="F1025" s="140" t="s">
        <v>1000</v>
      </c>
      <c r="G1025" s="140" t="s">
        <v>1000</v>
      </c>
      <c r="H1025" s="140" t="s">
        <v>1000</v>
      </c>
      <c r="I1025" s="140" t="s">
        <v>170</v>
      </c>
      <c r="J1025" s="140" t="s">
        <v>605</v>
      </c>
      <c r="K1025" s="140" t="s">
        <v>886</v>
      </c>
      <c r="L1025" s="140" t="s">
        <v>1000</v>
      </c>
      <c r="M1025" s="140" t="s">
        <v>46</v>
      </c>
      <c r="N1025" s="157">
        <v>0.02</v>
      </c>
      <c r="O1025" s="156" t="s">
        <v>51</v>
      </c>
      <c r="P1025" s="156"/>
      <c r="Q1025" s="158">
        <v>0</v>
      </c>
      <c r="R1025" s="158">
        <v>0</v>
      </c>
      <c r="S1025" s="158">
        <v>50000</v>
      </c>
      <c r="T1025" s="158">
        <f t="shared" si="208"/>
        <v>1000</v>
      </c>
      <c r="U1025" s="158">
        <f t="shared" si="212"/>
        <v>51000</v>
      </c>
      <c r="V1025" s="158">
        <v>50000</v>
      </c>
      <c r="W1025" s="158">
        <f t="shared" si="213"/>
        <v>1000</v>
      </c>
      <c r="X1025" s="158">
        <f t="shared" si="209"/>
        <v>980.392156862745</v>
      </c>
      <c r="Y1025" s="158">
        <f t="shared" si="214"/>
        <v>19.6078431372549</v>
      </c>
      <c r="Z1025" s="158">
        <v>19723.1</v>
      </c>
      <c r="AA1025" s="158">
        <f t="shared" si="210"/>
        <v>30276.9</v>
      </c>
      <c r="AB1025" s="167">
        <f t="shared" si="231"/>
        <v>19336.3725490196</v>
      </c>
      <c r="AC1025" s="168">
        <f t="shared" si="211"/>
        <v>386.727450980394</v>
      </c>
      <c r="AD1025" s="158">
        <v>19723.1</v>
      </c>
      <c r="AE1025" s="159">
        <v>0.1</v>
      </c>
      <c r="AF1025" s="158">
        <f t="shared" si="228"/>
        <v>1972.31</v>
      </c>
      <c r="AG1025" s="158">
        <v>2389.28705882353</v>
      </c>
      <c r="AH1025" s="175"/>
      <c r="AI1025" s="175"/>
      <c r="AJ1025" s="156" t="s">
        <v>173</v>
      </c>
      <c r="AK1025" s="140" t="s">
        <v>173</v>
      </c>
      <c r="AM1025" s="140" t="s">
        <v>174</v>
      </c>
    </row>
    <row r="1026" s="140" customFormat="1" ht="15" hidden="1" customHeight="1" spans="1:39">
      <c r="A1026" s="140">
        <v>2017</v>
      </c>
      <c r="B1026" s="140" t="s">
        <v>38</v>
      </c>
      <c r="C1026" s="140" t="s">
        <v>54</v>
      </c>
      <c r="D1026" s="140" t="s">
        <v>55</v>
      </c>
      <c r="E1026" s="140" t="s">
        <v>368</v>
      </c>
      <c r="F1026" s="140" t="s">
        <v>1000</v>
      </c>
      <c r="G1026" s="140" t="s">
        <v>1000</v>
      </c>
      <c r="H1026" s="140" t="s">
        <v>1000</v>
      </c>
      <c r="I1026" s="140" t="s">
        <v>170</v>
      </c>
      <c r="J1026" s="140" t="s">
        <v>868</v>
      </c>
      <c r="K1026" s="140" t="s">
        <v>869</v>
      </c>
      <c r="L1026" s="140" t="s">
        <v>1000</v>
      </c>
      <c r="M1026" s="140" t="s">
        <v>46</v>
      </c>
      <c r="N1026" s="157">
        <v>0.02</v>
      </c>
      <c r="O1026" s="156" t="s">
        <v>51</v>
      </c>
      <c r="P1026" s="156"/>
      <c r="Q1026" s="158">
        <v>0</v>
      </c>
      <c r="R1026" s="158">
        <v>0</v>
      </c>
      <c r="S1026" s="158">
        <v>10000</v>
      </c>
      <c r="T1026" s="158">
        <f t="shared" ref="T1026:T1089" si="233">S1026*N1026</f>
        <v>200</v>
      </c>
      <c r="U1026" s="158">
        <f t="shared" si="212"/>
        <v>10200</v>
      </c>
      <c r="V1026" s="158">
        <v>10000</v>
      </c>
      <c r="W1026" s="158">
        <f t="shared" si="213"/>
        <v>200</v>
      </c>
      <c r="X1026" s="158">
        <f t="shared" ref="X1026:X1089" si="234">W1026/(1+N1026)</f>
        <v>196.078431372549</v>
      </c>
      <c r="Y1026" s="158">
        <f t="shared" si="214"/>
        <v>3.92156862745099</v>
      </c>
      <c r="Z1026" s="158">
        <v>9997.3</v>
      </c>
      <c r="AA1026" s="158">
        <f t="shared" ref="AA1026:AA1089" si="235">Q1026+V1026-Z1026</f>
        <v>2.70000000000073</v>
      </c>
      <c r="AB1026" s="167">
        <f t="shared" si="231"/>
        <v>9801.27450980392</v>
      </c>
      <c r="AC1026" s="168">
        <f t="shared" ref="AC1026:AC1089" si="236">IF(O1026="返现",Z1026*N1026,Z1026-AB1026)</f>
        <v>196.025490196078</v>
      </c>
      <c r="AD1026" s="158">
        <f>Z1026*0.972201473425119-Q1026</f>
        <v>9719.38979027294</v>
      </c>
      <c r="AE1026" s="159">
        <v>0.1</v>
      </c>
      <c r="AF1026" s="158">
        <f t="shared" si="228"/>
        <v>971.938979027294</v>
      </c>
      <c r="AG1026" s="158">
        <v>0</v>
      </c>
      <c r="AH1026" s="175"/>
      <c r="AI1026" s="175"/>
      <c r="AJ1026" s="156" t="s">
        <v>173</v>
      </c>
      <c r="AK1026" s="140" t="s">
        <v>173</v>
      </c>
      <c r="AM1026" s="140" t="s">
        <v>174</v>
      </c>
    </row>
    <row r="1027" s="140" customFormat="1" ht="15" hidden="1" customHeight="1" spans="1:37">
      <c r="A1027" s="140">
        <v>2017</v>
      </c>
      <c r="B1027" s="140" t="s">
        <v>38</v>
      </c>
      <c r="C1027" s="140" t="s">
        <v>54</v>
      </c>
      <c r="D1027" s="140" t="s">
        <v>55</v>
      </c>
      <c r="E1027" s="140" t="s">
        <v>368</v>
      </c>
      <c r="F1027" s="140" t="s">
        <v>1001</v>
      </c>
      <c r="G1027" s="140" t="s">
        <v>1001</v>
      </c>
      <c r="H1027" s="140" t="s">
        <v>1001</v>
      </c>
      <c r="I1027" s="140" t="s">
        <v>170</v>
      </c>
      <c r="J1027" s="140" t="s">
        <v>171</v>
      </c>
      <c r="K1027" s="140" t="s">
        <v>172</v>
      </c>
      <c r="L1027" s="140" t="s">
        <v>1002</v>
      </c>
      <c r="M1027" s="140" t="s">
        <v>46</v>
      </c>
      <c r="N1027" s="156">
        <v>0</v>
      </c>
      <c r="O1027" s="156" t="s">
        <v>47</v>
      </c>
      <c r="P1027" s="156"/>
      <c r="Q1027" s="158">
        <v>0</v>
      </c>
      <c r="R1027" s="158">
        <v>0</v>
      </c>
      <c r="S1027" s="158">
        <v>60000</v>
      </c>
      <c r="T1027" s="158">
        <f t="shared" si="233"/>
        <v>0</v>
      </c>
      <c r="U1027" s="158">
        <f t="shared" ref="U1027:U1090" si="237">R1027+S1027+T1027</f>
        <v>60000</v>
      </c>
      <c r="V1027" s="158">
        <v>60000</v>
      </c>
      <c r="W1027" s="158">
        <f t="shared" ref="W1027:W1090" si="238">U1027-V1027</f>
        <v>0</v>
      </c>
      <c r="X1027" s="158">
        <f t="shared" si="234"/>
        <v>0</v>
      </c>
      <c r="Y1027" s="158">
        <f t="shared" ref="Y1027:Y1090" si="239">W1027-X1027</f>
        <v>0</v>
      </c>
      <c r="Z1027" s="158">
        <v>59999.6</v>
      </c>
      <c r="AA1027" s="158">
        <f t="shared" si="235"/>
        <v>0.400000000001455</v>
      </c>
      <c r="AB1027" s="167">
        <f t="shared" si="231"/>
        <v>59999.6</v>
      </c>
      <c r="AC1027" s="168">
        <f t="shared" si="236"/>
        <v>0</v>
      </c>
      <c r="AD1027" s="158">
        <f t="shared" ref="AD1027:AD1028" si="240">(Z1027-Q1027)*0.89807640489087</f>
        <v>53884.2250628902</v>
      </c>
      <c r="AE1027" s="159">
        <v>0.112691732739812</v>
      </c>
      <c r="AF1027" s="158">
        <f t="shared" si="228"/>
        <v>6072.30668967911</v>
      </c>
      <c r="AG1027" s="158">
        <v>5368.14701958727</v>
      </c>
      <c r="AH1027" s="175"/>
      <c r="AI1027" s="175"/>
      <c r="AJ1027" s="157">
        <v>0</v>
      </c>
      <c r="AK1027" s="140" t="s">
        <v>120</v>
      </c>
    </row>
    <row r="1028" s="140" customFormat="1" ht="15" hidden="1" customHeight="1" spans="1:37">
      <c r="A1028" s="140">
        <v>2017</v>
      </c>
      <c r="B1028" s="140" t="s">
        <v>38</v>
      </c>
      <c r="C1028" s="140" t="s">
        <v>54</v>
      </c>
      <c r="D1028" s="140" t="s">
        <v>55</v>
      </c>
      <c r="E1028" s="140" t="s">
        <v>368</v>
      </c>
      <c r="F1028" s="140" t="s">
        <v>489</v>
      </c>
      <c r="G1028" s="140" t="s">
        <v>489</v>
      </c>
      <c r="H1028" s="140" t="s">
        <v>489</v>
      </c>
      <c r="I1028" s="140" t="s">
        <v>170</v>
      </c>
      <c r="J1028" s="140" t="s">
        <v>171</v>
      </c>
      <c r="K1028" s="140" t="s">
        <v>172</v>
      </c>
      <c r="L1028" s="140" t="s">
        <v>489</v>
      </c>
      <c r="M1028" s="140" t="s">
        <v>46</v>
      </c>
      <c r="N1028" s="157">
        <v>0.07</v>
      </c>
      <c r="O1028" s="156" t="s">
        <v>51</v>
      </c>
      <c r="P1028" s="156" t="s">
        <v>440</v>
      </c>
      <c r="Q1028" s="158">
        <v>0</v>
      </c>
      <c r="R1028" s="158">
        <v>0</v>
      </c>
      <c r="S1028" s="158">
        <v>3071556.54</v>
      </c>
      <c r="T1028" s="158">
        <f t="shared" si="233"/>
        <v>215008.9578</v>
      </c>
      <c r="U1028" s="158">
        <f t="shared" si="237"/>
        <v>3286565.4978</v>
      </c>
      <c r="V1028" s="158">
        <v>3237400</v>
      </c>
      <c r="W1028" s="158">
        <f t="shared" si="238"/>
        <v>49165.4978</v>
      </c>
      <c r="X1028" s="158">
        <f t="shared" si="234"/>
        <v>45949.063364486</v>
      </c>
      <c r="Y1028" s="158">
        <f t="shared" si="239"/>
        <v>3216.43443551402</v>
      </c>
      <c r="Z1028" s="158">
        <f>2673935-Z1166</f>
        <v>969535</v>
      </c>
      <c r="AA1028" s="158">
        <f t="shared" si="235"/>
        <v>2267865</v>
      </c>
      <c r="AB1028" s="167">
        <f t="shared" si="231"/>
        <v>906107.476635514</v>
      </c>
      <c r="AC1028" s="168">
        <f t="shared" si="236"/>
        <v>63427.5233644861</v>
      </c>
      <c r="AD1028" s="158">
        <f t="shared" si="240"/>
        <v>870716.50721587</v>
      </c>
      <c r="AE1028" s="159">
        <v>0.112691732739812</v>
      </c>
      <c r="AF1028" s="158">
        <f t="shared" si="228"/>
        <v>98122.5519233134</v>
      </c>
      <c r="AG1028" s="158">
        <v>136392.544408836</v>
      </c>
      <c r="AH1028" s="175"/>
      <c r="AI1028" s="175"/>
      <c r="AJ1028" s="157">
        <v>0.07</v>
      </c>
      <c r="AK1028" s="140" t="s">
        <v>186</v>
      </c>
    </row>
    <row r="1029" s="140" customFormat="1" ht="15" hidden="1" customHeight="1" spans="1:37">
      <c r="A1029" s="140">
        <v>2017</v>
      </c>
      <c r="B1029" s="140" t="s">
        <v>333</v>
      </c>
      <c r="C1029" s="140" t="s">
        <v>54</v>
      </c>
      <c r="D1029" s="140" t="s">
        <v>55</v>
      </c>
      <c r="E1029" s="140" t="s">
        <v>368</v>
      </c>
      <c r="F1029" s="140" t="s">
        <v>491</v>
      </c>
      <c r="G1029" s="140" t="s">
        <v>492</v>
      </c>
      <c r="H1029" s="140" t="s">
        <v>492</v>
      </c>
      <c r="I1029" s="140" t="s">
        <v>170</v>
      </c>
      <c r="J1029" s="140" t="s">
        <v>171</v>
      </c>
      <c r="K1029" s="140" t="s">
        <v>172</v>
      </c>
      <c r="L1029" s="140" t="s">
        <v>564</v>
      </c>
      <c r="M1029" s="140" t="s">
        <v>185</v>
      </c>
      <c r="N1029" s="157">
        <v>0.04</v>
      </c>
      <c r="O1029" s="156" t="s">
        <v>51</v>
      </c>
      <c r="P1029" s="156"/>
      <c r="Q1029" s="158">
        <v>0</v>
      </c>
      <c r="R1029" s="158">
        <v>0</v>
      </c>
      <c r="S1029" s="158">
        <v>9513.26</v>
      </c>
      <c r="T1029" s="158">
        <f t="shared" si="233"/>
        <v>380.5304</v>
      </c>
      <c r="U1029" s="158">
        <f t="shared" si="237"/>
        <v>9893.7904</v>
      </c>
      <c r="V1029" s="158">
        <v>9513.26</v>
      </c>
      <c r="W1029" s="158">
        <f t="shared" si="238"/>
        <v>380.5304</v>
      </c>
      <c r="X1029" s="158">
        <f t="shared" si="234"/>
        <v>365.894615384615</v>
      </c>
      <c r="Y1029" s="158">
        <f t="shared" si="239"/>
        <v>14.6357846153846</v>
      </c>
      <c r="Z1029" s="158">
        <v>9513.26</v>
      </c>
      <c r="AA1029" s="158">
        <f t="shared" si="235"/>
        <v>0</v>
      </c>
      <c r="AB1029" s="167">
        <f t="shared" si="231"/>
        <v>9147.36538461538</v>
      </c>
      <c r="AC1029" s="168">
        <f t="shared" si="236"/>
        <v>365.894615384615</v>
      </c>
      <c r="AD1029" s="158">
        <f>(Z1029-Q1029)*0.91072157793815</f>
        <v>8663.93115853588</v>
      </c>
      <c r="AE1029" s="159">
        <v>0.112691732739812</v>
      </c>
      <c r="AF1029" s="158">
        <f t="shared" si="228"/>
        <v>976.353414593856</v>
      </c>
      <c r="AG1029" s="158">
        <v>485.254030865672</v>
      </c>
      <c r="AH1029" s="175"/>
      <c r="AI1029" s="175"/>
      <c r="AJ1029" s="156" t="s">
        <v>186</v>
      </c>
      <c r="AK1029" s="140" t="s">
        <v>186</v>
      </c>
    </row>
    <row r="1030" s="140" customFormat="1" ht="15" hidden="1" customHeight="1" spans="1:37">
      <c r="A1030" s="140">
        <v>2017</v>
      </c>
      <c r="B1030" s="140" t="s">
        <v>38</v>
      </c>
      <c r="C1030" s="140" t="s">
        <v>54</v>
      </c>
      <c r="D1030" s="140" t="s">
        <v>55</v>
      </c>
      <c r="E1030" s="140" t="s">
        <v>368</v>
      </c>
      <c r="F1030" s="140" t="s">
        <v>794</v>
      </c>
      <c r="G1030" s="140" t="s">
        <v>794</v>
      </c>
      <c r="H1030" s="140" t="s">
        <v>794</v>
      </c>
      <c r="I1030" s="140" t="s">
        <v>170</v>
      </c>
      <c r="J1030" s="140" t="s">
        <v>171</v>
      </c>
      <c r="K1030" s="140" t="s">
        <v>172</v>
      </c>
      <c r="L1030" s="140" t="s">
        <v>794</v>
      </c>
      <c r="M1030" s="140" t="s">
        <v>46</v>
      </c>
      <c r="N1030" s="157">
        <v>0.02</v>
      </c>
      <c r="O1030" s="156" t="s">
        <v>51</v>
      </c>
      <c r="P1030" s="156"/>
      <c r="Q1030" s="158">
        <v>0</v>
      </c>
      <c r="R1030" s="158">
        <v>0</v>
      </c>
      <c r="S1030" s="158">
        <v>30000</v>
      </c>
      <c r="T1030" s="158">
        <f t="shared" si="233"/>
        <v>600</v>
      </c>
      <c r="U1030" s="158">
        <f t="shared" si="237"/>
        <v>30600</v>
      </c>
      <c r="V1030" s="158">
        <v>30000</v>
      </c>
      <c r="W1030" s="158">
        <f t="shared" si="238"/>
        <v>600</v>
      </c>
      <c r="X1030" s="158">
        <f t="shared" si="234"/>
        <v>588.235294117647</v>
      </c>
      <c r="Y1030" s="158">
        <f t="shared" si="239"/>
        <v>11.7647058823529</v>
      </c>
      <c r="Z1030" s="158">
        <v>833.5</v>
      </c>
      <c r="AA1030" s="158">
        <f t="shared" si="235"/>
        <v>29166.5</v>
      </c>
      <c r="AB1030" s="167">
        <f t="shared" si="231"/>
        <v>817.156862745098</v>
      </c>
      <c r="AC1030" s="168">
        <f t="shared" si="236"/>
        <v>16.343137254902</v>
      </c>
      <c r="AD1030" s="158">
        <f t="shared" ref="AD1030:AD1038" si="241">(Z1030-Q1030)*0.89807640489087</f>
        <v>748.54668347654</v>
      </c>
      <c r="AE1030" s="159">
        <v>0.112691732739812</v>
      </c>
      <c r="AF1030" s="158">
        <f t="shared" si="228"/>
        <v>84.3550227976109</v>
      </c>
      <c r="AG1030" s="158">
        <v>58.2298689122389</v>
      </c>
      <c r="AH1030" s="175"/>
      <c r="AI1030" s="175"/>
      <c r="AJ1030" s="156" t="s">
        <v>173</v>
      </c>
      <c r="AK1030" s="140" t="s">
        <v>173</v>
      </c>
    </row>
    <row r="1031" s="140" customFormat="1" ht="15" hidden="1" customHeight="1" spans="1:37">
      <c r="A1031" s="140">
        <v>2017</v>
      </c>
      <c r="B1031" s="140" t="s">
        <v>38</v>
      </c>
      <c r="C1031" s="140" t="s">
        <v>54</v>
      </c>
      <c r="D1031" s="140" t="s">
        <v>55</v>
      </c>
      <c r="E1031" s="140" t="s">
        <v>368</v>
      </c>
      <c r="F1031" s="140" t="s">
        <v>1003</v>
      </c>
      <c r="G1031" s="140" t="s">
        <v>1003</v>
      </c>
      <c r="H1031" s="140" t="s">
        <v>1003</v>
      </c>
      <c r="I1031" s="140" t="s">
        <v>170</v>
      </c>
      <c r="J1031" s="140" t="s">
        <v>171</v>
      </c>
      <c r="K1031" s="140" t="s">
        <v>172</v>
      </c>
      <c r="L1031" s="140" t="s">
        <v>1003</v>
      </c>
      <c r="M1031" s="140" t="s">
        <v>46</v>
      </c>
      <c r="N1031" s="157">
        <v>0.02</v>
      </c>
      <c r="O1031" s="156" t="s">
        <v>51</v>
      </c>
      <c r="P1031" s="156"/>
      <c r="Q1031" s="158">
        <v>0</v>
      </c>
      <c r="R1031" s="158">
        <v>0</v>
      </c>
      <c r="S1031" s="158">
        <v>40000</v>
      </c>
      <c r="T1031" s="158">
        <f t="shared" si="233"/>
        <v>800</v>
      </c>
      <c r="U1031" s="158">
        <f t="shared" si="237"/>
        <v>40800</v>
      </c>
      <c r="V1031" s="158">
        <v>20000</v>
      </c>
      <c r="W1031" s="158">
        <f t="shared" si="238"/>
        <v>20800</v>
      </c>
      <c r="X1031" s="158">
        <f t="shared" si="234"/>
        <v>20392.1568627451</v>
      </c>
      <c r="Y1031" s="158">
        <f t="shared" si="239"/>
        <v>407.843137254902</v>
      </c>
      <c r="Z1031" s="158">
        <v>17729.4</v>
      </c>
      <c r="AA1031" s="158">
        <f t="shared" si="235"/>
        <v>2270.6</v>
      </c>
      <c r="AB1031" s="167">
        <f t="shared" si="231"/>
        <v>17381.7647058824</v>
      </c>
      <c r="AC1031" s="168">
        <f t="shared" si="236"/>
        <v>347.635294117648</v>
      </c>
      <c r="AD1031" s="158">
        <f t="shared" si="241"/>
        <v>15922.3558128722</v>
      </c>
      <c r="AE1031" s="159">
        <v>0.112691732739812</v>
      </c>
      <c r="AF1031" s="158">
        <f t="shared" si="228"/>
        <v>1794.31786585239</v>
      </c>
      <c r="AG1031" s="158">
        <v>1238.60904366245</v>
      </c>
      <c r="AH1031" s="175"/>
      <c r="AI1031" s="175"/>
      <c r="AJ1031" s="156" t="s">
        <v>173</v>
      </c>
      <c r="AK1031" s="140" t="s">
        <v>173</v>
      </c>
    </row>
    <row r="1032" s="140" customFormat="1" ht="15" hidden="1" customHeight="1" spans="1:37">
      <c r="A1032" s="140">
        <v>2017</v>
      </c>
      <c r="B1032" s="140" t="s">
        <v>38</v>
      </c>
      <c r="C1032" s="140" t="s">
        <v>54</v>
      </c>
      <c r="D1032" s="140" t="s">
        <v>55</v>
      </c>
      <c r="E1032" s="140" t="s">
        <v>64</v>
      </c>
      <c r="F1032" s="140" t="s">
        <v>65</v>
      </c>
      <c r="G1032" s="140" t="s">
        <v>66</v>
      </c>
      <c r="H1032" s="140" t="s">
        <v>66</v>
      </c>
      <c r="I1032" s="140" t="s">
        <v>170</v>
      </c>
      <c r="J1032" s="140" t="s">
        <v>171</v>
      </c>
      <c r="K1032" s="140" t="s">
        <v>172</v>
      </c>
      <c r="L1032" s="140" t="s">
        <v>65</v>
      </c>
      <c r="M1032" s="140" t="s">
        <v>46</v>
      </c>
      <c r="N1032" s="157">
        <v>0.02</v>
      </c>
      <c r="O1032" s="156" t="s">
        <v>51</v>
      </c>
      <c r="P1032" s="156"/>
      <c r="Q1032" s="158">
        <v>0</v>
      </c>
      <c r="R1032" s="158">
        <v>0</v>
      </c>
      <c r="S1032" s="158">
        <v>335000</v>
      </c>
      <c r="T1032" s="158">
        <f t="shared" si="233"/>
        <v>6700</v>
      </c>
      <c r="U1032" s="158">
        <f t="shared" si="237"/>
        <v>341700</v>
      </c>
      <c r="V1032" s="158">
        <v>335000</v>
      </c>
      <c r="W1032" s="158">
        <f t="shared" si="238"/>
        <v>6700</v>
      </c>
      <c r="X1032" s="158">
        <f t="shared" si="234"/>
        <v>6568.62745098039</v>
      </c>
      <c r="Y1032" s="158">
        <f t="shared" si="239"/>
        <v>131.372549019608</v>
      </c>
      <c r="Z1032" s="158">
        <v>288461.1</v>
      </c>
      <c r="AA1032" s="158">
        <f t="shared" si="235"/>
        <v>46538.9</v>
      </c>
      <c r="AB1032" s="167">
        <f t="shared" si="231"/>
        <v>282805</v>
      </c>
      <c r="AC1032" s="168">
        <f t="shared" si="236"/>
        <v>5656.09999999998</v>
      </c>
      <c r="AD1032" s="158">
        <f t="shared" si="241"/>
        <v>259060.107638866</v>
      </c>
      <c r="AE1032" s="159">
        <v>0.112691732739812</v>
      </c>
      <c r="AF1032" s="158">
        <f t="shared" si="228"/>
        <v>29193.932413586</v>
      </c>
      <c r="AG1032" s="158">
        <v>20152.4319607442</v>
      </c>
      <c r="AH1032" s="175"/>
      <c r="AI1032" s="175"/>
      <c r="AJ1032" s="156" t="s">
        <v>173</v>
      </c>
      <c r="AK1032" s="140" t="s">
        <v>173</v>
      </c>
    </row>
    <row r="1033" s="140" customFormat="1" ht="15" hidden="1" customHeight="1" spans="1:37">
      <c r="A1033" s="140">
        <v>2017</v>
      </c>
      <c r="B1033" s="140" t="s">
        <v>333</v>
      </c>
      <c r="C1033" s="140" t="s">
        <v>54</v>
      </c>
      <c r="D1033" s="140" t="s">
        <v>55</v>
      </c>
      <c r="E1033" s="140" t="s">
        <v>64</v>
      </c>
      <c r="F1033" s="140" t="s">
        <v>376</v>
      </c>
      <c r="G1033" s="140" t="s">
        <v>796</v>
      </c>
      <c r="H1033" s="140" t="s">
        <v>796</v>
      </c>
      <c r="I1033" s="140" t="s">
        <v>170</v>
      </c>
      <c r="J1033" s="140" t="s">
        <v>171</v>
      </c>
      <c r="K1033" s="140" t="s">
        <v>172</v>
      </c>
      <c r="L1033" s="140" t="s">
        <v>1004</v>
      </c>
      <c r="M1033" s="140" t="s">
        <v>46</v>
      </c>
      <c r="N1033" s="157">
        <v>0.02</v>
      </c>
      <c r="O1033" s="156" t="s">
        <v>51</v>
      </c>
      <c r="P1033" s="156"/>
      <c r="Q1033" s="158">
        <v>0</v>
      </c>
      <c r="R1033" s="158">
        <v>0</v>
      </c>
      <c r="S1033" s="158">
        <v>145000</v>
      </c>
      <c r="T1033" s="158">
        <f t="shared" si="233"/>
        <v>2900</v>
      </c>
      <c r="U1033" s="158">
        <f t="shared" si="237"/>
        <v>147900</v>
      </c>
      <c r="V1033" s="158">
        <v>147600</v>
      </c>
      <c r="W1033" s="158">
        <f t="shared" si="238"/>
        <v>300</v>
      </c>
      <c r="X1033" s="158">
        <f t="shared" si="234"/>
        <v>294.117647058824</v>
      </c>
      <c r="Y1033" s="158">
        <f t="shared" si="239"/>
        <v>5.88235294117646</v>
      </c>
      <c r="Z1033" s="158">
        <v>138153.6</v>
      </c>
      <c r="AA1033" s="158">
        <f t="shared" si="235"/>
        <v>9446.39999999999</v>
      </c>
      <c r="AB1033" s="167">
        <f t="shared" si="231"/>
        <v>135444.705882353</v>
      </c>
      <c r="AC1033" s="168">
        <f t="shared" si="236"/>
        <v>2708.89411764705</v>
      </c>
      <c r="AD1033" s="158">
        <f t="shared" si="241"/>
        <v>124072.488410731</v>
      </c>
      <c r="AE1033" s="159">
        <v>0.112691732739812</v>
      </c>
      <c r="AF1033" s="158">
        <f t="shared" si="228"/>
        <v>13981.9437043456</v>
      </c>
      <c r="AG1033" s="158">
        <v>9651.66888752717</v>
      </c>
      <c r="AH1033" s="175"/>
      <c r="AI1033" s="175"/>
      <c r="AJ1033" s="156" t="s">
        <v>173</v>
      </c>
      <c r="AK1033" s="140" t="s">
        <v>173</v>
      </c>
    </row>
    <row r="1034" s="140" customFormat="1" ht="15" hidden="1" customHeight="1" spans="1:37">
      <c r="A1034" s="140">
        <v>2017</v>
      </c>
      <c r="B1034" s="140" t="s">
        <v>38</v>
      </c>
      <c r="C1034" s="140" t="s">
        <v>54</v>
      </c>
      <c r="D1034" s="140" t="s">
        <v>55</v>
      </c>
      <c r="E1034" s="140" t="s">
        <v>64</v>
      </c>
      <c r="F1034" s="140" t="s">
        <v>797</v>
      </c>
      <c r="G1034" s="140" t="s">
        <v>797</v>
      </c>
      <c r="H1034" s="140" t="s">
        <v>797</v>
      </c>
      <c r="I1034" s="140" t="s">
        <v>170</v>
      </c>
      <c r="J1034" s="140" t="s">
        <v>171</v>
      </c>
      <c r="K1034" s="140" t="s">
        <v>172</v>
      </c>
      <c r="L1034" s="140" t="s">
        <v>797</v>
      </c>
      <c r="M1034" s="140" t="s">
        <v>46</v>
      </c>
      <c r="N1034" s="157">
        <v>0.02</v>
      </c>
      <c r="O1034" s="156" t="s">
        <v>51</v>
      </c>
      <c r="P1034" s="156"/>
      <c r="Q1034" s="158">
        <v>0</v>
      </c>
      <c r="R1034" s="158">
        <v>0</v>
      </c>
      <c r="S1034" s="158">
        <v>50000</v>
      </c>
      <c r="T1034" s="158">
        <f t="shared" si="233"/>
        <v>1000</v>
      </c>
      <c r="U1034" s="158">
        <f t="shared" si="237"/>
        <v>51000</v>
      </c>
      <c r="V1034" s="158">
        <v>50341.48</v>
      </c>
      <c r="W1034" s="158">
        <f t="shared" si="238"/>
        <v>658.519999999997</v>
      </c>
      <c r="X1034" s="158">
        <f t="shared" si="234"/>
        <v>645.607843137252</v>
      </c>
      <c r="Y1034" s="158">
        <f t="shared" si="239"/>
        <v>12.9121568627451</v>
      </c>
      <c r="Z1034" s="158">
        <v>43350.7</v>
      </c>
      <c r="AA1034" s="158">
        <f t="shared" si="235"/>
        <v>6990.78000000001</v>
      </c>
      <c r="AB1034" s="167">
        <f t="shared" si="231"/>
        <v>42500.6862745098</v>
      </c>
      <c r="AC1034" s="168">
        <f t="shared" si="236"/>
        <v>850.0137254902</v>
      </c>
      <c r="AD1034" s="158">
        <f t="shared" si="241"/>
        <v>38932.2408055026</v>
      </c>
      <c r="AE1034" s="159">
        <v>0.112691732739812</v>
      </c>
      <c r="AF1034" s="158">
        <f t="shared" si="228"/>
        <v>4387.34167581571</v>
      </c>
      <c r="AG1034" s="158">
        <v>3028.56098170821</v>
      </c>
      <c r="AH1034" s="175"/>
      <c r="AI1034" s="175"/>
      <c r="AJ1034" s="156" t="s">
        <v>173</v>
      </c>
      <c r="AK1034" s="140" t="s">
        <v>173</v>
      </c>
    </row>
    <row r="1035" s="140" customFormat="1" ht="15" hidden="1" customHeight="1" spans="1:37">
      <c r="A1035" s="140">
        <v>2017</v>
      </c>
      <c r="B1035" s="140" t="s">
        <v>38</v>
      </c>
      <c r="C1035" s="140" t="s">
        <v>54</v>
      </c>
      <c r="D1035" s="140" t="s">
        <v>102</v>
      </c>
      <c r="E1035" s="140" t="s">
        <v>115</v>
      </c>
      <c r="F1035" s="140" t="s">
        <v>1005</v>
      </c>
      <c r="G1035" s="140" t="s">
        <v>1005</v>
      </c>
      <c r="H1035" s="140" t="s">
        <v>1005</v>
      </c>
      <c r="I1035" s="140" t="s">
        <v>170</v>
      </c>
      <c r="J1035" s="140" t="s">
        <v>171</v>
      </c>
      <c r="K1035" s="140" t="s">
        <v>172</v>
      </c>
      <c r="L1035" s="140" t="s">
        <v>1005</v>
      </c>
      <c r="M1035" s="140" t="s">
        <v>46</v>
      </c>
      <c r="N1035" s="157">
        <v>0.02</v>
      </c>
      <c r="O1035" s="156" t="s">
        <v>51</v>
      </c>
      <c r="P1035" s="156"/>
      <c r="Q1035" s="158">
        <v>0</v>
      </c>
      <c r="R1035" s="158">
        <v>0</v>
      </c>
      <c r="S1035" s="158">
        <v>10000</v>
      </c>
      <c r="T1035" s="158">
        <f t="shared" si="233"/>
        <v>200</v>
      </c>
      <c r="U1035" s="158">
        <f t="shared" si="237"/>
        <v>10200</v>
      </c>
      <c r="V1035" s="158">
        <v>10200</v>
      </c>
      <c r="W1035" s="158">
        <f t="shared" si="238"/>
        <v>0</v>
      </c>
      <c r="X1035" s="158">
        <f t="shared" si="234"/>
        <v>0</v>
      </c>
      <c r="Y1035" s="158">
        <f t="shared" si="239"/>
        <v>0</v>
      </c>
      <c r="Z1035" s="158">
        <v>9995.6</v>
      </c>
      <c r="AA1035" s="158">
        <f t="shared" si="235"/>
        <v>204.4</v>
      </c>
      <c r="AB1035" s="167">
        <f t="shared" si="231"/>
        <v>9799.60784313726</v>
      </c>
      <c r="AC1035" s="168">
        <f t="shared" si="236"/>
        <v>195.992156862745</v>
      </c>
      <c r="AD1035" s="158">
        <f t="shared" si="241"/>
        <v>8976.81251272718</v>
      </c>
      <c r="AE1035" s="159">
        <v>0.112691732739812</v>
      </c>
      <c r="AF1035" s="158">
        <f t="shared" si="228"/>
        <v>1011.61255653965</v>
      </c>
      <c r="AG1035" s="158">
        <v>698.311310976815</v>
      </c>
      <c r="AH1035" s="175"/>
      <c r="AI1035" s="175"/>
      <c r="AJ1035" s="156" t="s">
        <v>173</v>
      </c>
      <c r="AK1035" s="140" t="s">
        <v>173</v>
      </c>
    </row>
    <row r="1036" s="140" customFormat="1" ht="15" hidden="1" customHeight="1" spans="1:37">
      <c r="A1036" s="140">
        <v>2017</v>
      </c>
      <c r="B1036" s="140" t="s">
        <v>38</v>
      </c>
      <c r="C1036" s="140" t="s">
        <v>54</v>
      </c>
      <c r="D1036" s="140" t="s">
        <v>102</v>
      </c>
      <c r="E1036" s="140" t="s">
        <v>115</v>
      </c>
      <c r="F1036" s="140" t="s">
        <v>380</v>
      </c>
      <c r="G1036" s="140" t="s">
        <v>380</v>
      </c>
      <c r="H1036" s="140" t="s">
        <v>380</v>
      </c>
      <c r="I1036" s="140" t="s">
        <v>170</v>
      </c>
      <c r="J1036" s="140" t="s">
        <v>171</v>
      </c>
      <c r="K1036" s="140" t="s">
        <v>172</v>
      </c>
      <c r="L1036" s="140" t="s">
        <v>380</v>
      </c>
      <c r="M1036" s="140" t="s">
        <v>46</v>
      </c>
      <c r="N1036" s="157">
        <v>0.02</v>
      </c>
      <c r="O1036" s="156" t="s">
        <v>51</v>
      </c>
      <c r="P1036" s="156"/>
      <c r="Q1036" s="158">
        <v>0</v>
      </c>
      <c r="R1036" s="158">
        <v>0</v>
      </c>
      <c r="S1036" s="158">
        <v>20000</v>
      </c>
      <c r="T1036" s="158">
        <f t="shared" si="233"/>
        <v>400</v>
      </c>
      <c r="U1036" s="158">
        <f t="shared" si="237"/>
        <v>20400</v>
      </c>
      <c r="V1036" s="158">
        <v>22892.89</v>
      </c>
      <c r="W1036" s="158">
        <f t="shared" si="238"/>
        <v>-2492.89</v>
      </c>
      <c r="X1036" s="158">
        <f t="shared" si="234"/>
        <v>-2444.00980392157</v>
      </c>
      <c r="Y1036" s="158">
        <f t="shared" si="239"/>
        <v>-48.8801960784313</v>
      </c>
      <c r="Z1036" s="158">
        <v>21495.3</v>
      </c>
      <c r="AA1036" s="158">
        <f t="shared" si="235"/>
        <v>1397.59</v>
      </c>
      <c r="AB1036" s="167">
        <f t="shared" si="231"/>
        <v>21073.8235294118</v>
      </c>
      <c r="AC1036" s="168">
        <f t="shared" si="236"/>
        <v>421.476470588237</v>
      </c>
      <c r="AD1036" s="158">
        <f t="shared" si="241"/>
        <v>19304.4217460507</v>
      </c>
      <c r="AE1036" s="159">
        <v>0.112691732739812</v>
      </c>
      <c r="AF1036" s="158">
        <f t="shared" si="228"/>
        <v>2175.44873610256</v>
      </c>
      <c r="AG1036" s="158">
        <v>0</v>
      </c>
      <c r="AH1036" s="175"/>
      <c r="AI1036" s="175"/>
      <c r="AJ1036" s="156" t="s">
        <v>173</v>
      </c>
      <c r="AK1036" s="140" t="s">
        <v>173</v>
      </c>
    </row>
    <row r="1037" s="140" customFormat="1" ht="15" hidden="1" customHeight="1" spans="1:37">
      <c r="A1037" s="140">
        <v>2017</v>
      </c>
      <c r="B1037" s="140" t="s">
        <v>38</v>
      </c>
      <c r="C1037" s="140" t="s">
        <v>54</v>
      </c>
      <c r="D1037" s="140" t="s">
        <v>102</v>
      </c>
      <c r="E1037" s="140" t="s">
        <v>115</v>
      </c>
      <c r="F1037" s="140" t="s">
        <v>1006</v>
      </c>
      <c r="G1037" s="140" t="s">
        <v>1006</v>
      </c>
      <c r="H1037" s="140" t="s">
        <v>1006</v>
      </c>
      <c r="I1037" s="140" t="s">
        <v>170</v>
      </c>
      <c r="J1037" s="140" t="s">
        <v>171</v>
      </c>
      <c r="K1037" s="140" t="s">
        <v>172</v>
      </c>
      <c r="L1037" s="140" t="s">
        <v>1007</v>
      </c>
      <c r="M1037" s="140" t="s">
        <v>46</v>
      </c>
      <c r="N1037" s="156">
        <v>0.06</v>
      </c>
      <c r="O1037" s="156" t="s">
        <v>51</v>
      </c>
      <c r="P1037" s="156"/>
      <c r="Q1037" s="158">
        <v>0</v>
      </c>
      <c r="R1037" s="158">
        <v>0</v>
      </c>
      <c r="S1037" s="158">
        <v>10000</v>
      </c>
      <c r="T1037" s="158">
        <f t="shared" si="233"/>
        <v>600</v>
      </c>
      <c r="U1037" s="158">
        <f t="shared" si="237"/>
        <v>10600</v>
      </c>
      <c r="V1037" s="158">
        <v>10000</v>
      </c>
      <c r="W1037" s="158">
        <f t="shared" si="238"/>
        <v>600</v>
      </c>
      <c r="X1037" s="158">
        <f t="shared" si="234"/>
        <v>566.037735849057</v>
      </c>
      <c r="Y1037" s="158">
        <f t="shared" si="239"/>
        <v>33.9622641509434</v>
      </c>
      <c r="Z1037" s="158">
        <v>4651.9</v>
      </c>
      <c r="AA1037" s="158">
        <f t="shared" si="235"/>
        <v>5348.1</v>
      </c>
      <c r="AB1037" s="167">
        <f t="shared" si="231"/>
        <v>4388.58490566038</v>
      </c>
      <c r="AC1037" s="168">
        <f t="shared" si="236"/>
        <v>263.315094339623</v>
      </c>
      <c r="AD1037" s="158">
        <f t="shared" si="241"/>
        <v>4177.76162791184</v>
      </c>
      <c r="AE1037" s="159">
        <v>0.112691732739812</v>
      </c>
      <c r="AF1037" s="158">
        <f t="shared" si="228"/>
        <v>470.799196823283</v>
      </c>
      <c r="AG1037" s="158">
        <v>152.889065695077</v>
      </c>
      <c r="AH1037" s="175"/>
      <c r="AI1037" s="175"/>
      <c r="AJ1037" s="156" t="s">
        <v>193</v>
      </c>
      <c r="AK1037" s="140" t="s">
        <v>193</v>
      </c>
    </row>
    <row r="1038" s="140" customFormat="1" ht="15" hidden="1" customHeight="1" spans="1:39">
      <c r="A1038" s="140">
        <v>2017</v>
      </c>
      <c r="B1038" s="140" t="s">
        <v>38</v>
      </c>
      <c r="C1038" s="140" t="s">
        <v>54</v>
      </c>
      <c r="D1038" s="140" t="s">
        <v>102</v>
      </c>
      <c r="E1038" s="140" t="s">
        <v>115</v>
      </c>
      <c r="F1038" s="140" t="s">
        <v>501</v>
      </c>
      <c r="G1038" s="140" t="s">
        <v>501</v>
      </c>
      <c r="H1038" s="140" t="s">
        <v>501</v>
      </c>
      <c r="I1038" s="140" t="s">
        <v>170</v>
      </c>
      <c r="J1038" s="140" t="s">
        <v>171</v>
      </c>
      <c r="K1038" s="140" t="s">
        <v>172</v>
      </c>
      <c r="L1038" s="140" t="s">
        <v>501</v>
      </c>
      <c r="M1038" s="140" t="s">
        <v>46</v>
      </c>
      <c r="N1038" s="157">
        <v>0.04</v>
      </c>
      <c r="O1038" s="156" t="s">
        <v>495</v>
      </c>
      <c r="P1038" s="156"/>
      <c r="Q1038" s="158">
        <v>0</v>
      </c>
      <c r="R1038" s="158">
        <v>0</v>
      </c>
      <c r="S1038" s="158">
        <v>1180800</v>
      </c>
      <c r="T1038" s="158">
        <f t="shared" si="233"/>
        <v>47232</v>
      </c>
      <c r="U1038" s="158">
        <f t="shared" si="237"/>
        <v>1228032</v>
      </c>
      <c r="V1038" s="158">
        <v>1230000</v>
      </c>
      <c r="W1038" s="158">
        <f t="shared" si="238"/>
        <v>-1968</v>
      </c>
      <c r="X1038" s="158">
        <f t="shared" si="234"/>
        <v>-1892.30769230769</v>
      </c>
      <c r="Y1038" s="158">
        <f t="shared" si="239"/>
        <v>-75.6923076923078</v>
      </c>
      <c r="Z1038" s="158">
        <v>1158229.3</v>
      </c>
      <c r="AA1038" s="158">
        <f t="shared" si="235"/>
        <v>71770.7</v>
      </c>
      <c r="AB1038" s="167">
        <f t="shared" si="231"/>
        <v>1158229.3</v>
      </c>
      <c r="AC1038" s="168">
        <f t="shared" si="236"/>
        <v>46329.172</v>
      </c>
      <c r="AD1038" s="158">
        <f t="shared" si="241"/>
        <v>1040178.40578327</v>
      </c>
      <c r="AE1038" s="159">
        <v>0.112691732739812</v>
      </c>
      <c r="AF1038" s="158">
        <f t="shared" si="228"/>
        <v>117219.506906252</v>
      </c>
      <c r="AG1038" s="158">
        <v>85806.4379977111</v>
      </c>
      <c r="AH1038" s="175"/>
      <c r="AI1038" s="175"/>
      <c r="AJ1038" s="156" t="s">
        <v>186</v>
      </c>
      <c r="AK1038" s="140" t="s">
        <v>186</v>
      </c>
      <c r="AM1038" s="140" t="s">
        <v>174</v>
      </c>
    </row>
    <row r="1039" s="140" customFormat="1" ht="15" hidden="1" customHeight="1" spans="1:39">
      <c r="A1039" s="140">
        <v>2017</v>
      </c>
      <c r="B1039" s="140" t="s">
        <v>38</v>
      </c>
      <c r="C1039" s="140" t="s">
        <v>54</v>
      </c>
      <c r="D1039" s="140" t="s">
        <v>55</v>
      </c>
      <c r="E1039" s="140" t="s">
        <v>368</v>
      </c>
      <c r="F1039" s="140" t="s">
        <v>526</v>
      </c>
      <c r="G1039" s="140" t="s">
        <v>526</v>
      </c>
      <c r="H1039" s="140" t="s">
        <v>526</v>
      </c>
      <c r="I1039" s="152" t="s">
        <v>243</v>
      </c>
      <c r="J1039" s="140" t="s">
        <v>244</v>
      </c>
      <c r="K1039" s="140" t="s">
        <v>245</v>
      </c>
      <c r="L1039" s="140" t="s">
        <v>526</v>
      </c>
      <c r="M1039" s="140" t="s">
        <v>46</v>
      </c>
      <c r="N1039" s="156">
        <v>0</v>
      </c>
      <c r="O1039" s="156" t="s">
        <v>47</v>
      </c>
      <c r="P1039" s="156"/>
      <c r="Q1039" s="158">
        <v>0</v>
      </c>
      <c r="R1039" s="158">
        <v>0</v>
      </c>
      <c r="S1039" s="158">
        <v>300000</v>
      </c>
      <c r="T1039" s="158">
        <f t="shared" si="233"/>
        <v>0</v>
      </c>
      <c r="U1039" s="158">
        <f t="shared" si="237"/>
        <v>300000</v>
      </c>
      <c r="V1039" s="158">
        <v>270000</v>
      </c>
      <c r="W1039" s="158">
        <f t="shared" si="238"/>
        <v>30000</v>
      </c>
      <c r="X1039" s="158">
        <f t="shared" si="234"/>
        <v>30000</v>
      </c>
      <c r="Y1039" s="158">
        <f t="shared" si="239"/>
        <v>0</v>
      </c>
      <c r="Z1039" s="158">
        <v>279569.35</v>
      </c>
      <c r="AA1039" s="158">
        <f t="shared" si="235"/>
        <v>-9569.34999999998</v>
      </c>
      <c r="AB1039" s="167">
        <f t="shared" si="231"/>
        <v>279569.35</v>
      </c>
      <c r="AC1039" s="168">
        <f t="shared" si="236"/>
        <v>0</v>
      </c>
      <c r="AD1039" s="158">
        <v>234353.914409524</v>
      </c>
      <c r="AE1039" s="159">
        <v>0.176470588235294</v>
      </c>
      <c r="AF1039" s="158">
        <f t="shared" si="228"/>
        <v>41356.5731310924</v>
      </c>
      <c r="AG1039" s="158">
        <f>AB1039-Z1039+AF1039</f>
        <v>41356.5731310924</v>
      </c>
      <c r="AH1039" s="175"/>
      <c r="AI1039" s="175"/>
      <c r="AJ1039" s="156" t="s">
        <v>47</v>
      </c>
      <c r="AK1039" s="140" t="s">
        <v>47</v>
      </c>
      <c r="AM1039" s="152"/>
    </row>
    <row r="1040" s="140" customFormat="1" ht="15" hidden="1" customHeight="1" spans="1:37">
      <c r="A1040" s="140">
        <v>2017</v>
      </c>
      <c r="B1040" s="140" t="s">
        <v>38</v>
      </c>
      <c r="C1040" s="140" t="s">
        <v>54</v>
      </c>
      <c r="D1040" s="140" t="s">
        <v>102</v>
      </c>
      <c r="E1040" s="140" t="s">
        <v>115</v>
      </c>
      <c r="F1040" s="140" t="s">
        <v>573</v>
      </c>
      <c r="G1040" s="140" t="s">
        <v>573</v>
      </c>
      <c r="H1040" s="140" t="s">
        <v>573</v>
      </c>
      <c r="I1040" s="140" t="s">
        <v>170</v>
      </c>
      <c r="J1040" s="140" t="s">
        <v>171</v>
      </c>
      <c r="K1040" s="140" t="s">
        <v>172</v>
      </c>
      <c r="L1040" s="140" t="s">
        <v>573</v>
      </c>
      <c r="M1040" s="140" t="s">
        <v>185</v>
      </c>
      <c r="N1040" s="157">
        <v>0.04</v>
      </c>
      <c r="O1040" s="156" t="s">
        <v>51</v>
      </c>
      <c r="P1040" s="156"/>
      <c r="Q1040" s="158">
        <v>0</v>
      </c>
      <c r="R1040" s="158">
        <v>0</v>
      </c>
      <c r="S1040" s="158">
        <v>10000</v>
      </c>
      <c r="T1040" s="158">
        <f t="shared" si="233"/>
        <v>400</v>
      </c>
      <c r="U1040" s="158">
        <f t="shared" si="237"/>
        <v>10400</v>
      </c>
      <c r="V1040" s="158">
        <v>1995.4</v>
      </c>
      <c r="W1040" s="158">
        <f t="shared" si="238"/>
        <v>8404.6</v>
      </c>
      <c r="X1040" s="158">
        <f t="shared" si="234"/>
        <v>8081.34615384615</v>
      </c>
      <c r="Y1040" s="158">
        <f t="shared" si="239"/>
        <v>323.253846153846</v>
      </c>
      <c r="Z1040" s="158">
        <v>1995.4</v>
      </c>
      <c r="AA1040" s="158">
        <f t="shared" si="235"/>
        <v>0</v>
      </c>
      <c r="AB1040" s="167">
        <f t="shared" si="231"/>
        <v>1918.65384615385</v>
      </c>
      <c r="AC1040" s="168">
        <f t="shared" si="236"/>
        <v>76.7461538461539</v>
      </c>
      <c r="AD1040" s="158">
        <f>(Z1040-Q1040)*0.91072157793815</f>
        <v>1817.25383661778</v>
      </c>
      <c r="AE1040" s="159">
        <v>0.112691732739812</v>
      </c>
      <c r="AF1040" s="158">
        <f t="shared" si="228"/>
        <v>204.789483676529</v>
      </c>
      <c r="AG1040" s="158">
        <v>101.781712387695</v>
      </c>
      <c r="AH1040" s="175"/>
      <c r="AI1040" s="175"/>
      <c r="AJ1040" s="156" t="s">
        <v>186</v>
      </c>
      <c r="AK1040" s="140" t="s">
        <v>186</v>
      </c>
    </row>
    <row r="1041" s="140" customFormat="1" ht="15" hidden="1" customHeight="1" spans="1:37">
      <c r="A1041" s="140">
        <v>2017</v>
      </c>
      <c r="B1041" s="140" t="s">
        <v>38</v>
      </c>
      <c r="C1041" s="140" t="s">
        <v>54</v>
      </c>
      <c r="D1041" s="140" t="s">
        <v>102</v>
      </c>
      <c r="E1041" s="140" t="s">
        <v>115</v>
      </c>
      <c r="F1041" s="140" t="s">
        <v>116</v>
      </c>
      <c r="G1041" s="140" t="s">
        <v>116</v>
      </c>
      <c r="H1041" s="140" t="s">
        <v>116</v>
      </c>
      <c r="I1041" s="140" t="s">
        <v>170</v>
      </c>
      <c r="J1041" s="140" t="s">
        <v>171</v>
      </c>
      <c r="K1041" s="140" t="s">
        <v>172</v>
      </c>
      <c r="L1041" s="140" t="s">
        <v>116</v>
      </c>
      <c r="M1041" s="140" t="s">
        <v>46</v>
      </c>
      <c r="N1041" s="156">
        <v>0.06</v>
      </c>
      <c r="O1041" s="156" t="s">
        <v>51</v>
      </c>
      <c r="P1041" s="156"/>
      <c r="Q1041" s="158">
        <v>0</v>
      </c>
      <c r="R1041" s="158">
        <v>0</v>
      </c>
      <c r="S1041" s="158">
        <v>490103.91</v>
      </c>
      <c r="T1041" s="158">
        <f t="shared" si="233"/>
        <v>29406.2346</v>
      </c>
      <c r="U1041" s="158">
        <f t="shared" si="237"/>
        <v>519510.1446</v>
      </c>
      <c r="V1041" s="158">
        <v>510000</v>
      </c>
      <c r="W1041" s="158">
        <f t="shared" si="238"/>
        <v>9510.1446</v>
      </c>
      <c r="X1041" s="158">
        <f t="shared" si="234"/>
        <v>8971.83452830189</v>
      </c>
      <c r="Y1041" s="158">
        <f t="shared" si="239"/>
        <v>538.310071698113</v>
      </c>
      <c r="Z1041" s="158">
        <v>419201.6</v>
      </c>
      <c r="AA1041" s="158">
        <f t="shared" si="235"/>
        <v>90798.4</v>
      </c>
      <c r="AB1041" s="167">
        <f t="shared" si="231"/>
        <v>395473.20754717</v>
      </c>
      <c r="AC1041" s="168">
        <f t="shared" si="236"/>
        <v>23728.3924528302</v>
      </c>
      <c r="AD1041" s="158">
        <f t="shared" ref="AD1041:AD1043" si="242">(Z1041-Q1041)*0.89807640489087</f>
        <v>376475.0658525</v>
      </c>
      <c r="AE1041" s="159">
        <v>0.112691732739812</v>
      </c>
      <c r="AF1041" s="158">
        <f t="shared" si="228"/>
        <v>42425.6275042531</v>
      </c>
      <c r="AG1041" s="158">
        <v>13777.4545802536</v>
      </c>
      <c r="AH1041" s="175"/>
      <c r="AI1041" s="175"/>
      <c r="AJ1041" s="156" t="s">
        <v>193</v>
      </c>
      <c r="AK1041" s="140" t="s">
        <v>193</v>
      </c>
    </row>
    <row r="1042" s="140" customFormat="1" ht="15" hidden="1" customHeight="1" spans="1:37">
      <c r="A1042" s="140">
        <v>2017</v>
      </c>
      <c r="B1042" s="140" t="s">
        <v>38</v>
      </c>
      <c r="C1042" s="140" t="s">
        <v>54</v>
      </c>
      <c r="D1042" s="140" t="s">
        <v>102</v>
      </c>
      <c r="E1042" s="140" t="s">
        <v>115</v>
      </c>
      <c r="F1042" s="140" t="s">
        <v>382</v>
      </c>
      <c r="G1042" s="140" t="s">
        <v>382</v>
      </c>
      <c r="H1042" s="140" t="s">
        <v>382</v>
      </c>
      <c r="I1042" s="140" t="s">
        <v>170</v>
      </c>
      <c r="J1042" s="140" t="s">
        <v>171</v>
      </c>
      <c r="K1042" s="140" t="s">
        <v>172</v>
      </c>
      <c r="L1042" s="140" t="s">
        <v>380</v>
      </c>
      <c r="M1042" s="140" t="s">
        <v>46</v>
      </c>
      <c r="N1042" s="157">
        <v>0.02</v>
      </c>
      <c r="O1042" s="156" t="s">
        <v>51</v>
      </c>
      <c r="P1042" s="156"/>
      <c r="Q1042" s="158">
        <v>0</v>
      </c>
      <c r="R1042" s="158">
        <v>0</v>
      </c>
      <c r="S1042" s="158">
        <v>10000</v>
      </c>
      <c r="T1042" s="158">
        <f t="shared" si="233"/>
        <v>200</v>
      </c>
      <c r="U1042" s="158">
        <f t="shared" si="237"/>
        <v>10200</v>
      </c>
      <c r="V1042" s="158">
        <v>10000</v>
      </c>
      <c r="W1042" s="158">
        <f t="shared" si="238"/>
        <v>200</v>
      </c>
      <c r="X1042" s="158">
        <f t="shared" si="234"/>
        <v>196.078431372549</v>
      </c>
      <c r="Y1042" s="158">
        <f t="shared" si="239"/>
        <v>3.92156862745099</v>
      </c>
      <c r="Z1042" s="158"/>
      <c r="AA1042" s="158">
        <f t="shared" si="235"/>
        <v>10000</v>
      </c>
      <c r="AB1042" s="167">
        <f t="shared" si="231"/>
        <v>0</v>
      </c>
      <c r="AC1042" s="168">
        <f t="shared" si="236"/>
        <v>0</v>
      </c>
      <c r="AD1042" s="158">
        <f t="shared" si="242"/>
        <v>0</v>
      </c>
      <c r="AE1042" s="159">
        <v>0.112691732739812</v>
      </c>
      <c r="AF1042" s="158">
        <f t="shared" si="228"/>
        <v>0</v>
      </c>
      <c r="AG1042" s="158">
        <v>1501.70186110288</v>
      </c>
      <c r="AH1042" s="175"/>
      <c r="AI1042" s="175"/>
      <c r="AJ1042" s="156" t="s">
        <v>173</v>
      </c>
      <c r="AK1042" s="140" t="s">
        <v>173</v>
      </c>
    </row>
    <row r="1043" s="140" customFormat="1" ht="15" hidden="1" customHeight="1" spans="1:37">
      <c r="A1043" s="140">
        <v>2017</v>
      </c>
      <c r="B1043" s="140" t="s">
        <v>38</v>
      </c>
      <c r="C1043" s="140" t="s">
        <v>54</v>
      </c>
      <c r="D1043" s="140" t="s">
        <v>396</v>
      </c>
      <c r="E1043" s="140" t="s">
        <v>56</v>
      </c>
      <c r="F1043" s="140" t="s">
        <v>1008</v>
      </c>
      <c r="G1043" s="140" t="s">
        <v>1008</v>
      </c>
      <c r="H1043" s="140" t="s">
        <v>1008</v>
      </c>
      <c r="I1043" s="140" t="s">
        <v>170</v>
      </c>
      <c r="J1043" s="140" t="s">
        <v>171</v>
      </c>
      <c r="K1043" s="140" t="s">
        <v>172</v>
      </c>
      <c r="L1043" s="140" t="s">
        <v>999</v>
      </c>
      <c r="M1043" s="140" t="s">
        <v>46</v>
      </c>
      <c r="N1043" s="157">
        <v>0.02</v>
      </c>
      <c r="O1043" s="156" t="s">
        <v>51</v>
      </c>
      <c r="P1043" s="156"/>
      <c r="Q1043" s="158">
        <v>0</v>
      </c>
      <c r="R1043" s="158">
        <v>0</v>
      </c>
      <c r="S1043" s="158">
        <v>10000</v>
      </c>
      <c r="T1043" s="158">
        <f t="shared" si="233"/>
        <v>200</v>
      </c>
      <c r="U1043" s="158">
        <f t="shared" si="237"/>
        <v>10200</v>
      </c>
      <c r="V1043" s="158">
        <v>10061.6</v>
      </c>
      <c r="W1043" s="158">
        <f t="shared" si="238"/>
        <v>138.4</v>
      </c>
      <c r="X1043" s="158">
        <f t="shared" si="234"/>
        <v>135.686274509804</v>
      </c>
      <c r="Y1043" s="158">
        <f t="shared" si="239"/>
        <v>2.71372549019608</v>
      </c>
      <c r="Z1043" s="158">
        <v>0</v>
      </c>
      <c r="AA1043" s="158">
        <f t="shared" si="235"/>
        <v>10061.6</v>
      </c>
      <c r="AB1043" s="167">
        <f t="shared" si="231"/>
        <v>0</v>
      </c>
      <c r="AC1043" s="168">
        <f t="shared" si="236"/>
        <v>0</v>
      </c>
      <c r="AD1043" s="158">
        <f t="shared" si="242"/>
        <v>0</v>
      </c>
      <c r="AE1043" s="159">
        <v>0.112691732739812</v>
      </c>
      <c r="AF1043" s="158">
        <f t="shared" si="228"/>
        <v>0</v>
      </c>
      <c r="AG1043" s="158">
        <v>0</v>
      </c>
      <c r="AH1043" s="175"/>
      <c r="AI1043" s="175"/>
      <c r="AJ1043" s="156" t="s">
        <v>173</v>
      </c>
      <c r="AK1043" s="140" t="s">
        <v>173</v>
      </c>
    </row>
    <row r="1044" s="140" customFormat="1" ht="15" hidden="1" customHeight="1" spans="1:37">
      <c r="A1044" s="140">
        <v>2017</v>
      </c>
      <c r="B1044" s="140" t="s">
        <v>38</v>
      </c>
      <c r="C1044" s="140" t="s">
        <v>39</v>
      </c>
      <c r="D1044" s="140" t="s">
        <v>81</v>
      </c>
      <c r="E1044" s="140" t="s">
        <v>82</v>
      </c>
      <c r="F1044" s="140" t="s">
        <v>83</v>
      </c>
      <c r="G1044" s="140" t="s">
        <v>83</v>
      </c>
      <c r="H1044" s="140" t="s">
        <v>83</v>
      </c>
      <c r="I1044" s="140" t="s">
        <v>170</v>
      </c>
      <c r="J1044" s="140" t="s">
        <v>171</v>
      </c>
      <c r="K1044" s="140" t="s">
        <v>172</v>
      </c>
      <c r="L1044" s="140" t="s">
        <v>83</v>
      </c>
      <c r="M1044" s="140" t="s">
        <v>185</v>
      </c>
      <c r="N1044" s="157">
        <v>0.1</v>
      </c>
      <c r="O1044" s="156" t="s">
        <v>51</v>
      </c>
      <c r="P1044" s="156"/>
      <c r="Q1044" s="158">
        <v>0</v>
      </c>
      <c r="R1044" s="158">
        <v>0</v>
      </c>
      <c r="S1044" s="158">
        <v>330000</v>
      </c>
      <c r="T1044" s="158">
        <f t="shared" si="233"/>
        <v>33000</v>
      </c>
      <c r="U1044" s="158">
        <f t="shared" si="237"/>
        <v>363000</v>
      </c>
      <c r="V1044" s="158">
        <v>310000</v>
      </c>
      <c r="W1044" s="158">
        <f t="shared" si="238"/>
        <v>53000</v>
      </c>
      <c r="X1044" s="158">
        <f t="shared" si="234"/>
        <v>48181.8181818182</v>
      </c>
      <c r="Y1044" s="158">
        <f t="shared" si="239"/>
        <v>4818.18181818182</v>
      </c>
      <c r="Z1044" s="158">
        <v>317502.4</v>
      </c>
      <c r="AA1044" s="158">
        <f t="shared" si="235"/>
        <v>-7502.40000000002</v>
      </c>
      <c r="AB1044" s="167">
        <f t="shared" si="231"/>
        <v>288638.545454545</v>
      </c>
      <c r="AC1044" s="168">
        <f t="shared" si="236"/>
        <v>28863.8545454546</v>
      </c>
      <c r="AD1044" s="158">
        <f>(Z1044-Q1044)*0.91072157793815</f>
        <v>289156.28672715</v>
      </c>
      <c r="AE1044" s="159">
        <v>0.112691732739812</v>
      </c>
      <c r="AF1044" s="158">
        <f t="shared" si="228"/>
        <v>32585.5229838924</v>
      </c>
      <c r="AG1044" s="158">
        <v>-457.005795266145</v>
      </c>
      <c r="AH1044" s="175"/>
      <c r="AI1044" s="175"/>
      <c r="AJ1044" s="156" t="s">
        <v>69</v>
      </c>
      <c r="AK1044" s="140" t="s">
        <v>69</v>
      </c>
    </row>
    <row r="1045" s="140" customFormat="1" ht="15" hidden="1" customHeight="1" spans="1:39">
      <c r="A1045" s="140">
        <v>2017</v>
      </c>
      <c r="B1045" s="140" t="s">
        <v>38</v>
      </c>
      <c r="C1045" s="140" t="s">
        <v>54</v>
      </c>
      <c r="D1045" s="140" t="s">
        <v>396</v>
      </c>
      <c r="E1045" s="140" t="s">
        <v>370</v>
      </c>
      <c r="F1045" s="140" t="s">
        <v>1009</v>
      </c>
      <c r="G1045" s="140" t="s">
        <v>1009</v>
      </c>
      <c r="H1045" s="140" t="s">
        <v>1009</v>
      </c>
      <c r="I1045" s="140" t="s">
        <v>170</v>
      </c>
      <c r="J1045" s="140" t="s">
        <v>171</v>
      </c>
      <c r="K1045" s="140" t="s">
        <v>172</v>
      </c>
      <c r="L1045" s="140" t="s">
        <v>1010</v>
      </c>
      <c r="M1045" s="140" t="s">
        <v>46</v>
      </c>
      <c r="N1045" s="157">
        <v>0.02</v>
      </c>
      <c r="O1045" s="156" t="s">
        <v>51</v>
      </c>
      <c r="P1045" s="156"/>
      <c r="Q1045" s="158">
        <v>0</v>
      </c>
      <c r="R1045" s="158">
        <v>0</v>
      </c>
      <c r="S1045" s="158">
        <v>19000000</v>
      </c>
      <c r="T1045" s="158">
        <f t="shared" si="233"/>
        <v>380000</v>
      </c>
      <c r="U1045" s="158">
        <f t="shared" si="237"/>
        <v>19380000</v>
      </c>
      <c r="V1045" s="158">
        <v>19368000</v>
      </c>
      <c r="W1045" s="158">
        <f t="shared" si="238"/>
        <v>12000</v>
      </c>
      <c r="X1045" s="158">
        <f t="shared" si="234"/>
        <v>11764.7058823529</v>
      </c>
      <c r="Y1045" s="158">
        <f t="shared" si="239"/>
        <v>235.294117647059</v>
      </c>
      <c r="Z1045" s="158">
        <v>19006595.5</v>
      </c>
      <c r="AA1045" s="158">
        <f t="shared" si="235"/>
        <v>361404.5</v>
      </c>
      <c r="AB1045" s="167">
        <f t="shared" si="231"/>
        <v>18633917.1568627</v>
      </c>
      <c r="AC1045" s="168">
        <f t="shared" si="236"/>
        <v>372678.343137257</v>
      </c>
      <c r="AD1045" s="158">
        <f>(Z1045-Q1045)*0.89807640489087</f>
        <v>17069374.955855</v>
      </c>
      <c r="AE1045" s="159">
        <v>0.112691732739812</v>
      </c>
      <c r="AF1045" s="158">
        <f t="shared" si="228"/>
        <v>1923577.44056085</v>
      </c>
      <c r="AG1045" s="158">
        <v>1331826.60351844</v>
      </c>
      <c r="AH1045" s="175"/>
      <c r="AI1045" s="175"/>
      <c r="AJ1045" s="156" t="s">
        <v>173</v>
      </c>
      <c r="AK1045" s="140" t="s">
        <v>173</v>
      </c>
      <c r="AM1045" s="140" t="s">
        <v>174</v>
      </c>
    </row>
    <row r="1046" s="140" customFormat="1" ht="15" hidden="1" customHeight="1" spans="1:37">
      <c r="A1046" s="140">
        <v>2017</v>
      </c>
      <c r="B1046" s="140" t="s">
        <v>38</v>
      </c>
      <c r="C1046" s="140" t="s">
        <v>54</v>
      </c>
      <c r="D1046" s="140" t="s">
        <v>396</v>
      </c>
      <c r="E1046" s="140" t="s">
        <v>370</v>
      </c>
      <c r="F1046" s="140" t="s">
        <v>1009</v>
      </c>
      <c r="G1046" s="140" t="s">
        <v>1009</v>
      </c>
      <c r="H1046" s="140" t="s">
        <v>1009</v>
      </c>
      <c r="I1046" s="140" t="s">
        <v>170</v>
      </c>
      <c r="J1046" s="140" t="s">
        <v>171</v>
      </c>
      <c r="K1046" s="140" t="s">
        <v>172</v>
      </c>
      <c r="L1046" s="140" t="s">
        <v>1011</v>
      </c>
      <c r="M1046" s="140" t="s">
        <v>185</v>
      </c>
      <c r="N1046" s="157">
        <v>0.04</v>
      </c>
      <c r="O1046" s="156" t="s">
        <v>51</v>
      </c>
      <c r="P1046" s="156"/>
      <c r="Q1046" s="158">
        <v>0</v>
      </c>
      <c r="R1046" s="158">
        <v>0</v>
      </c>
      <c r="S1046" s="158">
        <v>30000</v>
      </c>
      <c r="T1046" s="158">
        <f t="shared" si="233"/>
        <v>1200</v>
      </c>
      <c r="U1046" s="158">
        <f t="shared" si="237"/>
        <v>31200</v>
      </c>
      <c r="V1046" s="158">
        <v>30000</v>
      </c>
      <c r="W1046" s="158">
        <f t="shared" si="238"/>
        <v>1200</v>
      </c>
      <c r="X1046" s="158">
        <f t="shared" si="234"/>
        <v>1153.84615384615</v>
      </c>
      <c r="Y1046" s="158">
        <f t="shared" si="239"/>
        <v>46.1538461538462</v>
      </c>
      <c r="Z1046" s="158">
        <v>25722.4</v>
      </c>
      <c r="AA1046" s="158">
        <f t="shared" si="235"/>
        <v>4277.6</v>
      </c>
      <c r="AB1046" s="167">
        <f t="shared" si="231"/>
        <v>24733.0769230769</v>
      </c>
      <c r="AC1046" s="168">
        <f t="shared" si="236"/>
        <v>989.323076923079</v>
      </c>
      <c r="AD1046" s="158">
        <f>(Z1046-Q1046)*0.91072157793815</f>
        <v>23425.9447163563</v>
      </c>
      <c r="AE1046" s="159">
        <v>0.112691732739812</v>
      </c>
      <c r="AF1046" s="158">
        <f t="shared" si="228"/>
        <v>2639.91030115323</v>
      </c>
      <c r="AG1046" s="158">
        <v>1312.05268052583</v>
      </c>
      <c r="AH1046" s="175"/>
      <c r="AI1046" s="175"/>
      <c r="AJ1046" s="156" t="s">
        <v>186</v>
      </c>
      <c r="AK1046" s="140" t="s">
        <v>186</v>
      </c>
    </row>
    <row r="1047" s="140" customFormat="1" ht="15" hidden="1" customHeight="1" spans="1:39">
      <c r="A1047" s="140">
        <v>2017</v>
      </c>
      <c r="B1047" s="140" t="s">
        <v>38</v>
      </c>
      <c r="C1047" s="140" t="s">
        <v>110</v>
      </c>
      <c r="D1047" s="140" t="s">
        <v>111</v>
      </c>
      <c r="E1047" s="140" t="s">
        <v>112</v>
      </c>
      <c r="F1047" s="140" t="s">
        <v>1012</v>
      </c>
      <c r="G1047" s="140" t="s">
        <v>1012</v>
      </c>
      <c r="H1047" s="140" t="s">
        <v>1012</v>
      </c>
      <c r="I1047" s="140" t="s">
        <v>170</v>
      </c>
      <c r="J1047" s="140" t="s">
        <v>868</v>
      </c>
      <c r="K1047" s="140" t="s">
        <v>869</v>
      </c>
      <c r="L1047" s="140" t="s">
        <v>1013</v>
      </c>
      <c r="M1047" s="140" t="s">
        <v>46</v>
      </c>
      <c r="N1047" s="157">
        <v>0.04</v>
      </c>
      <c r="O1047" s="156" t="s">
        <v>495</v>
      </c>
      <c r="P1047" s="156"/>
      <c r="Q1047" s="158">
        <v>0</v>
      </c>
      <c r="R1047" s="158">
        <v>0</v>
      </c>
      <c r="S1047" s="158">
        <v>211050.2</v>
      </c>
      <c r="T1047" s="158">
        <f t="shared" si="233"/>
        <v>8442.008</v>
      </c>
      <c r="U1047" s="158">
        <f t="shared" si="237"/>
        <v>219492.208</v>
      </c>
      <c r="V1047" s="158">
        <v>211050.2</v>
      </c>
      <c r="W1047" s="158">
        <f t="shared" si="238"/>
        <v>8442.008</v>
      </c>
      <c r="X1047" s="158">
        <f t="shared" si="234"/>
        <v>8117.31538461539</v>
      </c>
      <c r="Y1047" s="158">
        <f t="shared" si="239"/>
        <v>324.692615384616</v>
      </c>
      <c r="Z1047" s="158">
        <v>218395.2</v>
      </c>
      <c r="AA1047" s="158">
        <f t="shared" si="235"/>
        <v>-7345</v>
      </c>
      <c r="AB1047" s="167">
        <f t="shared" si="231"/>
        <v>218395.2</v>
      </c>
      <c r="AC1047" s="168">
        <f t="shared" si="236"/>
        <v>8735.808</v>
      </c>
      <c r="AD1047" s="158">
        <f>Z1047*0.972201473425119-Q1047</f>
        <v>212324.135228974</v>
      </c>
      <c r="AE1047" s="159">
        <v>0.1</v>
      </c>
      <c r="AF1047" s="158">
        <f t="shared" si="228"/>
        <v>21232.4135228974</v>
      </c>
      <c r="AG1047" s="158">
        <v>6498.84307692307</v>
      </c>
      <c r="AH1047" s="175"/>
      <c r="AI1047" s="175"/>
      <c r="AJ1047" s="157">
        <v>0.04</v>
      </c>
      <c r="AK1047" s="177">
        <v>0.04</v>
      </c>
      <c r="AM1047" s="140" t="s">
        <v>174</v>
      </c>
    </row>
    <row r="1048" s="140" customFormat="1" ht="15" hidden="1" customHeight="1" spans="1:37">
      <c r="A1048" s="140">
        <v>2017</v>
      </c>
      <c r="B1048" s="140" t="s">
        <v>38</v>
      </c>
      <c r="C1048" s="140" t="s">
        <v>54</v>
      </c>
      <c r="D1048" s="140" t="s">
        <v>396</v>
      </c>
      <c r="E1048" s="140" t="s">
        <v>64</v>
      </c>
      <c r="F1048" s="140" t="s">
        <v>397</v>
      </c>
      <c r="G1048" s="140" t="s">
        <v>397</v>
      </c>
      <c r="H1048" s="140" t="s">
        <v>397</v>
      </c>
      <c r="I1048" s="140" t="s">
        <v>170</v>
      </c>
      <c r="J1048" s="140" t="s">
        <v>171</v>
      </c>
      <c r="K1048" s="140" t="s">
        <v>172</v>
      </c>
      <c r="L1048" s="140" t="s">
        <v>398</v>
      </c>
      <c r="M1048" s="140" t="s">
        <v>185</v>
      </c>
      <c r="N1048" s="156">
        <v>0.06</v>
      </c>
      <c r="O1048" s="156" t="s">
        <v>51</v>
      </c>
      <c r="P1048" s="156"/>
      <c r="Q1048" s="158">
        <v>0</v>
      </c>
      <c r="R1048" s="158">
        <v>0</v>
      </c>
      <c r="S1048" s="158">
        <v>3430000</v>
      </c>
      <c r="T1048" s="158">
        <f t="shared" si="233"/>
        <v>205800</v>
      </c>
      <c r="U1048" s="158">
        <f t="shared" si="237"/>
        <v>3635800</v>
      </c>
      <c r="V1048" s="158">
        <v>3727800</v>
      </c>
      <c r="W1048" s="158">
        <f t="shared" si="238"/>
        <v>-92000</v>
      </c>
      <c r="X1048" s="158">
        <f t="shared" si="234"/>
        <v>-86792.4528301887</v>
      </c>
      <c r="Y1048" s="158">
        <f t="shared" si="239"/>
        <v>-5207.54716981133</v>
      </c>
      <c r="Z1048" s="158">
        <v>3567837.76</v>
      </c>
      <c r="AA1048" s="158">
        <f t="shared" si="235"/>
        <v>159962.24</v>
      </c>
      <c r="AB1048" s="167">
        <f t="shared" si="231"/>
        <v>3365884.67924528</v>
      </c>
      <c r="AC1048" s="168">
        <f t="shared" si="236"/>
        <v>201953.080754717</v>
      </c>
      <c r="AD1048" s="158">
        <f>(Z1048-Q1048)*0.91072157793815</f>
        <v>3249306.83461451</v>
      </c>
      <c r="AE1048" s="159">
        <v>0.112691732739812</v>
      </c>
      <c r="AF1048" s="158">
        <f t="shared" si="228"/>
        <v>366170.017396023</v>
      </c>
      <c r="AG1048" s="158">
        <v>117260.341296678</v>
      </c>
      <c r="AH1048" s="175"/>
      <c r="AI1048" s="175"/>
      <c r="AJ1048" s="156" t="s">
        <v>193</v>
      </c>
      <c r="AK1048" s="140" t="s">
        <v>193</v>
      </c>
    </row>
    <row r="1049" s="140" customFormat="1" ht="15" hidden="1" customHeight="1" spans="1:37">
      <c r="A1049" s="140">
        <v>2017</v>
      </c>
      <c r="B1049" s="140" t="s">
        <v>199</v>
      </c>
      <c r="C1049" s="140" t="s">
        <v>200</v>
      </c>
      <c r="D1049" s="140" t="s">
        <v>201</v>
      </c>
      <c r="E1049" s="140" t="s">
        <v>814</v>
      </c>
      <c r="F1049" s="140" t="s">
        <v>202</v>
      </c>
      <c r="G1049" s="140" t="s">
        <v>203</v>
      </c>
      <c r="H1049" s="140" t="s">
        <v>203</v>
      </c>
      <c r="I1049" s="140" t="s">
        <v>170</v>
      </c>
      <c r="J1049" s="140" t="s">
        <v>171</v>
      </c>
      <c r="K1049" s="140" t="s">
        <v>172</v>
      </c>
      <c r="L1049" s="140" t="s">
        <v>1014</v>
      </c>
      <c r="M1049" s="140" t="s">
        <v>46</v>
      </c>
      <c r="N1049" s="157">
        <v>0.02</v>
      </c>
      <c r="O1049" s="156" t="s">
        <v>51</v>
      </c>
      <c r="P1049" s="156"/>
      <c r="Q1049" s="158">
        <v>0</v>
      </c>
      <c r="R1049" s="158">
        <v>0</v>
      </c>
      <c r="S1049" s="158">
        <v>920000</v>
      </c>
      <c r="T1049" s="158">
        <f t="shared" si="233"/>
        <v>18400</v>
      </c>
      <c r="U1049" s="158">
        <f t="shared" si="237"/>
        <v>938400</v>
      </c>
      <c r="V1049" s="158">
        <v>925031.9</v>
      </c>
      <c r="W1049" s="158">
        <f t="shared" si="238"/>
        <v>13368.1</v>
      </c>
      <c r="X1049" s="158">
        <f t="shared" si="234"/>
        <v>13105.9803921568</v>
      </c>
      <c r="Y1049" s="158">
        <f t="shared" si="239"/>
        <v>262.119607843137</v>
      </c>
      <c r="Z1049" s="158">
        <v>925031</v>
      </c>
      <c r="AA1049" s="158">
        <f t="shared" si="235"/>
        <v>0.900000000023283</v>
      </c>
      <c r="AB1049" s="167">
        <f t="shared" si="231"/>
        <v>906893.137254902</v>
      </c>
      <c r="AC1049" s="168">
        <f t="shared" si="236"/>
        <v>18137.8627450981</v>
      </c>
      <c r="AD1049" s="158">
        <f>(Z1049-Q1049)*0.89807640489087</f>
        <v>830748.514892606</v>
      </c>
      <c r="AE1049" s="159">
        <v>0.112691732739812</v>
      </c>
      <c r="AF1049" s="158">
        <f t="shared" si="228"/>
        <v>93618.4896142733</v>
      </c>
      <c r="AG1049" s="158">
        <v>64624.3957645558</v>
      </c>
      <c r="AH1049" s="175"/>
      <c r="AI1049" s="175"/>
      <c r="AJ1049" s="156" t="s">
        <v>173</v>
      </c>
      <c r="AK1049" s="140" t="s">
        <v>173</v>
      </c>
    </row>
    <row r="1050" s="140" customFormat="1" ht="15" hidden="1" customHeight="1" spans="1:39">
      <c r="A1050" s="140">
        <v>2017</v>
      </c>
      <c r="B1050" s="140" t="s">
        <v>199</v>
      </c>
      <c r="C1050" s="140" t="s">
        <v>200</v>
      </c>
      <c r="D1050" s="140" t="s">
        <v>201</v>
      </c>
      <c r="E1050" s="140" t="s">
        <v>814</v>
      </c>
      <c r="F1050" s="140" t="s">
        <v>202</v>
      </c>
      <c r="G1050" s="140" t="s">
        <v>203</v>
      </c>
      <c r="H1050" s="140" t="s">
        <v>203</v>
      </c>
      <c r="I1050" s="140" t="s">
        <v>170</v>
      </c>
      <c r="J1050" s="140" t="s">
        <v>171</v>
      </c>
      <c r="K1050" s="140" t="s">
        <v>172</v>
      </c>
      <c r="L1050" s="140" t="s">
        <v>1014</v>
      </c>
      <c r="M1050" s="140" t="s">
        <v>185</v>
      </c>
      <c r="N1050" s="157">
        <v>0.03</v>
      </c>
      <c r="O1050" s="156" t="s">
        <v>51</v>
      </c>
      <c r="P1050" s="156"/>
      <c r="Q1050" s="158">
        <v>0</v>
      </c>
      <c r="R1050" s="158">
        <v>0</v>
      </c>
      <c r="S1050" s="158">
        <v>460000</v>
      </c>
      <c r="T1050" s="158">
        <f t="shared" si="233"/>
        <v>13800</v>
      </c>
      <c r="U1050" s="158">
        <f t="shared" si="237"/>
        <v>473800</v>
      </c>
      <c r="V1050" s="158">
        <v>463771.52</v>
      </c>
      <c r="W1050" s="158">
        <f t="shared" si="238"/>
        <v>10028.48</v>
      </c>
      <c r="X1050" s="158">
        <f t="shared" si="234"/>
        <v>9736.38834951455</v>
      </c>
      <c r="Y1050" s="158">
        <f t="shared" si="239"/>
        <v>292.091650485436</v>
      </c>
      <c r="Z1050" s="158">
        <v>463761.89</v>
      </c>
      <c r="AA1050" s="158">
        <f t="shared" si="235"/>
        <v>9.63000000000466</v>
      </c>
      <c r="AB1050" s="167">
        <f t="shared" si="231"/>
        <v>450254.262135922</v>
      </c>
      <c r="AC1050" s="168">
        <f t="shared" si="236"/>
        <v>13507.6278640777</v>
      </c>
      <c r="AD1050" s="158">
        <f>(Z1050-Q1050)*0.91072157793815</f>
        <v>422357.960248379</v>
      </c>
      <c r="AE1050" s="159">
        <v>0.112691732739812</v>
      </c>
      <c r="AF1050" s="158">
        <f t="shared" si="228"/>
        <v>47596.2503768424</v>
      </c>
      <c r="AG1050" s="158">
        <v>27960.9807309095</v>
      </c>
      <c r="AH1050" s="175"/>
      <c r="AI1050" s="175"/>
      <c r="AJ1050" s="156" t="s">
        <v>189</v>
      </c>
      <c r="AK1050" s="140" t="s">
        <v>189</v>
      </c>
      <c r="AM1050" s="140" t="s">
        <v>174</v>
      </c>
    </row>
    <row r="1051" s="140" customFormat="1" ht="15" hidden="1" customHeight="1" spans="1:39">
      <c r="A1051" s="140">
        <v>2017</v>
      </c>
      <c r="C1051" s="140" t="s">
        <v>54</v>
      </c>
      <c r="F1051" s="152" t="s">
        <v>1015</v>
      </c>
      <c r="G1051" s="152"/>
      <c r="H1051" s="152"/>
      <c r="I1051" s="140" t="s">
        <v>170</v>
      </c>
      <c r="J1051" s="140" t="s">
        <v>171</v>
      </c>
      <c r="K1051" s="140" t="s">
        <v>172</v>
      </c>
      <c r="L1051" s="140" t="s">
        <v>1016</v>
      </c>
      <c r="M1051" s="140" t="s">
        <v>46</v>
      </c>
      <c r="N1051" s="156">
        <v>0</v>
      </c>
      <c r="O1051" s="156" t="s">
        <v>47</v>
      </c>
      <c r="P1051" s="156" t="s">
        <v>855</v>
      </c>
      <c r="Q1051" s="158">
        <v>77846.6816346095</v>
      </c>
      <c r="R1051" s="158">
        <v>0</v>
      </c>
      <c r="S1051" s="158"/>
      <c r="T1051" s="158">
        <f t="shared" si="233"/>
        <v>0</v>
      </c>
      <c r="U1051" s="158">
        <f t="shared" si="237"/>
        <v>0</v>
      </c>
      <c r="V1051" s="158">
        <v>0</v>
      </c>
      <c r="W1051" s="158">
        <f t="shared" si="238"/>
        <v>0</v>
      </c>
      <c r="X1051" s="158">
        <f t="shared" si="234"/>
        <v>0</v>
      </c>
      <c r="Y1051" s="158">
        <f t="shared" si="239"/>
        <v>0</v>
      </c>
      <c r="Z1051" s="158">
        <v>84884.9</v>
      </c>
      <c r="AA1051" s="158">
        <f t="shared" si="235"/>
        <v>-7038.21836539049</v>
      </c>
      <c r="AB1051" s="167">
        <v>0</v>
      </c>
      <c r="AC1051" s="168">
        <f t="shared" si="236"/>
        <v>84884.9</v>
      </c>
      <c r="AD1051" s="158">
        <f>(Z1051-Q1051)*0.89807640489087</f>
        <v>6320.85784642679</v>
      </c>
      <c r="AE1051" s="159">
        <v>0.112691732739812</v>
      </c>
      <c r="AF1051" s="158">
        <f t="shared" si="228"/>
        <v>712.308423115872</v>
      </c>
      <c r="AG1051" s="158">
        <v>7594.62767990059</v>
      </c>
      <c r="AH1051" s="175"/>
      <c r="AI1051" s="175"/>
      <c r="AJ1051" s="156" t="e">
        <v>#N/A</v>
      </c>
      <c r="AK1051" s="140" t="s">
        <v>47</v>
      </c>
      <c r="AM1051" s="152" t="s">
        <v>208</v>
      </c>
    </row>
    <row r="1052" s="140" customFormat="1" ht="15" hidden="1" customHeight="1" spans="1:37">
      <c r="A1052" s="140">
        <v>2017</v>
      </c>
      <c r="B1052" s="140" t="s">
        <v>199</v>
      </c>
      <c r="C1052" s="140" t="s">
        <v>200</v>
      </c>
      <c r="D1052" s="140" t="s">
        <v>201</v>
      </c>
      <c r="E1052" s="140" t="s">
        <v>399</v>
      </c>
      <c r="F1052" s="140" t="s">
        <v>951</v>
      </c>
      <c r="G1052" s="140" t="s">
        <v>952</v>
      </c>
      <c r="H1052" s="140" t="s">
        <v>952</v>
      </c>
      <c r="I1052" s="140" t="s">
        <v>170</v>
      </c>
      <c r="J1052" s="140" t="s">
        <v>171</v>
      </c>
      <c r="K1052" s="140" t="s">
        <v>172</v>
      </c>
      <c r="L1052" s="140" t="s">
        <v>953</v>
      </c>
      <c r="M1052" s="140" t="s">
        <v>160</v>
      </c>
      <c r="N1052" s="157">
        <v>0.04</v>
      </c>
      <c r="O1052" s="156" t="s">
        <v>51</v>
      </c>
      <c r="P1052" s="156"/>
      <c r="Q1052" s="158">
        <v>0</v>
      </c>
      <c r="R1052" s="158">
        <v>0</v>
      </c>
      <c r="S1052" s="158">
        <v>70000</v>
      </c>
      <c r="T1052" s="158">
        <f t="shared" si="233"/>
        <v>2800</v>
      </c>
      <c r="U1052" s="158">
        <f t="shared" si="237"/>
        <v>72800</v>
      </c>
      <c r="V1052" s="158">
        <v>50000</v>
      </c>
      <c r="W1052" s="158">
        <f t="shared" si="238"/>
        <v>22800</v>
      </c>
      <c r="X1052" s="158">
        <f t="shared" si="234"/>
        <v>21923.0769230769</v>
      </c>
      <c r="Y1052" s="158">
        <f t="shared" si="239"/>
        <v>876.923076923078</v>
      </c>
      <c r="Z1052" s="158">
        <v>50000</v>
      </c>
      <c r="AA1052" s="158">
        <f t="shared" si="235"/>
        <v>0</v>
      </c>
      <c r="AB1052" s="167">
        <f>IF(O1052="返货",Z1052/(1+N1052),IF(O1052="返现",Z1052,IF(O1052="折扣",Z1052*N1052,IF(O1052="无",Z1052))))</f>
        <v>48076.9230769231</v>
      </c>
      <c r="AC1052" s="168">
        <f t="shared" si="236"/>
        <v>1923.07692307692</v>
      </c>
      <c r="AD1052" s="158">
        <f t="shared" ref="AD1052:AD1053" si="243">(Z1052-Q1052)*0.826045217867759</f>
        <v>41302.2608933879</v>
      </c>
      <c r="AE1052" s="159">
        <v>0.112691732739812</v>
      </c>
      <c r="AF1052" s="158">
        <f t="shared" si="228"/>
        <v>4654.42334614766</v>
      </c>
      <c r="AG1052" s="158">
        <v>2550.40874981695</v>
      </c>
      <c r="AH1052" s="175"/>
      <c r="AI1052" s="175"/>
      <c r="AJ1052" s="156" t="s">
        <v>186</v>
      </c>
      <c r="AK1052" s="140" t="s">
        <v>186</v>
      </c>
    </row>
    <row r="1053" s="140" customFormat="1" ht="15" hidden="1" customHeight="1" spans="1:37">
      <c r="A1053" s="140">
        <v>2017</v>
      </c>
      <c r="B1053" s="140" t="s">
        <v>199</v>
      </c>
      <c r="C1053" s="140" t="s">
        <v>200</v>
      </c>
      <c r="D1053" s="140" t="s">
        <v>201</v>
      </c>
      <c r="E1053" s="140" t="s">
        <v>822</v>
      </c>
      <c r="F1053" s="140" t="s">
        <v>1017</v>
      </c>
      <c r="G1053" s="140" t="s">
        <v>1018</v>
      </c>
      <c r="H1053" s="140" t="s">
        <v>1018</v>
      </c>
      <c r="I1053" s="140" t="s">
        <v>170</v>
      </c>
      <c r="J1053" s="140" t="s">
        <v>171</v>
      </c>
      <c r="K1053" s="140" t="s">
        <v>172</v>
      </c>
      <c r="L1053" s="140" t="s">
        <v>1017</v>
      </c>
      <c r="M1053" s="140" t="s">
        <v>160</v>
      </c>
      <c r="N1053" s="156">
        <v>0</v>
      </c>
      <c r="O1053" s="156" t="s">
        <v>47</v>
      </c>
      <c r="P1053" s="156"/>
      <c r="Q1053" s="158">
        <v>0</v>
      </c>
      <c r="R1053" s="158">
        <v>0</v>
      </c>
      <c r="S1053" s="158">
        <v>15910</v>
      </c>
      <c r="T1053" s="158">
        <f t="shared" si="233"/>
        <v>0</v>
      </c>
      <c r="U1053" s="158">
        <f t="shared" si="237"/>
        <v>15910</v>
      </c>
      <c r="V1053" s="158">
        <v>15910</v>
      </c>
      <c r="W1053" s="158">
        <f t="shared" si="238"/>
        <v>0</v>
      </c>
      <c r="X1053" s="158">
        <f t="shared" si="234"/>
        <v>0</v>
      </c>
      <c r="Y1053" s="158">
        <f t="shared" si="239"/>
        <v>0</v>
      </c>
      <c r="Z1053" s="158">
        <v>15910</v>
      </c>
      <c r="AA1053" s="158">
        <f t="shared" si="235"/>
        <v>0</v>
      </c>
      <c r="AB1053" s="167">
        <f>IF(O1053="返货",Z1053/(1+N1053),IF(O1053="返现",Z1053,IF(O1053="折扣",Z1053*N1053,IF(O1053="无",Z1053))))</f>
        <v>15910</v>
      </c>
      <c r="AC1053" s="168">
        <f t="shared" si="236"/>
        <v>0</v>
      </c>
      <c r="AD1053" s="158">
        <f t="shared" si="243"/>
        <v>13142.379416276</v>
      </c>
      <c r="AE1053" s="159">
        <v>0.112691732739812</v>
      </c>
      <c r="AF1053" s="158">
        <f t="shared" si="228"/>
        <v>1481.03750874419</v>
      </c>
      <c r="AG1053" s="158">
        <v>1423.46314111483</v>
      </c>
      <c r="AH1053" s="175"/>
      <c r="AI1053" s="175"/>
      <c r="AJ1053" s="156" t="s">
        <v>47</v>
      </c>
      <c r="AK1053" s="140" t="s">
        <v>47</v>
      </c>
    </row>
    <row r="1054" s="141" customFormat="1" ht="15" hidden="1" customHeight="1" spans="1:39">
      <c r="A1054" s="140">
        <v>2017</v>
      </c>
      <c r="B1054" s="140" t="s">
        <v>38</v>
      </c>
      <c r="C1054" s="140" t="s">
        <v>59</v>
      </c>
      <c r="D1054" s="140" t="s">
        <v>106</v>
      </c>
      <c r="E1054" s="140" t="s">
        <v>107</v>
      </c>
      <c r="F1054" s="140" t="s">
        <v>196</v>
      </c>
      <c r="G1054" s="140" t="s">
        <v>196</v>
      </c>
      <c r="H1054" s="140" t="s">
        <v>196</v>
      </c>
      <c r="I1054" s="140" t="s">
        <v>165</v>
      </c>
      <c r="J1054" s="140" t="s">
        <v>44</v>
      </c>
      <c r="K1054" s="140" t="s">
        <v>166</v>
      </c>
      <c r="L1054" s="140" t="s">
        <v>197</v>
      </c>
      <c r="M1054" s="158" t="s">
        <v>46</v>
      </c>
      <c r="N1054" s="156">
        <v>0</v>
      </c>
      <c r="O1054" s="156" t="s">
        <v>47</v>
      </c>
      <c r="P1054" s="156"/>
      <c r="Q1054" s="158">
        <v>0</v>
      </c>
      <c r="R1054" s="158">
        <v>0</v>
      </c>
      <c r="S1054" s="158">
        <v>226734</v>
      </c>
      <c r="T1054" s="158">
        <f t="shared" si="233"/>
        <v>0</v>
      </c>
      <c r="U1054" s="158">
        <f t="shared" si="237"/>
        <v>226734</v>
      </c>
      <c r="V1054" s="158">
        <v>226734</v>
      </c>
      <c r="W1054" s="158">
        <f t="shared" si="238"/>
        <v>0</v>
      </c>
      <c r="X1054" s="158">
        <f t="shared" si="234"/>
        <v>0</v>
      </c>
      <c r="Y1054" s="158">
        <f t="shared" si="239"/>
        <v>0</v>
      </c>
      <c r="Z1054" s="158">
        <v>226734</v>
      </c>
      <c r="AA1054" s="158">
        <f t="shared" si="235"/>
        <v>0</v>
      </c>
      <c r="AB1054" s="167">
        <f>IF(O1054="返货",Z1054/(1+N1054),IF(O1054="返现",Z1054,IF(O1054="折扣",Z1054*N1054,IF(O1054="无",Z1054))))</f>
        <v>226734</v>
      </c>
      <c r="AC1054" s="168">
        <f t="shared" si="236"/>
        <v>0</v>
      </c>
      <c r="AD1054" s="158">
        <f>S1054</f>
        <v>226734</v>
      </c>
      <c r="AE1054" s="156">
        <v>0</v>
      </c>
      <c r="AF1054" s="158">
        <f t="shared" si="228"/>
        <v>0</v>
      </c>
      <c r="AG1054" s="158">
        <v>0</v>
      </c>
      <c r="AH1054" s="158"/>
      <c r="AI1054" s="158"/>
      <c r="AJ1054" s="156" t="s">
        <v>1019</v>
      </c>
      <c r="AK1054" s="174" t="s">
        <v>1019</v>
      </c>
      <c r="AL1054" s="140" t="s">
        <v>980</v>
      </c>
      <c r="AM1054" s="140"/>
    </row>
    <row r="1055" s="140" customFormat="1" ht="15" hidden="1" customHeight="1" spans="1:39">
      <c r="A1055" s="140">
        <v>2017</v>
      </c>
      <c r="F1055" s="152" t="e">
        <v>#N/A</v>
      </c>
      <c r="G1055" s="152"/>
      <c r="H1055" s="152"/>
      <c r="I1055" s="140" t="s">
        <v>170</v>
      </c>
      <c r="J1055" s="140" t="s">
        <v>171</v>
      </c>
      <c r="K1055" s="140" t="s">
        <v>172</v>
      </c>
      <c r="L1055" s="140" t="s">
        <v>1020</v>
      </c>
      <c r="M1055" s="140" t="s">
        <v>46</v>
      </c>
      <c r="N1055" s="156">
        <v>0</v>
      </c>
      <c r="O1055" s="156" t="s">
        <v>47</v>
      </c>
      <c r="P1055" s="156" t="s">
        <v>855</v>
      </c>
      <c r="Q1055" s="158">
        <v>72049.8780812779</v>
      </c>
      <c r="R1055" s="158">
        <v>0</v>
      </c>
      <c r="S1055" s="158"/>
      <c r="T1055" s="158">
        <f t="shared" si="233"/>
        <v>0</v>
      </c>
      <c r="U1055" s="158">
        <f t="shared" si="237"/>
        <v>0</v>
      </c>
      <c r="V1055" s="158">
        <v>0</v>
      </c>
      <c r="W1055" s="158">
        <f t="shared" si="238"/>
        <v>0</v>
      </c>
      <c r="X1055" s="158">
        <f t="shared" si="234"/>
        <v>0</v>
      </c>
      <c r="Y1055" s="158">
        <f t="shared" si="239"/>
        <v>0</v>
      </c>
      <c r="Z1055" s="158">
        <v>78564</v>
      </c>
      <c r="AA1055" s="158">
        <f t="shared" si="235"/>
        <v>-6514.1219187221</v>
      </c>
      <c r="AB1055" s="167">
        <v>0</v>
      </c>
      <c r="AC1055" s="168">
        <f t="shared" si="236"/>
        <v>78564</v>
      </c>
      <c r="AD1055" s="158">
        <f t="shared" ref="AD1055:AD1060" si="244">(Z1055-Q1055)*0.89807640489087</f>
        <v>5850.17919378676</v>
      </c>
      <c r="AE1055" s="159">
        <v>0.112691732739812</v>
      </c>
      <c r="AF1055" s="158">
        <f t="shared" si="228"/>
        <v>659.266830186226</v>
      </c>
      <c r="AG1055" s="158">
        <v>7029.09856810469</v>
      </c>
      <c r="AH1055" s="175"/>
      <c r="AI1055" s="175"/>
      <c r="AJ1055" s="156" t="e">
        <v>#N/A</v>
      </c>
      <c r="AK1055" s="140" t="s">
        <v>47</v>
      </c>
      <c r="AM1055" s="152" t="s">
        <v>208</v>
      </c>
    </row>
    <row r="1056" s="140" customFormat="1" ht="15" hidden="1" customHeight="1" spans="1:39">
      <c r="A1056" s="140">
        <v>2017</v>
      </c>
      <c r="F1056" s="152" t="e">
        <v>#N/A</v>
      </c>
      <c r="G1056" s="152"/>
      <c r="H1056" s="152"/>
      <c r="I1056" s="140" t="s">
        <v>170</v>
      </c>
      <c r="J1056" s="140" t="s">
        <v>171</v>
      </c>
      <c r="K1056" s="140" t="s">
        <v>172</v>
      </c>
      <c r="L1056" s="140" t="s">
        <v>1021</v>
      </c>
      <c r="M1056" s="140" t="s">
        <v>46</v>
      </c>
      <c r="N1056" s="156">
        <v>0</v>
      </c>
      <c r="O1056" s="156" t="s">
        <v>47</v>
      </c>
      <c r="P1056" s="156" t="s">
        <v>855</v>
      </c>
      <c r="Q1056" s="158">
        <v>90000</v>
      </c>
      <c r="R1056" s="158">
        <v>0</v>
      </c>
      <c r="S1056" s="158"/>
      <c r="T1056" s="158">
        <f t="shared" si="233"/>
        <v>0</v>
      </c>
      <c r="U1056" s="158">
        <f t="shared" si="237"/>
        <v>0</v>
      </c>
      <c r="V1056" s="158">
        <v>0</v>
      </c>
      <c r="W1056" s="158">
        <f t="shared" si="238"/>
        <v>0</v>
      </c>
      <c r="X1056" s="158">
        <f t="shared" si="234"/>
        <v>0</v>
      </c>
      <c r="Y1056" s="158">
        <f t="shared" si="239"/>
        <v>0</v>
      </c>
      <c r="Z1056" s="158">
        <v>34310.9</v>
      </c>
      <c r="AA1056" s="158">
        <f t="shared" si="235"/>
        <v>55689.1</v>
      </c>
      <c r="AB1056" s="167">
        <v>0</v>
      </c>
      <c r="AC1056" s="168">
        <f t="shared" si="236"/>
        <v>34310.9</v>
      </c>
      <c r="AD1056" s="158">
        <f t="shared" si="244"/>
        <v>-50013.0667196081</v>
      </c>
      <c r="AE1056" s="159">
        <v>0.112691732739812</v>
      </c>
      <c r="AF1056" s="158">
        <f t="shared" si="228"/>
        <v>-5636.05914826447</v>
      </c>
      <c r="AG1056" s="158">
        <v>3069.78639148189</v>
      </c>
      <c r="AH1056" s="175"/>
      <c r="AI1056" s="175"/>
      <c r="AJ1056" s="156" t="e">
        <v>#N/A</v>
      </c>
      <c r="AK1056" s="140" t="s">
        <v>47</v>
      </c>
      <c r="AM1056" s="152" t="s">
        <v>208</v>
      </c>
    </row>
    <row r="1057" s="140" customFormat="1" ht="15" hidden="1" customHeight="1" spans="1:37">
      <c r="A1057" s="140">
        <v>2017</v>
      </c>
      <c r="B1057" s="140" t="s">
        <v>38</v>
      </c>
      <c r="C1057" s="140" t="s">
        <v>54</v>
      </c>
      <c r="D1057" s="140" t="s">
        <v>396</v>
      </c>
      <c r="E1057" s="140" t="s">
        <v>368</v>
      </c>
      <c r="F1057" s="140" t="s">
        <v>1022</v>
      </c>
      <c r="G1057" s="140" t="s">
        <v>1022</v>
      </c>
      <c r="H1057" s="140" t="s">
        <v>1022</v>
      </c>
      <c r="I1057" s="140" t="s">
        <v>170</v>
      </c>
      <c r="J1057" s="140" t="s">
        <v>171</v>
      </c>
      <c r="K1057" s="140" t="s">
        <v>172</v>
      </c>
      <c r="L1057" s="140" t="s">
        <v>1022</v>
      </c>
      <c r="M1057" s="140" t="s">
        <v>46</v>
      </c>
      <c r="N1057" s="157">
        <v>0.04</v>
      </c>
      <c r="O1057" s="156" t="s">
        <v>495</v>
      </c>
      <c r="P1057" s="156"/>
      <c r="Q1057" s="158">
        <v>0</v>
      </c>
      <c r="R1057" s="158">
        <v>0</v>
      </c>
      <c r="S1057" s="158">
        <v>19615.38</v>
      </c>
      <c r="T1057" s="158">
        <f t="shared" si="233"/>
        <v>784.6152</v>
      </c>
      <c r="U1057" s="158">
        <f t="shared" si="237"/>
        <v>20399.9952</v>
      </c>
      <c r="V1057" s="158">
        <v>10200</v>
      </c>
      <c r="W1057" s="158">
        <f t="shared" si="238"/>
        <v>10199.9952</v>
      </c>
      <c r="X1057" s="158">
        <f t="shared" si="234"/>
        <v>9807.68769230769</v>
      </c>
      <c r="Y1057" s="158">
        <f t="shared" si="239"/>
        <v>392.307507692309</v>
      </c>
      <c r="Z1057" s="158">
        <v>16103</v>
      </c>
      <c r="AA1057" s="158">
        <f t="shared" si="235"/>
        <v>-5903</v>
      </c>
      <c r="AB1057" s="167">
        <f>IF(O1057="返货",Z1057/(1+N1057),IF(O1057="返现",Z1057,IF(O1057="折扣",Z1057*N1057,IF(O1057="无",Z1057))))</f>
        <v>16103</v>
      </c>
      <c r="AC1057" s="168">
        <f t="shared" si="236"/>
        <v>644.12</v>
      </c>
      <c r="AD1057" s="158">
        <f t="shared" si="244"/>
        <v>14461.7243479577</v>
      </c>
      <c r="AE1057" s="159">
        <v>0.112691732739812</v>
      </c>
      <c r="AF1057" s="158">
        <f t="shared" si="228"/>
        <v>1629.71677517688</v>
      </c>
      <c r="AG1057" s="158">
        <v>821.384641966047</v>
      </c>
      <c r="AH1057" s="175"/>
      <c r="AI1057" s="175"/>
      <c r="AJ1057" s="156" t="s">
        <v>186</v>
      </c>
      <c r="AK1057" s="140" t="s">
        <v>186</v>
      </c>
    </row>
    <row r="1058" s="140" customFormat="1" ht="15" hidden="1" customHeight="1" spans="1:39">
      <c r="A1058" s="140">
        <v>2017</v>
      </c>
      <c r="F1058" s="152" t="e">
        <v>#N/A</v>
      </c>
      <c r="G1058" s="152"/>
      <c r="H1058" s="152"/>
      <c r="I1058" s="140" t="s">
        <v>170</v>
      </c>
      <c r="J1058" s="140" t="s">
        <v>171</v>
      </c>
      <c r="K1058" s="140" t="s">
        <v>172</v>
      </c>
      <c r="L1058" s="140" t="s">
        <v>1023</v>
      </c>
      <c r="M1058" s="140" t="s">
        <v>46</v>
      </c>
      <c r="N1058" s="156">
        <v>0</v>
      </c>
      <c r="O1058" s="156" t="s">
        <v>47</v>
      </c>
      <c r="P1058" s="156" t="s">
        <v>857</v>
      </c>
      <c r="Q1058" s="158">
        <v>97025.7</v>
      </c>
      <c r="R1058" s="158">
        <v>0</v>
      </c>
      <c r="S1058" s="158"/>
      <c r="T1058" s="158">
        <f t="shared" si="233"/>
        <v>0</v>
      </c>
      <c r="U1058" s="158">
        <f t="shared" si="237"/>
        <v>0</v>
      </c>
      <c r="V1058" s="158">
        <v>0</v>
      </c>
      <c r="W1058" s="158">
        <f t="shared" si="238"/>
        <v>0</v>
      </c>
      <c r="X1058" s="158">
        <f t="shared" si="234"/>
        <v>0</v>
      </c>
      <c r="Y1058" s="158">
        <f t="shared" si="239"/>
        <v>0</v>
      </c>
      <c r="Z1058" s="158">
        <v>97025.7</v>
      </c>
      <c r="AA1058" s="158">
        <f t="shared" si="235"/>
        <v>0</v>
      </c>
      <c r="AB1058" s="167">
        <f>IF(O1058="返货",(Z1058-Q1058)/(1+N1058),IF(O1058="返现",(Z1058-Q1058),IF(O1058="折扣",(Z1058-Q1058)*N1058,IF(O1058="无",(Z1058-Q1058)))))</f>
        <v>0</v>
      </c>
      <c r="AC1058" s="168">
        <f t="shared" si="236"/>
        <v>97025.7</v>
      </c>
      <c r="AD1058" s="158">
        <f t="shared" si="244"/>
        <v>0</v>
      </c>
      <c r="AE1058" s="159">
        <v>0.112691732739812</v>
      </c>
      <c r="AF1058" s="158">
        <f t="shared" si="228"/>
        <v>0</v>
      </c>
      <c r="AG1058" s="158">
        <v>8680.86157704999</v>
      </c>
      <c r="AH1058" s="175"/>
      <c r="AI1058" s="175"/>
      <c r="AJ1058" s="156" t="e">
        <v>#N/A</v>
      </c>
      <c r="AK1058" s="140" t="s">
        <v>47</v>
      </c>
      <c r="AM1058" s="152" t="s">
        <v>208</v>
      </c>
    </row>
    <row r="1059" s="140" customFormat="1" ht="15" hidden="1" customHeight="1" spans="1:39">
      <c r="A1059" s="140">
        <v>2017</v>
      </c>
      <c r="B1059" s="140" t="s">
        <v>38</v>
      </c>
      <c r="C1059" s="140" t="s">
        <v>59</v>
      </c>
      <c r="F1059" s="188" t="s">
        <v>358</v>
      </c>
      <c r="G1059" s="152" t="s">
        <v>358</v>
      </c>
      <c r="H1059" s="152" t="s">
        <v>358</v>
      </c>
      <c r="I1059" s="140" t="s">
        <v>170</v>
      </c>
      <c r="J1059" s="140" t="s">
        <v>171</v>
      </c>
      <c r="K1059" s="140" t="s">
        <v>172</v>
      </c>
      <c r="L1059" s="140" t="s">
        <v>1024</v>
      </c>
      <c r="M1059" s="140" t="s">
        <v>46</v>
      </c>
      <c r="N1059" s="182">
        <v>0</v>
      </c>
      <c r="O1059" s="156" t="s">
        <v>47</v>
      </c>
      <c r="P1059" s="156" t="s">
        <v>855</v>
      </c>
      <c r="Q1059" s="189">
        <v>58258.1095676977</v>
      </c>
      <c r="R1059" s="158">
        <v>0</v>
      </c>
      <c r="S1059" s="158"/>
      <c r="T1059" s="158">
        <f t="shared" si="233"/>
        <v>0</v>
      </c>
      <c r="U1059" s="158">
        <f t="shared" si="237"/>
        <v>0</v>
      </c>
      <c r="V1059" s="158">
        <v>0</v>
      </c>
      <c r="W1059" s="158">
        <f t="shared" si="238"/>
        <v>0</v>
      </c>
      <c r="X1059" s="158">
        <f t="shared" si="234"/>
        <v>0</v>
      </c>
      <c r="Y1059" s="158">
        <f t="shared" si="239"/>
        <v>0</v>
      </c>
      <c r="Z1059" s="158">
        <v>63525.3</v>
      </c>
      <c r="AA1059" s="158">
        <f t="shared" si="235"/>
        <v>-5267.1904323023</v>
      </c>
      <c r="AB1059" s="167">
        <v>0</v>
      </c>
      <c r="AC1059" s="168">
        <f t="shared" si="236"/>
        <v>63525.3</v>
      </c>
      <c r="AD1059" s="158">
        <f t="shared" si="244"/>
        <v>4730.33944731764</v>
      </c>
      <c r="AE1059" s="159">
        <v>0.112691732739812</v>
      </c>
      <c r="AF1059" s="158">
        <f t="shared" si="228"/>
        <v>533.07014876571</v>
      </c>
      <c r="AG1059" s="158">
        <v>5683.59038832571</v>
      </c>
      <c r="AH1059" s="175"/>
      <c r="AI1059" s="175"/>
      <c r="AJ1059" s="156" t="s">
        <v>173</v>
      </c>
      <c r="AK1059" s="140" t="s">
        <v>47</v>
      </c>
      <c r="AM1059" s="152" t="s">
        <v>208</v>
      </c>
    </row>
    <row r="1060" s="140" customFormat="1" ht="15" hidden="1" customHeight="1" spans="1:39">
      <c r="A1060" s="140">
        <v>2017</v>
      </c>
      <c r="F1060" s="152" t="e">
        <v>#N/A</v>
      </c>
      <c r="G1060" s="152"/>
      <c r="H1060" s="152"/>
      <c r="I1060" s="140" t="s">
        <v>170</v>
      </c>
      <c r="J1060" s="140" t="s">
        <v>171</v>
      </c>
      <c r="K1060" s="140" t="s">
        <v>172</v>
      </c>
      <c r="L1060" s="140" t="s">
        <v>1025</v>
      </c>
      <c r="M1060" s="140" t="s">
        <v>46</v>
      </c>
      <c r="N1060" s="156">
        <v>0</v>
      </c>
      <c r="O1060" s="156" t="s">
        <v>47</v>
      </c>
      <c r="P1060" s="156" t="s">
        <v>855</v>
      </c>
      <c r="Q1060" s="158">
        <v>54211.7464488365</v>
      </c>
      <c r="R1060" s="158">
        <v>0</v>
      </c>
      <c r="S1060" s="158"/>
      <c r="T1060" s="158">
        <f t="shared" si="233"/>
        <v>0</v>
      </c>
      <c r="U1060" s="158">
        <f t="shared" si="237"/>
        <v>0</v>
      </c>
      <c r="V1060" s="158">
        <v>0</v>
      </c>
      <c r="W1060" s="158">
        <f t="shared" si="238"/>
        <v>0</v>
      </c>
      <c r="X1060" s="158">
        <f t="shared" si="234"/>
        <v>0</v>
      </c>
      <c r="Y1060" s="158">
        <f t="shared" si="239"/>
        <v>0</v>
      </c>
      <c r="Z1060" s="158">
        <v>59113.1</v>
      </c>
      <c r="AA1060" s="158">
        <f t="shared" si="235"/>
        <v>-4901.3535511635</v>
      </c>
      <c r="AB1060" s="167">
        <v>0</v>
      </c>
      <c r="AC1060" s="168">
        <f t="shared" si="236"/>
        <v>59113.1</v>
      </c>
      <c r="AD1060" s="158">
        <f t="shared" si="244"/>
        <v>4401.78997632801</v>
      </c>
      <c r="AE1060" s="159">
        <v>0.112691732739812</v>
      </c>
      <c r="AF1060" s="158">
        <f t="shared" si="228"/>
        <v>496.04533958914</v>
      </c>
      <c r="AG1060" s="158">
        <v>5288.83211860686</v>
      </c>
      <c r="AH1060" s="175"/>
      <c r="AI1060" s="175"/>
      <c r="AJ1060" s="156" t="e">
        <v>#N/A</v>
      </c>
      <c r="AK1060" s="140" t="s">
        <v>47</v>
      </c>
      <c r="AM1060" s="152" t="s">
        <v>208</v>
      </c>
    </row>
    <row r="1061" s="140" customFormat="1" ht="15" hidden="1" customHeight="1" spans="1:39">
      <c r="A1061" s="140">
        <v>2017</v>
      </c>
      <c r="B1061" s="140" t="s">
        <v>38</v>
      </c>
      <c r="C1061" s="140" t="s">
        <v>110</v>
      </c>
      <c r="D1061" s="140" t="s">
        <v>280</v>
      </c>
      <c r="F1061" s="152" t="s">
        <v>936</v>
      </c>
      <c r="G1061" s="152" t="s">
        <v>936</v>
      </c>
      <c r="H1061" s="152" t="s">
        <v>936</v>
      </c>
      <c r="I1061" s="140" t="s">
        <v>170</v>
      </c>
      <c r="J1061" s="140" t="s">
        <v>868</v>
      </c>
      <c r="K1061" s="140" t="s">
        <v>869</v>
      </c>
      <c r="L1061" s="140" t="s">
        <v>936</v>
      </c>
      <c r="M1061" s="140" t="s">
        <v>185</v>
      </c>
      <c r="N1061" s="159">
        <v>0</v>
      </c>
      <c r="O1061" s="156" t="s">
        <v>47</v>
      </c>
      <c r="P1061" s="156"/>
      <c r="Q1061" s="158">
        <v>0</v>
      </c>
      <c r="R1061" s="158">
        <v>0</v>
      </c>
      <c r="S1061" s="158"/>
      <c r="T1061" s="158">
        <f t="shared" si="233"/>
        <v>0</v>
      </c>
      <c r="U1061" s="158">
        <f t="shared" si="237"/>
        <v>0</v>
      </c>
      <c r="V1061" s="158">
        <v>0</v>
      </c>
      <c r="W1061" s="158">
        <f t="shared" si="238"/>
        <v>0</v>
      </c>
      <c r="X1061" s="158">
        <f t="shared" si="234"/>
        <v>0</v>
      </c>
      <c r="Y1061" s="158">
        <f t="shared" si="239"/>
        <v>0</v>
      </c>
      <c r="Z1061" s="158">
        <v>4553.65</v>
      </c>
      <c r="AA1061" s="158">
        <f t="shared" si="235"/>
        <v>-4553.65</v>
      </c>
      <c r="AB1061" s="167">
        <f>IF(O1061="返货",Z1061/(1+N1061),IF(O1061="返现",Z1061,IF(O1061="折扣",Z1061*N1061,IF(O1061="无",Z1061))))</f>
        <v>4553.65</v>
      </c>
      <c r="AC1061" s="168">
        <f t="shared" si="236"/>
        <v>0</v>
      </c>
      <c r="AD1061" s="158">
        <f>Z1061</f>
        <v>4553.65</v>
      </c>
      <c r="AE1061" s="159">
        <v>0.1</v>
      </c>
      <c r="AF1061" s="158">
        <f t="shared" si="228"/>
        <v>455.365</v>
      </c>
      <c r="AG1061" s="158">
        <v>455.365</v>
      </c>
      <c r="AH1061" s="175"/>
      <c r="AI1061" s="175"/>
      <c r="AJ1061" s="156" t="e">
        <v>#N/A</v>
      </c>
      <c r="AK1061" s="177">
        <v>1</v>
      </c>
      <c r="AM1061" s="152" t="s">
        <v>208</v>
      </c>
    </row>
    <row r="1062" s="140" customFormat="1" ht="15" hidden="1" customHeight="1" spans="1:37">
      <c r="A1062" s="140">
        <v>2017</v>
      </c>
      <c r="B1062" s="140" t="s">
        <v>38</v>
      </c>
      <c r="C1062" s="140" t="s">
        <v>75</v>
      </c>
      <c r="D1062" s="140" t="s">
        <v>76</v>
      </c>
      <c r="E1062" s="140" t="s">
        <v>118</v>
      </c>
      <c r="F1062" s="140" t="s">
        <v>933</v>
      </c>
      <c r="G1062" s="140" t="s">
        <v>933</v>
      </c>
      <c r="H1062" s="140" t="s">
        <v>933</v>
      </c>
      <c r="I1062" s="140" t="s">
        <v>170</v>
      </c>
      <c r="J1062" s="140" t="s">
        <v>171</v>
      </c>
      <c r="K1062" s="140" t="s">
        <v>172</v>
      </c>
      <c r="L1062" s="140" t="s">
        <v>934</v>
      </c>
      <c r="M1062" s="140" t="s">
        <v>185</v>
      </c>
      <c r="N1062" s="157">
        <v>0.1</v>
      </c>
      <c r="O1062" s="156" t="s">
        <v>51</v>
      </c>
      <c r="P1062" s="156"/>
      <c r="Q1062" s="158">
        <v>0</v>
      </c>
      <c r="R1062" s="158">
        <v>0</v>
      </c>
      <c r="S1062" s="158">
        <v>114000</v>
      </c>
      <c r="T1062" s="158">
        <f t="shared" si="233"/>
        <v>11400</v>
      </c>
      <c r="U1062" s="158">
        <f t="shared" si="237"/>
        <v>125400</v>
      </c>
      <c r="V1062" s="158">
        <v>114000</v>
      </c>
      <c r="W1062" s="158">
        <f t="shared" si="238"/>
        <v>11400</v>
      </c>
      <c r="X1062" s="158">
        <f t="shared" si="234"/>
        <v>10363.6363636364</v>
      </c>
      <c r="Y1062" s="158">
        <f t="shared" si="239"/>
        <v>1036.36363636364</v>
      </c>
      <c r="Z1062" s="158">
        <v>118470.3</v>
      </c>
      <c r="AA1062" s="158">
        <f t="shared" si="235"/>
        <v>-4470.3</v>
      </c>
      <c r="AB1062" s="167">
        <f>IF(O1062="返货",Z1062/(1+N1062),IF(O1062="返现",Z1062,IF(O1062="折扣",Z1062*N1062,IF(O1062="无",Z1062))))</f>
        <v>107700.272727273</v>
      </c>
      <c r="AC1062" s="168">
        <f t="shared" si="236"/>
        <v>10770.0272727273</v>
      </c>
      <c r="AD1062" s="158">
        <f>(Z1062-Q1062)*0.91072157793815</f>
        <v>107893.458554806</v>
      </c>
      <c r="AE1062" s="159">
        <v>0.112691732739812</v>
      </c>
      <c r="AF1062" s="158">
        <f t="shared" si="228"/>
        <v>12158.7007958322</v>
      </c>
      <c r="AG1062" s="158">
        <v>-170.523478458495</v>
      </c>
      <c r="AH1062" s="175"/>
      <c r="AI1062" s="175"/>
      <c r="AJ1062" s="156" t="s">
        <v>69</v>
      </c>
      <c r="AK1062" s="140" t="s">
        <v>69</v>
      </c>
    </row>
    <row r="1063" s="141" customFormat="1" ht="15" hidden="1" customHeight="1" spans="1:39">
      <c r="A1063" s="140">
        <v>2017</v>
      </c>
      <c r="B1063" s="140" t="s">
        <v>252</v>
      </c>
      <c r="C1063" s="140" t="s">
        <v>88</v>
      </c>
      <c r="D1063" s="140" t="s">
        <v>128</v>
      </c>
      <c r="E1063" s="140" t="s">
        <v>194</v>
      </c>
      <c r="F1063" s="140" t="s">
        <v>611</v>
      </c>
      <c r="G1063" s="140" t="s">
        <v>1026</v>
      </c>
      <c r="H1063" s="140" t="s">
        <v>1026</v>
      </c>
      <c r="I1063" s="140" t="s">
        <v>170</v>
      </c>
      <c r="J1063" s="140" t="s">
        <v>171</v>
      </c>
      <c r="K1063" s="140" t="s">
        <v>172</v>
      </c>
      <c r="L1063" s="140" t="s">
        <v>611</v>
      </c>
      <c r="M1063" s="140" t="s">
        <v>46</v>
      </c>
      <c r="N1063" s="157">
        <v>0.02</v>
      </c>
      <c r="O1063" s="156" t="s">
        <v>51</v>
      </c>
      <c r="P1063" s="156"/>
      <c r="Q1063" s="158">
        <v>64145.5</v>
      </c>
      <c r="R1063" s="158">
        <v>0</v>
      </c>
      <c r="S1063" s="158">
        <v>200000</v>
      </c>
      <c r="T1063" s="158">
        <f t="shared" si="233"/>
        <v>4000</v>
      </c>
      <c r="U1063" s="158">
        <f t="shared" si="237"/>
        <v>204000</v>
      </c>
      <c r="V1063" s="158">
        <v>200000</v>
      </c>
      <c r="W1063" s="158">
        <f t="shared" si="238"/>
        <v>4000</v>
      </c>
      <c r="X1063" s="158">
        <f t="shared" si="234"/>
        <v>3921.56862745098</v>
      </c>
      <c r="Y1063" s="158">
        <f t="shared" si="239"/>
        <v>78.4313725490197</v>
      </c>
      <c r="Z1063" s="158">
        <v>3092864.5</v>
      </c>
      <c r="AA1063" s="158">
        <f t="shared" si="235"/>
        <v>-2828719</v>
      </c>
      <c r="AB1063" s="167">
        <f>IF(O1063="返货",(Z1063-Q1063)/(1+N1063),IF(O1063="返现",(Z1063-Q1063),IF(O1063="折扣",(Z1063-Q1063)*N1063,IF(O1063="无",(Z1063-Q1063)))))</f>
        <v>2969332.35294118</v>
      </c>
      <c r="AC1063" s="168">
        <f t="shared" si="236"/>
        <v>123532.147058824</v>
      </c>
      <c r="AD1063" s="158">
        <f t="shared" ref="AD1063:AD1072" si="245">(Z1063-Q1063)*0.89807640489087</f>
        <v>2720021.07094467</v>
      </c>
      <c r="AE1063" s="159">
        <v>0.112691732739812</v>
      </c>
      <c r="AF1063" s="158">
        <f t="shared" si="228"/>
        <v>306523.887573554</v>
      </c>
      <c r="AG1063" s="158">
        <v>216073.298618257</v>
      </c>
      <c r="AH1063" s="175"/>
      <c r="AI1063" s="175"/>
      <c r="AJ1063" s="157">
        <v>0.02</v>
      </c>
      <c r="AK1063" s="177">
        <v>0.02</v>
      </c>
      <c r="AL1063" s="140"/>
      <c r="AM1063" s="140"/>
    </row>
    <row r="1064" s="141" customFormat="1" ht="15" hidden="1" customHeight="1" spans="1:39">
      <c r="A1064" s="140">
        <v>2017</v>
      </c>
      <c r="B1064" s="140" t="s">
        <v>38</v>
      </c>
      <c r="C1064" s="140" t="s">
        <v>88</v>
      </c>
      <c r="D1064" s="140" t="s">
        <v>128</v>
      </c>
      <c r="E1064" s="140" t="s">
        <v>194</v>
      </c>
      <c r="F1064" s="140" t="s">
        <v>611</v>
      </c>
      <c r="G1064" s="140" t="s">
        <v>611</v>
      </c>
      <c r="H1064" s="140" t="s">
        <v>611</v>
      </c>
      <c r="I1064" s="140" t="s">
        <v>170</v>
      </c>
      <c r="J1064" s="140" t="s">
        <v>171</v>
      </c>
      <c r="K1064" s="140" t="s">
        <v>172</v>
      </c>
      <c r="L1064" s="140" t="s">
        <v>611</v>
      </c>
      <c r="M1064" s="140" t="s">
        <v>46</v>
      </c>
      <c r="N1064" s="157">
        <v>0.02</v>
      </c>
      <c r="O1064" s="156" t="s">
        <v>51</v>
      </c>
      <c r="P1064" s="156"/>
      <c r="Q1064" s="158">
        <v>0</v>
      </c>
      <c r="R1064" s="158">
        <v>0</v>
      </c>
      <c r="S1064" s="158">
        <v>3000000</v>
      </c>
      <c r="T1064" s="158">
        <f t="shared" si="233"/>
        <v>60000</v>
      </c>
      <c r="U1064" s="158">
        <f t="shared" si="237"/>
        <v>3060000</v>
      </c>
      <c r="V1064" s="158">
        <v>2800370.51</v>
      </c>
      <c r="W1064" s="158">
        <f t="shared" si="238"/>
        <v>259629.49</v>
      </c>
      <c r="X1064" s="158">
        <f t="shared" si="234"/>
        <v>254538.715686275</v>
      </c>
      <c r="Y1064" s="158">
        <f t="shared" si="239"/>
        <v>5090.7743137255</v>
      </c>
      <c r="Z1064" s="158">
        <v>0</v>
      </c>
      <c r="AA1064" s="158">
        <f t="shared" si="235"/>
        <v>2800370.51</v>
      </c>
      <c r="AB1064" s="167">
        <f>IF(O1064="返货",Z1064/(1+N1064),IF(O1064="返现",Z1064,IF(O1064="折扣",Z1064*N1064,IF(O1064="无",Z1064))))</f>
        <v>0</v>
      </c>
      <c r="AC1064" s="168">
        <f t="shared" si="236"/>
        <v>0</v>
      </c>
      <c r="AD1064" s="158">
        <f t="shared" si="245"/>
        <v>0</v>
      </c>
      <c r="AE1064" s="159">
        <v>0.112691732739812</v>
      </c>
      <c r="AF1064" s="158">
        <f t="shared" si="228"/>
        <v>0</v>
      </c>
      <c r="AG1064" s="158">
        <v>0</v>
      </c>
      <c r="AH1064" s="175"/>
      <c r="AI1064" s="175"/>
      <c r="AJ1064" s="157">
        <v>0.02</v>
      </c>
      <c r="AK1064" s="177">
        <v>0.02</v>
      </c>
      <c r="AL1064" s="140"/>
      <c r="AM1064" s="140"/>
    </row>
    <row r="1065" s="140" customFormat="1" ht="15" hidden="1" customHeight="1" spans="1:39">
      <c r="A1065" s="140">
        <v>2017</v>
      </c>
      <c r="F1065" s="152" t="e">
        <v>#N/A</v>
      </c>
      <c r="G1065" s="152"/>
      <c r="H1065" s="152"/>
      <c r="I1065" s="140" t="s">
        <v>170</v>
      </c>
      <c r="J1065" s="140" t="s">
        <v>171</v>
      </c>
      <c r="K1065" s="140" t="s">
        <v>172</v>
      </c>
      <c r="L1065" s="140" t="s">
        <v>1027</v>
      </c>
      <c r="M1065" s="140" t="s">
        <v>46</v>
      </c>
      <c r="N1065" s="156">
        <v>0</v>
      </c>
      <c r="O1065" s="156" t="s">
        <v>47</v>
      </c>
      <c r="P1065" s="156" t="s">
        <v>855</v>
      </c>
      <c r="Q1065" s="158">
        <v>333098.6</v>
      </c>
      <c r="R1065" s="158">
        <v>0</v>
      </c>
      <c r="S1065" s="158"/>
      <c r="T1065" s="158">
        <f t="shared" si="233"/>
        <v>0</v>
      </c>
      <c r="U1065" s="158">
        <f t="shared" si="237"/>
        <v>0</v>
      </c>
      <c r="V1065" s="158">
        <v>0</v>
      </c>
      <c r="W1065" s="158">
        <f t="shared" si="238"/>
        <v>0</v>
      </c>
      <c r="X1065" s="158">
        <f t="shared" si="234"/>
        <v>0</v>
      </c>
      <c r="Y1065" s="158">
        <f t="shared" si="239"/>
        <v>0</v>
      </c>
      <c r="Z1065" s="158">
        <v>333130.5</v>
      </c>
      <c r="AA1065" s="158">
        <f t="shared" si="235"/>
        <v>-31.9000000000233</v>
      </c>
      <c r="AB1065" s="167">
        <v>0</v>
      </c>
      <c r="AC1065" s="168">
        <f t="shared" si="236"/>
        <v>333130.5</v>
      </c>
      <c r="AD1065" s="158">
        <f t="shared" si="245"/>
        <v>28.6486373160397</v>
      </c>
      <c r="AE1065" s="159">
        <v>0.112691732739812</v>
      </c>
      <c r="AF1065" s="158">
        <f t="shared" si="228"/>
        <v>3.22846457977895</v>
      </c>
      <c r="AG1065" s="158">
        <v>29805.0903790795</v>
      </c>
      <c r="AH1065" s="175"/>
      <c r="AI1065" s="175"/>
      <c r="AJ1065" s="156" t="e">
        <v>#N/A</v>
      </c>
      <c r="AK1065" s="140" t="s">
        <v>47</v>
      </c>
      <c r="AM1065" s="152" t="s">
        <v>208</v>
      </c>
    </row>
    <row r="1066" s="140" customFormat="1" ht="15" hidden="1" customHeight="1" spans="1:39">
      <c r="A1066" s="140">
        <v>2017</v>
      </c>
      <c r="F1066" s="152" t="e">
        <v>#N/A</v>
      </c>
      <c r="G1066" s="152"/>
      <c r="H1066" s="152"/>
      <c r="I1066" s="140" t="s">
        <v>170</v>
      </c>
      <c r="J1066" s="140" t="s">
        <v>171</v>
      </c>
      <c r="K1066" s="140" t="s">
        <v>172</v>
      </c>
      <c r="L1066" s="140" t="s">
        <v>1028</v>
      </c>
      <c r="M1066" s="140" t="s">
        <v>46</v>
      </c>
      <c r="N1066" s="156">
        <v>0</v>
      </c>
      <c r="O1066" s="156" t="s">
        <v>47</v>
      </c>
      <c r="P1066" s="156" t="s">
        <v>855</v>
      </c>
      <c r="Q1066" s="158">
        <v>211.296419606008</v>
      </c>
      <c r="R1066" s="158">
        <v>0</v>
      </c>
      <c r="S1066" s="158"/>
      <c r="T1066" s="158">
        <f t="shared" si="233"/>
        <v>0</v>
      </c>
      <c r="U1066" s="158">
        <f t="shared" si="237"/>
        <v>0</v>
      </c>
      <c r="V1066" s="158">
        <v>0</v>
      </c>
      <c r="W1066" s="158">
        <f t="shared" si="238"/>
        <v>0</v>
      </c>
      <c r="X1066" s="158">
        <f t="shared" si="234"/>
        <v>0</v>
      </c>
      <c r="Y1066" s="158">
        <f t="shared" si="239"/>
        <v>0</v>
      </c>
      <c r="Z1066" s="158">
        <v>230.4</v>
      </c>
      <c r="AA1066" s="158">
        <f t="shared" si="235"/>
        <v>-19.103580393992</v>
      </c>
      <c r="AB1066" s="167">
        <v>0</v>
      </c>
      <c r="AC1066" s="168">
        <f t="shared" si="236"/>
        <v>230.4</v>
      </c>
      <c r="AD1066" s="158">
        <f t="shared" si="245"/>
        <v>17.1564748007801</v>
      </c>
      <c r="AE1066" s="159">
        <v>0.112691732739812</v>
      </c>
      <c r="AF1066" s="158">
        <f t="shared" si="228"/>
        <v>1.93339287300683</v>
      </c>
      <c r="AG1066" s="158">
        <v>20.613821980695</v>
      </c>
      <c r="AH1066" s="175"/>
      <c r="AI1066" s="175"/>
      <c r="AJ1066" s="156" t="e">
        <v>#N/A</v>
      </c>
      <c r="AK1066" s="140" t="s">
        <v>47</v>
      </c>
      <c r="AM1066" s="152" t="s">
        <v>208</v>
      </c>
    </row>
    <row r="1067" s="140" customFormat="1" ht="15" hidden="1" customHeight="1" spans="1:39">
      <c r="A1067" s="140">
        <v>2017</v>
      </c>
      <c r="C1067" s="140" t="s">
        <v>75</v>
      </c>
      <c r="F1067" s="152" t="s">
        <v>79</v>
      </c>
      <c r="G1067" s="152"/>
      <c r="H1067" s="152"/>
      <c r="I1067" s="140" t="s">
        <v>170</v>
      </c>
      <c r="J1067" s="140" t="s">
        <v>171</v>
      </c>
      <c r="K1067" s="140" t="s">
        <v>172</v>
      </c>
      <c r="L1067" s="140" t="s">
        <v>79</v>
      </c>
      <c r="M1067" s="140" t="s">
        <v>46</v>
      </c>
      <c r="N1067" s="156">
        <v>0</v>
      </c>
      <c r="O1067" s="156" t="s">
        <v>47</v>
      </c>
      <c r="P1067" s="156" t="s">
        <v>855</v>
      </c>
      <c r="Q1067" s="158">
        <v>44629.3987945947</v>
      </c>
      <c r="R1067" s="158">
        <v>0</v>
      </c>
      <c r="S1067" s="158"/>
      <c r="T1067" s="158">
        <f t="shared" si="233"/>
        <v>0</v>
      </c>
      <c r="U1067" s="158">
        <f t="shared" si="237"/>
        <v>0</v>
      </c>
      <c r="V1067" s="158">
        <v>0</v>
      </c>
      <c r="W1067" s="158">
        <f t="shared" si="238"/>
        <v>0</v>
      </c>
      <c r="X1067" s="158">
        <f t="shared" si="234"/>
        <v>0</v>
      </c>
      <c r="Y1067" s="158">
        <f t="shared" si="239"/>
        <v>0</v>
      </c>
      <c r="Z1067" s="158">
        <v>48664.4</v>
      </c>
      <c r="AA1067" s="158">
        <f t="shared" si="235"/>
        <v>-4035.0012054053</v>
      </c>
      <c r="AB1067" s="167">
        <v>0</v>
      </c>
      <c r="AC1067" s="168">
        <f t="shared" si="236"/>
        <v>48664.4</v>
      </c>
      <c r="AD1067" s="158">
        <f t="shared" si="245"/>
        <v>3623.73937628072</v>
      </c>
      <c r="AE1067" s="159">
        <v>0.112691732739812</v>
      </c>
      <c r="AF1067" s="158">
        <f t="shared" si="228"/>
        <v>408.36546931056</v>
      </c>
      <c r="AG1067" s="158">
        <v>4353.98992359953</v>
      </c>
      <c r="AH1067" s="175"/>
      <c r="AI1067" s="175"/>
      <c r="AJ1067" s="156" t="e">
        <v>#N/A</v>
      </c>
      <c r="AK1067" s="140" t="s">
        <v>47</v>
      </c>
      <c r="AM1067" s="152" t="s">
        <v>208</v>
      </c>
    </row>
    <row r="1068" s="140" customFormat="1" ht="15" hidden="1" customHeight="1" spans="1:39">
      <c r="A1068" s="140">
        <v>2017</v>
      </c>
      <c r="F1068" s="152" t="str">
        <f>L1068</f>
        <v>上海陆家嘴国际金融资产交易市场股份有限公</v>
      </c>
      <c r="G1068" s="152"/>
      <c r="H1068" s="152"/>
      <c r="I1068" s="140" t="s">
        <v>170</v>
      </c>
      <c r="J1068" s="140" t="s">
        <v>171</v>
      </c>
      <c r="K1068" s="140" t="s">
        <v>172</v>
      </c>
      <c r="L1068" s="140" t="s">
        <v>1029</v>
      </c>
      <c r="M1068" s="140" t="s">
        <v>46</v>
      </c>
      <c r="N1068" s="156">
        <v>0</v>
      </c>
      <c r="O1068" s="156" t="s">
        <v>47</v>
      </c>
      <c r="P1068" s="156" t="s">
        <v>855</v>
      </c>
      <c r="Q1068" s="158">
        <v>27229.358740477</v>
      </c>
      <c r="R1068" s="158">
        <v>0</v>
      </c>
      <c r="S1068" s="158"/>
      <c r="T1068" s="158">
        <f t="shared" si="233"/>
        <v>0</v>
      </c>
      <c r="U1068" s="158">
        <f t="shared" si="237"/>
        <v>0</v>
      </c>
      <c r="V1068" s="158">
        <v>0</v>
      </c>
      <c r="W1068" s="158">
        <f t="shared" si="238"/>
        <v>0</v>
      </c>
      <c r="X1068" s="158">
        <f t="shared" si="234"/>
        <v>0</v>
      </c>
      <c r="Y1068" s="158">
        <f t="shared" si="239"/>
        <v>0</v>
      </c>
      <c r="Z1068" s="158">
        <v>29691.2</v>
      </c>
      <c r="AA1068" s="158">
        <f t="shared" si="235"/>
        <v>-2461.841259523</v>
      </c>
      <c r="AB1068" s="167">
        <v>0</v>
      </c>
      <c r="AC1068" s="168">
        <f t="shared" si="236"/>
        <v>29691.2</v>
      </c>
      <c r="AD1068" s="158">
        <f t="shared" si="245"/>
        <v>2210.92154776443</v>
      </c>
      <c r="AE1068" s="159">
        <v>0.112691732739812</v>
      </c>
      <c r="AF1068" s="158">
        <f t="shared" si="228"/>
        <v>249.15258016936</v>
      </c>
      <c r="AG1068" s="158">
        <v>2656.46315622053</v>
      </c>
      <c r="AH1068" s="175"/>
      <c r="AI1068" s="175"/>
      <c r="AJ1068" s="156" t="e">
        <v>#N/A</v>
      </c>
      <c r="AK1068" s="140" t="s">
        <v>47</v>
      </c>
      <c r="AM1068" s="152" t="s">
        <v>208</v>
      </c>
    </row>
    <row r="1069" s="140" customFormat="1" ht="15" hidden="1" customHeight="1" spans="1:37">
      <c r="A1069" s="140">
        <v>2017</v>
      </c>
      <c r="B1069" s="140" t="s">
        <v>38</v>
      </c>
      <c r="C1069" s="140" t="s">
        <v>88</v>
      </c>
      <c r="D1069" s="140" t="s">
        <v>128</v>
      </c>
      <c r="E1069" s="140" t="s">
        <v>194</v>
      </c>
      <c r="F1069" s="140" t="s">
        <v>610</v>
      </c>
      <c r="G1069" s="140" t="s">
        <v>610</v>
      </c>
      <c r="H1069" s="140" t="s">
        <v>610</v>
      </c>
      <c r="I1069" s="140" t="s">
        <v>170</v>
      </c>
      <c r="J1069" s="140" t="s">
        <v>171</v>
      </c>
      <c r="K1069" s="140" t="s">
        <v>172</v>
      </c>
      <c r="L1069" s="140" t="s">
        <v>610</v>
      </c>
      <c r="M1069" s="140" t="s">
        <v>46</v>
      </c>
      <c r="N1069" s="157">
        <v>0.04</v>
      </c>
      <c r="O1069" s="156" t="s">
        <v>51</v>
      </c>
      <c r="P1069" s="156"/>
      <c r="Q1069" s="158">
        <v>0</v>
      </c>
      <c r="R1069" s="158">
        <v>0</v>
      </c>
      <c r="S1069" s="158">
        <v>152020</v>
      </c>
      <c r="T1069" s="158">
        <f t="shared" si="233"/>
        <v>6080.8</v>
      </c>
      <c r="U1069" s="158">
        <f t="shared" si="237"/>
        <v>158100.8</v>
      </c>
      <c r="V1069" s="158">
        <v>155885.5</v>
      </c>
      <c r="W1069" s="158">
        <f t="shared" si="238"/>
        <v>2215.29999999999</v>
      </c>
      <c r="X1069" s="158">
        <f t="shared" si="234"/>
        <v>2130.09615384614</v>
      </c>
      <c r="Y1069" s="158">
        <f t="shared" si="239"/>
        <v>85.2038461538459</v>
      </c>
      <c r="Z1069" s="158">
        <v>158098.9</v>
      </c>
      <c r="AA1069" s="158">
        <f t="shared" si="235"/>
        <v>-2213.39999999999</v>
      </c>
      <c r="AB1069" s="167">
        <f>IF(O1069="返货",Z1069/(1+N1069),IF(O1069="返现",Z1069,IF(O1069="折扣",Z1069*N1069,IF(O1069="无",Z1069))))</f>
        <v>152018.173076923</v>
      </c>
      <c r="AC1069" s="168">
        <f t="shared" si="236"/>
        <v>6080.72692307693</v>
      </c>
      <c r="AD1069" s="158">
        <f t="shared" si="245"/>
        <v>141984.891729201</v>
      </c>
      <c r="AE1069" s="159">
        <v>0.112691732739812</v>
      </c>
      <c r="AF1069" s="158">
        <f t="shared" si="228"/>
        <v>16000.5234718383</v>
      </c>
      <c r="AG1069" s="158">
        <v>8064.3363579287</v>
      </c>
      <c r="AH1069" s="175"/>
      <c r="AI1069" s="175"/>
      <c r="AJ1069" s="157">
        <v>0.04</v>
      </c>
      <c r="AK1069" s="177">
        <v>0.04</v>
      </c>
    </row>
    <row r="1070" s="140" customFormat="1" ht="15" hidden="1" customHeight="1" spans="1:39">
      <c r="A1070" s="140">
        <v>2017</v>
      </c>
      <c r="C1070" s="140" t="s">
        <v>75</v>
      </c>
      <c r="D1070" s="140" t="s">
        <v>518</v>
      </c>
      <c r="F1070" s="152" t="e">
        <v>#N/A</v>
      </c>
      <c r="G1070" s="152"/>
      <c r="H1070" s="152"/>
      <c r="I1070" s="140" t="s">
        <v>170</v>
      </c>
      <c r="J1070" s="140" t="s">
        <v>171</v>
      </c>
      <c r="K1070" s="140" t="s">
        <v>172</v>
      </c>
      <c r="L1070" s="140" t="s">
        <v>1030</v>
      </c>
      <c r="M1070" s="140" t="s">
        <v>46</v>
      </c>
      <c r="N1070" s="156">
        <v>0</v>
      </c>
      <c r="O1070" s="156" t="s">
        <v>47</v>
      </c>
      <c r="P1070" s="156" t="s">
        <v>855</v>
      </c>
      <c r="Q1070" s="158">
        <v>1198325</v>
      </c>
      <c r="R1070" s="158">
        <v>0</v>
      </c>
      <c r="S1070" s="158"/>
      <c r="T1070" s="158">
        <f t="shared" si="233"/>
        <v>0</v>
      </c>
      <c r="U1070" s="158">
        <f t="shared" si="237"/>
        <v>0</v>
      </c>
      <c r="V1070" s="158">
        <v>0</v>
      </c>
      <c r="W1070" s="158">
        <f t="shared" si="238"/>
        <v>0</v>
      </c>
      <c r="X1070" s="158">
        <f t="shared" si="234"/>
        <v>0</v>
      </c>
      <c r="Y1070" s="158">
        <f t="shared" si="239"/>
        <v>0</v>
      </c>
      <c r="Z1070" s="158">
        <v>321708.7</v>
      </c>
      <c r="AA1070" s="158">
        <f t="shared" si="235"/>
        <v>876616.3</v>
      </c>
      <c r="AB1070" s="167">
        <v>0</v>
      </c>
      <c r="AC1070" s="168">
        <f t="shared" si="236"/>
        <v>321708.7</v>
      </c>
      <c r="AD1070" s="158">
        <f t="shared" si="245"/>
        <v>-787268.415172736</v>
      </c>
      <c r="AE1070" s="159">
        <v>0.112691732739812</v>
      </c>
      <c r="AF1070" s="158">
        <f t="shared" ref="AF1070:AF1097" si="246">AD1070*AE1070</f>
        <v>-88718.6418371414</v>
      </c>
      <c r="AG1070" s="158">
        <v>28783.1852059063</v>
      </c>
      <c r="AH1070" s="175"/>
      <c r="AI1070" s="175"/>
      <c r="AJ1070" s="156" t="e">
        <v>#N/A</v>
      </c>
      <c r="AK1070" s="140" t="s">
        <v>47</v>
      </c>
      <c r="AM1070" s="152" t="s">
        <v>208</v>
      </c>
    </row>
    <row r="1071" s="140" customFormat="1" ht="15" hidden="1" customHeight="1" spans="1:39">
      <c r="A1071" s="140">
        <v>2017</v>
      </c>
      <c r="B1071" s="140" t="s">
        <v>38</v>
      </c>
      <c r="C1071" s="140" t="s">
        <v>75</v>
      </c>
      <c r="D1071" s="140" t="s">
        <v>256</v>
      </c>
      <c r="F1071" s="152" t="s">
        <v>936</v>
      </c>
      <c r="G1071" s="152" t="s">
        <v>936</v>
      </c>
      <c r="H1071" s="152" t="s">
        <v>936</v>
      </c>
      <c r="I1071" s="140" t="s">
        <v>170</v>
      </c>
      <c r="J1071" s="140" t="s">
        <v>171</v>
      </c>
      <c r="K1071" s="140" t="s">
        <v>172</v>
      </c>
      <c r="L1071" s="140" t="s">
        <v>936</v>
      </c>
      <c r="M1071" s="140" t="s">
        <v>46</v>
      </c>
      <c r="N1071" s="156">
        <v>0</v>
      </c>
      <c r="O1071" s="156" t="s">
        <v>47</v>
      </c>
      <c r="P1071" s="156"/>
      <c r="Q1071" s="158">
        <v>24446.7389645719</v>
      </c>
      <c r="R1071" s="158">
        <v>0</v>
      </c>
      <c r="S1071" s="158"/>
      <c r="T1071" s="158">
        <f t="shared" si="233"/>
        <v>0</v>
      </c>
      <c r="U1071" s="158">
        <f t="shared" si="237"/>
        <v>0</v>
      </c>
      <c r="V1071" s="158">
        <v>0</v>
      </c>
      <c r="W1071" s="158">
        <f t="shared" si="238"/>
        <v>0</v>
      </c>
      <c r="X1071" s="158">
        <f t="shared" si="234"/>
        <v>0</v>
      </c>
      <c r="Y1071" s="158">
        <f t="shared" si="239"/>
        <v>0</v>
      </c>
      <c r="Z1071" s="158">
        <v>26657</v>
      </c>
      <c r="AA1071" s="158">
        <f t="shared" si="235"/>
        <v>-2210.2610354281</v>
      </c>
      <c r="AB1071" s="167">
        <f>IF(O1071="返货",(Z1071-Q1071)/(1+N1071),IF(O1071="返现",(Z1071-Q1071),IF(O1071="折扣",(Z1071-Q1071)*N1071,IF(O1071="无",(Z1071-Q1071)))))</f>
        <v>2210.2610354281</v>
      </c>
      <c r="AC1071" s="168">
        <f t="shared" si="236"/>
        <v>24446.7389645719</v>
      </c>
      <c r="AD1071" s="158">
        <f t="shared" si="245"/>
        <v>1984.98328456764</v>
      </c>
      <c r="AE1071" s="159">
        <v>0.112691732739812</v>
      </c>
      <c r="AF1071" s="158">
        <f t="shared" si="246"/>
        <v>223.691205797491</v>
      </c>
      <c r="AG1071" s="158">
        <v>2384.99415164664</v>
      </c>
      <c r="AH1071" s="175"/>
      <c r="AI1071" s="175"/>
      <c r="AJ1071" s="156" t="e">
        <v>#N/A</v>
      </c>
      <c r="AK1071" s="177">
        <v>1</v>
      </c>
      <c r="AM1071" s="152" t="s">
        <v>208</v>
      </c>
    </row>
    <row r="1072" s="140" customFormat="1" ht="15" hidden="1" customHeight="1" spans="1:39">
      <c r="A1072" s="140">
        <v>2017</v>
      </c>
      <c r="C1072" s="140" t="s">
        <v>59</v>
      </c>
      <c r="F1072" s="186"/>
      <c r="G1072" s="152"/>
      <c r="H1072" s="152"/>
      <c r="I1072" s="140" t="s">
        <v>170</v>
      </c>
      <c r="J1072" s="140" t="s">
        <v>171</v>
      </c>
      <c r="K1072" s="140" t="s">
        <v>172</v>
      </c>
      <c r="L1072" s="140" t="s">
        <v>1031</v>
      </c>
      <c r="M1072" s="140" t="s">
        <v>46</v>
      </c>
      <c r="N1072" s="156">
        <v>0</v>
      </c>
      <c r="O1072" s="156" t="s">
        <v>47</v>
      </c>
      <c r="P1072" s="156" t="s">
        <v>855</v>
      </c>
      <c r="Q1072" s="158">
        <v>24100.7227357639</v>
      </c>
      <c r="R1072" s="158">
        <v>0</v>
      </c>
      <c r="S1072" s="158"/>
      <c r="T1072" s="158">
        <f t="shared" si="233"/>
        <v>0</v>
      </c>
      <c r="U1072" s="158">
        <f t="shared" si="237"/>
        <v>0</v>
      </c>
      <c r="V1072" s="158">
        <v>0</v>
      </c>
      <c r="W1072" s="158">
        <f t="shared" si="238"/>
        <v>0</v>
      </c>
      <c r="X1072" s="158">
        <f t="shared" si="234"/>
        <v>0</v>
      </c>
      <c r="Y1072" s="158">
        <f t="shared" si="239"/>
        <v>0</v>
      </c>
      <c r="Z1072" s="187">
        <v>26279.7</v>
      </c>
      <c r="AA1072" s="158">
        <f t="shared" si="235"/>
        <v>-2178.9772642361</v>
      </c>
      <c r="AB1072" s="167">
        <v>0</v>
      </c>
      <c r="AC1072" s="168">
        <f t="shared" si="236"/>
        <v>26279.7</v>
      </c>
      <c r="AD1072" s="158">
        <f t="shared" si="245"/>
        <v>1956.8880678041</v>
      </c>
      <c r="AE1072" s="159">
        <v>0.112691732739812</v>
      </c>
      <c r="AF1072" s="158">
        <f t="shared" si="246"/>
        <v>220.525107138707</v>
      </c>
      <c r="AG1072" s="158">
        <v>2351.23722875898</v>
      </c>
      <c r="AH1072" s="175"/>
      <c r="AI1072" s="175"/>
      <c r="AJ1072" s="156" t="s">
        <v>173</v>
      </c>
      <c r="AK1072" s="140" t="s">
        <v>47</v>
      </c>
      <c r="AM1072" s="152" t="s">
        <v>208</v>
      </c>
    </row>
    <row r="1073" s="140" customFormat="1" ht="15" hidden="1" customHeight="1" spans="1:39">
      <c r="A1073" s="140">
        <v>2017</v>
      </c>
      <c r="B1073" s="140" t="s">
        <v>38</v>
      </c>
      <c r="C1073" s="140" t="s">
        <v>110</v>
      </c>
      <c r="D1073" s="140" t="s">
        <v>280</v>
      </c>
      <c r="F1073" s="152" t="s">
        <v>632</v>
      </c>
      <c r="G1073" s="152" t="s">
        <v>632</v>
      </c>
      <c r="H1073" s="152" t="s">
        <v>632</v>
      </c>
      <c r="I1073" s="140" t="s">
        <v>170</v>
      </c>
      <c r="J1073" s="140" t="s">
        <v>171</v>
      </c>
      <c r="K1073" s="140" t="s">
        <v>172</v>
      </c>
      <c r="L1073" s="140" t="s">
        <v>632</v>
      </c>
      <c r="M1073" s="140" t="s">
        <v>185</v>
      </c>
      <c r="N1073" s="157">
        <v>0.08</v>
      </c>
      <c r="O1073" s="156" t="s">
        <v>51</v>
      </c>
      <c r="P1073" s="156"/>
      <c r="Q1073" s="158">
        <v>0</v>
      </c>
      <c r="R1073" s="158">
        <v>0</v>
      </c>
      <c r="S1073" s="158"/>
      <c r="T1073" s="158">
        <f t="shared" si="233"/>
        <v>0</v>
      </c>
      <c r="U1073" s="158">
        <f t="shared" si="237"/>
        <v>0</v>
      </c>
      <c r="V1073" s="158">
        <v>0</v>
      </c>
      <c r="W1073" s="158">
        <f t="shared" si="238"/>
        <v>0</v>
      </c>
      <c r="X1073" s="158">
        <f t="shared" si="234"/>
        <v>0</v>
      </c>
      <c r="Y1073" s="158">
        <f t="shared" si="239"/>
        <v>0</v>
      </c>
      <c r="Z1073" s="158">
        <v>1741.57</v>
      </c>
      <c r="AA1073" s="158">
        <f t="shared" si="235"/>
        <v>-1741.57</v>
      </c>
      <c r="AB1073" s="167">
        <f>IF(O1073="返货",Z1073/(1+N1073),IF(O1073="返现",Z1073,IF(O1073="折扣",Z1073*N1073,IF(O1073="无",Z1073))))</f>
        <v>1612.56481481481</v>
      </c>
      <c r="AC1073" s="168">
        <f t="shared" si="236"/>
        <v>129.005185185185</v>
      </c>
      <c r="AD1073" s="158">
        <f>(Z1073-Q1073)*0.91072157793815</f>
        <v>1586.08537848974</v>
      </c>
      <c r="AE1073" s="159">
        <v>0.112691732739812</v>
      </c>
      <c r="AF1073" s="158">
        <f t="shared" si="246"/>
        <v>178.73870957529</v>
      </c>
      <c r="AG1073" s="158">
        <v>26.8125836816504</v>
      </c>
      <c r="AH1073" s="175"/>
      <c r="AI1073" s="175"/>
      <c r="AJ1073" s="157">
        <v>0.08</v>
      </c>
      <c r="AK1073" s="140" t="s">
        <v>47</v>
      </c>
      <c r="AM1073" s="152" t="s">
        <v>208</v>
      </c>
    </row>
    <row r="1074" s="140" customFormat="1" ht="15" hidden="1" customHeight="1" spans="1:37">
      <c r="A1074" s="140">
        <v>2017</v>
      </c>
      <c r="B1074" s="140" t="s">
        <v>38</v>
      </c>
      <c r="C1074" s="140" t="s">
        <v>59</v>
      </c>
      <c r="D1074" s="140" t="s">
        <v>106</v>
      </c>
      <c r="E1074" s="140" t="s">
        <v>107</v>
      </c>
      <c r="F1074" s="140" t="s">
        <v>1032</v>
      </c>
      <c r="G1074" s="140" t="s">
        <v>1032</v>
      </c>
      <c r="H1074" s="140" t="s">
        <v>1032</v>
      </c>
      <c r="I1074" s="140" t="s">
        <v>170</v>
      </c>
      <c r="J1074" s="140" t="s">
        <v>171</v>
      </c>
      <c r="K1074" s="140" t="s">
        <v>172</v>
      </c>
      <c r="L1074" s="140" t="s">
        <v>1032</v>
      </c>
      <c r="M1074" s="140" t="s">
        <v>46</v>
      </c>
      <c r="N1074" s="157">
        <v>0.04</v>
      </c>
      <c r="O1074" s="156" t="s">
        <v>51</v>
      </c>
      <c r="P1074" s="156"/>
      <c r="Q1074" s="158">
        <v>0</v>
      </c>
      <c r="R1074" s="158">
        <v>0</v>
      </c>
      <c r="S1074" s="158">
        <v>70000</v>
      </c>
      <c r="T1074" s="158">
        <f t="shared" si="233"/>
        <v>2800</v>
      </c>
      <c r="U1074" s="158">
        <f t="shared" si="237"/>
        <v>72800</v>
      </c>
      <c r="V1074" s="158">
        <v>71400</v>
      </c>
      <c r="W1074" s="158">
        <f t="shared" si="238"/>
        <v>1400</v>
      </c>
      <c r="X1074" s="158">
        <f t="shared" si="234"/>
        <v>1346.15384615385</v>
      </c>
      <c r="Y1074" s="158">
        <f t="shared" si="239"/>
        <v>53.8461538461538</v>
      </c>
      <c r="Z1074" s="158">
        <v>72915.7</v>
      </c>
      <c r="AA1074" s="158">
        <f t="shared" si="235"/>
        <v>-1515.7</v>
      </c>
      <c r="AB1074" s="167">
        <f>IF(O1074="返货",Z1074/(1+N1074),IF(O1074="返现",Z1074,IF(O1074="折扣",Z1074*N1074,IF(O1074="无",Z1074))))</f>
        <v>70111.25</v>
      </c>
      <c r="AC1074" s="168">
        <f t="shared" si="236"/>
        <v>2804.45</v>
      </c>
      <c r="AD1074" s="158">
        <f>(Z1074-Q1074)*0.89807640489087</f>
        <v>65483.8697161012</v>
      </c>
      <c r="AE1074" s="159">
        <v>0.112691732739812</v>
      </c>
      <c r="AF1074" s="158">
        <f t="shared" si="246"/>
        <v>7379.49074481555</v>
      </c>
      <c r="AG1074" s="158">
        <v>3719.29678558056</v>
      </c>
      <c r="AH1074" s="175"/>
      <c r="AI1074" s="175"/>
      <c r="AJ1074" s="156" t="s">
        <v>186</v>
      </c>
      <c r="AK1074" s="140" t="s">
        <v>186</v>
      </c>
    </row>
    <row r="1075" s="140" customFormat="1" ht="15" hidden="1" customHeight="1" spans="1:39">
      <c r="A1075" s="140">
        <v>2017</v>
      </c>
      <c r="B1075" s="140" t="s">
        <v>38</v>
      </c>
      <c r="C1075" s="140" t="s">
        <v>110</v>
      </c>
      <c r="D1075" s="140" t="s">
        <v>111</v>
      </c>
      <c r="E1075" s="140" t="s">
        <v>281</v>
      </c>
      <c r="F1075" s="140" t="s">
        <v>625</v>
      </c>
      <c r="G1075" s="140" t="s">
        <v>625</v>
      </c>
      <c r="H1075" s="140" t="s">
        <v>625</v>
      </c>
      <c r="I1075" s="184" t="s">
        <v>204</v>
      </c>
      <c r="J1075" s="140" t="s">
        <v>626</v>
      </c>
      <c r="K1075" s="140" t="s">
        <v>627</v>
      </c>
      <c r="L1075" s="140" t="s">
        <v>625</v>
      </c>
      <c r="M1075" s="140" t="s">
        <v>185</v>
      </c>
      <c r="N1075" s="157">
        <v>0.08</v>
      </c>
      <c r="O1075" s="156" t="s">
        <v>51</v>
      </c>
      <c r="P1075" s="156"/>
      <c r="Q1075" s="158">
        <v>0</v>
      </c>
      <c r="R1075" s="158">
        <v>0</v>
      </c>
      <c r="S1075" s="158">
        <v>1470.59</v>
      </c>
      <c r="T1075" s="158">
        <f t="shared" si="233"/>
        <v>117.6472</v>
      </c>
      <c r="U1075" s="158">
        <f t="shared" si="237"/>
        <v>1588.2372</v>
      </c>
      <c r="V1075" s="158">
        <v>0</v>
      </c>
      <c r="W1075" s="158">
        <f t="shared" si="238"/>
        <v>1588.2372</v>
      </c>
      <c r="X1075" s="158">
        <f t="shared" si="234"/>
        <v>1470.59</v>
      </c>
      <c r="Y1075" s="158">
        <f t="shared" si="239"/>
        <v>117.6472</v>
      </c>
      <c r="Z1075" s="158">
        <v>1500</v>
      </c>
      <c r="AA1075" s="158">
        <f t="shared" si="235"/>
        <v>-1500</v>
      </c>
      <c r="AB1075" s="167">
        <f>IF(O1075="返货",Z1075/(1+N1075),IF(O1075="返现",Z1075,IF(O1075="折扣",Z1075*N1075,IF(O1075="无",Z1075))))</f>
        <v>1388.88888888889</v>
      </c>
      <c r="AC1075" s="168">
        <f t="shared" si="236"/>
        <v>111.111111111111</v>
      </c>
      <c r="AD1075" s="158">
        <f>Z1075*0.734226585667168</f>
        <v>1101.33987850075</v>
      </c>
      <c r="AE1075" s="159">
        <v>0.2</v>
      </c>
      <c r="AF1075" s="158">
        <f t="shared" si="246"/>
        <v>220.26797570015</v>
      </c>
      <c r="AG1075" s="158">
        <v>188.888888888889</v>
      </c>
      <c r="AH1075" s="175"/>
      <c r="AI1075" s="175"/>
      <c r="AJ1075" s="156" t="s">
        <v>53</v>
      </c>
      <c r="AK1075" s="140" t="s">
        <v>53</v>
      </c>
      <c r="AM1075" s="152"/>
    </row>
    <row r="1076" s="140" customFormat="1" ht="15" hidden="1" customHeight="1" spans="1:39">
      <c r="A1076" s="140">
        <v>2017</v>
      </c>
      <c r="F1076" s="152" t="e">
        <v>#N/A</v>
      </c>
      <c r="G1076" s="152"/>
      <c r="H1076" s="152"/>
      <c r="I1076" s="140" t="s">
        <v>170</v>
      </c>
      <c r="J1076" s="140" t="s">
        <v>171</v>
      </c>
      <c r="K1076" s="140" t="s">
        <v>172</v>
      </c>
      <c r="L1076" s="140" t="s">
        <v>1033</v>
      </c>
      <c r="M1076" s="140" t="s">
        <v>46</v>
      </c>
      <c r="N1076" s="156">
        <v>0</v>
      </c>
      <c r="O1076" s="156" t="s">
        <v>47</v>
      </c>
      <c r="P1076" s="156" t="s">
        <v>855</v>
      </c>
      <c r="Q1076" s="158">
        <v>8839.96722164164</v>
      </c>
      <c r="R1076" s="158">
        <v>0</v>
      </c>
      <c r="S1076" s="158"/>
      <c r="T1076" s="158">
        <f t="shared" si="233"/>
        <v>0</v>
      </c>
      <c r="U1076" s="158">
        <f t="shared" si="237"/>
        <v>0</v>
      </c>
      <c r="V1076" s="158">
        <v>0</v>
      </c>
      <c r="W1076" s="158">
        <f t="shared" si="238"/>
        <v>0</v>
      </c>
      <c r="X1076" s="158">
        <f t="shared" si="234"/>
        <v>0</v>
      </c>
      <c r="Y1076" s="158">
        <f t="shared" si="239"/>
        <v>0</v>
      </c>
      <c r="Z1076" s="158">
        <v>9639.2</v>
      </c>
      <c r="AA1076" s="158">
        <f t="shared" si="235"/>
        <v>-799.232778358361</v>
      </c>
      <c r="AB1076" s="167">
        <v>0</v>
      </c>
      <c r="AC1076" s="168">
        <f t="shared" si="236"/>
        <v>9639.2</v>
      </c>
      <c r="AD1076" s="158">
        <f t="shared" ref="AD1076:AD1077" si="247">(Z1076-Q1076)*0.89807640489087</f>
        <v>717.772100259018</v>
      </c>
      <c r="AE1076" s="159">
        <v>0.112691732739812</v>
      </c>
      <c r="AF1076" s="158">
        <f t="shared" si="246"/>
        <v>80.8869816904828</v>
      </c>
      <c r="AG1076" s="158">
        <v>862.416461963173</v>
      </c>
      <c r="AH1076" s="175"/>
      <c r="AI1076" s="175"/>
      <c r="AJ1076" s="156" t="e">
        <v>#N/A</v>
      </c>
      <c r="AK1076" s="140" t="s">
        <v>47</v>
      </c>
      <c r="AM1076" s="152" t="s">
        <v>208</v>
      </c>
    </row>
    <row r="1077" s="140" customFormat="1" ht="15" hidden="1" customHeight="1" spans="1:39">
      <c r="A1077" s="140">
        <v>2017</v>
      </c>
      <c r="F1077" s="152" t="e">
        <v>#N/A</v>
      </c>
      <c r="G1077" s="152"/>
      <c r="H1077" s="152"/>
      <c r="I1077" s="140" t="s">
        <v>170</v>
      </c>
      <c r="J1077" s="140" t="s">
        <v>171</v>
      </c>
      <c r="K1077" s="140" t="s">
        <v>172</v>
      </c>
      <c r="L1077" s="140" t="s">
        <v>1034</v>
      </c>
      <c r="M1077" s="140" t="s">
        <v>46</v>
      </c>
      <c r="N1077" s="156">
        <v>0</v>
      </c>
      <c r="O1077" s="156" t="s">
        <v>47</v>
      </c>
      <c r="P1077" s="156" t="s">
        <v>855</v>
      </c>
      <c r="Q1077" s="158">
        <v>8823.91823143719</v>
      </c>
      <c r="R1077" s="158">
        <v>0</v>
      </c>
      <c r="S1077" s="158"/>
      <c r="T1077" s="158">
        <f t="shared" si="233"/>
        <v>0</v>
      </c>
      <c r="U1077" s="158">
        <f t="shared" si="237"/>
        <v>0</v>
      </c>
      <c r="V1077" s="158">
        <v>0</v>
      </c>
      <c r="W1077" s="158">
        <f t="shared" si="238"/>
        <v>0</v>
      </c>
      <c r="X1077" s="158">
        <f t="shared" si="234"/>
        <v>0</v>
      </c>
      <c r="Y1077" s="158">
        <f t="shared" si="239"/>
        <v>0</v>
      </c>
      <c r="Z1077" s="158">
        <v>9621.7</v>
      </c>
      <c r="AA1077" s="158">
        <f t="shared" si="235"/>
        <v>-797.781768562811</v>
      </c>
      <c r="AB1077" s="167">
        <v>0</v>
      </c>
      <c r="AC1077" s="168">
        <f t="shared" si="236"/>
        <v>9621.7</v>
      </c>
      <c r="AD1077" s="158">
        <f t="shared" si="247"/>
        <v>716.468982598369</v>
      </c>
      <c r="AE1077" s="159">
        <v>0.112691732739812</v>
      </c>
      <c r="AF1077" s="158">
        <f t="shared" si="246"/>
        <v>80.7401311033404</v>
      </c>
      <c r="AG1077" s="158">
        <v>860.85074197766</v>
      </c>
      <c r="AH1077" s="175"/>
      <c r="AI1077" s="175"/>
      <c r="AJ1077" s="156" t="e">
        <v>#N/A</v>
      </c>
      <c r="AK1077" s="140" t="s">
        <v>47</v>
      </c>
      <c r="AM1077" s="152" t="s">
        <v>208</v>
      </c>
    </row>
    <row r="1078" s="140" customFormat="1" ht="15" hidden="1" customHeight="1" spans="1:39">
      <c r="A1078" s="140">
        <v>2017</v>
      </c>
      <c r="F1078" s="152" t="e">
        <v>#N/A</v>
      </c>
      <c r="G1078" s="152"/>
      <c r="H1078" s="152"/>
      <c r="I1078" s="140" t="s">
        <v>170</v>
      </c>
      <c r="J1078" s="140" t="s">
        <v>171</v>
      </c>
      <c r="K1078" s="140" t="s">
        <v>172</v>
      </c>
      <c r="L1078" s="140" t="s">
        <v>1035</v>
      </c>
      <c r="M1078" s="140" t="s">
        <v>185</v>
      </c>
      <c r="N1078" s="156">
        <v>0</v>
      </c>
      <c r="O1078" s="156" t="s">
        <v>47</v>
      </c>
      <c r="P1078" s="156" t="s">
        <v>855</v>
      </c>
      <c r="Q1078" s="158">
        <v>2753.26388010834</v>
      </c>
      <c r="R1078" s="158">
        <v>0</v>
      </c>
      <c r="S1078" s="158"/>
      <c r="T1078" s="158">
        <f t="shared" si="233"/>
        <v>0</v>
      </c>
      <c r="U1078" s="158">
        <f t="shared" si="237"/>
        <v>0</v>
      </c>
      <c r="V1078" s="158">
        <v>0</v>
      </c>
      <c r="W1078" s="158">
        <f t="shared" si="238"/>
        <v>0</v>
      </c>
      <c r="X1078" s="158">
        <f t="shared" si="234"/>
        <v>0</v>
      </c>
      <c r="Y1078" s="158">
        <f t="shared" si="239"/>
        <v>0</v>
      </c>
      <c r="Z1078" s="158">
        <v>2610.6</v>
      </c>
      <c r="AA1078" s="158">
        <f t="shared" si="235"/>
        <v>142.66388010834</v>
      </c>
      <c r="AB1078" s="167">
        <v>0</v>
      </c>
      <c r="AC1078" s="168">
        <f t="shared" si="236"/>
        <v>2610.6</v>
      </c>
      <c r="AD1078" s="158">
        <f t="shared" ref="AD1078:AD1079" si="248">(Z1078-Q1078)*0.91072157793815</f>
        <v>-129.927074007046</v>
      </c>
      <c r="AE1078" s="159">
        <v>0.112691732739812</v>
      </c>
      <c r="AF1078" s="158">
        <f t="shared" si="246"/>
        <v>-14.6417070996679</v>
      </c>
      <c r="AG1078" s="158">
        <v>233.569633953135</v>
      </c>
      <c r="AH1078" s="175"/>
      <c r="AI1078" s="175"/>
      <c r="AJ1078" s="156" t="e">
        <v>#N/A</v>
      </c>
      <c r="AK1078" s="140" t="s">
        <v>47</v>
      </c>
      <c r="AM1078" s="152" t="s">
        <v>208</v>
      </c>
    </row>
    <row r="1079" s="140" customFormat="1" ht="15" hidden="1" customHeight="1" spans="1:39">
      <c r="A1079" s="140">
        <v>2017</v>
      </c>
      <c r="F1079" s="152" t="e">
        <v>#N/A</v>
      </c>
      <c r="G1079" s="152"/>
      <c r="H1079" s="152"/>
      <c r="I1079" s="140" t="s">
        <v>170</v>
      </c>
      <c r="J1079" s="140" t="s">
        <v>171</v>
      </c>
      <c r="K1079" s="140" t="s">
        <v>172</v>
      </c>
      <c r="L1079" s="140" t="s">
        <v>1036</v>
      </c>
      <c r="M1079" s="140" t="s">
        <v>185</v>
      </c>
      <c r="N1079" s="156">
        <v>0</v>
      </c>
      <c r="O1079" s="156" t="s">
        <v>47</v>
      </c>
      <c r="P1079" s="156" t="s">
        <v>855</v>
      </c>
      <c r="Q1079" s="158">
        <v>10450.9281749581</v>
      </c>
      <c r="R1079" s="158">
        <v>0</v>
      </c>
      <c r="S1079" s="158"/>
      <c r="T1079" s="158">
        <f t="shared" si="233"/>
        <v>0</v>
      </c>
      <c r="U1079" s="158">
        <f t="shared" si="237"/>
        <v>0</v>
      </c>
      <c r="V1079" s="158">
        <v>0</v>
      </c>
      <c r="W1079" s="158">
        <f t="shared" si="238"/>
        <v>0</v>
      </c>
      <c r="X1079" s="158">
        <f t="shared" si="234"/>
        <v>0</v>
      </c>
      <c r="Y1079" s="158">
        <f t="shared" si="239"/>
        <v>0</v>
      </c>
      <c r="Z1079" s="158">
        <v>9909.4</v>
      </c>
      <c r="AA1079" s="158">
        <f t="shared" si="235"/>
        <v>541.528174958101</v>
      </c>
      <c r="AB1079" s="167">
        <v>0</v>
      </c>
      <c r="AC1079" s="168">
        <f t="shared" si="236"/>
        <v>9909.4</v>
      </c>
      <c r="AD1079" s="158">
        <f t="shared" si="248"/>
        <v>-493.181393995808</v>
      </c>
      <c r="AE1079" s="159">
        <v>0.112691732739812</v>
      </c>
      <c r="AF1079" s="158">
        <f t="shared" si="246"/>
        <v>-55.5774658444235</v>
      </c>
      <c r="AG1079" s="158">
        <v>886.591178539491</v>
      </c>
      <c r="AH1079" s="175"/>
      <c r="AI1079" s="175"/>
      <c r="AJ1079" s="156" t="e">
        <v>#N/A</v>
      </c>
      <c r="AK1079" s="140" t="s">
        <v>47</v>
      </c>
      <c r="AM1079" s="152" t="s">
        <v>208</v>
      </c>
    </row>
    <row r="1080" s="140" customFormat="1" ht="15" hidden="1" customHeight="1" spans="1:39">
      <c r="A1080" s="140">
        <v>2017</v>
      </c>
      <c r="C1080" s="140" t="s">
        <v>75</v>
      </c>
      <c r="D1080" s="140" t="s">
        <v>518</v>
      </c>
      <c r="F1080" s="152" t="e">
        <v>#N/A</v>
      </c>
      <c r="G1080" s="152"/>
      <c r="H1080" s="152"/>
      <c r="I1080" s="140" t="s">
        <v>170</v>
      </c>
      <c r="J1080" s="140" t="s">
        <v>868</v>
      </c>
      <c r="K1080" s="140" t="s">
        <v>869</v>
      </c>
      <c r="L1080" s="140" t="s">
        <v>1037</v>
      </c>
      <c r="M1080" s="140" t="s">
        <v>46</v>
      </c>
      <c r="N1080" s="156">
        <v>0</v>
      </c>
      <c r="O1080" s="156" t="s">
        <v>47</v>
      </c>
      <c r="P1080" s="156" t="s">
        <v>857</v>
      </c>
      <c r="Q1080" s="158">
        <v>290</v>
      </c>
      <c r="R1080" s="158">
        <v>0</v>
      </c>
      <c r="S1080" s="158"/>
      <c r="T1080" s="158">
        <f t="shared" si="233"/>
        <v>0</v>
      </c>
      <c r="U1080" s="158">
        <f t="shared" si="237"/>
        <v>0</v>
      </c>
      <c r="V1080" s="158">
        <v>0</v>
      </c>
      <c r="W1080" s="158">
        <f t="shared" si="238"/>
        <v>0</v>
      </c>
      <c r="X1080" s="158">
        <f t="shared" si="234"/>
        <v>0</v>
      </c>
      <c r="Y1080" s="158">
        <f t="shared" si="239"/>
        <v>0</v>
      </c>
      <c r="Z1080" s="158">
        <v>290</v>
      </c>
      <c r="AA1080" s="158">
        <f t="shared" si="235"/>
        <v>0</v>
      </c>
      <c r="AB1080" s="167">
        <f t="shared" ref="AB1080:AB1085" si="249">IF(O1080="返货",(Z1080-Q1080)/(1+N1080),IF(O1080="返现",(Z1080-Q1080),IF(O1080="折扣",(Z1080-Q1080)*N1080,IF(O1080="无",(Z1080-Q1080)))))</f>
        <v>0</v>
      </c>
      <c r="AC1080" s="168">
        <f t="shared" si="236"/>
        <v>290</v>
      </c>
      <c r="AD1080" s="158">
        <f t="shared" ref="AD1080:AD1085" si="250">Z1080*0.972201473425119-Q1080</f>
        <v>-8.06157270671548</v>
      </c>
      <c r="AE1080" s="159">
        <v>0.1</v>
      </c>
      <c r="AF1080" s="158">
        <f t="shared" si="246"/>
        <v>-0.806157270671548</v>
      </c>
      <c r="AG1080" s="158">
        <v>29</v>
      </c>
      <c r="AH1080" s="175"/>
      <c r="AI1080" s="175"/>
      <c r="AJ1080" s="156" t="e">
        <v>#N/A</v>
      </c>
      <c r="AM1080" s="152" t="s">
        <v>208</v>
      </c>
    </row>
    <row r="1081" s="140" customFormat="1" ht="15" hidden="1" customHeight="1" spans="1:39">
      <c r="A1081" s="140">
        <v>2017</v>
      </c>
      <c r="C1081" s="140" t="s">
        <v>110</v>
      </c>
      <c r="D1081" s="140" t="s">
        <v>111</v>
      </c>
      <c r="F1081" s="152" t="s">
        <v>898</v>
      </c>
      <c r="G1081" s="152"/>
      <c r="H1081" s="152"/>
      <c r="I1081" s="140" t="s">
        <v>170</v>
      </c>
      <c r="J1081" s="140" t="s">
        <v>868</v>
      </c>
      <c r="K1081" s="140" t="s">
        <v>869</v>
      </c>
      <c r="L1081" s="140" t="s">
        <v>898</v>
      </c>
      <c r="M1081" s="140" t="s">
        <v>46</v>
      </c>
      <c r="N1081" s="156">
        <v>0</v>
      </c>
      <c r="O1081" s="156" t="s">
        <v>47</v>
      </c>
      <c r="P1081" s="156" t="s">
        <v>857</v>
      </c>
      <c r="Q1081" s="158">
        <v>81740.4</v>
      </c>
      <c r="R1081" s="158">
        <v>0</v>
      </c>
      <c r="S1081" s="158"/>
      <c r="T1081" s="158">
        <f t="shared" si="233"/>
        <v>0</v>
      </c>
      <c r="U1081" s="158">
        <f t="shared" si="237"/>
        <v>0</v>
      </c>
      <c r="V1081" s="158">
        <v>0</v>
      </c>
      <c r="W1081" s="158">
        <f t="shared" si="238"/>
        <v>0</v>
      </c>
      <c r="X1081" s="158">
        <f t="shared" si="234"/>
        <v>0</v>
      </c>
      <c r="Y1081" s="158">
        <f t="shared" si="239"/>
        <v>0</v>
      </c>
      <c r="Z1081" s="158">
        <v>81740.4</v>
      </c>
      <c r="AA1081" s="158">
        <f t="shared" si="235"/>
        <v>0</v>
      </c>
      <c r="AB1081" s="167">
        <f t="shared" si="249"/>
        <v>0</v>
      </c>
      <c r="AC1081" s="168">
        <f t="shared" si="236"/>
        <v>81740.4</v>
      </c>
      <c r="AD1081" s="158">
        <f t="shared" si="250"/>
        <v>-2272.2626816414</v>
      </c>
      <c r="AE1081" s="159">
        <v>0.1</v>
      </c>
      <c r="AF1081" s="158">
        <f t="shared" si="246"/>
        <v>-227.22626816414</v>
      </c>
      <c r="AG1081" s="158">
        <v>8174.04</v>
      </c>
      <c r="AH1081" s="175"/>
      <c r="AI1081" s="175"/>
      <c r="AJ1081" s="156" t="e">
        <v>#N/A</v>
      </c>
      <c r="AM1081" s="152" t="s">
        <v>208</v>
      </c>
    </row>
    <row r="1082" s="140" customFormat="1" ht="15" hidden="1" customHeight="1" spans="1:39">
      <c r="A1082" s="140">
        <v>2017</v>
      </c>
      <c r="C1082" s="140" t="s">
        <v>75</v>
      </c>
      <c r="D1082" s="140" t="s">
        <v>518</v>
      </c>
      <c r="F1082" s="152" t="s">
        <v>1038</v>
      </c>
      <c r="G1082" s="152"/>
      <c r="H1082" s="152"/>
      <c r="I1082" s="140" t="s">
        <v>170</v>
      </c>
      <c r="J1082" s="140" t="s">
        <v>868</v>
      </c>
      <c r="K1082" s="140" t="s">
        <v>869</v>
      </c>
      <c r="L1082" s="140" t="s">
        <v>1038</v>
      </c>
      <c r="M1082" s="140" t="s">
        <v>46</v>
      </c>
      <c r="N1082" s="156">
        <v>0</v>
      </c>
      <c r="O1082" s="156" t="s">
        <v>47</v>
      </c>
      <c r="P1082" s="156" t="s">
        <v>857</v>
      </c>
      <c r="Q1082" s="158">
        <v>26733.5</v>
      </c>
      <c r="R1082" s="158">
        <v>0</v>
      </c>
      <c r="S1082" s="158"/>
      <c r="T1082" s="158">
        <f t="shared" si="233"/>
        <v>0</v>
      </c>
      <c r="U1082" s="158">
        <f t="shared" si="237"/>
        <v>0</v>
      </c>
      <c r="V1082" s="158">
        <v>0</v>
      </c>
      <c r="W1082" s="158">
        <f t="shared" si="238"/>
        <v>0</v>
      </c>
      <c r="X1082" s="158">
        <f t="shared" si="234"/>
        <v>0</v>
      </c>
      <c r="Y1082" s="158">
        <f t="shared" si="239"/>
        <v>0</v>
      </c>
      <c r="Z1082" s="158">
        <v>26733.5</v>
      </c>
      <c r="AA1082" s="158">
        <f t="shared" si="235"/>
        <v>0</v>
      </c>
      <c r="AB1082" s="167">
        <f t="shared" si="249"/>
        <v>0</v>
      </c>
      <c r="AC1082" s="168">
        <f t="shared" si="236"/>
        <v>26733.5</v>
      </c>
      <c r="AD1082" s="158">
        <f t="shared" si="250"/>
        <v>-743.151910189583</v>
      </c>
      <c r="AE1082" s="159">
        <v>0.1</v>
      </c>
      <c r="AF1082" s="158">
        <f t="shared" si="246"/>
        <v>-74.3151910189583</v>
      </c>
      <c r="AG1082" s="158">
        <v>2673.35</v>
      </c>
      <c r="AH1082" s="175"/>
      <c r="AI1082" s="175"/>
      <c r="AJ1082" s="156" t="e">
        <v>#N/A</v>
      </c>
      <c r="AM1082" s="152" t="s">
        <v>208</v>
      </c>
    </row>
    <row r="1083" s="140" customFormat="1" ht="15" hidden="1" customHeight="1" spans="1:39">
      <c r="A1083" s="140">
        <v>2017</v>
      </c>
      <c r="C1083" s="140" t="s">
        <v>137</v>
      </c>
      <c r="F1083" s="152" t="s">
        <v>273</v>
      </c>
      <c r="G1083" s="152"/>
      <c r="H1083" s="152"/>
      <c r="I1083" s="140" t="s">
        <v>170</v>
      </c>
      <c r="J1083" s="140" t="s">
        <v>868</v>
      </c>
      <c r="K1083" s="140" t="s">
        <v>869</v>
      </c>
      <c r="L1083" s="140" t="s">
        <v>1039</v>
      </c>
      <c r="M1083" s="140" t="s">
        <v>46</v>
      </c>
      <c r="N1083" s="156">
        <v>0</v>
      </c>
      <c r="O1083" s="156" t="s">
        <v>47</v>
      </c>
      <c r="P1083" s="156" t="s">
        <v>857</v>
      </c>
      <c r="Q1083" s="158">
        <v>1950</v>
      </c>
      <c r="R1083" s="158">
        <v>0</v>
      </c>
      <c r="S1083" s="158"/>
      <c r="T1083" s="158">
        <f t="shared" si="233"/>
        <v>0</v>
      </c>
      <c r="U1083" s="158">
        <f t="shared" si="237"/>
        <v>0</v>
      </c>
      <c r="V1083" s="158">
        <v>0</v>
      </c>
      <c r="W1083" s="158">
        <f t="shared" si="238"/>
        <v>0</v>
      </c>
      <c r="X1083" s="158">
        <f t="shared" si="234"/>
        <v>0</v>
      </c>
      <c r="Y1083" s="158">
        <f t="shared" si="239"/>
        <v>0</v>
      </c>
      <c r="Z1083" s="158">
        <v>1950</v>
      </c>
      <c r="AA1083" s="158">
        <f t="shared" si="235"/>
        <v>0</v>
      </c>
      <c r="AB1083" s="167">
        <f t="shared" si="249"/>
        <v>0</v>
      </c>
      <c r="AC1083" s="168">
        <f t="shared" si="236"/>
        <v>1950</v>
      </c>
      <c r="AD1083" s="158">
        <f t="shared" si="250"/>
        <v>-54.2071268210179</v>
      </c>
      <c r="AE1083" s="159">
        <v>0.1</v>
      </c>
      <c r="AF1083" s="158">
        <f t="shared" si="246"/>
        <v>-5.42071268210179</v>
      </c>
      <c r="AG1083" s="158">
        <v>195</v>
      </c>
      <c r="AH1083" s="175"/>
      <c r="AI1083" s="175"/>
      <c r="AJ1083" s="156" t="e">
        <v>#N/A</v>
      </c>
      <c r="AM1083" s="152" t="s">
        <v>208</v>
      </c>
    </row>
    <row r="1084" s="140" customFormat="1" ht="15" hidden="1" customHeight="1" spans="1:39">
      <c r="A1084" s="140">
        <v>2017</v>
      </c>
      <c r="B1084" s="140" t="s">
        <v>38</v>
      </c>
      <c r="C1084" s="140" t="s">
        <v>54</v>
      </c>
      <c r="D1084" s="140" t="s">
        <v>396</v>
      </c>
      <c r="F1084" s="152" t="s">
        <v>1040</v>
      </c>
      <c r="G1084" s="152" t="s">
        <v>1040</v>
      </c>
      <c r="H1084" s="152" t="s">
        <v>1040</v>
      </c>
      <c r="I1084" s="140" t="s">
        <v>170</v>
      </c>
      <c r="J1084" s="140" t="s">
        <v>868</v>
      </c>
      <c r="K1084" s="140" t="s">
        <v>869</v>
      </c>
      <c r="L1084" s="140" t="s">
        <v>1040</v>
      </c>
      <c r="M1084" s="140" t="s">
        <v>46</v>
      </c>
      <c r="N1084" s="157">
        <v>0.02</v>
      </c>
      <c r="O1084" s="156" t="s">
        <v>51</v>
      </c>
      <c r="P1084" s="156"/>
      <c r="Q1084" s="158">
        <v>153105.3</v>
      </c>
      <c r="R1084" s="158">
        <v>0</v>
      </c>
      <c r="S1084" s="158"/>
      <c r="T1084" s="158">
        <f t="shared" si="233"/>
        <v>0</v>
      </c>
      <c r="U1084" s="158">
        <f t="shared" si="237"/>
        <v>0</v>
      </c>
      <c r="V1084" s="158">
        <v>49440.9</v>
      </c>
      <c r="W1084" s="158">
        <f t="shared" si="238"/>
        <v>-49440.9</v>
      </c>
      <c r="X1084" s="158">
        <f t="shared" si="234"/>
        <v>-48471.4705882353</v>
      </c>
      <c r="Y1084" s="158">
        <f t="shared" si="239"/>
        <v>-969.429411764708</v>
      </c>
      <c r="Z1084" s="158">
        <v>141153.7</v>
      </c>
      <c r="AA1084" s="158">
        <f t="shared" si="235"/>
        <v>61392.5</v>
      </c>
      <c r="AB1084" s="167">
        <f t="shared" si="249"/>
        <v>-11717.2549019608</v>
      </c>
      <c r="AC1084" s="168">
        <f t="shared" si="236"/>
        <v>152870.954901961</v>
      </c>
      <c r="AD1084" s="158">
        <f t="shared" si="250"/>
        <v>-15875.4648805928</v>
      </c>
      <c r="AE1084" s="159">
        <v>0.1</v>
      </c>
      <c r="AF1084" s="158">
        <f t="shared" si="246"/>
        <v>-1587.54648805928</v>
      </c>
      <c r="AG1084" s="158">
        <v>21546.67</v>
      </c>
      <c r="AH1084" s="175"/>
      <c r="AI1084" s="175"/>
      <c r="AJ1084" s="157">
        <v>0.02</v>
      </c>
      <c r="AL1084" s="140" t="s">
        <v>174</v>
      </c>
      <c r="AM1084" s="152" t="s">
        <v>208</v>
      </c>
    </row>
    <row r="1085" s="140" customFormat="1" ht="15" hidden="1" customHeight="1" spans="1:39">
      <c r="A1085" s="140">
        <v>2017</v>
      </c>
      <c r="C1085" s="140" t="s">
        <v>39</v>
      </c>
      <c r="F1085" s="152" t="s">
        <v>982</v>
      </c>
      <c r="G1085" s="152"/>
      <c r="H1085" s="152"/>
      <c r="I1085" s="140" t="s">
        <v>170</v>
      </c>
      <c r="J1085" s="140" t="s">
        <v>868</v>
      </c>
      <c r="K1085" s="140" t="s">
        <v>869</v>
      </c>
      <c r="L1085" s="140" t="s">
        <v>982</v>
      </c>
      <c r="M1085" s="140" t="s">
        <v>46</v>
      </c>
      <c r="N1085" s="156">
        <v>0</v>
      </c>
      <c r="O1085" s="156" t="s">
        <v>47</v>
      </c>
      <c r="P1085" s="156" t="s">
        <v>857</v>
      </c>
      <c r="Q1085" s="158">
        <v>3062</v>
      </c>
      <c r="R1085" s="158">
        <v>0</v>
      </c>
      <c r="S1085" s="158"/>
      <c r="T1085" s="158">
        <f t="shared" si="233"/>
        <v>0</v>
      </c>
      <c r="U1085" s="158">
        <f t="shared" si="237"/>
        <v>0</v>
      </c>
      <c r="V1085" s="158">
        <v>0</v>
      </c>
      <c r="W1085" s="158">
        <f t="shared" si="238"/>
        <v>0</v>
      </c>
      <c r="X1085" s="158">
        <f t="shared" si="234"/>
        <v>0</v>
      </c>
      <c r="Y1085" s="158">
        <f t="shared" si="239"/>
        <v>0</v>
      </c>
      <c r="Z1085" s="158">
        <v>3062</v>
      </c>
      <c r="AA1085" s="158">
        <f t="shared" si="235"/>
        <v>0</v>
      </c>
      <c r="AB1085" s="167">
        <f t="shared" si="249"/>
        <v>0</v>
      </c>
      <c r="AC1085" s="168">
        <f t="shared" si="236"/>
        <v>3062</v>
      </c>
      <c r="AD1085" s="158">
        <f t="shared" si="250"/>
        <v>-85.1190883722857</v>
      </c>
      <c r="AE1085" s="159">
        <v>0.1</v>
      </c>
      <c r="AF1085" s="158">
        <f t="shared" si="246"/>
        <v>-8.51190883722857</v>
      </c>
      <c r="AG1085" s="158">
        <v>306.2</v>
      </c>
      <c r="AH1085" s="175"/>
      <c r="AI1085" s="175"/>
      <c r="AJ1085" s="156" t="e">
        <v>#N/A</v>
      </c>
      <c r="AM1085" s="152" t="s">
        <v>208</v>
      </c>
    </row>
    <row r="1086" s="140" customFormat="1" ht="15" hidden="1" customHeight="1" spans="1:39">
      <c r="A1086" s="140">
        <v>2017</v>
      </c>
      <c r="F1086" s="152" t="e">
        <v>#N/A</v>
      </c>
      <c r="G1086" s="152"/>
      <c r="H1086" s="152"/>
      <c r="I1086" s="140" t="s">
        <v>170</v>
      </c>
      <c r="J1086" s="140" t="s">
        <v>171</v>
      </c>
      <c r="K1086" s="140" t="s">
        <v>172</v>
      </c>
      <c r="L1086" s="140" t="s">
        <v>1041</v>
      </c>
      <c r="M1086" s="140" t="s">
        <v>46</v>
      </c>
      <c r="N1086" s="156">
        <v>0</v>
      </c>
      <c r="O1086" s="156" t="s">
        <v>47</v>
      </c>
      <c r="P1086" s="156" t="s">
        <v>855</v>
      </c>
      <c r="Q1086" s="158">
        <v>8149.85</v>
      </c>
      <c r="R1086" s="158">
        <v>0</v>
      </c>
      <c r="S1086" s="158"/>
      <c r="T1086" s="158">
        <f t="shared" si="233"/>
        <v>0</v>
      </c>
      <c r="U1086" s="158">
        <f t="shared" si="237"/>
        <v>0</v>
      </c>
      <c r="V1086" s="158">
        <v>0</v>
      </c>
      <c r="W1086" s="158">
        <f t="shared" si="238"/>
        <v>0</v>
      </c>
      <c r="X1086" s="158">
        <f t="shared" si="234"/>
        <v>0</v>
      </c>
      <c r="Y1086" s="158">
        <f t="shared" si="239"/>
        <v>0</v>
      </c>
      <c r="Z1086" s="158">
        <v>8884.5</v>
      </c>
      <c r="AA1086" s="158">
        <f t="shared" si="235"/>
        <v>-734.65</v>
      </c>
      <c r="AB1086" s="167">
        <v>0</v>
      </c>
      <c r="AC1086" s="168">
        <f t="shared" si="236"/>
        <v>8884.5</v>
      </c>
      <c r="AD1086" s="158">
        <f t="shared" ref="AD1086:AD1088" si="251">(Z1086-Q1086)*0.89807640489087</f>
        <v>659.771830853077</v>
      </c>
      <c r="AE1086" s="159">
        <v>0.112691732739812</v>
      </c>
      <c r="AF1086" s="158">
        <f t="shared" si="246"/>
        <v>74.3508308317515</v>
      </c>
      <c r="AG1086" s="158">
        <v>794.893669216513</v>
      </c>
      <c r="AH1086" s="175"/>
      <c r="AI1086" s="175"/>
      <c r="AJ1086" s="156" t="e">
        <v>#N/A</v>
      </c>
      <c r="AK1086" s="140" t="s">
        <v>47</v>
      </c>
      <c r="AL1086" s="140" t="s">
        <v>613</v>
      </c>
      <c r="AM1086" s="152" t="s">
        <v>208</v>
      </c>
    </row>
    <row r="1087" s="140" customFormat="1" ht="15" hidden="1" customHeight="1" spans="1:40">
      <c r="A1087" s="140">
        <v>2017</v>
      </c>
      <c r="C1087" s="140" t="s">
        <v>59</v>
      </c>
      <c r="F1087" s="152" t="s">
        <v>136</v>
      </c>
      <c r="G1087" s="152"/>
      <c r="H1087" s="152"/>
      <c r="I1087" s="140" t="s">
        <v>170</v>
      </c>
      <c r="J1087" s="140" t="s">
        <v>171</v>
      </c>
      <c r="K1087" s="140" t="s">
        <v>172</v>
      </c>
      <c r="L1087" s="140" t="s">
        <v>136</v>
      </c>
      <c r="M1087" s="140" t="s">
        <v>46</v>
      </c>
      <c r="N1087" s="182">
        <v>0</v>
      </c>
      <c r="O1087" s="156" t="s">
        <v>47</v>
      </c>
      <c r="P1087" s="156"/>
      <c r="Q1087" s="158">
        <v>10000</v>
      </c>
      <c r="R1087" s="158">
        <v>0</v>
      </c>
      <c r="S1087" s="158"/>
      <c r="T1087" s="158">
        <f t="shared" si="233"/>
        <v>0</v>
      </c>
      <c r="U1087" s="158">
        <f t="shared" si="237"/>
        <v>0</v>
      </c>
      <c r="V1087" s="158">
        <v>10000</v>
      </c>
      <c r="W1087" s="158">
        <f t="shared" si="238"/>
        <v>-10000</v>
      </c>
      <c r="X1087" s="158">
        <f t="shared" si="234"/>
        <v>-10000</v>
      </c>
      <c r="Y1087" s="158">
        <f t="shared" si="239"/>
        <v>0</v>
      </c>
      <c r="Z1087" s="158">
        <v>20639.1</v>
      </c>
      <c r="AA1087" s="158">
        <f t="shared" si="235"/>
        <v>-639.099999999999</v>
      </c>
      <c r="AB1087" s="167">
        <v>0</v>
      </c>
      <c r="AC1087" s="168">
        <f t="shared" si="236"/>
        <v>20639.1</v>
      </c>
      <c r="AD1087" s="158">
        <f t="shared" si="251"/>
        <v>9554.72467927445</v>
      </c>
      <c r="AE1087" s="159">
        <v>0.112691732739812</v>
      </c>
      <c r="AF1087" s="158">
        <f t="shared" si="246"/>
        <v>1076.73847995928</v>
      </c>
      <c r="AG1087" s="158">
        <v>1846.57436302848</v>
      </c>
      <c r="AH1087" s="175"/>
      <c r="AI1087" s="175"/>
      <c r="AJ1087" s="156" t="e">
        <v>#N/A</v>
      </c>
      <c r="AK1087" s="140" t="s">
        <v>47</v>
      </c>
      <c r="AM1087" s="152" t="s">
        <v>208</v>
      </c>
      <c r="AN1087" s="140" t="s">
        <v>841</v>
      </c>
    </row>
    <row r="1088" s="140" customFormat="1" ht="15" hidden="1" customHeight="1" spans="1:39">
      <c r="A1088" s="140">
        <v>2017</v>
      </c>
      <c r="F1088" s="152" t="e">
        <v>#N/A</v>
      </c>
      <c r="G1088" s="152"/>
      <c r="H1088" s="152"/>
      <c r="I1088" s="140" t="s">
        <v>170</v>
      </c>
      <c r="J1088" s="140" t="s">
        <v>171</v>
      </c>
      <c r="K1088" s="140" t="s">
        <v>172</v>
      </c>
      <c r="L1088" s="140" t="s">
        <v>1042</v>
      </c>
      <c r="M1088" s="140" t="s">
        <v>46</v>
      </c>
      <c r="N1088" s="156">
        <v>0</v>
      </c>
      <c r="O1088" s="156" t="s">
        <v>47</v>
      </c>
      <c r="P1088" s="156" t="s">
        <v>855</v>
      </c>
      <c r="Q1088" s="158">
        <v>5566.52347102669</v>
      </c>
      <c r="R1088" s="158">
        <v>0</v>
      </c>
      <c r="S1088" s="158"/>
      <c r="T1088" s="158">
        <f t="shared" si="233"/>
        <v>0</v>
      </c>
      <c r="U1088" s="158">
        <f t="shared" si="237"/>
        <v>0</v>
      </c>
      <c r="V1088" s="158">
        <v>0</v>
      </c>
      <c r="W1088" s="158">
        <f t="shared" si="238"/>
        <v>0</v>
      </c>
      <c r="X1088" s="158">
        <f t="shared" si="234"/>
        <v>0</v>
      </c>
      <c r="Y1088" s="158">
        <f t="shared" si="239"/>
        <v>0</v>
      </c>
      <c r="Z1088" s="158">
        <v>6069.8</v>
      </c>
      <c r="AA1088" s="158">
        <f t="shared" si="235"/>
        <v>-503.276528973311</v>
      </c>
      <c r="AB1088" s="167">
        <v>0</v>
      </c>
      <c r="AC1088" s="168">
        <f t="shared" si="236"/>
        <v>6069.8</v>
      </c>
      <c r="AD1088" s="158">
        <f t="shared" si="251"/>
        <v>451.980775806307</v>
      </c>
      <c r="AE1088" s="159">
        <v>0.112691732739812</v>
      </c>
      <c r="AF1088" s="158">
        <f t="shared" si="246"/>
        <v>50.9344967906972</v>
      </c>
      <c r="AG1088" s="158">
        <v>543.063266746625</v>
      </c>
      <c r="AH1088" s="175"/>
      <c r="AI1088" s="175"/>
      <c r="AJ1088" s="156" t="e">
        <v>#N/A</v>
      </c>
      <c r="AK1088" s="140" t="s">
        <v>47</v>
      </c>
      <c r="AM1088" s="152" t="s">
        <v>208</v>
      </c>
    </row>
    <row r="1089" s="140" customFormat="1" ht="15" hidden="1" customHeight="1" spans="1:39">
      <c r="A1089" s="140">
        <v>2017</v>
      </c>
      <c r="B1089" s="140" t="s">
        <v>38</v>
      </c>
      <c r="C1089" s="140" t="s">
        <v>110</v>
      </c>
      <c r="D1089" s="140" t="s">
        <v>111</v>
      </c>
      <c r="F1089" s="152" t="s">
        <v>147</v>
      </c>
      <c r="G1089" s="152" t="s">
        <v>147</v>
      </c>
      <c r="H1089" s="152" t="s">
        <v>147</v>
      </c>
      <c r="I1089" s="140" t="s">
        <v>170</v>
      </c>
      <c r="J1089" s="140" t="s">
        <v>171</v>
      </c>
      <c r="K1089" s="140" t="s">
        <v>172</v>
      </c>
      <c r="L1089" s="140" t="s">
        <v>895</v>
      </c>
      <c r="M1089" s="140" t="s">
        <v>185</v>
      </c>
      <c r="N1089" s="156">
        <v>0.06</v>
      </c>
      <c r="O1089" s="156" t="s">
        <v>51</v>
      </c>
      <c r="P1089" s="156"/>
      <c r="Q1089" s="158">
        <v>0</v>
      </c>
      <c r="R1089" s="158">
        <v>0</v>
      </c>
      <c r="S1089" s="158"/>
      <c r="T1089" s="158">
        <f t="shared" si="233"/>
        <v>0</v>
      </c>
      <c r="U1089" s="158">
        <f t="shared" si="237"/>
        <v>0</v>
      </c>
      <c r="V1089" s="158">
        <v>20200</v>
      </c>
      <c r="W1089" s="158">
        <f t="shared" si="238"/>
        <v>-20200</v>
      </c>
      <c r="X1089" s="158">
        <f t="shared" si="234"/>
        <v>-19056.6037735849</v>
      </c>
      <c r="Y1089" s="158">
        <f t="shared" si="239"/>
        <v>-1143.39622641509</v>
      </c>
      <c r="Z1089" s="158">
        <v>19792.25</v>
      </c>
      <c r="AA1089" s="158">
        <f t="shared" si="235"/>
        <v>407.75</v>
      </c>
      <c r="AB1089" s="167">
        <f t="shared" ref="AB1089:AB1094" si="252">IF(O1089="返货",Z1089/(1+N1089),IF(O1089="返现",Z1089,IF(O1089="折扣",Z1089*N1089,IF(O1089="无",Z1089))))</f>
        <v>18671.9339622641</v>
      </c>
      <c r="AC1089" s="168">
        <f t="shared" si="236"/>
        <v>1120.31603773585</v>
      </c>
      <c r="AD1089" s="158">
        <f t="shared" ref="AD1089:AD1091" si="253">(Z1089-Q1089)*0.91072157793815</f>
        <v>18025.2291509464</v>
      </c>
      <c r="AE1089" s="159">
        <v>0.112691732739812</v>
      </c>
      <c r="AF1089" s="158">
        <f t="shared" si="246"/>
        <v>2031.29430605231</v>
      </c>
      <c r="AG1089" s="158">
        <v>650.490898450825</v>
      </c>
      <c r="AH1089" s="175"/>
      <c r="AI1089" s="175"/>
      <c r="AJ1089" s="156" t="s">
        <v>193</v>
      </c>
      <c r="AK1089" s="140" t="s">
        <v>193</v>
      </c>
      <c r="AM1089" s="152" t="s">
        <v>208</v>
      </c>
    </row>
    <row r="1090" s="140" customFormat="1" ht="15" hidden="1" customHeight="1" spans="1:39">
      <c r="A1090" s="140">
        <v>2017</v>
      </c>
      <c r="B1090" s="140" t="s">
        <v>38</v>
      </c>
      <c r="C1090" s="140" t="s">
        <v>75</v>
      </c>
      <c r="D1090" s="140" t="s">
        <v>518</v>
      </c>
      <c r="F1090" s="152" t="s">
        <v>263</v>
      </c>
      <c r="G1090" s="152" t="s">
        <v>263</v>
      </c>
      <c r="H1090" s="152" t="s">
        <v>263</v>
      </c>
      <c r="I1090" s="140" t="s">
        <v>170</v>
      </c>
      <c r="J1090" s="140" t="s">
        <v>171</v>
      </c>
      <c r="K1090" s="140" t="s">
        <v>172</v>
      </c>
      <c r="L1090" s="140" t="s">
        <v>263</v>
      </c>
      <c r="M1090" s="140" t="s">
        <v>185</v>
      </c>
      <c r="N1090" s="157">
        <v>0.1</v>
      </c>
      <c r="O1090" s="156" t="s">
        <v>51</v>
      </c>
      <c r="P1090" s="156"/>
      <c r="Q1090" s="158">
        <v>0</v>
      </c>
      <c r="R1090" s="158">
        <v>0</v>
      </c>
      <c r="S1090" s="158"/>
      <c r="T1090" s="158">
        <f t="shared" ref="T1090:T1153" si="254">S1090*N1090</f>
        <v>0</v>
      </c>
      <c r="U1090" s="158">
        <f t="shared" si="237"/>
        <v>0</v>
      </c>
      <c r="V1090" s="158">
        <v>30000</v>
      </c>
      <c r="W1090" s="158">
        <f t="shared" si="238"/>
        <v>-30000</v>
      </c>
      <c r="X1090" s="158">
        <f t="shared" ref="X1090:X1153" si="255">W1090/(1+N1090)</f>
        <v>-27272.7272727273</v>
      </c>
      <c r="Y1090" s="158">
        <f t="shared" si="239"/>
        <v>-2727.27272727273</v>
      </c>
      <c r="Z1090" s="158">
        <v>29992.7</v>
      </c>
      <c r="AA1090" s="158">
        <f t="shared" ref="AA1090:AA1153" si="256">Q1090+V1090-Z1090</f>
        <v>7.29999999999927</v>
      </c>
      <c r="AB1090" s="167">
        <f t="shared" si="252"/>
        <v>27266.0909090909</v>
      </c>
      <c r="AC1090" s="168">
        <f t="shared" ref="AC1090:AC1153" si="257">IF(O1090="返现",Z1090*N1090,Z1090-AB1090)</f>
        <v>2726.60909090909</v>
      </c>
      <c r="AD1090" s="158">
        <f t="shared" si="253"/>
        <v>27314.9990706256</v>
      </c>
      <c r="AE1090" s="159">
        <v>0.112691732739812</v>
      </c>
      <c r="AF1090" s="158">
        <f t="shared" si="246"/>
        <v>3078.17457505515</v>
      </c>
      <c r="AG1090" s="158">
        <v>-43.1708160810099</v>
      </c>
      <c r="AH1090" s="175"/>
      <c r="AI1090" s="175"/>
      <c r="AJ1090" s="157">
        <v>0.1</v>
      </c>
      <c r="AK1090" s="140" t="s">
        <v>69</v>
      </c>
      <c r="AM1090" s="152" t="s">
        <v>208</v>
      </c>
    </row>
    <row r="1091" s="140" customFormat="1" ht="15" hidden="1" customHeight="1" spans="1:39">
      <c r="A1091" s="140">
        <v>2017</v>
      </c>
      <c r="B1091" s="140" t="s">
        <v>199</v>
      </c>
      <c r="C1091" s="140" t="s">
        <v>200</v>
      </c>
      <c r="D1091" s="140" t="s">
        <v>201</v>
      </c>
      <c r="F1091" s="152" t="s">
        <v>951</v>
      </c>
      <c r="G1091" s="152" t="s">
        <v>952</v>
      </c>
      <c r="H1091" s="152" t="s">
        <v>952</v>
      </c>
      <c r="I1091" s="140" t="s">
        <v>170</v>
      </c>
      <c r="J1091" s="140" t="s">
        <v>171</v>
      </c>
      <c r="K1091" s="140" t="s">
        <v>172</v>
      </c>
      <c r="L1091" s="140" t="s">
        <v>953</v>
      </c>
      <c r="M1091" s="140" t="s">
        <v>185</v>
      </c>
      <c r="N1091" s="157">
        <v>0.08</v>
      </c>
      <c r="O1091" s="156" t="s">
        <v>51</v>
      </c>
      <c r="P1091" s="156"/>
      <c r="Q1091" s="158">
        <v>0</v>
      </c>
      <c r="R1091" s="158">
        <v>0</v>
      </c>
      <c r="S1091" s="158"/>
      <c r="T1091" s="158">
        <f t="shared" si="254"/>
        <v>0</v>
      </c>
      <c r="U1091" s="158">
        <f t="shared" ref="U1091:U1154" si="258">R1091+S1091+T1091</f>
        <v>0</v>
      </c>
      <c r="V1091" s="158">
        <v>20502.76</v>
      </c>
      <c r="W1091" s="158">
        <f t="shared" ref="W1091:W1154" si="259">U1091-V1091</f>
        <v>-20502.76</v>
      </c>
      <c r="X1091" s="158">
        <f t="shared" si="255"/>
        <v>-18984.037037037</v>
      </c>
      <c r="Y1091" s="158">
        <f t="shared" ref="Y1091:Y1154" si="260">W1091-X1091</f>
        <v>-1518.72296296297</v>
      </c>
      <c r="Z1091" s="158">
        <v>6284.5</v>
      </c>
      <c r="AA1091" s="158">
        <f t="shared" si="256"/>
        <v>14218.26</v>
      </c>
      <c r="AB1091" s="167">
        <f t="shared" si="252"/>
        <v>5818.98148148148</v>
      </c>
      <c r="AC1091" s="168">
        <f t="shared" si="257"/>
        <v>465.518518518519</v>
      </c>
      <c r="AD1091" s="158">
        <f t="shared" si="253"/>
        <v>5723.4297565523</v>
      </c>
      <c r="AE1091" s="159">
        <v>0.112691732739812</v>
      </c>
      <c r="AF1091" s="158">
        <f t="shared" si="246"/>
        <v>644.98321648048</v>
      </c>
      <c r="AG1091" s="158">
        <v>320.560875764492</v>
      </c>
      <c r="AH1091" s="175"/>
      <c r="AI1091" s="175"/>
      <c r="AJ1091" s="157">
        <v>0.08</v>
      </c>
      <c r="AK1091" s="140" t="s">
        <v>186</v>
      </c>
      <c r="AM1091" s="152" t="s">
        <v>208</v>
      </c>
    </row>
    <row r="1092" s="140" customFormat="1" ht="15" hidden="1" customHeight="1" spans="1:39">
      <c r="A1092" s="140">
        <v>2017</v>
      </c>
      <c r="B1092" s="152" t="s">
        <v>38</v>
      </c>
      <c r="C1092" s="140" t="s">
        <v>39</v>
      </c>
      <c r="D1092" s="140" t="s">
        <v>81</v>
      </c>
      <c r="F1092" s="152" t="s">
        <v>947</v>
      </c>
      <c r="G1092" s="152" t="s">
        <v>947</v>
      </c>
      <c r="H1092" s="152" t="s">
        <v>947</v>
      </c>
      <c r="I1092" s="140" t="s">
        <v>170</v>
      </c>
      <c r="J1092" s="140" t="s">
        <v>868</v>
      </c>
      <c r="K1092" s="140" t="s">
        <v>869</v>
      </c>
      <c r="L1092" s="140" t="s">
        <v>1043</v>
      </c>
      <c r="M1092" s="140" t="s">
        <v>46</v>
      </c>
      <c r="N1092" s="181">
        <v>0.02</v>
      </c>
      <c r="O1092" s="190" t="s">
        <v>51</v>
      </c>
      <c r="P1092" s="156"/>
      <c r="Q1092" s="158">
        <v>0</v>
      </c>
      <c r="R1092" s="158">
        <v>0</v>
      </c>
      <c r="S1092" s="158"/>
      <c r="T1092" s="158">
        <f t="shared" si="254"/>
        <v>0</v>
      </c>
      <c r="U1092" s="158">
        <f t="shared" si="258"/>
        <v>0</v>
      </c>
      <c r="V1092" s="158">
        <v>49955</v>
      </c>
      <c r="W1092" s="158">
        <f t="shared" si="259"/>
        <v>-49955</v>
      </c>
      <c r="X1092" s="158">
        <f t="shared" si="255"/>
        <v>-48975.4901960784</v>
      </c>
      <c r="Y1092" s="158">
        <f t="shared" si="260"/>
        <v>-979.509803921566</v>
      </c>
      <c r="Z1092" s="158">
        <v>49954.1</v>
      </c>
      <c r="AA1092" s="158">
        <f t="shared" si="256"/>
        <v>0.900000000001455</v>
      </c>
      <c r="AB1092" s="167">
        <f t="shared" si="252"/>
        <v>48974.6078431373</v>
      </c>
      <c r="AC1092" s="168">
        <f t="shared" si="257"/>
        <v>979.492156862747</v>
      </c>
      <c r="AD1092" s="158">
        <f>Z1092*0.972201473425119-Q1092</f>
        <v>48565.4496236257</v>
      </c>
      <c r="AE1092" s="159">
        <v>0.1</v>
      </c>
      <c r="AF1092" s="158">
        <f t="shared" si="246"/>
        <v>4856.54496236257</v>
      </c>
      <c r="AG1092" s="158">
        <v>7083.63650485437</v>
      </c>
      <c r="AH1092" s="175"/>
      <c r="AI1092" s="175"/>
      <c r="AJ1092" s="191">
        <v>0.02</v>
      </c>
      <c r="AK1092" s="140" t="s">
        <v>189</v>
      </c>
      <c r="AL1092" s="140" t="s">
        <v>174</v>
      </c>
      <c r="AM1092" s="152" t="s">
        <v>208</v>
      </c>
    </row>
    <row r="1093" s="140" customFormat="1" ht="15" hidden="1" customHeight="1" spans="1:39">
      <c r="A1093" s="140">
        <v>2017</v>
      </c>
      <c r="B1093" s="140" t="s">
        <v>38</v>
      </c>
      <c r="C1093" s="140" t="s">
        <v>39</v>
      </c>
      <c r="D1093" s="140" t="s">
        <v>81</v>
      </c>
      <c r="F1093" s="152" t="s">
        <v>947</v>
      </c>
      <c r="G1093" s="152" t="s">
        <v>947</v>
      </c>
      <c r="H1093" s="152" t="s">
        <v>947</v>
      </c>
      <c r="I1093" s="140" t="s">
        <v>170</v>
      </c>
      <c r="J1093" s="140" t="s">
        <v>868</v>
      </c>
      <c r="K1093" s="140" t="s">
        <v>869</v>
      </c>
      <c r="L1093" s="140" t="s">
        <v>1044</v>
      </c>
      <c r="M1093" s="140" t="s">
        <v>46</v>
      </c>
      <c r="N1093" s="157">
        <v>0.02</v>
      </c>
      <c r="O1093" s="156" t="s">
        <v>51</v>
      </c>
      <c r="P1093" s="156"/>
      <c r="Q1093" s="158">
        <v>0</v>
      </c>
      <c r="R1093" s="158">
        <v>0</v>
      </c>
      <c r="S1093" s="158"/>
      <c r="T1093" s="158">
        <f t="shared" si="254"/>
        <v>0</v>
      </c>
      <c r="U1093" s="158">
        <f t="shared" si="258"/>
        <v>0</v>
      </c>
      <c r="V1093" s="158">
        <v>50000</v>
      </c>
      <c r="W1093" s="158">
        <f t="shared" si="259"/>
        <v>-50000</v>
      </c>
      <c r="X1093" s="158">
        <f t="shared" si="255"/>
        <v>-49019.6078431373</v>
      </c>
      <c r="Y1093" s="158">
        <f t="shared" si="260"/>
        <v>-980.392156862748</v>
      </c>
      <c r="Z1093" s="158">
        <v>0</v>
      </c>
      <c r="AA1093" s="158">
        <f t="shared" si="256"/>
        <v>50000</v>
      </c>
      <c r="AB1093" s="167">
        <f t="shared" si="252"/>
        <v>0</v>
      </c>
      <c r="AC1093" s="168">
        <f t="shared" si="257"/>
        <v>0</v>
      </c>
      <c r="AD1093" s="158">
        <f>Z1093*0.972201473425119-Q1093</f>
        <v>0</v>
      </c>
      <c r="AE1093" s="159">
        <v>0.1</v>
      </c>
      <c r="AF1093" s="158">
        <f t="shared" si="246"/>
        <v>0</v>
      </c>
      <c r="AG1093" s="158">
        <v>3543.65388349515</v>
      </c>
      <c r="AH1093" s="175"/>
      <c r="AI1093" s="175"/>
      <c r="AJ1093" s="157">
        <v>0.02</v>
      </c>
      <c r="AK1093" s="140" t="s">
        <v>189</v>
      </c>
      <c r="AL1093" s="140" t="s">
        <v>174</v>
      </c>
      <c r="AM1093" s="152" t="s">
        <v>208</v>
      </c>
    </row>
    <row r="1094" s="140" customFormat="1" ht="15" hidden="1" customHeight="1" spans="1:37">
      <c r="A1094" s="140">
        <v>2017</v>
      </c>
      <c r="B1094" s="140" t="s">
        <v>38</v>
      </c>
      <c r="C1094" s="140" t="s">
        <v>59</v>
      </c>
      <c r="D1094" s="140" t="s">
        <v>210</v>
      </c>
      <c r="E1094" s="140" t="s">
        <v>61</v>
      </c>
      <c r="F1094" s="140" t="s">
        <v>770</v>
      </c>
      <c r="G1094" s="140" t="s">
        <v>770</v>
      </c>
      <c r="H1094" s="140" t="s">
        <v>770</v>
      </c>
      <c r="I1094" s="140" t="s">
        <v>170</v>
      </c>
      <c r="J1094" s="140" t="s">
        <v>171</v>
      </c>
      <c r="K1094" s="140" t="s">
        <v>172</v>
      </c>
      <c r="L1094" s="140" t="s">
        <v>770</v>
      </c>
      <c r="M1094" s="140" t="s">
        <v>46</v>
      </c>
      <c r="N1094" s="157">
        <v>0.02</v>
      </c>
      <c r="O1094" s="156" t="s">
        <v>51</v>
      </c>
      <c r="P1094" s="156"/>
      <c r="Q1094" s="158">
        <v>0</v>
      </c>
      <c r="R1094" s="158">
        <v>0</v>
      </c>
      <c r="S1094" s="158">
        <v>235295</v>
      </c>
      <c r="T1094" s="158">
        <f t="shared" si="254"/>
        <v>4705.9</v>
      </c>
      <c r="U1094" s="158">
        <f t="shared" si="258"/>
        <v>240000.9</v>
      </c>
      <c r="V1094" s="158">
        <v>240000</v>
      </c>
      <c r="W1094" s="158">
        <f t="shared" si="259"/>
        <v>0.899999999994179</v>
      </c>
      <c r="X1094" s="158">
        <f t="shared" si="255"/>
        <v>0.882352941170764</v>
      </c>
      <c r="Y1094" s="158">
        <f t="shared" si="260"/>
        <v>0.0176470588234153</v>
      </c>
      <c r="Z1094" s="158">
        <v>240473.6</v>
      </c>
      <c r="AA1094" s="158">
        <f t="shared" si="256"/>
        <v>-473.600000000006</v>
      </c>
      <c r="AB1094" s="167">
        <f t="shared" si="252"/>
        <v>235758.431372549</v>
      </c>
      <c r="AC1094" s="168">
        <f t="shared" si="257"/>
        <v>4715.16862745097</v>
      </c>
      <c r="AD1094" s="158">
        <f t="shared" ref="AD1094:AD1095" si="261">(Z1094-Q1094)*0.89807640489087</f>
        <v>215963.666159165</v>
      </c>
      <c r="AE1094" s="159">
        <v>0.112691732739812</v>
      </c>
      <c r="AF1094" s="158">
        <f t="shared" si="246"/>
        <v>24337.3197483186</v>
      </c>
      <c r="AG1094" s="158">
        <v>16799.9354587333</v>
      </c>
      <c r="AH1094" s="175"/>
      <c r="AI1094" s="175"/>
      <c r="AJ1094" s="157">
        <v>0.02</v>
      </c>
      <c r="AK1094" s="177">
        <v>0.02</v>
      </c>
    </row>
    <row r="1095" s="140" customFormat="1" ht="15" hidden="1" customHeight="1" spans="1:39">
      <c r="A1095" s="140">
        <v>2017</v>
      </c>
      <c r="F1095" s="152" t="e">
        <v>#N/A</v>
      </c>
      <c r="G1095" s="152"/>
      <c r="H1095" s="152"/>
      <c r="I1095" s="140" t="s">
        <v>170</v>
      </c>
      <c r="J1095" s="140" t="s">
        <v>171</v>
      </c>
      <c r="K1095" s="140" t="s">
        <v>172</v>
      </c>
      <c r="L1095" s="140" t="s">
        <v>1045</v>
      </c>
      <c r="M1095" s="140" t="s">
        <v>46</v>
      </c>
      <c r="N1095" s="156">
        <v>0</v>
      </c>
      <c r="O1095" s="156" t="s">
        <v>47</v>
      </c>
      <c r="P1095" s="156" t="s">
        <v>855</v>
      </c>
      <c r="Q1095" s="158">
        <v>4854.22343149549</v>
      </c>
      <c r="R1095" s="158">
        <v>0</v>
      </c>
      <c r="S1095" s="158"/>
      <c r="T1095" s="158">
        <f t="shared" si="254"/>
        <v>0</v>
      </c>
      <c r="U1095" s="158">
        <f t="shared" si="258"/>
        <v>0</v>
      </c>
      <c r="V1095" s="158">
        <v>0</v>
      </c>
      <c r="W1095" s="158">
        <f t="shared" si="259"/>
        <v>0</v>
      </c>
      <c r="X1095" s="158">
        <f t="shared" si="255"/>
        <v>0</v>
      </c>
      <c r="Y1095" s="158">
        <f t="shared" si="260"/>
        <v>0</v>
      </c>
      <c r="Z1095" s="158">
        <v>5293.1</v>
      </c>
      <c r="AA1095" s="158">
        <f t="shared" si="256"/>
        <v>-438.87656850451</v>
      </c>
      <c r="AB1095" s="167">
        <v>0</v>
      </c>
      <c r="AC1095" s="168">
        <f t="shared" si="257"/>
        <v>5293.1</v>
      </c>
      <c r="AD1095" s="158">
        <f t="shared" si="261"/>
        <v>394.144690833372</v>
      </c>
      <c r="AE1095" s="159">
        <v>0.112691732739812</v>
      </c>
      <c r="AF1095" s="158">
        <f t="shared" si="246"/>
        <v>44.4168481602102</v>
      </c>
      <c r="AG1095" s="158">
        <v>473.572140303891</v>
      </c>
      <c r="AH1095" s="175"/>
      <c r="AI1095" s="175"/>
      <c r="AJ1095" s="156" t="e">
        <v>#N/A</v>
      </c>
      <c r="AK1095" s="140" t="s">
        <v>47</v>
      </c>
      <c r="AM1095" s="152" t="s">
        <v>208</v>
      </c>
    </row>
    <row r="1096" s="140" customFormat="1" ht="15" hidden="1" customHeight="1" spans="1:39">
      <c r="A1096" s="140">
        <v>2017</v>
      </c>
      <c r="B1096" s="152" t="s">
        <v>38</v>
      </c>
      <c r="C1096" s="140" t="s">
        <v>433</v>
      </c>
      <c r="D1096" s="152"/>
      <c r="E1096" s="152"/>
      <c r="F1096" s="152" t="s">
        <v>800</v>
      </c>
      <c r="G1096" s="152" t="s">
        <v>800</v>
      </c>
      <c r="H1096" s="152" t="s">
        <v>800</v>
      </c>
      <c r="I1096" s="152" t="s">
        <v>243</v>
      </c>
      <c r="J1096" s="140" t="s">
        <v>244</v>
      </c>
      <c r="K1096" s="140" t="s">
        <v>245</v>
      </c>
      <c r="L1096" s="140" t="s">
        <v>800</v>
      </c>
      <c r="M1096" s="140" t="s">
        <v>46</v>
      </c>
      <c r="N1096" s="156">
        <v>0</v>
      </c>
      <c r="O1096" s="156" t="s">
        <v>47</v>
      </c>
      <c r="P1096" s="156"/>
      <c r="Q1096" s="158"/>
      <c r="T1096" s="158">
        <f t="shared" si="254"/>
        <v>0</v>
      </c>
      <c r="U1096" s="158">
        <f t="shared" si="258"/>
        <v>0</v>
      </c>
      <c r="V1096" s="158">
        <v>18000</v>
      </c>
      <c r="W1096" s="158">
        <f t="shared" si="259"/>
        <v>-18000</v>
      </c>
      <c r="X1096" s="158">
        <f t="shared" si="255"/>
        <v>-18000</v>
      </c>
      <c r="Y1096" s="158">
        <f t="shared" si="260"/>
        <v>0</v>
      </c>
      <c r="Z1096" s="158">
        <v>18408.6</v>
      </c>
      <c r="AA1096" s="158">
        <f t="shared" si="256"/>
        <v>-408.599999999999</v>
      </c>
      <c r="AB1096" s="167">
        <f>IF(O1096="返货",Z1096/(1+N1096),IF(O1096="返现",Z1096,IF(O1096="折扣",Z1096*N1096,IF(O1096="无",Z1096))))</f>
        <v>18408.6</v>
      </c>
      <c r="AC1096" s="168">
        <f t="shared" si="257"/>
        <v>0</v>
      </c>
      <c r="AD1096" s="158">
        <v>15431.3320426548</v>
      </c>
      <c r="AE1096" s="159">
        <v>0.176470588235294</v>
      </c>
      <c r="AF1096" s="158">
        <f t="shared" si="246"/>
        <v>2723.17624282143</v>
      </c>
      <c r="AG1096" s="152"/>
      <c r="AH1096" s="152"/>
      <c r="AI1096" s="152"/>
      <c r="AJ1096" s="157">
        <v>0</v>
      </c>
      <c r="AK1096" s="152"/>
      <c r="AL1096" s="152"/>
      <c r="AM1096" s="152" t="s">
        <v>208</v>
      </c>
    </row>
    <row r="1097" s="140" customFormat="1" ht="15" hidden="1" customHeight="1" spans="1:39">
      <c r="A1097" s="140">
        <v>2017</v>
      </c>
      <c r="C1097" s="140" t="s">
        <v>75</v>
      </c>
      <c r="F1097" s="152" t="str">
        <f>L1097</f>
        <v>深圳进门财经科技有限公司</v>
      </c>
      <c r="G1097" s="152"/>
      <c r="H1097" s="152"/>
      <c r="I1097" s="140" t="s">
        <v>170</v>
      </c>
      <c r="J1097" s="140" t="s">
        <v>171</v>
      </c>
      <c r="K1097" s="140" t="s">
        <v>172</v>
      </c>
      <c r="L1097" s="140" t="s">
        <v>1046</v>
      </c>
      <c r="M1097" s="140" t="s">
        <v>46</v>
      </c>
      <c r="N1097" s="156">
        <v>0</v>
      </c>
      <c r="O1097" s="156" t="s">
        <v>47</v>
      </c>
      <c r="P1097" s="156" t="s">
        <v>855</v>
      </c>
      <c r="Q1097" s="158">
        <v>2249.51817557108</v>
      </c>
      <c r="R1097" s="158">
        <v>0</v>
      </c>
      <c r="S1097" s="158"/>
      <c r="T1097" s="158">
        <f t="shared" si="254"/>
        <v>0</v>
      </c>
      <c r="U1097" s="158">
        <f t="shared" si="258"/>
        <v>0</v>
      </c>
      <c r="V1097" s="158">
        <v>0</v>
      </c>
      <c r="W1097" s="158">
        <f t="shared" si="259"/>
        <v>0</v>
      </c>
      <c r="X1097" s="158">
        <f t="shared" si="255"/>
        <v>0</v>
      </c>
      <c r="Y1097" s="158">
        <f t="shared" si="260"/>
        <v>0</v>
      </c>
      <c r="Z1097" s="158">
        <v>2452.9</v>
      </c>
      <c r="AA1097" s="158">
        <f t="shared" si="256"/>
        <v>-203.38182442892</v>
      </c>
      <c r="AB1097" s="167">
        <v>0</v>
      </c>
      <c r="AC1097" s="168">
        <f t="shared" si="257"/>
        <v>2452.9</v>
      </c>
      <c r="AD1097" s="158">
        <f>(Z1097-Q1097)*0.89807640489087</f>
        <v>182.652417703271</v>
      </c>
      <c r="AE1097" s="159">
        <v>0.112691732739812</v>
      </c>
      <c r="AF1097" s="158">
        <f t="shared" si="246"/>
        <v>20.5834174400975</v>
      </c>
      <c r="AG1097" s="158">
        <v>219.460260140828</v>
      </c>
      <c r="AH1097" s="175"/>
      <c r="AI1097" s="175"/>
      <c r="AJ1097" s="156" t="e">
        <v>#N/A</v>
      </c>
      <c r="AK1097" s="140" t="s">
        <v>47</v>
      </c>
      <c r="AM1097" s="152" t="s">
        <v>208</v>
      </c>
    </row>
    <row r="1098" s="140" customFormat="1" ht="15" hidden="1" customHeight="1" spans="1:37">
      <c r="A1098" s="140">
        <v>2017</v>
      </c>
      <c r="B1098" s="140" t="s">
        <v>252</v>
      </c>
      <c r="C1098" s="140" t="s">
        <v>137</v>
      </c>
      <c r="D1098" s="140" t="s">
        <v>139</v>
      </c>
      <c r="E1098" s="140" t="s">
        <v>1047</v>
      </c>
      <c r="F1098" s="140" t="s">
        <v>1048</v>
      </c>
      <c r="G1098" s="140" t="s">
        <v>1049</v>
      </c>
      <c r="H1098" s="140" t="s">
        <v>1050</v>
      </c>
      <c r="I1098" s="140" t="s">
        <v>170</v>
      </c>
      <c r="J1098" s="140" t="s">
        <v>575</v>
      </c>
      <c r="K1098" s="140" t="s">
        <v>1051</v>
      </c>
      <c r="L1098" s="140" t="s">
        <v>1048</v>
      </c>
      <c r="M1098" s="140" t="s">
        <v>46</v>
      </c>
      <c r="N1098" s="157">
        <v>0.02</v>
      </c>
      <c r="O1098" s="156" t="s">
        <v>51</v>
      </c>
      <c r="P1098" s="156"/>
      <c r="Q1098" s="158">
        <v>0</v>
      </c>
      <c r="R1098" s="158">
        <v>0</v>
      </c>
      <c r="S1098" s="158">
        <v>60000</v>
      </c>
      <c r="T1098" s="158">
        <f t="shared" si="254"/>
        <v>1200</v>
      </c>
      <c r="U1098" s="158">
        <f t="shared" si="258"/>
        <v>61200</v>
      </c>
      <c r="V1098" s="158">
        <v>61200</v>
      </c>
      <c r="W1098" s="158">
        <f t="shared" si="259"/>
        <v>0</v>
      </c>
      <c r="X1098" s="158">
        <f t="shared" si="255"/>
        <v>0</v>
      </c>
      <c r="Y1098" s="158">
        <f t="shared" si="260"/>
        <v>0</v>
      </c>
      <c r="Z1098" s="158">
        <v>0</v>
      </c>
      <c r="AA1098" s="158">
        <f t="shared" si="256"/>
        <v>61200</v>
      </c>
      <c r="AB1098" s="167">
        <f>IF(O1098="返货",Z1098/(1+N1098),IF(O1098="返现",Z1098,IF(O1098="折扣",Z1098*N1098,IF(O1098="无",Z1098))))</f>
        <v>0</v>
      </c>
      <c r="AC1098" s="168">
        <f t="shared" si="257"/>
        <v>0</v>
      </c>
      <c r="AD1098" s="158">
        <f>Z1098*0.981034800313914-Q1098</f>
        <v>0</v>
      </c>
      <c r="AE1098" s="159">
        <v>0.04</v>
      </c>
      <c r="AF1098" s="158">
        <f t="shared" ref="AF1098:AF1115" si="262">AD1098*AE1098</f>
        <v>0</v>
      </c>
      <c r="AG1098" s="158">
        <v>0</v>
      </c>
      <c r="AH1098" s="175"/>
      <c r="AI1098" s="175"/>
      <c r="AJ1098" s="156" t="s">
        <v>173</v>
      </c>
      <c r="AK1098" s="140" t="s">
        <v>173</v>
      </c>
    </row>
    <row r="1099" s="140" customFormat="1" ht="15" hidden="1" customHeight="1" spans="1:39">
      <c r="A1099" s="140">
        <v>2017</v>
      </c>
      <c r="B1099" s="140" t="s">
        <v>199</v>
      </c>
      <c r="C1099" s="140" t="s">
        <v>137</v>
      </c>
      <c r="D1099" s="140" t="s">
        <v>270</v>
      </c>
      <c r="E1099" s="140" t="s">
        <v>270</v>
      </c>
      <c r="F1099" s="140" t="s">
        <v>592</v>
      </c>
      <c r="G1099" s="140" t="s">
        <v>1052</v>
      </c>
      <c r="H1099" s="140" t="s">
        <v>1052</v>
      </c>
      <c r="I1099" s="140" t="s">
        <v>170</v>
      </c>
      <c r="J1099" s="140" t="s">
        <v>575</v>
      </c>
      <c r="K1099" s="140" t="s">
        <v>1051</v>
      </c>
      <c r="L1099" s="140" t="s">
        <v>592</v>
      </c>
      <c r="M1099" s="140" t="s">
        <v>46</v>
      </c>
      <c r="N1099" s="157">
        <v>0.02</v>
      </c>
      <c r="O1099" s="156" t="s">
        <v>51</v>
      </c>
      <c r="P1099" s="156"/>
      <c r="Q1099" s="158">
        <v>0</v>
      </c>
      <c r="R1099" s="158">
        <v>0</v>
      </c>
      <c r="S1099" s="158">
        <v>120000</v>
      </c>
      <c r="T1099" s="158">
        <f t="shared" si="254"/>
        <v>2400</v>
      </c>
      <c r="U1099" s="158">
        <f t="shared" si="258"/>
        <v>122400</v>
      </c>
      <c r="V1099" s="158">
        <v>120000</v>
      </c>
      <c r="W1099" s="158">
        <f t="shared" si="259"/>
        <v>2400</v>
      </c>
      <c r="X1099" s="158">
        <f t="shared" si="255"/>
        <v>2352.94117647059</v>
      </c>
      <c r="Y1099" s="158">
        <f t="shared" si="260"/>
        <v>47.0588235294117</v>
      </c>
      <c r="Z1099" s="158">
        <v>0</v>
      </c>
      <c r="AA1099" s="158">
        <f t="shared" si="256"/>
        <v>120000</v>
      </c>
      <c r="AB1099" s="167">
        <f>IF(O1099="返货",Z1099/(1+N1099),IF(O1099="返现",Z1099,IF(O1099="折扣",Z1099*N1099,IF(O1099="无",Z1099))))</f>
        <v>0</v>
      </c>
      <c r="AC1099" s="168">
        <f t="shared" si="257"/>
        <v>0</v>
      </c>
      <c r="AD1099" s="158">
        <f>Z1099*0.981034800313914-Q1099</f>
        <v>0</v>
      </c>
      <c r="AE1099" s="159">
        <v>0.04</v>
      </c>
      <c r="AF1099" s="158">
        <f t="shared" si="262"/>
        <v>0</v>
      </c>
      <c r="AG1099" s="158">
        <v>30.5678431372548</v>
      </c>
      <c r="AH1099" s="175"/>
      <c r="AI1099" s="175"/>
      <c r="AJ1099" s="156" t="s">
        <v>173</v>
      </c>
      <c r="AK1099" s="140" t="s">
        <v>173</v>
      </c>
      <c r="AM1099" s="140" t="s">
        <v>174</v>
      </c>
    </row>
    <row r="1100" s="140" customFormat="1" ht="15" hidden="1" customHeight="1" spans="1:39">
      <c r="A1100" s="140">
        <v>2017</v>
      </c>
      <c r="B1100" s="140" t="s">
        <v>38</v>
      </c>
      <c r="C1100" s="140" t="s">
        <v>88</v>
      </c>
      <c r="D1100" s="140" t="s">
        <v>128</v>
      </c>
      <c r="E1100" s="140" t="s">
        <v>98</v>
      </c>
      <c r="F1100" s="140" t="s">
        <v>858</v>
      </c>
      <c r="G1100" s="140" t="s">
        <v>858</v>
      </c>
      <c r="H1100" s="140" t="s">
        <v>858</v>
      </c>
      <c r="I1100" s="140" t="s">
        <v>170</v>
      </c>
      <c r="J1100" s="140" t="s">
        <v>575</v>
      </c>
      <c r="K1100" s="140" t="s">
        <v>1051</v>
      </c>
      <c r="L1100" s="140" t="s">
        <v>858</v>
      </c>
      <c r="M1100" s="140" t="s">
        <v>46</v>
      </c>
      <c r="N1100" s="157">
        <v>0.04</v>
      </c>
      <c r="O1100" s="156" t="s">
        <v>51</v>
      </c>
      <c r="P1100" s="156"/>
      <c r="Q1100" s="158">
        <v>0</v>
      </c>
      <c r="R1100" s="158">
        <v>0</v>
      </c>
      <c r="S1100" s="158">
        <v>1224095.18</v>
      </c>
      <c r="T1100" s="158">
        <f t="shared" si="254"/>
        <v>48963.8072</v>
      </c>
      <c r="U1100" s="158">
        <f t="shared" si="258"/>
        <v>1273058.9872</v>
      </c>
      <c r="V1100" s="158">
        <v>1284000</v>
      </c>
      <c r="W1100" s="158">
        <f t="shared" si="259"/>
        <v>-10941.0128000001</v>
      </c>
      <c r="X1100" s="158">
        <f t="shared" si="255"/>
        <v>-10520.2046153848</v>
      </c>
      <c r="Y1100" s="158">
        <f t="shared" si="260"/>
        <v>-420.808184615391</v>
      </c>
      <c r="Z1100" s="158">
        <v>829052.4</v>
      </c>
      <c r="AA1100" s="158">
        <f t="shared" si="256"/>
        <v>454947.6</v>
      </c>
      <c r="AB1100" s="167">
        <f>IF(O1100="返货",Z1100/(1+N1100),IF(O1100="返现",Z1100,IF(O1100="折扣",Z1100*N1100,IF(O1100="无",Z1100))))</f>
        <v>797165.769230769</v>
      </c>
      <c r="AC1100" s="168">
        <f t="shared" si="257"/>
        <v>31886.6307692308</v>
      </c>
      <c r="AD1100" s="158">
        <f>Z1100*0.981034800313914-Q1100</f>
        <v>813329.255683771</v>
      </c>
      <c r="AE1100" s="159">
        <v>0.04</v>
      </c>
      <c r="AF1100" s="158">
        <f t="shared" si="262"/>
        <v>32533.1702273508</v>
      </c>
      <c r="AG1100" s="158">
        <v>1275.46523076923</v>
      </c>
      <c r="AH1100" s="175"/>
      <c r="AI1100" s="175"/>
      <c r="AJ1100" s="157">
        <v>0.04</v>
      </c>
      <c r="AK1100" s="177">
        <v>0.04</v>
      </c>
      <c r="AM1100" s="152"/>
    </row>
    <row r="1101" s="140" customFormat="1" ht="15" hidden="1" customHeight="1" spans="1:39">
      <c r="A1101" s="140">
        <v>2017</v>
      </c>
      <c r="B1101" s="140" t="s">
        <v>38</v>
      </c>
      <c r="C1101" s="140" t="s">
        <v>110</v>
      </c>
      <c r="D1101" s="140" t="s">
        <v>111</v>
      </c>
      <c r="E1101" s="140" t="s">
        <v>112</v>
      </c>
      <c r="F1101" s="140" t="s">
        <v>113</v>
      </c>
      <c r="G1101" s="140" t="s">
        <v>113</v>
      </c>
      <c r="H1101" s="140" t="s">
        <v>113</v>
      </c>
      <c r="I1101" s="140" t="s">
        <v>170</v>
      </c>
      <c r="J1101" s="140" t="s">
        <v>575</v>
      </c>
      <c r="K1101" s="140" t="s">
        <v>1051</v>
      </c>
      <c r="L1101" s="140" t="s">
        <v>248</v>
      </c>
      <c r="M1101" s="140" t="s">
        <v>185</v>
      </c>
      <c r="N1101" s="157">
        <v>0.04</v>
      </c>
      <c r="O1101" s="156" t="s">
        <v>51</v>
      </c>
      <c r="P1101" s="156"/>
      <c r="Q1101" s="158">
        <v>0</v>
      </c>
      <c r="R1101" s="158">
        <v>0</v>
      </c>
      <c r="S1101" s="158">
        <v>60000</v>
      </c>
      <c r="T1101" s="158">
        <f t="shared" si="254"/>
        <v>2400</v>
      </c>
      <c r="U1101" s="158">
        <f t="shared" si="258"/>
        <v>62400</v>
      </c>
      <c r="V1101" s="158">
        <v>60000</v>
      </c>
      <c r="W1101" s="158">
        <f t="shared" si="259"/>
        <v>2400</v>
      </c>
      <c r="X1101" s="158">
        <f t="shared" si="255"/>
        <v>2307.69230769231</v>
      </c>
      <c r="Y1101" s="158">
        <f t="shared" si="260"/>
        <v>92.3076923076924</v>
      </c>
      <c r="Z1101" s="158">
        <v>32000.2</v>
      </c>
      <c r="AA1101" s="158">
        <f t="shared" si="256"/>
        <v>27999.8</v>
      </c>
      <c r="AB1101" s="167">
        <f>IF(O1101="返货",Z1101/(1+N1101),IF(O1101="返现",Z1101,IF(O1101="折扣",Z1101*N1101,IF(O1101="无",Z1101))))</f>
        <v>30769.4230769231</v>
      </c>
      <c r="AC1101" s="168">
        <f t="shared" si="257"/>
        <v>1230.77692307692</v>
      </c>
      <c r="AD1101" s="158">
        <f>Z1101*0.98051375-Q1101</f>
        <v>31376.63610275</v>
      </c>
      <c r="AE1101" s="159">
        <v>0.08</v>
      </c>
      <c r="AF1101" s="158">
        <f t="shared" si="262"/>
        <v>2510.13088822</v>
      </c>
      <c r="AG1101" s="158">
        <v>1329.23907692308</v>
      </c>
      <c r="AH1101" s="175"/>
      <c r="AI1101" s="175"/>
      <c r="AJ1101" s="156" t="s">
        <v>186</v>
      </c>
      <c r="AK1101" s="140" t="s">
        <v>186</v>
      </c>
      <c r="AM1101" s="152"/>
    </row>
    <row r="1102" s="140" customFormat="1" ht="15" hidden="1" customHeight="1" spans="1:39">
      <c r="A1102" s="140">
        <v>2017</v>
      </c>
      <c r="B1102" s="140" t="s">
        <v>38</v>
      </c>
      <c r="C1102" s="140" t="s">
        <v>110</v>
      </c>
      <c r="D1102" s="140" t="s">
        <v>111</v>
      </c>
      <c r="E1102" s="140" t="s">
        <v>112</v>
      </c>
      <c r="F1102" s="140" t="s">
        <v>113</v>
      </c>
      <c r="G1102" s="140" t="s">
        <v>113</v>
      </c>
      <c r="H1102" s="140" t="s">
        <v>113</v>
      </c>
      <c r="I1102" s="140" t="s">
        <v>170</v>
      </c>
      <c r="J1102" s="140" t="s">
        <v>575</v>
      </c>
      <c r="K1102" s="140" t="s">
        <v>1051</v>
      </c>
      <c r="L1102" s="140" t="s">
        <v>248</v>
      </c>
      <c r="M1102" s="140" t="s">
        <v>46</v>
      </c>
      <c r="N1102" s="157">
        <v>0.02</v>
      </c>
      <c r="O1102" s="156" t="s">
        <v>51</v>
      </c>
      <c r="P1102" s="156"/>
      <c r="Q1102" s="158">
        <v>100000</v>
      </c>
      <c r="R1102" s="158">
        <v>0</v>
      </c>
      <c r="S1102" s="158">
        <v>1050000</v>
      </c>
      <c r="T1102" s="158">
        <f t="shared" si="254"/>
        <v>21000</v>
      </c>
      <c r="U1102" s="158">
        <f t="shared" si="258"/>
        <v>1071000</v>
      </c>
      <c r="V1102" s="158">
        <v>1050000</v>
      </c>
      <c r="W1102" s="158">
        <f t="shared" si="259"/>
        <v>21000</v>
      </c>
      <c r="X1102" s="158">
        <f t="shared" si="255"/>
        <v>20588.2352941176</v>
      </c>
      <c r="Y1102" s="158">
        <f t="shared" si="260"/>
        <v>411.764705882353</v>
      </c>
      <c r="Z1102" s="158">
        <v>1117215.1</v>
      </c>
      <c r="AA1102" s="158">
        <f t="shared" si="256"/>
        <v>32784.8999999999</v>
      </c>
      <c r="AB1102" s="167">
        <f>IF(O1102="返货",(Z1102-Q1102)/(1+N1102),IF(O1102="返现",(Z1102-Q1102),IF(O1102="折扣",(Z1102-Q1102)*N1102,IF(O1102="无",(Z1102-Q1102)))))</f>
        <v>997269.705882353</v>
      </c>
      <c r="AC1102" s="168">
        <f t="shared" si="257"/>
        <v>119945.394117647</v>
      </c>
      <c r="AD1102" s="158">
        <f>Z1102*0.981034800313914-Q1102</f>
        <v>996026.89253619</v>
      </c>
      <c r="AE1102" s="159">
        <v>0.04</v>
      </c>
      <c r="AF1102" s="158">
        <f t="shared" si="262"/>
        <v>39841.0757014476</v>
      </c>
      <c r="AG1102" s="158">
        <v>22782.4255686274</v>
      </c>
      <c r="AH1102" s="175"/>
      <c r="AI1102" s="175"/>
      <c r="AJ1102" s="157">
        <v>0.02</v>
      </c>
      <c r="AK1102" s="177">
        <v>0.02</v>
      </c>
      <c r="AM1102" s="152"/>
    </row>
    <row r="1103" s="140" customFormat="1" ht="15" hidden="1" customHeight="1" spans="1:39">
      <c r="A1103" s="140">
        <v>2017</v>
      </c>
      <c r="B1103" s="140" t="s">
        <v>199</v>
      </c>
      <c r="C1103" s="140" t="s">
        <v>88</v>
      </c>
      <c r="D1103" s="140" t="s">
        <v>89</v>
      </c>
      <c r="E1103" s="140" t="s">
        <v>124</v>
      </c>
      <c r="F1103" s="140" t="s">
        <v>1053</v>
      </c>
      <c r="G1103" s="140" t="s">
        <v>1054</v>
      </c>
      <c r="H1103" s="140" t="s">
        <v>1054</v>
      </c>
      <c r="I1103" s="140" t="s">
        <v>170</v>
      </c>
      <c r="J1103" s="140" t="s">
        <v>575</v>
      </c>
      <c r="K1103" s="140" t="s">
        <v>1051</v>
      </c>
      <c r="L1103" s="140" t="s">
        <v>1053</v>
      </c>
      <c r="M1103" s="140" t="s">
        <v>46</v>
      </c>
      <c r="N1103" s="157">
        <v>0.02</v>
      </c>
      <c r="O1103" s="156" t="s">
        <v>51</v>
      </c>
      <c r="P1103" s="156"/>
      <c r="Q1103" s="158">
        <v>0</v>
      </c>
      <c r="R1103" s="158">
        <v>0</v>
      </c>
      <c r="S1103" s="158">
        <v>30000</v>
      </c>
      <c r="T1103" s="158">
        <f t="shared" si="254"/>
        <v>600</v>
      </c>
      <c r="U1103" s="158">
        <f t="shared" si="258"/>
        <v>30600</v>
      </c>
      <c r="V1103" s="158">
        <v>30600</v>
      </c>
      <c r="W1103" s="158">
        <f t="shared" si="259"/>
        <v>0</v>
      </c>
      <c r="X1103" s="158">
        <f t="shared" si="255"/>
        <v>0</v>
      </c>
      <c r="Y1103" s="158">
        <f t="shared" si="260"/>
        <v>0</v>
      </c>
      <c r="Z1103" s="158">
        <v>8336.7</v>
      </c>
      <c r="AA1103" s="158">
        <f t="shared" si="256"/>
        <v>22263.3</v>
      </c>
      <c r="AB1103" s="167">
        <f t="shared" ref="AB1103:AB1112" si="263">IF(O1103="返货",Z1103/(1+N1103),IF(O1103="返现",Z1103,IF(O1103="折扣",Z1103*N1103,IF(O1103="无",Z1103))))</f>
        <v>8173.23529411765</v>
      </c>
      <c r="AC1103" s="168">
        <f t="shared" si="257"/>
        <v>163.464705882353</v>
      </c>
      <c r="AD1103" s="158">
        <f>Z1103*0.981034800313914-Q1103</f>
        <v>8178.59281977701</v>
      </c>
      <c r="AE1103" s="159">
        <v>0.04</v>
      </c>
      <c r="AF1103" s="158">
        <f t="shared" si="262"/>
        <v>327.14371279108</v>
      </c>
      <c r="AG1103" s="158">
        <v>170.003294117647</v>
      </c>
      <c r="AH1103" s="175"/>
      <c r="AI1103" s="175"/>
      <c r="AJ1103" s="156" t="s">
        <v>173</v>
      </c>
      <c r="AK1103" s="140" t="s">
        <v>173</v>
      </c>
      <c r="AM1103" s="152"/>
    </row>
    <row r="1104" s="140" customFormat="1" ht="15" hidden="1" customHeight="1" spans="1:39">
      <c r="A1104" s="140">
        <v>2017</v>
      </c>
      <c r="B1104" s="140" t="s">
        <v>38</v>
      </c>
      <c r="C1104" s="140" t="s">
        <v>75</v>
      </c>
      <c r="D1104" s="140" t="s">
        <v>76</v>
      </c>
      <c r="E1104" s="140" t="s">
        <v>167</v>
      </c>
      <c r="F1104" s="140" t="s">
        <v>216</v>
      </c>
      <c r="G1104" s="140" t="s">
        <v>216</v>
      </c>
      <c r="H1104" s="140" t="s">
        <v>216</v>
      </c>
      <c r="I1104" s="140" t="s">
        <v>170</v>
      </c>
      <c r="J1104" s="140" t="s">
        <v>575</v>
      </c>
      <c r="K1104" s="140" t="s">
        <v>1051</v>
      </c>
      <c r="L1104" s="140" t="s">
        <v>216</v>
      </c>
      <c r="M1104" s="140" t="s">
        <v>46</v>
      </c>
      <c r="N1104" s="157">
        <v>0.02</v>
      </c>
      <c r="O1104" s="156" t="s">
        <v>51</v>
      </c>
      <c r="P1104" s="156"/>
      <c r="Q1104" s="158">
        <v>0</v>
      </c>
      <c r="R1104" s="158">
        <v>0</v>
      </c>
      <c r="S1104" s="158">
        <v>1450000</v>
      </c>
      <c r="T1104" s="158">
        <f t="shared" si="254"/>
        <v>29000</v>
      </c>
      <c r="U1104" s="158">
        <f t="shared" si="258"/>
        <v>1479000</v>
      </c>
      <c r="V1104" s="158">
        <v>547000</v>
      </c>
      <c r="W1104" s="158">
        <f t="shared" si="259"/>
        <v>932000</v>
      </c>
      <c r="X1104" s="158">
        <f t="shared" si="255"/>
        <v>913725.490196078</v>
      </c>
      <c r="Y1104" s="158">
        <f t="shared" si="260"/>
        <v>18274.5098039216</v>
      </c>
      <c r="Z1104" s="158">
        <v>361640.2</v>
      </c>
      <c r="AA1104" s="158">
        <f t="shared" si="256"/>
        <v>185359.8</v>
      </c>
      <c r="AB1104" s="167">
        <f t="shared" si="263"/>
        <v>354549.215686275</v>
      </c>
      <c r="AC1104" s="168">
        <f t="shared" si="257"/>
        <v>7090.98431372549</v>
      </c>
      <c r="AD1104" s="158">
        <f>Z1104*0.981034800313914-Q1104</f>
        <v>354781.621392484</v>
      </c>
      <c r="AE1104" s="159">
        <v>0.04</v>
      </c>
      <c r="AF1104" s="158">
        <f t="shared" si="262"/>
        <v>14191.2648556994</v>
      </c>
      <c r="AG1104" s="158">
        <v>7374.62368627451</v>
      </c>
      <c r="AH1104" s="175"/>
      <c r="AI1104" s="175"/>
      <c r="AJ1104" s="156" t="s">
        <v>173</v>
      </c>
      <c r="AK1104" s="140" t="s">
        <v>173</v>
      </c>
      <c r="AM1104" s="152"/>
    </row>
    <row r="1105" s="140" customFormat="1" ht="15" hidden="1" customHeight="1" spans="1:39">
      <c r="A1105" s="140">
        <v>2017</v>
      </c>
      <c r="B1105" s="140" t="s">
        <v>38</v>
      </c>
      <c r="C1105" s="140" t="s">
        <v>75</v>
      </c>
      <c r="D1105" s="140" t="s">
        <v>76</v>
      </c>
      <c r="E1105" s="140" t="s">
        <v>167</v>
      </c>
      <c r="F1105" s="140" t="s">
        <v>918</v>
      </c>
      <c r="G1105" s="140" t="s">
        <v>919</v>
      </c>
      <c r="H1105" s="140" t="s">
        <v>919</v>
      </c>
      <c r="I1105" s="140" t="s">
        <v>170</v>
      </c>
      <c r="J1105" s="140" t="s">
        <v>575</v>
      </c>
      <c r="K1105" s="140" t="s">
        <v>1051</v>
      </c>
      <c r="L1105" s="140" t="s">
        <v>919</v>
      </c>
      <c r="M1105" s="140" t="s">
        <v>46</v>
      </c>
      <c r="N1105" s="157">
        <v>0.04</v>
      </c>
      <c r="O1105" s="156" t="s">
        <v>51</v>
      </c>
      <c r="P1105" s="156"/>
      <c r="Q1105" s="158">
        <v>0</v>
      </c>
      <c r="R1105" s="158">
        <v>0</v>
      </c>
      <c r="S1105" s="158">
        <v>403846.16</v>
      </c>
      <c r="T1105" s="158">
        <f t="shared" si="254"/>
        <v>16153.8464</v>
      </c>
      <c r="U1105" s="158">
        <f t="shared" si="258"/>
        <v>420000.0064</v>
      </c>
      <c r="V1105" s="158">
        <v>420000.0064</v>
      </c>
      <c r="W1105" s="158">
        <f t="shared" si="259"/>
        <v>0</v>
      </c>
      <c r="X1105" s="158">
        <f t="shared" si="255"/>
        <v>0</v>
      </c>
      <c r="Y1105" s="158">
        <f t="shared" si="260"/>
        <v>0</v>
      </c>
      <c r="Z1105" s="158">
        <v>0</v>
      </c>
      <c r="AA1105" s="158">
        <f t="shared" si="256"/>
        <v>420000.0064</v>
      </c>
      <c r="AB1105" s="167">
        <f t="shared" si="263"/>
        <v>0</v>
      </c>
      <c r="AC1105" s="168">
        <f t="shared" si="257"/>
        <v>0</v>
      </c>
      <c r="AD1105" s="158">
        <f>Z1105*0.981034800313914-Q1105</f>
        <v>0</v>
      </c>
      <c r="AE1105" s="159">
        <v>0.04</v>
      </c>
      <c r="AF1105" s="158">
        <f t="shared" si="262"/>
        <v>0</v>
      </c>
      <c r="AG1105" s="158">
        <v>0</v>
      </c>
      <c r="AH1105" s="175"/>
      <c r="AI1105" s="175"/>
      <c r="AJ1105" s="156" t="s">
        <v>186</v>
      </c>
      <c r="AK1105" s="140" t="s">
        <v>186</v>
      </c>
      <c r="AM1105" s="152"/>
    </row>
    <row r="1106" s="140" customFormat="1" ht="15" hidden="1" customHeight="1" spans="1:39">
      <c r="A1106" s="140">
        <v>2017</v>
      </c>
      <c r="B1106" s="140" t="s">
        <v>252</v>
      </c>
      <c r="C1106" s="140" t="s">
        <v>75</v>
      </c>
      <c r="D1106" s="140" t="s">
        <v>256</v>
      </c>
      <c r="E1106" s="140" t="s">
        <v>649</v>
      </c>
      <c r="F1106" s="140" t="s">
        <v>688</v>
      </c>
      <c r="G1106" s="140" t="s">
        <v>689</v>
      </c>
      <c r="H1106" s="140" t="s">
        <v>689</v>
      </c>
      <c r="I1106" s="140" t="s">
        <v>170</v>
      </c>
      <c r="J1106" s="140" t="s">
        <v>575</v>
      </c>
      <c r="K1106" s="140" t="s">
        <v>1051</v>
      </c>
      <c r="L1106" s="140" t="s">
        <v>688</v>
      </c>
      <c r="M1106" s="140" t="s">
        <v>46</v>
      </c>
      <c r="N1106" s="157">
        <v>0.04</v>
      </c>
      <c r="O1106" s="156" t="s">
        <v>51</v>
      </c>
      <c r="P1106" s="156"/>
      <c r="Q1106" s="158">
        <v>0</v>
      </c>
      <c r="R1106" s="158">
        <v>0</v>
      </c>
      <c r="S1106" s="158">
        <v>6250000</v>
      </c>
      <c r="T1106" s="158">
        <f t="shared" si="254"/>
        <v>250000</v>
      </c>
      <c r="U1106" s="158">
        <f t="shared" si="258"/>
        <v>6500000</v>
      </c>
      <c r="V1106" s="158">
        <v>3600000</v>
      </c>
      <c r="W1106" s="158">
        <f t="shared" si="259"/>
        <v>2900000</v>
      </c>
      <c r="X1106" s="158">
        <f t="shared" si="255"/>
        <v>2788461.53846154</v>
      </c>
      <c r="Y1106" s="158">
        <f t="shared" si="260"/>
        <v>111538.461538462</v>
      </c>
      <c r="Z1106" s="158">
        <v>3461838.3</v>
      </c>
      <c r="AA1106" s="158">
        <f t="shared" si="256"/>
        <v>138161.7</v>
      </c>
      <c r="AB1106" s="167">
        <f t="shared" si="263"/>
        <v>3328690.67307692</v>
      </c>
      <c r="AC1106" s="168">
        <f t="shared" si="257"/>
        <v>133147.626923077</v>
      </c>
      <c r="AD1106" s="158">
        <v>3395898.58535956</v>
      </c>
      <c r="AE1106" s="159">
        <v>0.04</v>
      </c>
      <c r="AF1106" s="158">
        <f t="shared" si="262"/>
        <v>135835.943414382</v>
      </c>
      <c r="AG1106" s="158">
        <v>5325.9050769232</v>
      </c>
      <c r="AH1106" s="175"/>
      <c r="AI1106" s="175"/>
      <c r="AJ1106" s="156" t="s">
        <v>186</v>
      </c>
      <c r="AK1106" s="140" t="s">
        <v>186</v>
      </c>
      <c r="AM1106" s="152"/>
    </row>
    <row r="1107" s="140" customFormat="1" ht="15" hidden="1" customHeight="1" spans="1:39">
      <c r="A1107" s="140">
        <v>2017</v>
      </c>
      <c r="B1107" s="140" t="s">
        <v>199</v>
      </c>
      <c r="C1107" s="140" t="s">
        <v>39</v>
      </c>
      <c r="D1107" s="140" t="s">
        <v>81</v>
      </c>
      <c r="E1107" s="140" t="s">
        <v>41</v>
      </c>
      <c r="F1107" s="140" t="s">
        <v>1055</v>
      </c>
      <c r="G1107" s="140" t="s">
        <v>1056</v>
      </c>
      <c r="H1107" s="140" t="s">
        <v>1056</v>
      </c>
      <c r="I1107" s="140" t="s">
        <v>170</v>
      </c>
      <c r="J1107" s="140" t="s">
        <v>575</v>
      </c>
      <c r="K1107" s="140" t="s">
        <v>1051</v>
      </c>
      <c r="L1107" s="140" t="s">
        <v>1055</v>
      </c>
      <c r="M1107" s="140" t="s">
        <v>46</v>
      </c>
      <c r="N1107" s="157">
        <v>0.03</v>
      </c>
      <c r="O1107" s="156" t="s">
        <v>51</v>
      </c>
      <c r="P1107" s="156"/>
      <c r="Q1107" s="158">
        <v>0</v>
      </c>
      <c r="R1107" s="158">
        <v>0</v>
      </c>
      <c r="S1107" s="158">
        <v>60000</v>
      </c>
      <c r="T1107" s="158">
        <f t="shared" si="254"/>
        <v>1800</v>
      </c>
      <c r="U1107" s="158">
        <f t="shared" si="258"/>
        <v>61800</v>
      </c>
      <c r="V1107" s="158">
        <v>60000</v>
      </c>
      <c r="W1107" s="158">
        <f t="shared" si="259"/>
        <v>1800</v>
      </c>
      <c r="X1107" s="158">
        <f t="shared" si="255"/>
        <v>1747.57281553398</v>
      </c>
      <c r="Y1107" s="158">
        <f t="shared" si="260"/>
        <v>52.4271844660195</v>
      </c>
      <c r="Z1107" s="158">
        <v>59999.3</v>
      </c>
      <c r="AA1107" s="158">
        <f t="shared" si="256"/>
        <v>0.69999999999709</v>
      </c>
      <c r="AB1107" s="167">
        <f t="shared" si="263"/>
        <v>58251.7475728155</v>
      </c>
      <c r="AC1107" s="168">
        <f t="shared" si="257"/>
        <v>1747.55242718447</v>
      </c>
      <c r="AD1107" s="158">
        <f t="shared" ref="AD1107:AD1113" si="264">Z1107*0.981034800313914-Q1107</f>
        <v>58861.4012944746</v>
      </c>
      <c r="AE1107" s="159">
        <v>0.04</v>
      </c>
      <c r="AF1107" s="158">
        <f t="shared" si="262"/>
        <v>2354.45605177899</v>
      </c>
      <c r="AG1107" s="158">
        <v>652.419572815531</v>
      </c>
      <c r="AH1107" s="175"/>
      <c r="AI1107" s="175"/>
      <c r="AJ1107" s="156" t="s">
        <v>189</v>
      </c>
      <c r="AK1107" s="140" t="s">
        <v>189</v>
      </c>
      <c r="AM1107" s="152"/>
    </row>
    <row r="1108" s="140" customFormat="1" ht="15" hidden="1" customHeight="1" spans="1:39">
      <c r="A1108" s="140">
        <v>2017</v>
      </c>
      <c r="B1108" s="140" t="s">
        <v>199</v>
      </c>
      <c r="C1108" s="140" t="s">
        <v>39</v>
      </c>
      <c r="D1108" s="140" t="s">
        <v>81</v>
      </c>
      <c r="E1108" s="140" t="s">
        <v>41</v>
      </c>
      <c r="F1108" s="140" t="s">
        <v>1057</v>
      </c>
      <c r="G1108" s="140" t="s">
        <v>1058</v>
      </c>
      <c r="H1108" s="140" t="s">
        <v>1059</v>
      </c>
      <c r="I1108" s="140" t="s">
        <v>170</v>
      </c>
      <c r="J1108" s="140" t="s">
        <v>575</v>
      </c>
      <c r="K1108" s="140" t="s">
        <v>1051</v>
      </c>
      <c r="L1108" s="140" t="s">
        <v>1057</v>
      </c>
      <c r="M1108" s="140" t="s">
        <v>46</v>
      </c>
      <c r="N1108" s="157">
        <v>0.02</v>
      </c>
      <c r="O1108" s="156" t="s">
        <v>51</v>
      </c>
      <c r="P1108" s="156"/>
      <c r="Q1108" s="158">
        <v>0</v>
      </c>
      <c r="R1108" s="158">
        <v>0</v>
      </c>
      <c r="S1108" s="158">
        <v>10000</v>
      </c>
      <c r="T1108" s="158">
        <f t="shared" si="254"/>
        <v>200</v>
      </c>
      <c r="U1108" s="158">
        <f t="shared" si="258"/>
        <v>10200</v>
      </c>
      <c r="V1108" s="158">
        <v>10000</v>
      </c>
      <c r="W1108" s="158">
        <f t="shared" si="259"/>
        <v>200</v>
      </c>
      <c r="X1108" s="158">
        <f t="shared" si="255"/>
        <v>196.078431372549</v>
      </c>
      <c r="Y1108" s="158">
        <f t="shared" si="260"/>
        <v>3.92156862745099</v>
      </c>
      <c r="Z1108" s="158">
        <v>9998.9</v>
      </c>
      <c r="AA1108" s="158">
        <f t="shared" si="256"/>
        <v>1.10000000000036</v>
      </c>
      <c r="AB1108" s="167">
        <f t="shared" si="263"/>
        <v>9802.8431372549</v>
      </c>
      <c r="AC1108" s="168">
        <f t="shared" si="257"/>
        <v>196.056862745098</v>
      </c>
      <c r="AD1108" s="158">
        <f t="shared" si="264"/>
        <v>9809.26886485879</v>
      </c>
      <c r="AE1108" s="159">
        <v>0.04</v>
      </c>
      <c r="AF1108" s="158">
        <f t="shared" si="262"/>
        <v>392.370754594352</v>
      </c>
      <c r="AG1108" s="158">
        <v>203.899137254903</v>
      </c>
      <c r="AH1108" s="175"/>
      <c r="AI1108" s="175"/>
      <c r="AJ1108" s="156" t="s">
        <v>173</v>
      </c>
      <c r="AK1108" s="140" t="s">
        <v>173</v>
      </c>
      <c r="AM1108" s="152"/>
    </row>
    <row r="1109" s="140" customFormat="1" ht="15" hidden="1" customHeight="1" spans="1:39">
      <c r="A1109" s="140">
        <v>2017</v>
      </c>
      <c r="B1109" s="140" t="s">
        <v>38</v>
      </c>
      <c r="C1109" s="140" t="s">
        <v>39</v>
      </c>
      <c r="D1109" s="140" t="s">
        <v>81</v>
      </c>
      <c r="E1109" s="140" t="s">
        <v>82</v>
      </c>
      <c r="F1109" s="140" t="s">
        <v>960</v>
      </c>
      <c r="G1109" s="140" t="s">
        <v>960</v>
      </c>
      <c r="H1109" s="140" t="s">
        <v>960</v>
      </c>
      <c r="I1109" s="140" t="s">
        <v>170</v>
      </c>
      <c r="J1109" s="140" t="s">
        <v>575</v>
      </c>
      <c r="K1109" s="140" t="s">
        <v>1051</v>
      </c>
      <c r="L1109" s="140" t="s">
        <v>961</v>
      </c>
      <c r="M1109" s="140" t="s">
        <v>46</v>
      </c>
      <c r="N1109" s="157">
        <v>0.02</v>
      </c>
      <c r="O1109" s="156" t="s">
        <v>51</v>
      </c>
      <c r="P1109" s="156"/>
      <c r="Q1109" s="158">
        <v>0</v>
      </c>
      <c r="R1109" s="158">
        <v>0</v>
      </c>
      <c r="S1109" s="158">
        <v>60000</v>
      </c>
      <c r="T1109" s="158">
        <f t="shared" si="254"/>
        <v>1200</v>
      </c>
      <c r="U1109" s="158">
        <f t="shared" si="258"/>
        <v>61200</v>
      </c>
      <c r="V1109" s="158">
        <v>70000</v>
      </c>
      <c r="W1109" s="158">
        <f t="shared" si="259"/>
        <v>-8800</v>
      </c>
      <c r="X1109" s="158">
        <f t="shared" si="255"/>
        <v>-8627.45098039216</v>
      </c>
      <c r="Y1109" s="158">
        <f t="shared" si="260"/>
        <v>-172.549019607843</v>
      </c>
      <c r="Z1109" s="158">
        <v>26039</v>
      </c>
      <c r="AA1109" s="158">
        <f t="shared" si="256"/>
        <v>43961</v>
      </c>
      <c r="AB1109" s="167">
        <f t="shared" si="263"/>
        <v>25528.431372549</v>
      </c>
      <c r="AC1109" s="168">
        <f t="shared" si="257"/>
        <v>510.568627450983</v>
      </c>
      <c r="AD1109" s="158">
        <f t="shared" si="264"/>
        <v>25545.165165374</v>
      </c>
      <c r="AE1109" s="159">
        <v>0.04</v>
      </c>
      <c r="AF1109" s="158">
        <f t="shared" si="262"/>
        <v>1021.80660661496</v>
      </c>
      <c r="AG1109" s="158">
        <v>530.991372549017</v>
      </c>
      <c r="AH1109" s="175"/>
      <c r="AI1109" s="175"/>
      <c r="AJ1109" s="157">
        <v>0.02</v>
      </c>
      <c r="AK1109" s="177">
        <v>0.02</v>
      </c>
      <c r="AM1109" s="152"/>
    </row>
    <row r="1110" s="140" customFormat="1" ht="15" hidden="1" customHeight="1" spans="1:39">
      <c r="A1110" s="140">
        <v>2017</v>
      </c>
      <c r="B1110" s="140" t="s">
        <v>199</v>
      </c>
      <c r="C1110" s="140" t="s">
        <v>59</v>
      </c>
      <c r="D1110" s="140" t="s">
        <v>60</v>
      </c>
      <c r="E1110" s="140" t="s">
        <v>61</v>
      </c>
      <c r="F1110" s="140" t="s">
        <v>1060</v>
      </c>
      <c r="G1110" s="140" t="s">
        <v>1061</v>
      </c>
      <c r="H1110" s="140" t="s">
        <v>1061</v>
      </c>
      <c r="I1110" s="140" t="s">
        <v>170</v>
      </c>
      <c r="J1110" s="140" t="s">
        <v>575</v>
      </c>
      <c r="K1110" s="140" t="s">
        <v>1051</v>
      </c>
      <c r="L1110" s="140" t="s">
        <v>1060</v>
      </c>
      <c r="M1110" s="140" t="s">
        <v>46</v>
      </c>
      <c r="N1110" s="157">
        <v>0.02</v>
      </c>
      <c r="O1110" s="156" t="s">
        <v>51</v>
      </c>
      <c r="P1110" s="156"/>
      <c r="Q1110" s="158">
        <v>0</v>
      </c>
      <c r="R1110" s="158">
        <v>0</v>
      </c>
      <c r="S1110" s="158">
        <v>130000</v>
      </c>
      <c r="T1110" s="158">
        <f t="shared" si="254"/>
        <v>2600</v>
      </c>
      <c r="U1110" s="158">
        <f t="shared" si="258"/>
        <v>132600</v>
      </c>
      <c r="V1110" s="158">
        <v>132600</v>
      </c>
      <c r="W1110" s="158">
        <f t="shared" si="259"/>
        <v>0</v>
      </c>
      <c r="X1110" s="158">
        <f t="shared" si="255"/>
        <v>0</v>
      </c>
      <c r="Y1110" s="158">
        <f t="shared" si="260"/>
        <v>0</v>
      </c>
      <c r="Z1110" s="158">
        <v>6520.4</v>
      </c>
      <c r="AA1110" s="158">
        <f t="shared" si="256"/>
        <v>126079.6</v>
      </c>
      <c r="AB1110" s="167">
        <f t="shared" si="263"/>
        <v>6392.54901960784</v>
      </c>
      <c r="AC1110" s="168">
        <f t="shared" si="257"/>
        <v>127.850980392157</v>
      </c>
      <c r="AD1110" s="158">
        <f t="shared" si="264"/>
        <v>6396.73931196684</v>
      </c>
      <c r="AE1110" s="159">
        <v>0.04</v>
      </c>
      <c r="AF1110" s="158">
        <f t="shared" si="262"/>
        <v>255.869572478674</v>
      </c>
      <c r="AG1110" s="158">
        <v>132.965019607843</v>
      </c>
      <c r="AH1110" s="175"/>
      <c r="AI1110" s="175"/>
      <c r="AJ1110" s="156" t="s">
        <v>173</v>
      </c>
      <c r="AK1110" s="140" t="s">
        <v>173</v>
      </c>
      <c r="AM1110" s="152"/>
    </row>
    <row r="1111" s="140" customFormat="1" ht="15" hidden="1" customHeight="1" spans="1:39">
      <c r="A1111" s="140">
        <v>2017</v>
      </c>
      <c r="B1111" s="140" t="s">
        <v>38</v>
      </c>
      <c r="C1111" s="140" t="s">
        <v>59</v>
      </c>
      <c r="D1111" s="140" t="s">
        <v>60</v>
      </c>
      <c r="E1111" s="140" t="s">
        <v>468</v>
      </c>
      <c r="F1111" s="140" t="s">
        <v>1062</v>
      </c>
      <c r="G1111" s="140" t="s">
        <v>1062</v>
      </c>
      <c r="H1111" s="140" t="s">
        <v>1062</v>
      </c>
      <c r="I1111" s="140" t="s">
        <v>170</v>
      </c>
      <c r="J1111" s="140" t="s">
        <v>575</v>
      </c>
      <c r="K1111" s="140" t="s">
        <v>1051</v>
      </c>
      <c r="L1111" s="140" t="s">
        <v>1062</v>
      </c>
      <c r="M1111" s="140" t="s">
        <v>46</v>
      </c>
      <c r="N1111" s="156">
        <v>0</v>
      </c>
      <c r="O1111" s="156" t="s">
        <v>47</v>
      </c>
      <c r="P1111" s="156"/>
      <c r="Q1111" s="158">
        <v>0</v>
      </c>
      <c r="R1111" s="158">
        <v>0</v>
      </c>
      <c r="S1111" s="158">
        <v>10000</v>
      </c>
      <c r="T1111" s="158">
        <f t="shared" si="254"/>
        <v>0</v>
      </c>
      <c r="U1111" s="158">
        <f t="shared" si="258"/>
        <v>10000</v>
      </c>
      <c r="V1111" s="158">
        <v>10200</v>
      </c>
      <c r="W1111" s="158">
        <f t="shared" si="259"/>
        <v>-200</v>
      </c>
      <c r="X1111" s="158">
        <f t="shared" si="255"/>
        <v>-200</v>
      </c>
      <c r="Y1111" s="158">
        <f t="shared" si="260"/>
        <v>0</v>
      </c>
      <c r="Z1111" s="158">
        <v>0</v>
      </c>
      <c r="AA1111" s="158">
        <f t="shared" si="256"/>
        <v>10200</v>
      </c>
      <c r="AB1111" s="167">
        <f t="shared" si="263"/>
        <v>0</v>
      </c>
      <c r="AC1111" s="168">
        <f t="shared" si="257"/>
        <v>0</v>
      </c>
      <c r="AD1111" s="158">
        <f t="shared" si="264"/>
        <v>0</v>
      </c>
      <c r="AE1111" s="159">
        <v>0.04</v>
      </c>
      <c r="AF1111" s="158">
        <f t="shared" si="262"/>
        <v>0</v>
      </c>
      <c r="AG1111" s="158">
        <v>0</v>
      </c>
      <c r="AH1111" s="175"/>
      <c r="AI1111" s="175"/>
      <c r="AJ1111" s="156" t="s">
        <v>47</v>
      </c>
      <c r="AK1111" s="140" t="s">
        <v>47</v>
      </c>
      <c r="AM1111" s="152"/>
    </row>
    <row r="1112" s="140" customFormat="1" ht="15" hidden="1" customHeight="1" spans="1:39">
      <c r="A1112" s="140">
        <v>2017</v>
      </c>
      <c r="B1112" s="140" t="s">
        <v>199</v>
      </c>
      <c r="C1112" s="140" t="s">
        <v>54</v>
      </c>
      <c r="D1112" s="140" t="s">
        <v>55</v>
      </c>
      <c r="E1112" s="140" t="s">
        <v>64</v>
      </c>
      <c r="F1112" s="140" t="s">
        <v>496</v>
      </c>
      <c r="G1112" s="140" t="s">
        <v>497</v>
      </c>
      <c r="H1112" s="184" t="s">
        <v>498</v>
      </c>
      <c r="I1112" s="140" t="s">
        <v>170</v>
      </c>
      <c r="J1112" s="140" t="s">
        <v>575</v>
      </c>
      <c r="K1112" s="140" t="s">
        <v>1051</v>
      </c>
      <c r="L1112" s="140" t="s">
        <v>496</v>
      </c>
      <c r="M1112" s="140" t="s">
        <v>46</v>
      </c>
      <c r="N1112" s="157">
        <v>0.02</v>
      </c>
      <c r="O1112" s="156" t="s">
        <v>51</v>
      </c>
      <c r="P1112" s="156"/>
      <c r="Q1112" s="158">
        <v>0</v>
      </c>
      <c r="R1112" s="158">
        <v>0</v>
      </c>
      <c r="S1112" s="158">
        <v>4552000</v>
      </c>
      <c r="T1112" s="158">
        <f t="shared" si="254"/>
        <v>91040</v>
      </c>
      <c r="U1112" s="158">
        <f t="shared" si="258"/>
        <v>4643040</v>
      </c>
      <c r="V1112" s="158">
        <v>4152000</v>
      </c>
      <c r="W1112" s="158">
        <f t="shared" si="259"/>
        <v>491040</v>
      </c>
      <c r="X1112" s="158">
        <f t="shared" si="255"/>
        <v>481411.764705882</v>
      </c>
      <c r="Y1112" s="158">
        <f t="shared" si="260"/>
        <v>9628.23529411765</v>
      </c>
      <c r="Z1112" s="158">
        <v>2053052.4</v>
      </c>
      <c r="AA1112" s="158">
        <f t="shared" si="256"/>
        <v>2098947.6</v>
      </c>
      <c r="AB1112" s="167">
        <f t="shared" si="263"/>
        <v>2012796.47058824</v>
      </c>
      <c r="AC1112" s="168">
        <f t="shared" si="257"/>
        <v>40255.9294117647</v>
      </c>
      <c r="AD1112" s="158">
        <f t="shared" si="264"/>
        <v>2014115.851268</v>
      </c>
      <c r="AE1112" s="159">
        <v>0.04</v>
      </c>
      <c r="AF1112" s="158">
        <f t="shared" si="262"/>
        <v>80564.6340507201</v>
      </c>
      <c r="AG1112" s="158">
        <v>41866.1665882353</v>
      </c>
      <c r="AH1112" s="175"/>
      <c r="AI1112" s="175"/>
      <c r="AJ1112" s="156" t="s">
        <v>173</v>
      </c>
      <c r="AK1112" s="140" t="s">
        <v>173</v>
      </c>
      <c r="AM1112" s="152"/>
    </row>
    <row r="1113" s="140" customFormat="1" ht="15" hidden="1" customHeight="1" spans="1:39">
      <c r="A1113" s="140">
        <v>2017</v>
      </c>
      <c r="B1113" s="140" t="s">
        <v>38</v>
      </c>
      <c r="C1113" s="140" t="s">
        <v>75</v>
      </c>
      <c r="D1113" s="140" t="s">
        <v>256</v>
      </c>
      <c r="F1113" s="152" t="s">
        <v>273</v>
      </c>
      <c r="G1113" s="152" t="s">
        <v>273</v>
      </c>
      <c r="H1113" s="152" t="s">
        <v>273</v>
      </c>
      <c r="I1113" s="140" t="s">
        <v>170</v>
      </c>
      <c r="J1113" s="140" t="s">
        <v>575</v>
      </c>
      <c r="K1113" s="140" t="s">
        <v>1051</v>
      </c>
      <c r="L1113" s="140" t="s">
        <v>273</v>
      </c>
      <c r="M1113" s="140" t="s">
        <v>46</v>
      </c>
      <c r="N1113" s="157">
        <v>0.04</v>
      </c>
      <c r="O1113" s="156" t="s">
        <v>51</v>
      </c>
      <c r="P1113" s="156"/>
      <c r="Q1113" s="158">
        <v>14488.5</v>
      </c>
      <c r="R1113" s="158">
        <v>0</v>
      </c>
      <c r="S1113" s="158"/>
      <c r="T1113" s="158">
        <f t="shared" si="254"/>
        <v>0</v>
      </c>
      <c r="U1113" s="158">
        <f t="shared" si="258"/>
        <v>0</v>
      </c>
      <c r="V1113" s="158">
        <v>20000</v>
      </c>
      <c r="W1113" s="158">
        <f t="shared" si="259"/>
        <v>-20000</v>
      </c>
      <c r="X1113" s="158">
        <f t="shared" si="255"/>
        <v>-19230.7692307692</v>
      </c>
      <c r="Y1113" s="158">
        <f t="shared" si="260"/>
        <v>-769.23076923077</v>
      </c>
      <c r="Z1113" s="158">
        <v>33585.1</v>
      </c>
      <c r="AA1113" s="158">
        <f t="shared" si="256"/>
        <v>903.400000000001</v>
      </c>
      <c r="AB1113" s="167">
        <f>IF(O1113="返货",(Z1113-Q1113)/(1+N1113),IF(O1113="返现",(Z1113-Q1113),IF(O1113="折扣",(Z1113-Q1113)*N1113,IF(O1113="无",(Z1113-Q1113)))))</f>
        <v>18362.1153846154</v>
      </c>
      <c r="AC1113" s="168">
        <f t="shared" si="257"/>
        <v>15222.9846153846</v>
      </c>
      <c r="AD1113" s="158">
        <f t="shared" si="264"/>
        <v>18459.6518720228</v>
      </c>
      <c r="AE1113" s="159">
        <v>0.04</v>
      </c>
      <c r="AF1113" s="158">
        <f t="shared" si="262"/>
        <v>738.386074880913</v>
      </c>
      <c r="AG1113" s="158">
        <v>1343.404</v>
      </c>
      <c r="AH1113" s="175"/>
      <c r="AI1113" s="175"/>
      <c r="AJ1113" s="157">
        <v>0.04</v>
      </c>
      <c r="AM1113" s="152" t="s">
        <v>208</v>
      </c>
    </row>
    <row r="1114" s="140" customFormat="1" ht="15" hidden="1" customHeight="1" spans="1:39">
      <c r="A1114" s="140">
        <v>2017</v>
      </c>
      <c r="C1114" s="140" t="s">
        <v>75</v>
      </c>
      <c r="D1114" s="140" t="s">
        <v>518</v>
      </c>
      <c r="F1114" s="152" t="s">
        <v>1063</v>
      </c>
      <c r="G1114" s="152"/>
      <c r="H1114" s="152"/>
      <c r="I1114" s="140" t="s">
        <v>170</v>
      </c>
      <c r="J1114" s="140" t="s">
        <v>575</v>
      </c>
      <c r="K1114" s="140" t="s">
        <v>1051</v>
      </c>
      <c r="L1114" s="140" t="s">
        <v>1063</v>
      </c>
      <c r="M1114" s="140" t="s">
        <v>46</v>
      </c>
      <c r="N1114" s="156">
        <v>0</v>
      </c>
      <c r="O1114" s="156" t="s">
        <v>47</v>
      </c>
      <c r="P1114" s="156" t="s">
        <v>857</v>
      </c>
      <c r="Q1114" s="158">
        <v>3345</v>
      </c>
      <c r="R1114" s="158">
        <v>0</v>
      </c>
      <c r="S1114" s="158"/>
      <c r="T1114" s="158">
        <f t="shared" si="254"/>
        <v>0</v>
      </c>
      <c r="U1114" s="158">
        <f t="shared" si="258"/>
        <v>0</v>
      </c>
      <c r="V1114" s="158">
        <v>0</v>
      </c>
      <c r="W1114" s="158">
        <f t="shared" si="259"/>
        <v>0</v>
      </c>
      <c r="X1114" s="158">
        <f t="shared" si="255"/>
        <v>0</v>
      </c>
      <c r="Y1114" s="158">
        <f t="shared" si="260"/>
        <v>0</v>
      </c>
      <c r="Z1114" s="158">
        <v>3345</v>
      </c>
      <c r="AA1114" s="158">
        <f t="shared" si="256"/>
        <v>0</v>
      </c>
      <c r="AB1114" s="167">
        <f>IF(O1114="返货",(Z1114-Q1114)/(1+N1114),IF(O1114="返现",(Z1114-Q1114),IF(O1114="折扣",(Z1114-Q1114)*N1114,IF(O1114="无",(Z1114-Q1114)))))</f>
        <v>0</v>
      </c>
      <c r="AC1114" s="168">
        <f t="shared" si="257"/>
        <v>3345</v>
      </c>
      <c r="AD1114" s="158">
        <v>0</v>
      </c>
      <c r="AE1114" s="159">
        <v>0.04</v>
      </c>
      <c r="AF1114" s="158">
        <f t="shared" si="262"/>
        <v>0</v>
      </c>
      <c r="AG1114" s="158">
        <v>133.8</v>
      </c>
      <c r="AH1114" s="175"/>
      <c r="AI1114" s="175"/>
      <c r="AJ1114" s="156" t="e">
        <v>#N/A</v>
      </c>
      <c r="AM1114" s="152" t="s">
        <v>208</v>
      </c>
    </row>
    <row r="1115" s="140" customFormat="1" ht="15" hidden="1" customHeight="1" spans="1:39">
      <c r="A1115" s="140">
        <v>2017</v>
      </c>
      <c r="C1115" s="140" t="s">
        <v>59</v>
      </c>
      <c r="D1115" s="140" t="s">
        <v>106</v>
      </c>
      <c r="F1115" s="152" t="s">
        <v>134</v>
      </c>
      <c r="G1115" s="152"/>
      <c r="H1115" s="152"/>
      <c r="I1115" s="140" t="s">
        <v>170</v>
      </c>
      <c r="J1115" s="140" t="s">
        <v>575</v>
      </c>
      <c r="K1115" s="140" t="s">
        <v>1051</v>
      </c>
      <c r="L1115" s="140" t="s">
        <v>134</v>
      </c>
      <c r="M1115" s="140" t="s">
        <v>46</v>
      </c>
      <c r="N1115" s="156">
        <v>0</v>
      </c>
      <c r="O1115" s="156" t="s">
        <v>47</v>
      </c>
      <c r="P1115" s="156" t="s">
        <v>857</v>
      </c>
      <c r="Q1115" s="158">
        <v>4978.8</v>
      </c>
      <c r="R1115" s="158">
        <v>0</v>
      </c>
      <c r="S1115" s="158"/>
      <c r="T1115" s="158">
        <f t="shared" si="254"/>
        <v>0</v>
      </c>
      <c r="U1115" s="158">
        <f t="shared" si="258"/>
        <v>0</v>
      </c>
      <c r="V1115" s="158">
        <v>0</v>
      </c>
      <c r="W1115" s="158">
        <f t="shared" si="259"/>
        <v>0</v>
      </c>
      <c r="X1115" s="158">
        <f t="shared" si="255"/>
        <v>0</v>
      </c>
      <c r="Y1115" s="158">
        <f t="shared" si="260"/>
        <v>0</v>
      </c>
      <c r="Z1115" s="158">
        <v>4978.8</v>
      </c>
      <c r="AA1115" s="158">
        <f t="shared" si="256"/>
        <v>0</v>
      </c>
      <c r="AB1115" s="167">
        <f>IF(O1115="返货",(Z1115-Q1115)/(1+N1115),IF(O1115="返现",(Z1115-Q1115),IF(O1115="折扣",(Z1115-Q1115)*N1115,IF(O1115="无",(Z1115-Q1115)))))</f>
        <v>0</v>
      </c>
      <c r="AC1115" s="168">
        <f t="shared" si="257"/>
        <v>4978.8</v>
      </c>
      <c r="AD1115" s="158">
        <v>0</v>
      </c>
      <c r="AE1115" s="159">
        <v>0.04</v>
      </c>
      <c r="AF1115" s="158">
        <f t="shared" si="262"/>
        <v>0</v>
      </c>
      <c r="AG1115" s="158">
        <v>199.152</v>
      </c>
      <c r="AH1115" s="175"/>
      <c r="AI1115" s="175"/>
      <c r="AJ1115" s="156" t="e">
        <v>#N/A</v>
      </c>
      <c r="AM1115" s="152" t="s">
        <v>208</v>
      </c>
    </row>
    <row r="1116" s="140" customFormat="1" ht="15" hidden="1" customHeight="1" spans="1:39">
      <c r="A1116" s="140">
        <v>2017</v>
      </c>
      <c r="F1116" s="152" t="s">
        <v>1064</v>
      </c>
      <c r="G1116" s="152"/>
      <c r="H1116" s="152"/>
      <c r="I1116" s="140" t="s">
        <v>170</v>
      </c>
      <c r="J1116" s="140" t="s">
        <v>575</v>
      </c>
      <c r="K1116" s="140" t="s">
        <v>1051</v>
      </c>
      <c r="L1116" s="140" t="s">
        <v>1064</v>
      </c>
      <c r="M1116" s="140" t="s">
        <v>46</v>
      </c>
      <c r="N1116" s="156">
        <v>0</v>
      </c>
      <c r="O1116" s="156" t="s">
        <v>47</v>
      </c>
      <c r="P1116" s="156" t="s">
        <v>857</v>
      </c>
      <c r="Q1116" s="158">
        <v>6717.2</v>
      </c>
      <c r="R1116" s="158">
        <v>0</v>
      </c>
      <c r="S1116" s="158"/>
      <c r="T1116" s="158">
        <f t="shared" si="254"/>
        <v>0</v>
      </c>
      <c r="U1116" s="158">
        <f t="shared" si="258"/>
        <v>0</v>
      </c>
      <c r="V1116" s="158">
        <v>0</v>
      </c>
      <c r="W1116" s="158">
        <f t="shared" si="259"/>
        <v>0</v>
      </c>
      <c r="X1116" s="158">
        <f t="shared" si="255"/>
        <v>0</v>
      </c>
      <c r="Y1116" s="158">
        <f t="shared" si="260"/>
        <v>0</v>
      </c>
      <c r="Z1116" s="158">
        <v>6717.2</v>
      </c>
      <c r="AA1116" s="158">
        <f t="shared" si="256"/>
        <v>0</v>
      </c>
      <c r="AB1116" s="167">
        <f>IF(O1116="返货",(Z1116-Q1116)/(1+N1116),IF(O1116="返现",(Z1116-Q1116),IF(O1116="折扣",(Z1116-Q1116)*N1116,IF(O1116="无",(Z1116-Q1116)))))</f>
        <v>0</v>
      </c>
      <c r="AC1116" s="168">
        <f t="shared" si="257"/>
        <v>6717.2</v>
      </c>
      <c r="AD1116" s="158">
        <v>0</v>
      </c>
      <c r="AE1116" s="159">
        <v>0.04</v>
      </c>
      <c r="AF1116" s="158">
        <f t="shared" ref="AF1116:AF1154" si="265">AD1116*AE1116</f>
        <v>0</v>
      </c>
      <c r="AG1116" s="158">
        <v>268.688</v>
      </c>
      <c r="AH1116" s="175"/>
      <c r="AI1116" s="175"/>
      <c r="AJ1116" s="156" t="e">
        <v>#N/A</v>
      </c>
      <c r="AM1116" s="152" t="s">
        <v>208</v>
      </c>
    </row>
    <row r="1117" s="140" customFormat="1" ht="15" hidden="1" customHeight="1" spans="1:39">
      <c r="A1117" s="140">
        <v>2017</v>
      </c>
      <c r="B1117" s="140" t="s">
        <v>252</v>
      </c>
      <c r="C1117" s="140" t="s">
        <v>88</v>
      </c>
      <c r="D1117" s="140" t="s">
        <v>95</v>
      </c>
      <c r="E1117" s="140" t="s">
        <v>98</v>
      </c>
      <c r="F1117" s="140" t="s">
        <v>1065</v>
      </c>
      <c r="G1117" s="140" t="s">
        <v>1066</v>
      </c>
      <c r="H1117" s="140" t="s">
        <v>1066</v>
      </c>
      <c r="I1117" s="140" t="s">
        <v>170</v>
      </c>
      <c r="J1117" s="140" t="s">
        <v>605</v>
      </c>
      <c r="K1117" s="140" t="s">
        <v>1067</v>
      </c>
      <c r="L1117" s="140" t="s">
        <v>1065</v>
      </c>
      <c r="M1117" s="140" t="s">
        <v>46</v>
      </c>
      <c r="N1117" s="156">
        <v>0</v>
      </c>
      <c r="O1117" s="156" t="s">
        <v>47</v>
      </c>
      <c r="P1117" s="156"/>
      <c r="Q1117" s="158">
        <v>0</v>
      </c>
      <c r="R1117" s="158">
        <v>0</v>
      </c>
      <c r="S1117" s="158">
        <v>10000</v>
      </c>
      <c r="T1117" s="158">
        <f t="shared" si="254"/>
        <v>0</v>
      </c>
      <c r="U1117" s="158">
        <f t="shared" si="258"/>
        <v>10000</v>
      </c>
      <c r="V1117" s="158">
        <v>0</v>
      </c>
      <c r="W1117" s="158">
        <f t="shared" si="259"/>
        <v>10000</v>
      </c>
      <c r="X1117" s="158">
        <f t="shared" si="255"/>
        <v>10000</v>
      </c>
      <c r="Y1117" s="158">
        <f t="shared" si="260"/>
        <v>0</v>
      </c>
      <c r="Z1117" s="158">
        <v>0</v>
      </c>
      <c r="AA1117" s="158">
        <f t="shared" si="256"/>
        <v>0</v>
      </c>
      <c r="AB1117" s="167">
        <f t="shared" ref="AB1117:AB1154" si="266">IF(O1117="返货",Z1117/(1+N1117),IF(O1117="返现",Z1117,IF(O1117="折扣",Z1117*N1117,IF(O1117="无",Z1117))))</f>
        <v>0</v>
      </c>
      <c r="AC1117" s="168">
        <f t="shared" si="257"/>
        <v>0</v>
      </c>
      <c r="AD1117" s="158">
        <v>0</v>
      </c>
      <c r="AE1117" s="159">
        <v>0.04</v>
      </c>
      <c r="AF1117" s="158">
        <f t="shared" si="265"/>
        <v>0</v>
      </c>
      <c r="AG1117" s="158">
        <v>0</v>
      </c>
      <c r="AH1117" s="175"/>
      <c r="AI1117" s="175"/>
      <c r="AJ1117" s="156" t="s">
        <v>47</v>
      </c>
      <c r="AK1117" s="140" t="s">
        <v>47</v>
      </c>
      <c r="AM1117" s="152"/>
    </row>
    <row r="1118" s="140" customFormat="1" ht="15" hidden="1" customHeight="1" spans="1:39">
      <c r="A1118" s="140">
        <v>2017</v>
      </c>
      <c r="B1118" s="140" t="s">
        <v>38</v>
      </c>
      <c r="C1118" s="140" t="s">
        <v>75</v>
      </c>
      <c r="D1118" s="140" t="s">
        <v>76</v>
      </c>
      <c r="E1118" s="140" t="s">
        <v>167</v>
      </c>
      <c r="F1118" s="140" t="s">
        <v>216</v>
      </c>
      <c r="G1118" s="140" t="s">
        <v>216</v>
      </c>
      <c r="H1118" s="140" t="s">
        <v>216</v>
      </c>
      <c r="I1118" s="140" t="s">
        <v>170</v>
      </c>
      <c r="J1118" s="140" t="s">
        <v>605</v>
      </c>
      <c r="K1118" s="140" t="s">
        <v>1068</v>
      </c>
      <c r="L1118" s="140" t="s">
        <v>216</v>
      </c>
      <c r="M1118" s="140" t="s">
        <v>46</v>
      </c>
      <c r="N1118" s="157">
        <v>0.02</v>
      </c>
      <c r="O1118" s="156" t="s">
        <v>51</v>
      </c>
      <c r="P1118" s="156"/>
      <c r="Q1118" s="158">
        <v>0</v>
      </c>
      <c r="R1118" s="158">
        <v>0</v>
      </c>
      <c r="S1118" s="158">
        <v>700000</v>
      </c>
      <c r="T1118" s="158">
        <f t="shared" si="254"/>
        <v>14000</v>
      </c>
      <c r="U1118" s="158">
        <f t="shared" si="258"/>
        <v>714000</v>
      </c>
      <c r="V1118" s="158">
        <v>1646000</v>
      </c>
      <c r="W1118" s="158">
        <f t="shared" si="259"/>
        <v>-932000</v>
      </c>
      <c r="X1118" s="158">
        <f t="shared" si="255"/>
        <v>-913725.490196078</v>
      </c>
      <c r="Y1118" s="158">
        <f t="shared" si="260"/>
        <v>-18274.5098039216</v>
      </c>
      <c r="Z1118" s="158">
        <v>1601768</v>
      </c>
      <c r="AA1118" s="158">
        <f t="shared" si="256"/>
        <v>44232</v>
      </c>
      <c r="AB1118" s="167">
        <f t="shared" si="266"/>
        <v>1570360.78431373</v>
      </c>
      <c r="AC1118" s="168">
        <f t="shared" si="257"/>
        <v>31407.2156862745</v>
      </c>
      <c r="AD1118" s="158">
        <v>1601768</v>
      </c>
      <c r="AE1118" s="159">
        <v>0.06</v>
      </c>
      <c r="AF1118" s="158">
        <f t="shared" si="265"/>
        <v>96106.08</v>
      </c>
      <c r="AG1118" s="158">
        <v>64698.8643137255</v>
      </c>
      <c r="AH1118" s="175"/>
      <c r="AI1118" s="175"/>
      <c r="AJ1118" s="156" t="s">
        <v>173</v>
      </c>
      <c r="AK1118" s="140" t="s">
        <v>173</v>
      </c>
      <c r="AM1118" s="152"/>
    </row>
    <row r="1119" s="140" customFormat="1" ht="15" hidden="1" customHeight="1" spans="1:39">
      <c r="A1119" s="140">
        <v>2017</v>
      </c>
      <c r="B1119" s="140" t="s">
        <v>38</v>
      </c>
      <c r="C1119" s="140" t="s">
        <v>75</v>
      </c>
      <c r="D1119" s="140" t="s">
        <v>76</v>
      </c>
      <c r="E1119" s="140" t="s">
        <v>167</v>
      </c>
      <c r="F1119" s="140" t="s">
        <v>918</v>
      </c>
      <c r="G1119" s="140" t="s">
        <v>919</v>
      </c>
      <c r="H1119" s="140" t="s">
        <v>919</v>
      </c>
      <c r="I1119" s="140" t="s">
        <v>170</v>
      </c>
      <c r="J1119" s="140" t="s">
        <v>605</v>
      </c>
      <c r="K1119" s="140" t="s">
        <v>1067</v>
      </c>
      <c r="L1119" s="140" t="s">
        <v>919</v>
      </c>
      <c r="M1119" s="140" t="s">
        <v>46</v>
      </c>
      <c r="N1119" s="157">
        <v>0.04</v>
      </c>
      <c r="O1119" s="156" t="s">
        <v>51</v>
      </c>
      <c r="P1119" s="156"/>
      <c r="Q1119" s="158">
        <v>0</v>
      </c>
      <c r="R1119" s="158">
        <v>0</v>
      </c>
      <c r="S1119" s="158">
        <v>259615.38</v>
      </c>
      <c r="T1119" s="158">
        <f t="shared" si="254"/>
        <v>10384.6152</v>
      </c>
      <c r="U1119" s="158">
        <f t="shared" si="258"/>
        <v>269999.9952</v>
      </c>
      <c r="V1119" s="158">
        <v>269999.9952</v>
      </c>
      <c r="W1119" s="158">
        <f t="shared" si="259"/>
        <v>0</v>
      </c>
      <c r="X1119" s="158">
        <f t="shared" si="255"/>
        <v>0</v>
      </c>
      <c r="Y1119" s="158">
        <f t="shared" si="260"/>
        <v>0</v>
      </c>
      <c r="Z1119" s="158">
        <v>152938.8</v>
      </c>
      <c r="AA1119" s="158">
        <f t="shared" si="256"/>
        <v>117061.1952</v>
      </c>
      <c r="AB1119" s="167">
        <f t="shared" si="266"/>
        <v>147056.538461538</v>
      </c>
      <c r="AC1119" s="168">
        <f t="shared" si="257"/>
        <v>5882.26153846155</v>
      </c>
      <c r="AD1119" s="158">
        <v>152938.8</v>
      </c>
      <c r="AE1119" s="159">
        <v>0.04</v>
      </c>
      <c r="AF1119" s="158">
        <f t="shared" si="265"/>
        <v>6117.552</v>
      </c>
      <c r="AG1119" s="158">
        <v>248.446615384607</v>
      </c>
      <c r="AH1119" s="175"/>
      <c r="AI1119" s="175"/>
      <c r="AJ1119" s="156" t="s">
        <v>186</v>
      </c>
      <c r="AK1119" s="140" t="s">
        <v>186</v>
      </c>
      <c r="AM1119" s="152" t="s">
        <v>174</v>
      </c>
    </row>
    <row r="1120" s="140" customFormat="1" ht="15" hidden="1" customHeight="1" spans="1:39">
      <c r="A1120" s="140">
        <v>2017</v>
      </c>
      <c r="B1120" s="140" t="s">
        <v>38</v>
      </c>
      <c r="C1120" s="140" t="s">
        <v>75</v>
      </c>
      <c r="D1120" s="140" t="s">
        <v>76</v>
      </c>
      <c r="E1120" s="140" t="s">
        <v>167</v>
      </c>
      <c r="F1120" s="140" t="s">
        <v>918</v>
      </c>
      <c r="G1120" s="140" t="s">
        <v>919</v>
      </c>
      <c r="H1120" s="140" t="s">
        <v>919</v>
      </c>
      <c r="I1120" s="140" t="s">
        <v>170</v>
      </c>
      <c r="J1120" s="140" t="s">
        <v>605</v>
      </c>
      <c r="K1120" s="140" t="s">
        <v>1068</v>
      </c>
      <c r="L1120" s="140" t="s">
        <v>919</v>
      </c>
      <c r="M1120" s="140" t="s">
        <v>46</v>
      </c>
      <c r="N1120" s="157">
        <v>0.04</v>
      </c>
      <c r="O1120" s="156" t="s">
        <v>51</v>
      </c>
      <c r="P1120" s="156"/>
      <c r="Q1120" s="158">
        <v>0</v>
      </c>
      <c r="R1120" s="158">
        <v>0</v>
      </c>
      <c r="S1120" s="158">
        <v>403846.15</v>
      </c>
      <c r="T1120" s="158">
        <f t="shared" si="254"/>
        <v>16153.846</v>
      </c>
      <c r="U1120" s="158">
        <f t="shared" si="258"/>
        <v>419999.996</v>
      </c>
      <c r="V1120" s="158">
        <v>419999.996</v>
      </c>
      <c r="W1120" s="158">
        <f t="shared" si="259"/>
        <v>0</v>
      </c>
      <c r="X1120" s="158">
        <f t="shared" si="255"/>
        <v>0</v>
      </c>
      <c r="Y1120" s="158">
        <f t="shared" si="260"/>
        <v>0</v>
      </c>
      <c r="Z1120" s="158">
        <v>520809</v>
      </c>
      <c r="AA1120" s="158">
        <f t="shared" si="256"/>
        <v>-100809.004</v>
      </c>
      <c r="AB1120" s="167">
        <f t="shared" si="266"/>
        <v>500777.884615385</v>
      </c>
      <c r="AC1120" s="168">
        <f t="shared" si="257"/>
        <v>20031.1153846154</v>
      </c>
      <c r="AD1120" s="158">
        <v>520809</v>
      </c>
      <c r="AE1120" s="159">
        <v>0.06</v>
      </c>
      <c r="AF1120" s="158">
        <f t="shared" si="265"/>
        <v>31248.54</v>
      </c>
      <c r="AG1120" s="158">
        <v>11217.4246153846</v>
      </c>
      <c r="AH1120" s="175"/>
      <c r="AI1120" s="175"/>
      <c r="AJ1120" s="156" t="s">
        <v>186</v>
      </c>
      <c r="AK1120" s="140" t="s">
        <v>186</v>
      </c>
      <c r="AM1120" s="152"/>
    </row>
    <row r="1121" s="140" customFormat="1" ht="15" hidden="1" customHeight="1" spans="1:39">
      <c r="A1121" s="140">
        <v>2017</v>
      </c>
      <c r="B1121" s="140" t="s">
        <v>252</v>
      </c>
      <c r="C1121" s="140" t="s">
        <v>75</v>
      </c>
      <c r="D1121" s="140" t="s">
        <v>256</v>
      </c>
      <c r="E1121" s="140" t="s">
        <v>649</v>
      </c>
      <c r="F1121" s="140" t="s">
        <v>688</v>
      </c>
      <c r="G1121" s="140" t="s">
        <v>689</v>
      </c>
      <c r="H1121" s="140" t="s">
        <v>689</v>
      </c>
      <c r="I1121" s="140" t="s">
        <v>170</v>
      </c>
      <c r="J1121" s="140" t="s">
        <v>605</v>
      </c>
      <c r="K1121" s="140" t="s">
        <v>1067</v>
      </c>
      <c r="L1121" s="140" t="s">
        <v>688</v>
      </c>
      <c r="M1121" s="140" t="s">
        <v>46</v>
      </c>
      <c r="N1121" s="157">
        <v>0.04</v>
      </c>
      <c r="O1121" s="156" t="s">
        <v>51</v>
      </c>
      <c r="P1121" s="156"/>
      <c r="Q1121" s="158">
        <v>0</v>
      </c>
      <c r="R1121" s="158">
        <v>0</v>
      </c>
      <c r="S1121" s="158">
        <v>1800000</v>
      </c>
      <c r="T1121" s="158">
        <f t="shared" si="254"/>
        <v>72000</v>
      </c>
      <c r="U1121" s="158">
        <f t="shared" si="258"/>
        <v>1872000</v>
      </c>
      <c r="V1121" s="158">
        <v>2375000</v>
      </c>
      <c r="W1121" s="158">
        <f t="shared" si="259"/>
        <v>-503000</v>
      </c>
      <c r="X1121" s="158">
        <f t="shared" si="255"/>
        <v>-483653.846153846</v>
      </c>
      <c r="Y1121" s="158">
        <f t="shared" si="260"/>
        <v>-19346.1538461539</v>
      </c>
      <c r="Z1121" s="158">
        <v>1716895.7</v>
      </c>
      <c r="AA1121" s="158">
        <f t="shared" si="256"/>
        <v>658104.3</v>
      </c>
      <c r="AB1121" s="167">
        <f t="shared" si="266"/>
        <v>1650861.25</v>
      </c>
      <c r="AC1121" s="168">
        <f t="shared" si="257"/>
        <v>66034.45</v>
      </c>
      <c r="AD1121" s="158">
        <v>1716895.7</v>
      </c>
      <c r="AE1121" s="159">
        <v>0.04</v>
      </c>
      <c r="AF1121" s="158">
        <f t="shared" si="265"/>
        <v>68675.828</v>
      </c>
      <c r="AG1121" s="158">
        <v>2641.37800000006</v>
      </c>
      <c r="AH1121" s="175"/>
      <c r="AI1121" s="175"/>
      <c r="AJ1121" s="156" t="s">
        <v>186</v>
      </c>
      <c r="AK1121" s="140" t="s">
        <v>186</v>
      </c>
      <c r="AM1121" s="152"/>
    </row>
    <row r="1122" s="140" customFormat="1" ht="15" hidden="1" customHeight="1" spans="1:39">
      <c r="A1122" s="140">
        <v>2017</v>
      </c>
      <c r="B1122" s="140" t="s">
        <v>252</v>
      </c>
      <c r="C1122" s="140" t="s">
        <v>75</v>
      </c>
      <c r="D1122" s="140" t="s">
        <v>256</v>
      </c>
      <c r="E1122" s="140" t="s">
        <v>257</v>
      </c>
      <c r="F1122" s="140" t="s">
        <v>688</v>
      </c>
      <c r="G1122" s="140" t="s">
        <v>689</v>
      </c>
      <c r="H1122" s="140" t="s">
        <v>689</v>
      </c>
      <c r="I1122" s="140" t="s">
        <v>170</v>
      </c>
      <c r="J1122" s="140" t="s">
        <v>605</v>
      </c>
      <c r="K1122" s="140" t="s">
        <v>1068</v>
      </c>
      <c r="L1122" s="140" t="s">
        <v>688</v>
      </c>
      <c r="M1122" s="140" t="s">
        <v>46</v>
      </c>
      <c r="N1122" s="157">
        <v>0.04</v>
      </c>
      <c r="O1122" s="156" t="s">
        <v>51</v>
      </c>
      <c r="P1122" s="156"/>
      <c r="Q1122" s="158">
        <v>0</v>
      </c>
      <c r="R1122" s="158">
        <v>0</v>
      </c>
      <c r="S1122" s="158">
        <v>800000</v>
      </c>
      <c r="T1122" s="158">
        <f t="shared" si="254"/>
        <v>32000</v>
      </c>
      <c r="U1122" s="158">
        <f t="shared" si="258"/>
        <v>832000</v>
      </c>
      <c r="V1122" s="158">
        <v>3275000</v>
      </c>
      <c r="W1122" s="158">
        <f t="shared" si="259"/>
        <v>-2443000</v>
      </c>
      <c r="X1122" s="158">
        <f t="shared" si="255"/>
        <v>-2349038.46153846</v>
      </c>
      <c r="Y1122" s="158">
        <f t="shared" si="260"/>
        <v>-93961.5384615385</v>
      </c>
      <c r="Z1122" s="158">
        <v>3824496.8</v>
      </c>
      <c r="AA1122" s="158">
        <f t="shared" si="256"/>
        <v>-549496.8</v>
      </c>
      <c r="AB1122" s="167">
        <f t="shared" si="266"/>
        <v>3677400.76923077</v>
      </c>
      <c r="AC1122" s="168">
        <f t="shared" si="257"/>
        <v>147096.030769231</v>
      </c>
      <c r="AD1122" s="158">
        <v>3824496.8</v>
      </c>
      <c r="AE1122" s="159">
        <v>0.06</v>
      </c>
      <c r="AF1122" s="158">
        <f t="shared" si="265"/>
        <v>229469.808</v>
      </c>
      <c r="AG1122" s="158">
        <v>82373.7772307691</v>
      </c>
      <c r="AH1122" s="175"/>
      <c r="AI1122" s="175"/>
      <c r="AJ1122" s="156" t="s">
        <v>186</v>
      </c>
      <c r="AK1122" s="140" t="s">
        <v>186</v>
      </c>
      <c r="AM1122" s="152"/>
    </row>
    <row r="1123" s="140" customFormat="1" ht="15" hidden="1" customHeight="1" spans="1:39">
      <c r="A1123" s="140">
        <v>2017</v>
      </c>
      <c r="B1123" s="140" t="s">
        <v>38</v>
      </c>
      <c r="C1123" s="140" t="s">
        <v>39</v>
      </c>
      <c r="D1123" s="140" t="s">
        <v>40</v>
      </c>
      <c r="E1123" s="140" t="s">
        <v>41</v>
      </c>
      <c r="F1123" s="140" t="s">
        <v>42</v>
      </c>
      <c r="G1123" s="140" t="s">
        <v>42</v>
      </c>
      <c r="H1123" s="140" t="s">
        <v>42</v>
      </c>
      <c r="I1123" s="140" t="s">
        <v>170</v>
      </c>
      <c r="J1123" s="140" t="s">
        <v>605</v>
      </c>
      <c r="K1123" s="140" t="s">
        <v>1067</v>
      </c>
      <c r="L1123" s="140" t="s">
        <v>42</v>
      </c>
      <c r="M1123" s="140" t="s">
        <v>46</v>
      </c>
      <c r="N1123" s="156">
        <v>0</v>
      </c>
      <c r="O1123" s="156" t="s">
        <v>47</v>
      </c>
      <c r="P1123" s="156"/>
      <c r="Q1123" s="158">
        <v>0</v>
      </c>
      <c r="R1123" s="158">
        <v>0</v>
      </c>
      <c r="S1123" s="158">
        <v>30000</v>
      </c>
      <c r="T1123" s="158">
        <f t="shared" si="254"/>
        <v>0</v>
      </c>
      <c r="U1123" s="158">
        <f t="shared" si="258"/>
        <v>30000</v>
      </c>
      <c r="V1123" s="158">
        <v>30000</v>
      </c>
      <c r="W1123" s="158">
        <f t="shared" si="259"/>
        <v>0</v>
      </c>
      <c r="X1123" s="158">
        <f t="shared" si="255"/>
        <v>0</v>
      </c>
      <c r="Y1123" s="158">
        <f t="shared" si="260"/>
        <v>0</v>
      </c>
      <c r="Z1123" s="158">
        <v>1660.9</v>
      </c>
      <c r="AA1123" s="158">
        <f t="shared" si="256"/>
        <v>28339.1</v>
      </c>
      <c r="AB1123" s="167">
        <f t="shared" si="266"/>
        <v>1660.9</v>
      </c>
      <c r="AC1123" s="168">
        <f t="shared" si="257"/>
        <v>0</v>
      </c>
      <c r="AD1123" s="158">
        <v>1660.9</v>
      </c>
      <c r="AE1123" s="159">
        <v>0.04</v>
      </c>
      <c r="AF1123" s="158">
        <f t="shared" si="265"/>
        <v>66.436</v>
      </c>
      <c r="AG1123" s="158">
        <v>66.436</v>
      </c>
      <c r="AH1123" s="175"/>
      <c r="AI1123" s="175"/>
      <c r="AJ1123" s="156" t="s">
        <v>47</v>
      </c>
      <c r="AK1123" s="177">
        <v>0</v>
      </c>
      <c r="AM1123" s="152"/>
    </row>
    <row r="1124" s="140" customFormat="1" ht="15" hidden="1" customHeight="1" spans="1:39">
      <c r="A1124" s="140">
        <v>2017</v>
      </c>
      <c r="B1124" s="140" t="s">
        <v>38</v>
      </c>
      <c r="C1124" s="140" t="s">
        <v>39</v>
      </c>
      <c r="D1124" s="140" t="s">
        <v>40</v>
      </c>
      <c r="E1124" s="140" t="s">
        <v>41</v>
      </c>
      <c r="F1124" s="140" t="s">
        <v>42</v>
      </c>
      <c r="G1124" s="140" t="s">
        <v>42</v>
      </c>
      <c r="H1124" s="140" t="s">
        <v>42</v>
      </c>
      <c r="I1124" s="140" t="s">
        <v>170</v>
      </c>
      <c r="J1124" s="140" t="s">
        <v>605</v>
      </c>
      <c r="K1124" s="140" t="s">
        <v>1067</v>
      </c>
      <c r="L1124" s="140" t="s">
        <v>42</v>
      </c>
      <c r="M1124" s="140" t="s">
        <v>185</v>
      </c>
      <c r="N1124" s="159">
        <v>0</v>
      </c>
      <c r="O1124" s="156" t="e">
        <v>#N/A</v>
      </c>
      <c r="P1124" s="156"/>
      <c r="Q1124" s="158">
        <v>0</v>
      </c>
      <c r="R1124" s="158">
        <v>0</v>
      </c>
      <c r="S1124" s="158">
        <v>0</v>
      </c>
      <c r="T1124" s="158">
        <f t="shared" si="254"/>
        <v>0</v>
      </c>
      <c r="U1124" s="158">
        <f t="shared" si="258"/>
        <v>0</v>
      </c>
      <c r="V1124" s="158">
        <v>2000</v>
      </c>
      <c r="W1124" s="158">
        <f t="shared" si="259"/>
        <v>-2000</v>
      </c>
      <c r="X1124" s="158">
        <f t="shared" si="255"/>
        <v>-2000</v>
      </c>
      <c r="Y1124" s="158">
        <f t="shared" si="260"/>
        <v>0</v>
      </c>
      <c r="Z1124" s="158">
        <v>0</v>
      </c>
      <c r="AA1124" s="158">
        <f t="shared" si="256"/>
        <v>2000</v>
      </c>
      <c r="AB1124" s="167">
        <v>0</v>
      </c>
      <c r="AC1124" s="168" t="e">
        <f t="shared" si="257"/>
        <v>#N/A</v>
      </c>
      <c r="AD1124" s="158">
        <v>0</v>
      </c>
      <c r="AE1124" s="159">
        <v>0.08</v>
      </c>
      <c r="AF1124" s="158">
        <f t="shared" si="265"/>
        <v>0</v>
      </c>
      <c r="AG1124" s="158">
        <v>0</v>
      </c>
      <c r="AH1124" s="175"/>
      <c r="AI1124" s="175"/>
      <c r="AJ1124" s="156" t="e">
        <v>#N/A</v>
      </c>
      <c r="AK1124" s="177">
        <v>0</v>
      </c>
      <c r="AM1124" s="152"/>
    </row>
    <row r="1125" s="140" customFormat="1" ht="15" hidden="1" customHeight="1" spans="1:39">
      <c r="A1125" s="140">
        <v>2017</v>
      </c>
      <c r="B1125" s="140" t="s">
        <v>38</v>
      </c>
      <c r="C1125" s="140" t="s">
        <v>39</v>
      </c>
      <c r="D1125" s="140" t="s">
        <v>40</v>
      </c>
      <c r="E1125" s="140" t="s">
        <v>41</v>
      </c>
      <c r="F1125" s="140" t="s">
        <v>42</v>
      </c>
      <c r="G1125" s="140" t="s">
        <v>42</v>
      </c>
      <c r="H1125" s="140" t="s">
        <v>42</v>
      </c>
      <c r="I1125" s="140" t="s">
        <v>170</v>
      </c>
      <c r="J1125" s="140" t="s">
        <v>605</v>
      </c>
      <c r="K1125" s="140" t="s">
        <v>1068</v>
      </c>
      <c r="L1125" s="140" t="s">
        <v>42</v>
      </c>
      <c r="M1125" s="140" t="s">
        <v>46</v>
      </c>
      <c r="N1125" s="156">
        <v>0</v>
      </c>
      <c r="O1125" s="156" t="s">
        <v>47</v>
      </c>
      <c r="P1125" s="156"/>
      <c r="Q1125" s="158">
        <v>0</v>
      </c>
      <c r="R1125" s="158">
        <v>0</v>
      </c>
      <c r="S1125" s="158">
        <v>60000</v>
      </c>
      <c r="T1125" s="158">
        <f t="shared" si="254"/>
        <v>0</v>
      </c>
      <c r="U1125" s="158">
        <f t="shared" si="258"/>
        <v>60000</v>
      </c>
      <c r="V1125" s="158">
        <v>63000</v>
      </c>
      <c r="W1125" s="158">
        <f t="shared" si="259"/>
        <v>-3000</v>
      </c>
      <c r="X1125" s="158">
        <f t="shared" si="255"/>
        <v>-3000</v>
      </c>
      <c r="Y1125" s="158">
        <f t="shared" si="260"/>
        <v>0</v>
      </c>
      <c r="Z1125" s="158">
        <v>88413.6</v>
      </c>
      <c r="AA1125" s="158">
        <f t="shared" si="256"/>
        <v>-25413.6</v>
      </c>
      <c r="AB1125" s="167">
        <f t="shared" si="266"/>
        <v>88413.6</v>
      </c>
      <c r="AC1125" s="168">
        <f t="shared" si="257"/>
        <v>0</v>
      </c>
      <c r="AD1125" s="158">
        <v>88413.6</v>
      </c>
      <c r="AE1125" s="159">
        <v>0.06</v>
      </c>
      <c r="AF1125" s="158">
        <f t="shared" si="265"/>
        <v>5304.816</v>
      </c>
      <c r="AG1125" s="158">
        <v>5304.816</v>
      </c>
      <c r="AH1125" s="175"/>
      <c r="AI1125" s="175"/>
      <c r="AJ1125" s="156" t="s">
        <v>47</v>
      </c>
      <c r="AK1125" s="177">
        <v>0</v>
      </c>
      <c r="AM1125" s="152"/>
    </row>
    <row r="1126" s="140" customFormat="1" ht="15" hidden="1" customHeight="1" spans="1:39">
      <c r="A1126" s="140">
        <v>2017</v>
      </c>
      <c r="B1126" s="140" t="s">
        <v>38</v>
      </c>
      <c r="C1126" s="140" t="s">
        <v>59</v>
      </c>
      <c r="D1126" s="140" t="s">
        <v>181</v>
      </c>
      <c r="E1126" s="140" t="s">
        <v>468</v>
      </c>
      <c r="F1126" s="140" t="s">
        <v>1069</v>
      </c>
      <c r="G1126" s="140" t="s">
        <v>1069</v>
      </c>
      <c r="H1126" s="140" t="s">
        <v>1069</v>
      </c>
      <c r="I1126" s="140" t="s">
        <v>170</v>
      </c>
      <c r="J1126" s="140" t="s">
        <v>605</v>
      </c>
      <c r="K1126" s="140" t="s">
        <v>1068</v>
      </c>
      <c r="L1126" s="140" t="s">
        <v>1070</v>
      </c>
      <c r="M1126" s="140" t="s">
        <v>46</v>
      </c>
      <c r="N1126" s="157">
        <v>0.02</v>
      </c>
      <c r="O1126" s="156" t="s">
        <v>51</v>
      </c>
      <c r="P1126" s="156"/>
      <c r="Q1126" s="158">
        <v>0</v>
      </c>
      <c r="R1126" s="158">
        <v>0</v>
      </c>
      <c r="S1126" s="158">
        <v>10000</v>
      </c>
      <c r="T1126" s="158">
        <f t="shared" si="254"/>
        <v>200</v>
      </c>
      <c r="U1126" s="158">
        <f t="shared" si="258"/>
        <v>10200</v>
      </c>
      <c r="V1126" s="158">
        <v>10200</v>
      </c>
      <c r="W1126" s="158">
        <f t="shared" si="259"/>
        <v>0</v>
      </c>
      <c r="X1126" s="158">
        <f t="shared" si="255"/>
        <v>0</v>
      </c>
      <c r="Y1126" s="158">
        <f t="shared" si="260"/>
        <v>0</v>
      </c>
      <c r="Z1126" s="158">
        <v>1986.1</v>
      </c>
      <c r="AA1126" s="158">
        <f t="shared" si="256"/>
        <v>8213.9</v>
      </c>
      <c r="AB1126" s="167">
        <f t="shared" si="266"/>
        <v>1947.1568627451</v>
      </c>
      <c r="AC1126" s="168">
        <f t="shared" si="257"/>
        <v>38.943137254902</v>
      </c>
      <c r="AD1126" s="158">
        <v>1986.1</v>
      </c>
      <c r="AE1126" s="159">
        <v>0.06</v>
      </c>
      <c r="AF1126" s="158">
        <f t="shared" si="265"/>
        <v>119.166</v>
      </c>
      <c r="AG1126" s="158">
        <v>80.222862745098</v>
      </c>
      <c r="AH1126" s="175"/>
      <c r="AI1126" s="175"/>
      <c r="AJ1126" s="157">
        <v>0.02</v>
      </c>
      <c r="AK1126" s="140" t="s">
        <v>173</v>
      </c>
      <c r="AM1126" s="152"/>
    </row>
    <row r="1127" s="140" customFormat="1" ht="15" hidden="1" customHeight="1" spans="1:39">
      <c r="A1127" s="140">
        <v>2017</v>
      </c>
      <c r="B1127" s="140" t="s">
        <v>38</v>
      </c>
      <c r="C1127" s="140" t="s">
        <v>59</v>
      </c>
      <c r="D1127" s="140" t="s">
        <v>60</v>
      </c>
      <c r="E1127" s="140" t="s">
        <v>190</v>
      </c>
      <c r="F1127" s="140" t="s">
        <v>478</v>
      </c>
      <c r="G1127" s="140" t="s">
        <v>478</v>
      </c>
      <c r="H1127" s="140" t="s">
        <v>478</v>
      </c>
      <c r="I1127" s="140" t="s">
        <v>170</v>
      </c>
      <c r="J1127" s="140" t="s">
        <v>605</v>
      </c>
      <c r="K1127" s="140" t="s">
        <v>1068</v>
      </c>
      <c r="L1127" s="140" t="s">
        <v>987</v>
      </c>
      <c r="M1127" s="140" t="s">
        <v>46</v>
      </c>
      <c r="N1127" s="157">
        <v>0.04</v>
      </c>
      <c r="O1127" s="156" t="s">
        <v>51</v>
      </c>
      <c r="P1127" s="156" t="s">
        <v>440</v>
      </c>
      <c r="Q1127" s="158">
        <v>0</v>
      </c>
      <c r="R1127" s="158">
        <v>0</v>
      </c>
      <c r="S1127" s="158">
        <v>719825.2</v>
      </c>
      <c r="T1127" s="158">
        <f t="shared" si="254"/>
        <v>28793.008</v>
      </c>
      <c r="U1127" s="158">
        <f t="shared" si="258"/>
        <v>748618.208</v>
      </c>
      <c r="V1127" s="158">
        <v>688221.7</v>
      </c>
      <c r="W1127" s="158">
        <f t="shared" si="259"/>
        <v>60396.508</v>
      </c>
      <c r="X1127" s="158">
        <f t="shared" si="255"/>
        <v>58073.5653846154</v>
      </c>
      <c r="Y1127" s="158">
        <f t="shared" si="260"/>
        <v>2322.94261538462</v>
      </c>
      <c r="Z1127" s="158">
        <f>564061-Z1164</f>
        <v>441839.3</v>
      </c>
      <c r="AA1127" s="158">
        <f t="shared" si="256"/>
        <v>246382.4</v>
      </c>
      <c r="AB1127" s="167">
        <f t="shared" si="266"/>
        <v>424845.480769231</v>
      </c>
      <c r="AC1127" s="168">
        <f t="shared" si="257"/>
        <v>16993.8192307692</v>
      </c>
      <c r="AD1127" s="158">
        <v>564061</v>
      </c>
      <c r="AE1127" s="159">
        <v>0.06</v>
      </c>
      <c r="AF1127" s="158">
        <f t="shared" si="265"/>
        <v>33843.66</v>
      </c>
      <c r="AG1127" s="158">
        <v>22783.6403921569</v>
      </c>
      <c r="AH1127" s="175"/>
      <c r="AI1127" s="175"/>
      <c r="AJ1127" s="156" t="s">
        <v>186</v>
      </c>
      <c r="AK1127" s="140" t="s">
        <v>173</v>
      </c>
      <c r="AM1127" s="152"/>
    </row>
    <row r="1128" s="140" customFormat="1" ht="15" hidden="1" customHeight="1" spans="1:39">
      <c r="A1128" s="140">
        <v>2017</v>
      </c>
      <c r="B1128" s="140" t="s">
        <v>199</v>
      </c>
      <c r="C1128" s="140" t="s">
        <v>59</v>
      </c>
      <c r="D1128" s="140" t="s">
        <v>60</v>
      </c>
      <c r="E1128" s="140" t="s">
        <v>61</v>
      </c>
      <c r="F1128" s="140" t="s">
        <v>1060</v>
      </c>
      <c r="G1128" s="140" t="s">
        <v>1061</v>
      </c>
      <c r="H1128" s="140" t="s">
        <v>1061</v>
      </c>
      <c r="I1128" s="140" t="s">
        <v>170</v>
      </c>
      <c r="J1128" s="140" t="s">
        <v>605</v>
      </c>
      <c r="K1128" s="140" t="s">
        <v>1068</v>
      </c>
      <c r="L1128" s="140" t="s">
        <v>1060</v>
      </c>
      <c r="M1128" s="140" t="s">
        <v>46</v>
      </c>
      <c r="N1128" s="157">
        <v>0.02</v>
      </c>
      <c r="O1128" s="156" t="s">
        <v>51</v>
      </c>
      <c r="P1128" s="156"/>
      <c r="Q1128" s="158">
        <v>0</v>
      </c>
      <c r="R1128" s="158">
        <v>0</v>
      </c>
      <c r="S1128" s="158">
        <v>20000</v>
      </c>
      <c r="T1128" s="158">
        <f t="shared" si="254"/>
        <v>400</v>
      </c>
      <c r="U1128" s="158">
        <f t="shared" si="258"/>
        <v>20400</v>
      </c>
      <c r="V1128" s="158">
        <v>20400</v>
      </c>
      <c r="W1128" s="158">
        <f t="shared" si="259"/>
        <v>0</v>
      </c>
      <c r="X1128" s="158">
        <f t="shared" si="255"/>
        <v>0</v>
      </c>
      <c r="Y1128" s="158">
        <f t="shared" si="260"/>
        <v>0</v>
      </c>
      <c r="Z1128" s="158">
        <v>107779.9</v>
      </c>
      <c r="AA1128" s="158">
        <f t="shared" si="256"/>
        <v>-87379.9</v>
      </c>
      <c r="AB1128" s="167">
        <f t="shared" si="266"/>
        <v>105666.568627451</v>
      </c>
      <c r="AC1128" s="168">
        <f t="shared" si="257"/>
        <v>2113.33137254902</v>
      </c>
      <c r="AD1128" s="158">
        <v>107779.9</v>
      </c>
      <c r="AE1128" s="159">
        <v>0.06</v>
      </c>
      <c r="AF1128" s="158">
        <f t="shared" si="265"/>
        <v>6466.794</v>
      </c>
      <c r="AG1128" s="158">
        <v>4353.46262745098</v>
      </c>
      <c r="AH1128" s="175"/>
      <c r="AI1128" s="175"/>
      <c r="AJ1128" s="156" t="s">
        <v>173</v>
      </c>
      <c r="AK1128" s="140" t="s">
        <v>173</v>
      </c>
      <c r="AM1128" s="152"/>
    </row>
    <row r="1129" s="140" customFormat="1" ht="15" hidden="1" customHeight="1" spans="1:39">
      <c r="A1129" s="140">
        <v>2017</v>
      </c>
      <c r="B1129" s="140" t="s">
        <v>199</v>
      </c>
      <c r="C1129" s="140" t="s">
        <v>54</v>
      </c>
      <c r="D1129" s="140" t="s">
        <v>55</v>
      </c>
      <c r="E1129" s="140" t="s">
        <v>64</v>
      </c>
      <c r="F1129" s="140" t="s">
        <v>496</v>
      </c>
      <c r="G1129" s="140" t="s">
        <v>497</v>
      </c>
      <c r="H1129" s="184" t="s">
        <v>498</v>
      </c>
      <c r="I1129" s="140" t="s">
        <v>170</v>
      </c>
      <c r="J1129" s="140" t="s">
        <v>605</v>
      </c>
      <c r="K1129" s="140" t="s">
        <v>1068</v>
      </c>
      <c r="L1129" s="140" t="s">
        <v>496</v>
      </c>
      <c r="M1129" s="140" t="s">
        <v>46</v>
      </c>
      <c r="N1129" s="157">
        <v>0.02</v>
      </c>
      <c r="O1129" s="156" t="s">
        <v>51</v>
      </c>
      <c r="P1129" s="156"/>
      <c r="Q1129" s="158">
        <v>0</v>
      </c>
      <c r="R1129" s="158">
        <v>0</v>
      </c>
      <c r="S1129" s="158">
        <v>2020000</v>
      </c>
      <c r="T1129" s="158">
        <f t="shared" si="254"/>
        <v>40400</v>
      </c>
      <c r="U1129" s="158">
        <f t="shared" si="258"/>
        <v>2060400</v>
      </c>
      <c r="V1129" s="158">
        <v>2210000</v>
      </c>
      <c r="W1129" s="158">
        <f t="shared" si="259"/>
        <v>-149600</v>
      </c>
      <c r="X1129" s="158">
        <f t="shared" si="255"/>
        <v>-146666.666666667</v>
      </c>
      <c r="Y1129" s="158">
        <f t="shared" si="260"/>
        <v>-2933.33333333334</v>
      </c>
      <c r="Z1129" s="158">
        <v>3347763.3</v>
      </c>
      <c r="AA1129" s="158">
        <f t="shared" si="256"/>
        <v>-1137763.3</v>
      </c>
      <c r="AB1129" s="167">
        <f t="shared" si="266"/>
        <v>3282120.88235294</v>
      </c>
      <c r="AC1129" s="168">
        <f t="shared" si="257"/>
        <v>65642.4176470591</v>
      </c>
      <c r="AD1129" s="158">
        <v>3347763.3</v>
      </c>
      <c r="AE1129" s="159">
        <v>0.06</v>
      </c>
      <c r="AF1129" s="158">
        <f t="shared" si="265"/>
        <v>200865.798</v>
      </c>
      <c r="AG1129" s="158">
        <v>135223.380352941</v>
      </c>
      <c r="AH1129" s="175"/>
      <c r="AI1129" s="175"/>
      <c r="AJ1129" s="156" t="s">
        <v>173</v>
      </c>
      <c r="AK1129" s="140" t="s">
        <v>173</v>
      </c>
      <c r="AM1129" s="152"/>
    </row>
    <row r="1130" s="140" customFormat="1" ht="15" hidden="1" customHeight="1" spans="1:39">
      <c r="A1130" s="140">
        <v>2017</v>
      </c>
      <c r="B1130" s="140" t="s">
        <v>38</v>
      </c>
      <c r="C1130" s="140" t="s">
        <v>75</v>
      </c>
      <c r="D1130" s="140" t="s">
        <v>518</v>
      </c>
      <c r="F1130" s="152" t="s">
        <v>216</v>
      </c>
      <c r="G1130" s="152" t="s">
        <v>216</v>
      </c>
      <c r="H1130" s="152" t="s">
        <v>216</v>
      </c>
      <c r="I1130" s="140" t="s">
        <v>170</v>
      </c>
      <c r="J1130" s="140" t="s">
        <v>605</v>
      </c>
      <c r="K1130" s="140" t="s">
        <v>1067</v>
      </c>
      <c r="L1130" s="140" t="s">
        <v>219</v>
      </c>
      <c r="M1130" s="140" t="s">
        <v>46</v>
      </c>
      <c r="N1130" s="157">
        <v>0.02</v>
      </c>
      <c r="O1130" s="156" t="s">
        <v>51</v>
      </c>
      <c r="P1130" s="156"/>
      <c r="Q1130" s="158">
        <v>0</v>
      </c>
      <c r="R1130" s="158">
        <v>0</v>
      </c>
      <c r="S1130" s="158"/>
      <c r="T1130" s="158">
        <f t="shared" si="254"/>
        <v>0</v>
      </c>
      <c r="U1130" s="158">
        <f t="shared" si="258"/>
        <v>0</v>
      </c>
      <c r="V1130" s="158">
        <v>0</v>
      </c>
      <c r="W1130" s="158">
        <f t="shared" si="259"/>
        <v>0</v>
      </c>
      <c r="X1130" s="158">
        <f t="shared" si="255"/>
        <v>0</v>
      </c>
      <c r="Y1130" s="158">
        <f t="shared" si="260"/>
        <v>0</v>
      </c>
      <c r="Z1130" s="158">
        <v>72438.3</v>
      </c>
      <c r="AA1130" s="158">
        <f t="shared" si="256"/>
        <v>-72438.3</v>
      </c>
      <c r="AB1130" s="167">
        <f t="shared" si="266"/>
        <v>71017.9411764706</v>
      </c>
      <c r="AC1130" s="168">
        <f t="shared" si="257"/>
        <v>1420.35882352942</v>
      </c>
      <c r="AD1130" s="158">
        <v>72438.3</v>
      </c>
      <c r="AE1130" s="159">
        <v>0.04</v>
      </c>
      <c r="AF1130" s="158">
        <f t="shared" si="265"/>
        <v>2897.532</v>
      </c>
      <c r="AG1130" s="158">
        <v>1477.17317647058</v>
      </c>
      <c r="AH1130" s="175"/>
      <c r="AI1130" s="175"/>
      <c r="AJ1130" s="157">
        <v>0.02</v>
      </c>
      <c r="AM1130" s="152" t="s">
        <v>208</v>
      </c>
    </row>
    <row r="1131" s="140" customFormat="1" ht="15" hidden="1" customHeight="1" spans="1:39">
      <c r="A1131" s="140">
        <v>2017</v>
      </c>
      <c r="B1131" s="140" t="s">
        <v>199</v>
      </c>
      <c r="C1131" s="140" t="s">
        <v>54</v>
      </c>
      <c r="D1131" s="140" t="s">
        <v>55</v>
      </c>
      <c r="F1131" s="152" t="s">
        <v>496</v>
      </c>
      <c r="G1131" s="152" t="s">
        <v>497</v>
      </c>
      <c r="H1131" s="179" t="s">
        <v>498</v>
      </c>
      <c r="I1131" s="140" t="s">
        <v>170</v>
      </c>
      <c r="J1131" s="140" t="s">
        <v>605</v>
      </c>
      <c r="K1131" s="140" t="s">
        <v>1067</v>
      </c>
      <c r="L1131" s="140" t="s">
        <v>496</v>
      </c>
      <c r="M1131" s="140" t="s">
        <v>46</v>
      </c>
      <c r="N1131" s="157">
        <v>0.02</v>
      </c>
      <c r="O1131" s="156" t="s">
        <v>51</v>
      </c>
      <c r="P1131" s="156"/>
      <c r="Q1131" s="158">
        <v>0</v>
      </c>
      <c r="R1131" s="158">
        <v>0</v>
      </c>
      <c r="S1131" s="158"/>
      <c r="T1131" s="158">
        <f t="shared" si="254"/>
        <v>0</v>
      </c>
      <c r="U1131" s="158">
        <f t="shared" si="258"/>
        <v>0</v>
      </c>
      <c r="V1131" s="158">
        <v>0</v>
      </c>
      <c r="W1131" s="158">
        <f t="shared" si="259"/>
        <v>0</v>
      </c>
      <c r="X1131" s="158">
        <f t="shared" si="255"/>
        <v>0</v>
      </c>
      <c r="Y1131" s="158">
        <f t="shared" si="260"/>
        <v>0</v>
      </c>
      <c r="Z1131" s="158">
        <v>797724.5</v>
      </c>
      <c r="AA1131" s="158">
        <f t="shared" si="256"/>
        <v>-797724.5</v>
      </c>
      <c r="AB1131" s="167">
        <f t="shared" si="266"/>
        <v>782082.843137255</v>
      </c>
      <c r="AC1131" s="168">
        <f t="shared" si="257"/>
        <v>15641.6568627451</v>
      </c>
      <c r="AD1131" s="158">
        <v>797724.5</v>
      </c>
      <c r="AE1131" s="159">
        <v>0.04</v>
      </c>
      <c r="AF1131" s="158">
        <f t="shared" si="265"/>
        <v>31908.98</v>
      </c>
      <c r="AG1131" s="158">
        <v>16267.3231372549</v>
      </c>
      <c r="AH1131" s="175"/>
      <c r="AI1131" s="175"/>
      <c r="AJ1131" s="157">
        <v>0.02</v>
      </c>
      <c r="AM1131" s="152" t="s">
        <v>208</v>
      </c>
    </row>
    <row r="1132" s="140" customFormat="1" ht="15" hidden="1" customHeight="1" spans="1:39">
      <c r="A1132" s="140">
        <v>2017</v>
      </c>
      <c r="B1132" s="140" t="s">
        <v>199</v>
      </c>
      <c r="C1132" s="140" t="s">
        <v>137</v>
      </c>
      <c r="D1132" s="140" t="s">
        <v>270</v>
      </c>
      <c r="F1132" s="152" t="s">
        <v>592</v>
      </c>
      <c r="G1132" s="152" t="s">
        <v>593</v>
      </c>
      <c r="H1132" s="152" t="s">
        <v>593</v>
      </c>
      <c r="I1132" s="140" t="s">
        <v>170</v>
      </c>
      <c r="J1132" s="140" t="s">
        <v>605</v>
      </c>
      <c r="K1132" s="140" t="s">
        <v>1067</v>
      </c>
      <c r="L1132" s="140" t="s">
        <v>592</v>
      </c>
      <c r="M1132" s="140" t="s">
        <v>46</v>
      </c>
      <c r="N1132" s="157">
        <v>0.02</v>
      </c>
      <c r="O1132" s="156" t="s">
        <v>51</v>
      </c>
      <c r="P1132" s="156"/>
      <c r="Q1132" s="158">
        <v>0</v>
      </c>
      <c r="R1132" s="158">
        <v>0</v>
      </c>
      <c r="S1132" s="158"/>
      <c r="T1132" s="158">
        <f t="shared" si="254"/>
        <v>0</v>
      </c>
      <c r="U1132" s="158">
        <f t="shared" si="258"/>
        <v>0</v>
      </c>
      <c r="V1132" s="158">
        <v>0</v>
      </c>
      <c r="W1132" s="158">
        <f t="shared" si="259"/>
        <v>0</v>
      </c>
      <c r="X1132" s="158">
        <f t="shared" si="255"/>
        <v>0</v>
      </c>
      <c r="Y1132" s="158">
        <f t="shared" si="260"/>
        <v>0</v>
      </c>
      <c r="Z1132" s="158">
        <v>36736.8</v>
      </c>
      <c r="AA1132" s="158">
        <f t="shared" si="256"/>
        <v>-36736.8</v>
      </c>
      <c r="AB1132" s="167">
        <f t="shared" si="266"/>
        <v>36016.4705882353</v>
      </c>
      <c r="AC1132" s="168">
        <f t="shared" si="257"/>
        <v>720.329411764709</v>
      </c>
      <c r="AD1132" s="158">
        <v>36736.8</v>
      </c>
      <c r="AE1132" s="159">
        <v>0.04</v>
      </c>
      <c r="AF1132" s="158">
        <f t="shared" si="265"/>
        <v>1469.472</v>
      </c>
      <c r="AG1132" s="158">
        <v>749.142588235291</v>
      </c>
      <c r="AH1132" s="175"/>
      <c r="AI1132" s="175"/>
      <c r="AJ1132" s="157">
        <v>0.02</v>
      </c>
      <c r="AM1132" s="152" t="s">
        <v>208</v>
      </c>
    </row>
    <row r="1133" s="140" customFormat="1" ht="15" hidden="1" customHeight="1" spans="1:39">
      <c r="A1133" s="140">
        <v>2017</v>
      </c>
      <c r="B1133" s="140" t="s">
        <v>38</v>
      </c>
      <c r="C1133" s="140" t="s">
        <v>110</v>
      </c>
      <c r="D1133" s="140" t="s">
        <v>280</v>
      </c>
      <c r="F1133" s="152" t="s">
        <v>113</v>
      </c>
      <c r="G1133" s="152" t="s">
        <v>113</v>
      </c>
      <c r="H1133" s="152" t="s">
        <v>113</v>
      </c>
      <c r="I1133" s="140" t="s">
        <v>170</v>
      </c>
      <c r="J1133" s="140" t="s">
        <v>605</v>
      </c>
      <c r="K1133" s="140" t="s">
        <v>1067</v>
      </c>
      <c r="L1133" s="140" t="s">
        <v>1071</v>
      </c>
      <c r="M1133" s="140" t="s">
        <v>46</v>
      </c>
      <c r="N1133" s="157">
        <v>0.02</v>
      </c>
      <c r="O1133" s="156" t="s">
        <v>51</v>
      </c>
      <c r="P1133" s="156"/>
      <c r="Q1133" s="158">
        <v>0</v>
      </c>
      <c r="R1133" s="158">
        <v>0</v>
      </c>
      <c r="S1133" s="158"/>
      <c r="T1133" s="158">
        <f t="shared" si="254"/>
        <v>0</v>
      </c>
      <c r="U1133" s="158">
        <f t="shared" si="258"/>
        <v>0</v>
      </c>
      <c r="V1133" s="158">
        <v>0</v>
      </c>
      <c r="W1133" s="158">
        <f t="shared" si="259"/>
        <v>0</v>
      </c>
      <c r="X1133" s="158">
        <f t="shared" si="255"/>
        <v>0</v>
      </c>
      <c r="Y1133" s="158">
        <f t="shared" si="260"/>
        <v>0</v>
      </c>
      <c r="Z1133" s="158">
        <v>59680.2</v>
      </c>
      <c r="AA1133" s="158">
        <f t="shared" si="256"/>
        <v>-59680.2</v>
      </c>
      <c r="AB1133" s="167">
        <f t="shared" si="266"/>
        <v>58510</v>
      </c>
      <c r="AC1133" s="168">
        <f t="shared" si="257"/>
        <v>1170.2</v>
      </c>
      <c r="AD1133" s="158">
        <v>59680.2</v>
      </c>
      <c r="AE1133" s="159">
        <v>0.04</v>
      </c>
      <c r="AF1133" s="158">
        <f t="shared" si="265"/>
        <v>2387.208</v>
      </c>
      <c r="AG1133" s="158">
        <v>1217.008</v>
      </c>
      <c r="AH1133" s="175"/>
      <c r="AI1133" s="175"/>
      <c r="AJ1133" s="157">
        <v>0.02</v>
      </c>
      <c r="AM1133" s="152" t="s">
        <v>208</v>
      </c>
    </row>
    <row r="1134" s="140" customFormat="1" ht="15" hidden="1" customHeight="1" spans="1:39">
      <c r="A1134" s="140">
        <v>2017</v>
      </c>
      <c r="B1134" s="140" t="s">
        <v>199</v>
      </c>
      <c r="C1134" s="140" t="s">
        <v>59</v>
      </c>
      <c r="D1134" s="140" t="s">
        <v>60</v>
      </c>
      <c r="F1134" s="152" t="s">
        <v>1060</v>
      </c>
      <c r="G1134" s="152" t="s">
        <v>1061</v>
      </c>
      <c r="H1134" s="152" t="s">
        <v>1061</v>
      </c>
      <c r="I1134" s="140" t="s">
        <v>170</v>
      </c>
      <c r="J1134" s="140" t="s">
        <v>605</v>
      </c>
      <c r="K1134" s="140" t="s">
        <v>1067</v>
      </c>
      <c r="L1134" s="140" t="s">
        <v>1060</v>
      </c>
      <c r="M1134" s="140" t="s">
        <v>46</v>
      </c>
      <c r="N1134" s="157">
        <v>0.02</v>
      </c>
      <c r="O1134" s="156" t="s">
        <v>51</v>
      </c>
      <c r="P1134" s="156"/>
      <c r="Q1134" s="158">
        <v>0</v>
      </c>
      <c r="R1134" s="158">
        <v>0</v>
      </c>
      <c r="S1134" s="158"/>
      <c r="T1134" s="158">
        <f t="shared" si="254"/>
        <v>0</v>
      </c>
      <c r="U1134" s="158">
        <f t="shared" si="258"/>
        <v>0</v>
      </c>
      <c r="V1134" s="158">
        <v>0</v>
      </c>
      <c r="W1134" s="158">
        <f t="shared" si="259"/>
        <v>0</v>
      </c>
      <c r="X1134" s="158">
        <f t="shared" si="255"/>
        <v>0</v>
      </c>
      <c r="Y1134" s="158">
        <f t="shared" si="260"/>
        <v>0</v>
      </c>
      <c r="Z1134" s="158">
        <v>27103.3</v>
      </c>
      <c r="AA1134" s="158">
        <f t="shared" si="256"/>
        <v>-27103.3</v>
      </c>
      <c r="AB1134" s="167">
        <f t="shared" si="266"/>
        <v>26571.862745098</v>
      </c>
      <c r="AC1134" s="168">
        <f t="shared" si="257"/>
        <v>531.437254901961</v>
      </c>
      <c r="AD1134" s="158">
        <v>27103.3</v>
      </c>
      <c r="AE1134" s="159">
        <v>0.04</v>
      </c>
      <c r="AF1134" s="158">
        <f t="shared" si="265"/>
        <v>1084.132</v>
      </c>
      <c r="AG1134" s="158">
        <v>552.694745098039</v>
      </c>
      <c r="AH1134" s="175"/>
      <c r="AI1134" s="175"/>
      <c r="AJ1134" s="157">
        <v>0.02</v>
      </c>
      <c r="AM1134" s="152" t="s">
        <v>208</v>
      </c>
    </row>
    <row r="1135" s="140" customFormat="1" ht="15" hidden="1" customHeight="1" spans="1:39">
      <c r="A1135" s="140">
        <v>2017</v>
      </c>
      <c r="B1135" s="140" t="s">
        <v>199</v>
      </c>
      <c r="C1135" s="140" t="s">
        <v>110</v>
      </c>
      <c r="D1135" s="140" t="s">
        <v>281</v>
      </c>
      <c r="F1135" s="152" t="s">
        <v>1053</v>
      </c>
      <c r="G1135" s="152" t="s">
        <v>1054</v>
      </c>
      <c r="H1135" s="152" t="s">
        <v>1054</v>
      </c>
      <c r="I1135" s="140" t="s">
        <v>170</v>
      </c>
      <c r="J1135" s="140" t="s">
        <v>605</v>
      </c>
      <c r="K1135" s="140" t="s">
        <v>1067</v>
      </c>
      <c r="L1135" s="140" t="s">
        <v>1053</v>
      </c>
      <c r="M1135" s="140" t="s">
        <v>46</v>
      </c>
      <c r="N1135" s="157">
        <v>0.02</v>
      </c>
      <c r="O1135" s="156" t="s">
        <v>51</v>
      </c>
      <c r="P1135" s="156"/>
      <c r="Q1135" s="158">
        <v>0</v>
      </c>
      <c r="R1135" s="158">
        <v>0</v>
      </c>
      <c r="S1135" s="158"/>
      <c r="T1135" s="158">
        <f t="shared" si="254"/>
        <v>0</v>
      </c>
      <c r="U1135" s="158">
        <f t="shared" si="258"/>
        <v>0</v>
      </c>
      <c r="V1135" s="158">
        <v>0</v>
      </c>
      <c r="W1135" s="158">
        <f t="shared" si="259"/>
        <v>0</v>
      </c>
      <c r="X1135" s="158">
        <f t="shared" si="255"/>
        <v>0</v>
      </c>
      <c r="Y1135" s="158">
        <f t="shared" si="260"/>
        <v>0</v>
      </c>
      <c r="Z1135" s="158">
        <v>9268.8</v>
      </c>
      <c r="AA1135" s="158">
        <f t="shared" si="256"/>
        <v>-9268.8</v>
      </c>
      <c r="AB1135" s="167">
        <f t="shared" si="266"/>
        <v>9087.05882352941</v>
      </c>
      <c r="AC1135" s="168">
        <f t="shared" si="257"/>
        <v>181.741176470588</v>
      </c>
      <c r="AD1135" s="158">
        <v>9268.8</v>
      </c>
      <c r="AE1135" s="159">
        <v>0.04</v>
      </c>
      <c r="AF1135" s="158">
        <f t="shared" si="265"/>
        <v>370.752</v>
      </c>
      <c r="AG1135" s="158">
        <v>189.010823529411</v>
      </c>
      <c r="AH1135" s="175"/>
      <c r="AI1135" s="175"/>
      <c r="AJ1135" s="157">
        <v>0.02</v>
      </c>
      <c r="AM1135" s="152" t="s">
        <v>208</v>
      </c>
    </row>
    <row r="1136" s="140" customFormat="1" ht="15" hidden="1" customHeight="1" spans="1:39">
      <c r="A1136" s="140">
        <v>2017</v>
      </c>
      <c r="B1136" s="140" t="s">
        <v>38</v>
      </c>
      <c r="C1136" s="140" t="s">
        <v>88</v>
      </c>
      <c r="D1136" s="140" t="s">
        <v>128</v>
      </c>
      <c r="F1136" s="152" t="s">
        <v>858</v>
      </c>
      <c r="G1136" s="152" t="s">
        <v>858</v>
      </c>
      <c r="H1136" s="152" t="s">
        <v>858</v>
      </c>
      <c r="I1136" s="140" t="s">
        <v>170</v>
      </c>
      <c r="J1136" s="140" t="s">
        <v>605</v>
      </c>
      <c r="K1136" s="140" t="s">
        <v>1067</v>
      </c>
      <c r="L1136" s="140" t="s">
        <v>858</v>
      </c>
      <c r="M1136" s="140" t="s">
        <v>46</v>
      </c>
      <c r="N1136" s="157">
        <v>0.04</v>
      </c>
      <c r="O1136" s="156" t="s">
        <v>51</v>
      </c>
      <c r="P1136" s="156"/>
      <c r="Q1136" s="158">
        <v>0</v>
      </c>
      <c r="R1136" s="158">
        <v>0</v>
      </c>
      <c r="S1136" s="158"/>
      <c r="T1136" s="158">
        <f t="shared" si="254"/>
        <v>0</v>
      </c>
      <c r="U1136" s="158">
        <f t="shared" si="258"/>
        <v>0</v>
      </c>
      <c r="V1136" s="158">
        <v>0</v>
      </c>
      <c r="W1136" s="158">
        <f t="shared" si="259"/>
        <v>0</v>
      </c>
      <c r="X1136" s="158">
        <f t="shared" si="255"/>
        <v>0</v>
      </c>
      <c r="Y1136" s="158">
        <f t="shared" si="260"/>
        <v>0</v>
      </c>
      <c r="Z1136" s="158">
        <v>454946.9</v>
      </c>
      <c r="AA1136" s="158">
        <f t="shared" si="256"/>
        <v>-454946.9</v>
      </c>
      <c r="AB1136" s="167">
        <f t="shared" si="266"/>
        <v>437448.942307692</v>
      </c>
      <c r="AC1136" s="168">
        <f t="shared" si="257"/>
        <v>17497.9576923077</v>
      </c>
      <c r="AD1136" s="158">
        <v>454946.9</v>
      </c>
      <c r="AE1136" s="159">
        <v>0.04</v>
      </c>
      <c r="AF1136" s="158">
        <f t="shared" si="265"/>
        <v>18197.876</v>
      </c>
      <c r="AG1136" s="158">
        <v>699.918307692289</v>
      </c>
      <c r="AH1136" s="175"/>
      <c r="AI1136" s="175"/>
      <c r="AJ1136" s="157">
        <v>0.04</v>
      </c>
      <c r="AM1136" s="152" t="s">
        <v>208</v>
      </c>
    </row>
    <row r="1137" s="140" customFormat="1" ht="15" hidden="1" customHeight="1" spans="1:39">
      <c r="A1137" s="140">
        <v>2017</v>
      </c>
      <c r="B1137" s="140" t="s">
        <v>38</v>
      </c>
      <c r="C1137" s="140" t="s">
        <v>39</v>
      </c>
      <c r="D1137" s="140" t="s">
        <v>81</v>
      </c>
      <c r="F1137" s="152" t="s">
        <v>961</v>
      </c>
      <c r="G1137" s="152" t="s">
        <v>960</v>
      </c>
      <c r="H1137" s="152" t="s">
        <v>960</v>
      </c>
      <c r="I1137" s="140" t="s">
        <v>170</v>
      </c>
      <c r="J1137" s="140" t="s">
        <v>605</v>
      </c>
      <c r="K1137" s="140" t="s">
        <v>1067</v>
      </c>
      <c r="L1137" s="140" t="s">
        <v>961</v>
      </c>
      <c r="M1137" s="140" t="s">
        <v>46</v>
      </c>
      <c r="N1137" s="157">
        <v>0.02</v>
      </c>
      <c r="O1137" s="159" t="s">
        <v>51</v>
      </c>
      <c r="P1137" s="159"/>
      <c r="Q1137" s="158">
        <v>0</v>
      </c>
      <c r="R1137" s="158">
        <v>0</v>
      </c>
      <c r="S1137" s="158"/>
      <c r="T1137" s="158">
        <f t="shared" si="254"/>
        <v>0</v>
      </c>
      <c r="U1137" s="158">
        <f t="shared" si="258"/>
        <v>0</v>
      </c>
      <c r="V1137" s="158">
        <v>0</v>
      </c>
      <c r="W1137" s="158">
        <f t="shared" si="259"/>
        <v>0</v>
      </c>
      <c r="X1137" s="158">
        <f t="shared" si="255"/>
        <v>0</v>
      </c>
      <c r="Y1137" s="158">
        <f t="shared" si="260"/>
        <v>0</v>
      </c>
      <c r="Z1137" s="158">
        <v>15624</v>
      </c>
      <c r="AA1137" s="158">
        <f t="shared" si="256"/>
        <v>-15624</v>
      </c>
      <c r="AB1137" s="167">
        <f t="shared" si="266"/>
        <v>15317.6470588235</v>
      </c>
      <c r="AC1137" s="168">
        <f t="shared" si="257"/>
        <v>306.35294117647</v>
      </c>
      <c r="AD1137" s="158">
        <v>15624</v>
      </c>
      <c r="AE1137" s="159">
        <v>0.04</v>
      </c>
      <c r="AF1137" s="158">
        <f t="shared" si="265"/>
        <v>624.96</v>
      </c>
      <c r="AG1137" s="158">
        <v>318.60705882353</v>
      </c>
      <c r="AH1137" s="175"/>
      <c r="AI1137" s="175"/>
      <c r="AJ1137" s="157">
        <v>0.02</v>
      </c>
      <c r="AM1137" s="152" t="s">
        <v>208</v>
      </c>
    </row>
    <row r="1138" s="140" customFormat="1" ht="15" hidden="1" customHeight="1" spans="1:39">
      <c r="A1138" s="140">
        <v>2017</v>
      </c>
      <c r="B1138" s="140" t="s">
        <v>199</v>
      </c>
      <c r="C1138" s="140" t="s">
        <v>137</v>
      </c>
      <c r="D1138" s="140" t="s">
        <v>270</v>
      </c>
      <c r="F1138" s="152" t="s">
        <v>592</v>
      </c>
      <c r="G1138" s="152" t="s">
        <v>593</v>
      </c>
      <c r="H1138" s="152" t="s">
        <v>593</v>
      </c>
      <c r="I1138" s="140" t="s">
        <v>170</v>
      </c>
      <c r="J1138" s="140" t="s">
        <v>605</v>
      </c>
      <c r="K1138" s="140" t="s">
        <v>1068</v>
      </c>
      <c r="L1138" s="140" t="s">
        <v>592</v>
      </c>
      <c r="M1138" s="140" t="s">
        <v>46</v>
      </c>
      <c r="N1138" s="157">
        <v>0.02</v>
      </c>
      <c r="O1138" s="156" t="s">
        <v>51</v>
      </c>
      <c r="P1138" s="156"/>
      <c r="Q1138" s="158">
        <v>0</v>
      </c>
      <c r="R1138" s="158">
        <v>0</v>
      </c>
      <c r="S1138" s="158"/>
      <c r="T1138" s="158">
        <f t="shared" si="254"/>
        <v>0</v>
      </c>
      <c r="U1138" s="158">
        <f t="shared" si="258"/>
        <v>0</v>
      </c>
      <c r="V1138" s="158">
        <v>0</v>
      </c>
      <c r="W1138" s="158">
        <f t="shared" si="259"/>
        <v>0</v>
      </c>
      <c r="X1138" s="158">
        <f t="shared" si="255"/>
        <v>0</v>
      </c>
      <c r="Y1138" s="158">
        <f t="shared" si="260"/>
        <v>0</v>
      </c>
      <c r="Z1138" s="158">
        <v>64931.3</v>
      </c>
      <c r="AA1138" s="158">
        <f t="shared" si="256"/>
        <v>-64931.3</v>
      </c>
      <c r="AB1138" s="167">
        <f t="shared" si="266"/>
        <v>63658.137254902</v>
      </c>
      <c r="AC1138" s="168">
        <f t="shared" si="257"/>
        <v>1273.16274509804</v>
      </c>
      <c r="AD1138" s="158">
        <v>64931.3</v>
      </c>
      <c r="AE1138" s="159">
        <v>0.06</v>
      </c>
      <c r="AF1138" s="158">
        <f t="shared" si="265"/>
        <v>3895.878</v>
      </c>
      <c r="AG1138" s="158">
        <v>5219.96725490196</v>
      </c>
      <c r="AH1138" s="175"/>
      <c r="AI1138" s="175"/>
      <c r="AJ1138" s="157">
        <v>0.02</v>
      </c>
      <c r="AM1138" s="152" t="s">
        <v>208</v>
      </c>
    </row>
    <row r="1139" s="140" customFormat="1" ht="15" hidden="1" customHeight="1" spans="1:39">
      <c r="A1139" s="140">
        <v>2017</v>
      </c>
      <c r="B1139" s="140" t="s">
        <v>252</v>
      </c>
      <c r="C1139" s="140" t="s">
        <v>137</v>
      </c>
      <c r="D1139" s="140" t="s">
        <v>139</v>
      </c>
      <c r="F1139" s="152" t="s">
        <v>1048</v>
      </c>
      <c r="G1139" s="152" t="s">
        <v>1049</v>
      </c>
      <c r="H1139" s="140" t="s">
        <v>1050</v>
      </c>
      <c r="I1139" s="140" t="s">
        <v>170</v>
      </c>
      <c r="J1139" s="140" t="s">
        <v>605</v>
      </c>
      <c r="K1139" s="140" t="s">
        <v>1068</v>
      </c>
      <c r="L1139" s="140" t="s">
        <v>1048</v>
      </c>
      <c r="M1139" s="140" t="s">
        <v>46</v>
      </c>
      <c r="N1139" s="157">
        <v>0.04</v>
      </c>
      <c r="O1139" s="156" t="s">
        <v>51</v>
      </c>
      <c r="P1139" s="156"/>
      <c r="Q1139" s="158">
        <v>0</v>
      </c>
      <c r="R1139" s="158">
        <v>0</v>
      </c>
      <c r="S1139" s="158"/>
      <c r="T1139" s="158">
        <f t="shared" si="254"/>
        <v>0</v>
      </c>
      <c r="U1139" s="158">
        <f t="shared" si="258"/>
        <v>0</v>
      </c>
      <c r="V1139" s="158">
        <v>0</v>
      </c>
      <c r="W1139" s="158">
        <f t="shared" si="259"/>
        <v>0</v>
      </c>
      <c r="X1139" s="158">
        <f t="shared" si="255"/>
        <v>0</v>
      </c>
      <c r="Y1139" s="158">
        <f t="shared" si="260"/>
        <v>0</v>
      </c>
      <c r="Z1139" s="158">
        <v>30485.2</v>
      </c>
      <c r="AA1139" s="158">
        <f t="shared" si="256"/>
        <v>-30485.2</v>
      </c>
      <c r="AB1139" s="167">
        <f t="shared" si="266"/>
        <v>29312.6923076923</v>
      </c>
      <c r="AC1139" s="168">
        <f t="shared" si="257"/>
        <v>1172.50769230769</v>
      </c>
      <c r="AD1139" s="158">
        <v>30485.2</v>
      </c>
      <c r="AE1139" s="159">
        <v>0.06</v>
      </c>
      <c r="AF1139" s="158">
        <f t="shared" si="265"/>
        <v>1829.112</v>
      </c>
      <c r="AG1139" s="158">
        <v>2450.77098039216</v>
      </c>
      <c r="AH1139" s="175"/>
      <c r="AI1139" s="175"/>
      <c r="AJ1139" s="157">
        <v>0.04</v>
      </c>
      <c r="AM1139" s="152" t="s">
        <v>208</v>
      </c>
    </row>
    <row r="1140" s="140" customFormat="1" ht="15" hidden="1" customHeight="1" spans="1:39">
      <c r="A1140" s="140">
        <v>2017</v>
      </c>
      <c r="B1140" s="140" t="s">
        <v>199</v>
      </c>
      <c r="C1140" s="140" t="s">
        <v>110</v>
      </c>
      <c r="D1140" s="140" t="s">
        <v>281</v>
      </c>
      <c r="F1140" s="152" t="s">
        <v>1053</v>
      </c>
      <c r="G1140" s="152" t="s">
        <v>1054</v>
      </c>
      <c r="H1140" s="152" t="s">
        <v>1054</v>
      </c>
      <c r="I1140" s="140" t="s">
        <v>170</v>
      </c>
      <c r="J1140" s="140" t="s">
        <v>605</v>
      </c>
      <c r="K1140" s="140" t="s">
        <v>1068</v>
      </c>
      <c r="L1140" s="140" t="s">
        <v>1053</v>
      </c>
      <c r="M1140" s="140" t="s">
        <v>46</v>
      </c>
      <c r="N1140" s="157">
        <v>0.02</v>
      </c>
      <c r="O1140" s="156" t="s">
        <v>51</v>
      </c>
      <c r="P1140" s="156"/>
      <c r="Q1140" s="158">
        <v>0</v>
      </c>
      <c r="R1140" s="158">
        <v>0</v>
      </c>
      <c r="S1140" s="158"/>
      <c r="T1140" s="158">
        <f t="shared" si="254"/>
        <v>0</v>
      </c>
      <c r="U1140" s="158">
        <f t="shared" si="258"/>
        <v>0</v>
      </c>
      <c r="V1140" s="158">
        <v>0</v>
      </c>
      <c r="W1140" s="158">
        <f t="shared" si="259"/>
        <v>0</v>
      </c>
      <c r="X1140" s="158">
        <f t="shared" si="255"/>
        <v>0</v>
      </c>
      <c r="Y1140" s="158">
        <f t="shared" si="260"/>
        <v>0</v>
      </c>
      <c r="Z1140" s="158">
        <v>12993.9</v>
      </c>
      <c r="AA1140" s="158">
        <f t="shared" si="256"/>
        <v>-12993.9</v>
      </c>
      <c r="AB1140" s="167">
        <f t="shared" si="266"/>
        <v>12739.1176470588</v>
      </c>
      <c r="AC1140" s="168">
        <f t="shared" si="257"/>
        <v>254.782352941176</v>
      </c>
      <c r="AD1140" s="158">
        <v>12993.9</v>
      </c>
      <c r="AE1140" s="159">
        <v>0.06</v>
      </c>
      <c r="AF1140" s="158">
        <f t="shared" si="265"/>
        <v>779.634</v>
      </c>
      <c r="AG1140" s="158">
        <v>1044.60764705882</v>
      </c>
      <c r="AH1140" s="175"/>
      <c r="AI1140" s="175"/>
      <c r="AJ1140" s="157">
        <v>0.02</v>
      </c>
      <c r="AM1140" s="152" t="s">
        <v>208</v>
      </c>
    </row>
    <row r="1141" s="140" customFormat="1" ht="15" hidden="1" customHeight="1" spans="1:39">
      <c r="A1141" s="140">
        <v>2017</v>
      </c>
      <c r="B1141" s="140" t="s">
        <v>38</v>
      </c>
      <c r="C1141" s="140" t="s">
        <v>39</v>
      </c>
      <c r="D1141" s="140" t="s">
        <v>81</v>
      </c>
      <c r="F1141" s="152" t="s">
        <v>961</v>
      </c>
      <c r="G1141" s="152" t="s">
        <v>960</v>
      </c>
      <c r="H1141" s="152" t="s">
        <v>960</v>
      </c>
      <c r="I1141" s="140" t="s">
        <v>170</v>
      </c>
      <c r="J1141" s="140" t="s">
        <v>605</v>
      </c>
      <c r="K1141" s="140" t="s">
        <v>1068</v>
      </c>
      <c r="L1141" s="140" t="s">
        <v>961</v>
      </c>
      <c r="M1141" s="140" t="s">
        <v>46</v>
      </c>
      <c r="N1141" s="157">
        <v>0.02</v>
      </c>
      <c r="O1141" s="159" t="s">
        <v>51</v>
      </c>
      <c r="P1141" s="159"/>
      <c r="Q1141" s="158">
        <v>0</v>
      </c>
      <c r="R1141" s="158">
        <v>0</v>
      </c>
      <c r="S1141" s="158"/>
      <c r="T1141" s="158">
        <f t="shared" si="254"/>
        <v>0</v>
      </c>
      <c r="U1141" s="158">
        <f t="shared" si="258"/>
        <v>0</v>
      </c>
      <c r="V1141" s="158">
        <v>0</v>
      </c>
      <c r="W1141" s="158">
        <f t="shared" si="259"/>
        <v>0</v>
      </c>
      <c r="X1141" s="158">
        <f t="shared" si="255"/>
        <v>0</v>
      </c>
      <c r="Y1141" s="158">
        <f t="shared" si="260"/>
        <v>0</v>
      </c>
      <c r="Z1141" s="158">
        <v>23071.5</v>
      </c>
      <c r="AA1141" s="158">
        <f t="shared" si="256"/>
        <v>-23071.5</v>
      </c>
      <c r="AB1141" s="167">
        <f t="shared" si="266"/>
        <v>22619.1176470588</v>
      </c>
      <c r="AC1141" s="168">
        <f t="shared" si="257"/>
        <v>452.382352941178</v>
      </c>
      <c r="AD1141" s="158">
        <v>23071.5</v>
      </c>
      <c r="AE1141" s="159">
        <v>0.06</v>
      </c>
      <c r="AF1141" s="158">
        <f t="shared" si="265"/>
        <v>1384.29</v>
      </c>
      <c r="AG1141" s="158">
        <v>1854.76764705882</v>
      </c>
      <c r="AH1141" s="175"/>
      <c r="AI1141" s="175"/>
      <c r="AJ1141" s="157">
        <v>0.02</v>
      </c>
      <c r="AM1141" s="152" t="s">
        <v>208</v>
      </c>
    </row>
    <row r="1142" s="140" customFormat="1" ht="15" hidden="1" customHeight="1" spans="1:39">
      <c r="A1142" s="140">
        <v>2017</v>
      </c>
      <c r="B1142" s="140" t="s">
        <v>38</v>
      </c>
      <c r="C1142" s="140" t="s">
        <v>39</v>
      </c>
      <c r="D1142" s="140" t="s">
        <v>836</v>
      </c>
      <c r="F1142" s="152" t="s">
        <v>42</v>
      </c>
      <c r="G1142" s="152" t="s">
        <v>42</v>
      </c>
      <c r="H1142" s="152" t="s">
        <v>42</v>
      </c>
      <c r="I1142" s="140" t="s">
        <v>170</v>
      </c>
      <c r="J1142" s="140" t="s">
        <v>605</v>
      </c>
      <c r="K1142" s="140" t="s">
        <v>1068</v>
      </c>
      <c r="L1142" s="140" t="s">
        <v>42</v>
      </c>
      <c r="M1142" s="140" t="s">
        <v>185</v>
      </c>
      <c r="N1142" s="159">
        <v>0</v>
      </c>
      <c r="O1142" s="159" t="s">
        <v>51</v>
      </c>
      <c r="P1142" s="156"/>
      <c r="Q1142" s="158">
        <v>0</v>
      </c>
      <c r="R1142" s="158">
        <v>0</v>
      </c>
      <c r="S1142" s="158"/>
      <c r="T1142" s="158">
        <f t="shared" si="254"/>
        <v>0</v>
      </c>
      <c r="U1142" s="158">
        <f t="shared" si="258"/>
        <v>0</v>
      </c>
      <c r="V1142" s="158">
        <v>0</v>
      </c>
      <c r="W1142" s="158">
        <f t="shared" si="259"/>
        <v>0</v>
      </c>
      <c r="X1142" s="158">
        <f t="shared" si="255"/>
        <v>0</v>
      </c>
      <c r="Y1142" s="158">
        <f t="shared" si="260"/>
        <v>0</v>
      </c>
      <c r="Z1142" s="158">
        <v>4525.74</v>
      </c>
      <c r="AA1142" s="158">
        <f t="shared" si="256"/>
        <v>-4525.74</v>
      </c>
      <c r="AB1142" s="167">
        <f t="shared" si="266"/>
        <v>4525.74</v>
      </c>
      <c r="AC1142" s="168">
        <f t="shared" si="257"/>
        <v>0</v>
      </c>
      <c r="AD1142" s="158">
        <v>4525.74</v>
      </c>
      <c r="AE1142" s="159">
        <v>0.1</v>
      </c>
      <c r="AF1142" s="158">
        <f t="shared" si="265"/>
        <v>452.574</v>
      </c>
      <c r="AG1142" s="158">
        <v>452.574</v>
      </c>
      <c r="AH1142" s="175"/>
      <c r="AI1142" s="175"/>
      <c r="AJ1142" s="156" t="e">
        <v>#N/A</v>
      </c>
      <c r="AM1142" s="152" t="s">
        <v>208</v>
      </c>
    </row>
    <row r="1143" s="140" customFormat="1" ht="15" hidden="1" customHeight="1" spans="1:39">
      <c r="A1143" s="140">
        <v>2017</v>
      </c>
      <c r="B1143" s="140" t="s">
        <v>38</v>
      </c>
      <c r="C1143" s="140" t="s">
        <v>39</v>
      </c>
      <c r="D1143" s="140" t="s">
        <v>40</v>
      </c>
      <c r="E1143" s="152"/>
      <c r="F1143" s="152" t="s">
        <v>911</v>
      </c>
      <c r="G1143" s="152" t="s">
        <v>912</v>
      </c>
      <c r="H1143" s="152" t="s">
        <v>912</v>
      </c>
      <c r="I1143" s="140" t="s">
        <v>170</v>
      </c>
      <c r="J1143" s="140" t="s">
        <v>605</v>
      </c>
      <c r="K1143" s="140" t="s">
        <v>886</v>
      </c>
      <c r="L1143" s="140" t="s">
        <v>964</v>
      </c>
      <c r="M1143" s="140" t="s">
        <v>46</v>
      </c>
      <c r="N1143" s="181">
        <v>0.05</v>
      </c>
      <c r="O1143" s="156" t="s">
        <v>51</v>
      </c>
      <c r="P1143" s="156"/>
      <c r="Q1143" s="152"/>
      <c r="R1143" s="152"/>
      <c r="S1143" s="152"/>
      <c r="T1143" s="158">
        <f t="shared" si="254"/>
        <v>0</v>
      </c>
      <c r="U1143" s="158">
        <f t="shared" si="258"/>
        <v>0</v>
      </c>
      <c r="V1143" s="152"/>
      <c r="W1143" s="158">
        <f t="shared" si="259"/>
        <v>0</v>
      </c>
      <c r="X1143" s="158">
        <f t="shared" si="255"/>
        <v>0</v>
      </c>
      <c r="Y1143" s="158">
        <f t="shared" si="260"/>
        <v>0</v>
      </c>
      <c r="Z1143" s="158">
        <v>8754.3</v>
      </c>
      <c r="AA1143" s="158">
        <f t="shared" si="256"/>
        <v>-8754.3</v>
      </c>
      <c r="AB1143" s="167">
        <f t="shared" si="266"/>
        <v>8337.42857142857</v>
      </c>
      <c r="AC1143" s="168">
        <f t="shared" si="257"/>
        <v>416.871428571429</v>
      </c>
      <c r="AD1143" s="158">
        <v>8754.3</v>
      </c>
      <c r="AE1143" s="159">
        <v>0.1</v>
      </c>
      <c r="AF1143" s="158">
        <f t="shared" si="265"/>
        <v>875.43</v>
      </c>
      <c r="AG1143" s="152"/>
      <c r="AH1143" s="152"/>
      <c r="AI1143" s="152"/>
      <c r="AJ1143" s="157">
        <v>0.05</v>
      </c>
      <c r="AK1143" s="152"/>
      <c r="AM1143" s="152" t="s">
        <v>208</v>
      </c>
    </row>
    <row r="1144" s="140" customFormat="1" ht="15" hidden="1" customHeight="1" spans="1:39">
      <c r="A1144" s="140">
        <v>2017</v>
      </c>
      <c r="B1144" s="152" t="s">
        <v>38</v>
      </c>
      <c r="C1144" s="140" t="s">
        <v>39</v>
      </c>
      <c r="D1144" s="140" t="s">
        <v>81</v>
      </c>
      <c r="E1144" s="152"/>
      <c r="F1144" s="152" t="s">
        <v>947</v>
      </c>
      <c r="G1144" s="152" t="s">
        <v>947</v>
      </c>
      <c r="H1144" s="152" t="s">
        <v>947</v>
      </c>
      <c r="I1144" s="140" t="s">
        <v>170</v>
      </c>
      <c r="J1144" s="140" t="s">
        <v>605</v>
      </c>
      <c r="K1144" s="140" t="s">
        <v>886</v>
      </c>
      <c r="L1144" s="140" t="s">
        <v>1044</v>
      </c>
      <c r="M1144" s="140" t="s">
        <v>46</v>
      </c>
      <c r="N1144" s="181">
        <v>0.02</v>
      </c>
      <c r="O1144" s="156" t="s">
        <v>51</v>
      </c>
      <c r="P1144" s="156"/>
      <c r="Q1144" s="152"/>
      <c r="R1144" s="152"/>
      <c r="S1144" s="152"/>
      <c r="T1144" s="158">
        <f t="shared" si="254"/>
        <v>0</v>
      </c>
      <c r="U1144" s="158">
        <f t="shared" si="258"/>
        <v>0</v>
      </c>
      <c r="V1144" s="152"/>
      <c r="W1144" s="158">
        <f t="shared" si="259"/>
        <v>0</v>
      </c>
      <c r="X1144" s="158">
        <f t="shared" si="255"/>
        <v>0</v>
      </c>
      <c r="Y1144" s="158">
        <f t="shared" si="260"/>
        <v>0</v>
      </c>
      <c r="Z1144" s="158">
        <v>49999.5</v>
      </c>
      <c r="AA1144" s="158">
        <f t="shared" si="256"/>
        <v>-49999.5</v>
      </c>
      <c r="AB1144" s="167">
        <f t="shared" si="266"/>
        <v>49019.1176470588</v>
      </c>
      <c r="AC1144" s="168">
        <f t="shared" si="257"/>
        <v>980.382352941175</v>
      </c>
      <c r="AD1144" s="158">
        <v>49999.5</v>
      </c>
      <c r="AE1144" s="159">
        <v>0.1</v>
      </c>
      <c r="AF1144" s="158">
        <f t="shared" si="265"/>
        <v>4999.95</v>
      </c>
      <c r="AG1144" s="152"/>
      <c r="AH1144" s="152"/>
      <c r="AI1144" s="152"/>
      <c r="AJ1144" s="157">
        <v>0.02</v>
      </c>
      <c r="AK1144" s="152"/>
      <c r="AM1144" s="152" t="s">
        <v>208</v>
      </c>
    </row>
    <row r="1145" s="140" customFormat="1" ht="15" hidden="1" customHeight="1" spans="1:39">
      <c r="A1145" s="140">
        <v>2017</v>
      </c>
      <c r="B1145" s="152" t="s">
        <v>38</v>
      </c>
      <c r="C1145" s="140" t="s">
        <v>39</v>
      </c>
      <c r="D1145" s="140" t="s">
        <v>81</v>
      </c>
      <c r="E1145" s="152"/>
      <c r="F1145" s="152" t="s">
        <v>947</v>
      </c>
      <c r="G1145" s="152" t="s">
        <v>947</v>
      </c>
      <c r="H1145" s="152" t="s">
        <v>947</v>
      </c>
      <c r="I1145" s="140" t="s">
        <v>170</v>
      </c>
      <c r="J1145" s="140" t="s">
        <v>605</v>
      </c>
      <c r="K1145" s="140" t="s">
        <v>886</v>
      </c>
      <c r="L1145" s="140" t="s">
        <v>1043</v>
      </c>
      <c r="M1145" s="140" t="s">
        <v>46</v>
      </c>
      <c r="N1145" s="181">
        <v>0.02</v>
      </c>
      <c r="O1145" s="156" t="s">
        <v>51</v>
      </c>
      <c r="P1145" s="156"/>
      <c r="Q1145" s="152"/>
      <c r="R1145" s="152"/>
      <c r="S1145" s="152"/>
      <c r="T1145" s="158">
        <f t="shared" si="254"/>
        <v>0</v>
      </c>
      <c r="U1145" s="158">
        <f t="shared" si="258"/>
        <v>0</v>
      </c>
      <c r="V1145" s="152"/>
      <c r="W1145" s="158">
        <f t="shared" si="259"/>
        <v>0</v>
      </c>
      <c r="X1145" s="158">
        <f t="shared" si="255"/>
        <v>0</v>
      </c>
      <c r="Y1145" s="158">
        <f t="shared" si="260"/>
        <v>0</v>
      </c>
      <c r="Z1145" s="158">
        <v>49993.1</v>
      </c>
      <c r="AA1145" s="158">
        <f t="shared" si="256"/>
        <v>-49993.1</v>
      </c>
      <c r="AB1145" s="167">
        <f t="shared" si="266"/>
        <v>49012.8431372549</v>
      </c>
      <c r="AC1145" s="168">
        <f t="shared" si="257"/>
        <v>980.256862745096</v>
      </c>
      <c r="AD1145" s="158">
        <v>49993.1</v>
      </c>
      <c r="AE1145" s="159">
        <v>0.1</v>
      </c>
      <c r="AF1145" s="158">
        <f t="shared" si="265"/>
        <v>4999.31</v>
      </c>
      <c r="AG1145" s="152"/>
      <c r="AH1145" s="152"/>
      <c r="AI1145" s="152"/>
      <c r="AJ1145" s="157">
        <v>0.02</v>
      </c>
      <c r="AK1145" s="152"/>
      <c r="AM1145" s="152" t="s">
        <v>208</v>
      </c>
    </row>
    <row r="1146" s="140" customFormat="1" ht="15" hidden="1" customHeight="1" spans="1:39">
      <c r="A1146" s="140">
        <v>2017</v>
      </c>
      <c r="B1146" s="152" t="s">
        <v>38</v>
      </c>
      <c r="C1146" s="140" t="s">
        <v>54</v>
      </c>
      <c r="D1146" s="140" t="s">
        <v>396</v>
      </c>
      <c r="E1146" s="152"/>
      <c r="F1146" s="152" t="s">
        <v>1040</v>
      </c>
      <c r="G1146" s="152" t="s">
        <v>1040</v>
      </c>
      <c r="H1146" s="152" t="s">
        <v>1040</v>
      </c>
      <c r="I1146" s="140" t="s">
        <v>170</v>
      </c>
      <c r="J1146" s="140" t="s">
        <v>605</v>
      </c>
      <c r="K1146" s="140" t="s">
        <v>886</v>
      </c>
      <c r="L1146" s="140" t="s">
        <v>1040</v>
      </c>
      <c r="M1146" s="140" t="s">
        <v>46</v>
      </c>
      <c r="N1146" s="181">
        <v>0.02</v>
      </c>
      <c r="O1146" s="156" t="s">
        <v>51</v>
      </c>
      <c r="P1146" s="156"/>
      <c r="Q1146" s="152"/>
      <c r="R1146" s="152"/>
      <c r="S1146" s="152"/>
      <c r="T1146" s="158">
        <f t="shared" si="254"/>
        <v>0</v>
      </c>
      <c r="U1146" s="158">
        <f t="shared" si="258"/>
        <v>0</v>
      </c>
      <c r="V1146" s="152"/>
      <c r="W1146" s="158">
        <f t="shared" si="259"/>
        <v>0</v>
      </c>
      <c r="X1146" s="158">
        <f t="shared" si="255"/>
        <v>0</v>
      </c>
      <c r="Y1146" s="158">
        <f t="shared" si="260"/>
        <v>0</v>
      </c>
      <c r="Z1146" s="158">
        <v>48606.5</v>
      </c>
      <c r="AA1146" s="158">
        <f t="shared" si="256"/>
        <v>-48606.5</v>
      </c>
      <c r="AB1146" s="167">
        <f t="shared" si="266"/>
        <v>47653.431372549</v>
      </c>
      <c r="AC1146" s="168">
        <f t="shared" si="257"/>
        <v>953.068627450979</v>
      </c>
      <c r="AD1146" s="158">
        <v>48606.5</v>
      </c>
      <c r="AE1146" s="159">
        <v>0.1</v>
      </c>
      <c r="AF1146" s="158">
        <f t="shared" si="265"/>
        <v>4860.65</v>
      </c>
      <c r="AG1146" s="152"/>
      <c r="AH1146" s="152"/>
      <c r="AI1146" s="152"/>
      <c r="AJ1146" s="157">
        <v>0.02</v>
      </c>
      <c r="AK1146" s="152"/>
      <c r="AM1146" s="152" t="s">
        <v>208</v>
      </c>
    </row>
    <row r="1147" s="140" customFormat="1" ht="15" hidden="1" customHeight="1" spans="1:39">
      <c r="A1147" s="140">
        <v>2017</v>
      </c>
      <c r="B1147" s="140" t="s">
        <v>38</v>
      </c>
      <c r="C1147" s="140" t="s">
        <v>110</v>
      </c>
      <c r="D1147" s="140" t="s">
        <v>111</v>
      </c>
      <c r="E1147" s="152"/>
      <c r="F1147" s="152" t="s">
        <v>908</v>
      </c>
      <c r="G1147" s="152" t="s">
        <v>908</v>
      </c>
      <c r="H1147" s="152" t="s">
        <v>908</v>
      </c>
      <c r="I1147" s="140" t="s">
        <v>170</v>
      </c>
      <c r="J1147" s="140" t="s">
        <v>605</v>
      </c>
      <c r="K1147" s="140" t="s">
        <v>886</v>
      </c>
      <c r="L1147" s="140" t="s">
        <v>908</v>
      </c>
      <c r="M1147" s="140" t="s">
        <v>46</v>
      </c>
      <c r="N1147" s="181">
        <v>0.02</v>
      </c>
      <c r="O1147" s="156" t="s">
        <v>51</v>
      </c>
      <c r="P1147" s="156"/>
      <c r="Q1147" s="152"/>
      <c r="R1147" s="152"/>
      <c r="S1147" s="152"/>
      <c r="T1147" s="158">
        <f t="shared" si="254"/>
        <v>0</v>
      </c>
      <c r="U1147" s="158">
        <f t="shared" si="258"/>
        <v>0</v>
      </c>
      <c r="V1147" s="152"/>
      <c r="W1147" s="158">
        <f t="shared" si="259"/>
        <v>0</v>
      </c>
      <c r="X1147" s="158">
        <f t="shared" si="255"/>
        <v>0</v>
      </c>
      <c r="Y1147" s="158">
        <f t="shared" si="260"/>
        <v>0</v>
      </c>
      <c r="Z1147" s="158">
        <v>10760.8</v>
      </c>
      <c r="AA1147" s="158">
        <f t="shared" si="256"/>
        <v>-10760.8</v>
      </c>
      <c r="AB1147" s="167">
        <f t="shared" si="266"/>
        <v>10549.8039215686</v>
      </c>
      <c r="AC1147" s="168">
        <f t="shared" si="257"/>
        <v>210.996078431373</v>
      </c>
      <c r="AD1147" s="158">
        <v>10760.8</v>
      </c>
      <c r="AE1147" s="159">
        <v>0.1</v>
      </c>
      <c r="AF1147" s="158">
        <f t="shared" si="265"/>
        <v>1076.08</v>
      </c>
      <c r="AG1147" s="152"/>
      <c r="AH1147" s="152"/>
      <c r="AI1147" s="152"/>
      <c r="AJ1147" s="157">
        <v>0.02</v>
      </c>
      <c r="AK1147" s="152"/>
      <c r="AM1147" s="152" t="s">
        <v>208</v>
      </c>
    </row>
    <row r="1148" s="140" customFormat="1" ht="15" hidden="1" customHeight="1" spans="1:39">
      <c r="A1148" s="140">
        <v>2017</v>
      </c>
      <c r="B1148" s="140" t="s">
        <v>38</v>
      </c>
      <c r="C1148" s="140" t="s">
        <v>88</v>
      </c>
      <c r="D1148" s="140" t="s">
        <v>128</v>
      </c>
      <c r="E1148" s="152"/>
      <c r="F1148" s="152" t="s">
        <v>888</v>
      </c>
      <c r="G1148" s="152" t="s">
        <v>888</v>
      </c>
      <c r="H1148" s="152" t="s">
        <v>888</v>
      </c>
      <c r="I1148" s="140" t="s">
        <v>170</v>
      </c>
      <c r="J1148" s="140" t="s">
        <v>605</v>
      </c>
      <c r="K1148" s="140" t="s">
        <v>886</v>
      </c>
      <c r="L1148" s="140" t="s">
        <v>888</v>
      </c>
      <c r="M1148" s="140" t="s">
        <v>46</v>
      </c>
      <c r="N1148" s="181">
        <v>0.02</v>
      </c>
      <c r="O1148" s="156" t="s">
        <v>51</v>
      </c>
      <c r="P1148" s="156"/>
      <c r="Q1148" s="152"/>
      <c r="R1148" s="152"/>
      <c r="S1148" s="152"/>
      <c r="T1148" s="158">
        <f t="shared" si="254"/>
        <v>0</v>
      </c>
      <c r="U1148" s="158">
        <f t="shared" si="258"/>
        <v>0</v>
      </c>
      <c r="V1148" s="152"/>
      <c r="W1148" s="158">
        <f t="shared" si="259"/>
        <v>0</v>
      </c>
      <c r="X1148" s="158">
        <f t="shared" si="255"/>
        <v>0</v>
      </c>
      <c r="Y1148" s="158">
        <f t="shared" si="260"/>
        <v>0</v>
      </c>
      <c r="Z1148" s="158">
        <v>105901.8</v>
      </c>
      <c r="AA1148" s="158">
        <f t="shared" si="256"/>
        <v>-105901.8</v>
      </c>
      <c r="AB1148" s="167">
        <f t="shared" si="266"/>
        <v>103825.294117647</v>
      </c>
      <c r="AC1148" s="168">
        <f t="shared" si="257"/>
        <v>2076.50588235294</v>
      </c>
      <c r="AD1148" s="158">
        <v>105901.8</v>
      </c>
      <c r="AE1148" s="159">
        <v>0.1</v>
      </c>
      <c r="AF1148" s="158">
        <f t="shared" si="265"/>
        <v>10590.18</v>
      </c>
      <c r="AG1148" s="152"/>
      <c r="AH1148" s="152"/>
      <c r="AI1148" s="152"/>
      <c r="AJ1148" s="157">
        <v>0.02</v>
      </c>
      <c r="AK1148" s="152"/>
      <c r="AM1148" s="152" t="s">
        <v>208</v>
      </c>
    </row>
    <row r="1149" s="140" customFormat="1" ht="15" hidden="1" customHeight="1" spans="1:39">
      <c r="A1149" s="140">
        <v>2017</v>
      </c>
      <c r="B1149" s="140" t="s">
        <v>38</v>
      </c>
      <c r="C1149" s="140" t="s">
        <v>88</v>
      </c>
      <c r="D1149" s="140" t="s">
        <v>128</v>
      </c>
      <c r="E1149" s="152"/>
      <c r="F1149" s="152" t="s">
        <v>889</v>
      </c>
      <c r="G1149" s="152" t="s">
        <v>889</v>
      </c>
      <c r="H1149" s="152" t="s">
        <v>889</v>
      </c>
      <c r="I1149" s="140" t="s">
        <v>170</v>
      </c>
      <c r="J1149" s="140" t="s">
        <v>605</v>
      </c>
      <c r="K1149" s="140" t="s">
        <v>886</v>
      </c>
      <c r="L1149" s="140" t="s">
        <v>889</v>
      </c>
      <c r="M1149" s="140" t="s">
        <v>46</v>
      </c>
      <c r="N1149" s="157">
        <v>0.02</v>
      </c>
      <c r="O1149" s="156" t="s">
        <v>51</v>
      </c>
      <c r="P1149" s="156"/>
      <c r="Q1149" s="152"/>
      <c r="R1149" s="152"/>
      <c r="S1149" s="152"/>
      <c r="T1149" s="158">
        <f t="shared" si="254"/>
        <v>0</v>
      </c>
      <c r="U1149" s="158">
        <f t="shared" si="258"/>
        <v>0</v>
      </c>
      <c r="V1149" s="152"/>
      <c r="W1149" s="158">
        <f t="shared" si="259"/>
        <v>0</v>
      </c>
      <c r="X1149" s="158">
        <f t="shared" si="255"/>
        <v>0</v>
      </c>
      <c r="Y1149" s="158">
        <f t="shared" si="260"/>
        <v>0</v>
      </c>
      <c r="Z1149" s="158">
        <v>10333.6</v>
      </c>
      <c r="AA1149" s="158">
        <f t="shared" si="256"/>
        <v>-10333.6</v>
      </c>
      <c r="AB1149" s="167">
        <f t="shared" si="266"/>
        <v>10130.9803921569</v>
      </c>
      <c r="AC1149" s="168">
        <f t="shared" si="257"/>
        <v>202.619607843137</v>
      </c>
      <c r="AD1149" s="158">
        <v>10333.6</v>
      </c>
      <c r="AE1149" s="159">
        <v>0.1</v>
      </c>
      <c r="AF1149" s="158">
        <f t="shared" si="265"/>
        <v>1033.36</v>
      </c>
      <c r="AG1149" s="152"/>
      <c r="AH1149" s="152"/>
      <c r="AI1149" s="152"/>
      <c r="AJ1149" s="157">
        <v>0.02</v>
      </c>
      <c r="AK1149" s="152"/>
      <c r="AM1149" s="152" t="s">
        <v>208</v>
      </c>
    </row>
    <row r="1150" s="140" customFormat="1" ht="15" hidden="1" customHeight="1" spans="1:39">
      <c r="A1150" s="140">
        <v>2017</v>
      </c>
      <c r="B1150" s="140" t="s">
        <v>38</v>
      </c>
      <c r="C1150" s="140" t="s">
        <v>39</v>
      </c>
      <c r="D1150" s="140" t="s">
        <v>81</v>
      </c>
      <c r="F1150" s="152" t="s">
        <v>947</v>
      </c>
      <c r="G1150" s="152" t="s">
        <v>947</v>
      </c>
      <c r="H1150" s="152" t="s">
        <v>947</v>
      </c>
      <c r="I1150" s="140" t="s">
        <v>170</v>
      </c>
      <c r="J1150" s="140" t="s">
        <v>605</v>
      </c>
      <c r="K1150" s="140" t="s">
        <v>886</v>
      </c>
      <c r="L1150" s="140" t="s">
        <v>947</v>
      </c>
      <c r="M1150" s="140" t="s">
        <v>185</v>
      </c>
      <c r="N1150" s="181">
        <v>0.04</v>
      </c>
      <c r="O1150" s="156" t="s">
        <v>51</v>
      </c>
      <c r="P1150" s="156"/>
      <c r="Q1150" s="152"/>
      <c r="R1150" s="152"/>
      <c r="S1150" s="152"/>
      <c r="T1150" s="158">
        <f t="shared" si="254"/>
        <v>0</v>
      </c>
      <c r="U1150" s="158">
        <f t="shared" si="258"/>
        <v>0</v>
      </c>
      <c r="V1150" s="152"/>
      <c r="W1150" s="158">
        <f t="shared" si="259"/>
        <v>0</v>
      </c>
      <c r="X1150" s="158">
        <f t="shared" si="255"/>
        <v>0</v>
      </c>
      <c r="Y1150" s="158">
        <f t="shared" si="260"/>
        <v>0</v>
      </c>
      <c r="Z1150" s="158">
        <v>1664.4</v>
      </c>
      <c r="AA1150" s="158">
        <f t="shared" si="256"/>
        <v>-1664.4</v>
      </c>
      <c r="AB1150" s="167">
        <f t="shared" si="266"/>
        <v>1600.38461538462</v>
      </c>
      <c r="AC1150" s="168">
        <f t="shared" si="257"/>
        <v>64.0153846153846</v>
      </c>
      <c r="AD1150" s="158">
        <v>1664.4</v>
      </c>
      <c r="AE1150" s="159">
        <v>0.1</v>
      </c>
      <c r="AF1150" s="158">
        <f t="shared" si="265"/>
        <v>166.44</v>
      </c>
      <c r="AG1150" s="152"/>
      <c r="AH1150" s="152"/>
      <c r="AI1150" s="152"/>
      <c r="AJ1150" s="157">
        <v>0.04</v>
      </c>
      <c r="AK1150" s="152"/>
      <c r="AL1150" s="152"/>
      <c r="AM1150" s="152" t="s">
        <v>208</v>
      </c>
    </row>
    <row r="1151" s="140" customFormat="1" ht="15" hidden="1" customHeight="1" spans="1:39">
      <c r="A1151" s="140">
        <v>2017</v>
      </c>
      <c r="B1151" s="140" t="s">
        <v>38</v>
      </c>
      <c r="C1151" s="140" t="s">
        <v>88</v>
      </c>
      <c r="D1151" s="140" t="s">
        <v>128</v>
      </c>
      <c r="F1151" s="152" t="s">
        <v>888</v>
      </c>
      <c r="G1151" s="152" t="s">
        <v>888</v>
      </c>
      <c r="H1151" s="152" t="s">
        <v>888</v>
      </c>
      <c r="I1151" s="140" t="s">
        <v>170</v>
      </c>
      <c r="J1151" s="140" t="s">
        <v>605</v>
      </c>
      <c r="K1151" s="140" t="s">
        <v>886</v>
      </c>
      <c r="L1151" s="140" t="s">
        <v>888</v>
      </c>
      <c r="M1151" s="140" t="s">
        <v>185</v>
      </c>
      <c r="N1151" s="181">
        <v>0.04</v>
      </c>
      <c r="O1151" s="156" t="s">
        <v>51</v>
      </c>
      <c r="P1151" s="156"/>
      <c r="Q1151" s="152"/>
      <c r="R1151" s="152"/>
      <c r="S1151" s="152"/>
      <c r="T1151" s="158">
        <f t="shared" si="254"/>
        <v>0</v>
      </c>
      <c r="U1151" s="158">
        <f t="shared" si="258"/>
        <v>0</v>
      </c>
      <c r="V1151" s="152"/>
      <c r="W1151" s="158">
        <f t="shared" si="259"/>
        <v>0</v>
      </c>
      <c r="X1151" s="158">
        <f t="shared" si="255"/>
        <v>0</v>
      </c>
      <c r="Y1151" s="158">
        <f t="shared" si="260"/>
        <v>0</v>
      </c>
      <c r="Z1151" s="158">
        <v>23736</v>
      </c>
      <c r="AA1151" s="158">
        <f t="shared" si="256"/>
        <v>-23736</v>
      </c>
      <c r="AB1151" s="167">
        <f t="shared" si="266"/>
        <v>22823.0769230769</v>
      </c>
      <c r="AC1151" s="168">
        <f t="shared" si="257"/>
        <v>912.923076923078</v>
      </c>
      <c r="AD1151" s="158">
        <v>23736</v>
      </c>
      <c r="AE1151" s="159">
        <v>0.1</v>
      </c>
      <c r="AF1151" s="158">
        <f t="shared" si="265"/>
        <v>2373.6</v>
      </c>
      <c r="AG1151" s="152"/>
      <c r="AH1151" s="152"/>
      <c r="AI1151" s="152"/>
      <c r="AJ1151" s="157">
        <v>0.04</v>
      </c>
      <c r="AK1151" s="152"/>
      <c r="AL1151" s="152"/>
      <c r="AM1151" s="152" t="s">
        <v>208</v>
      </c>
    </row>
    <row r="1152" s="140" customFormat="1" ht="15" hidden="1" customHeight="1" spans="1:37">
      <c r="A1152" s="140">
        <v>2017</v>
      </c>
      <c r="B1152" s="140" t="s">
        <v>38</v>
      </c>
      <c r="C1152" s="140" t="s">
        <v>88</v>
      </c>
      <c r="D1152" s="140" t="s">
        <v>128</v>
      </c>
      <c r="E1152" s="140" t="s">
        <v>96</v>
      </c>
      <c r="F1152" s="140" t="s">
        <v>595</v>
      </c>
      <c r="G1152" s="140" t="s">
        <v>595</v>
      </c>
      <c r="H1152" s="140" t="s">
        <v>595</v>
      </c>
      <c r="I1152" s="140" t="s">
        <v>1072</v>
      </c>
      <c r="J1152" s="140" t="s">
        <v>1073</v>
      </c>
      <c r="K1152" s="140" t="s">
        <v>1074</v>
      </c>
      <c r="L1152" s="140" t="s">
        <v>595</v>
      </c>
      <c r="M1152" s="158" t="s">
        <v>183</v>
      </c>
      <c r="N1152" s="156">
        <v>0</v>
      </c>
      <c r="O1152" s="156" t="s">
        <v>47</v>
      </c>
      <c r="P1152" s="156"/>
      <c r="Q1152" s="158">
        <v>0</v>
      </c>
      <c r="R1152" s="158">
        <v>0</v>
      </c>
      <c r="S1152" s="158">
        <v>20000</v>
      </c>
      <c r="T1152" s="158">
        <f t="shared" si="254"/>
        <v>0</v>
      </c>
      <c r="U1152" s="158">
        <f t="shared" si="258"/>
        <v>20000</v>
      </c>
      <c r="V1152" s="158">
        <v>20000</v>
      </c>
      <c r="W1152" s="158">
        <f t="shared" si="259"/>
        <v>0</v>
      </c>
      <c r="X1152" s="158">
        <f t="shared" si="255"/>
        <v>0</v>
      </c>
      <c r="Y1152" s="158">
        <f t="shared" si="260"/>
        <v>0</v>
      </c>
      <c r="Z1152" s="158">
        <v>20000</v>
      </c>
      <c r="AA1152" s="158">
        <f t="shared" si="256"/>
        <v>0</v>
      </c>
      <c r="AB1152" s="167">
        <f t="shared" si="266"/>
        <v>20000</v>
      </c>
      <c r="AC1152" s="168">
        <f t="shared" si="257"/>
        <v>0</v>
      </c>
      <c r="AD1152" s="158">
        <v>20000</v>
      </c>
      <c r="AE1152" s="156">
        <v>0</v>
      </c>
      <c r="AF1152" s="158">
        <f t="shared" si="265"/>
        <v>0</v>
      </c>
      <c r="AG1152" s="158">
        <f>AB1152-Z1152+AF1152</f>
        <v>0</v>
      </c>
      <c r="AH1152" s="158"/>
      <c r="AI1152" s="158"/>
      <c r="AJ1152" s="157">
        <v>0</v>
      </c>
      <c r="AK1152" s="174" t="s">
        <v>120</v>
      </c>
    </row>
    <row r="1153" s="140" customFormat="1" ht="15" hidden="1" customHeight="1" spans="1:39">
      <c r="A1153" s="140">
        <v>2017</v>
      </c>
      <c r="B1153" s="140" t="s">
        <v>38</v>
      </c>
      <c r="C1153" s="140" t="s">
        <v>54</v>
      </c>
      <c r="F1153" s="140" t="s">
        <v>1075</v>
      </c>
      <c r="G1153" s="140" t="s">
        <v>1075</v>
      </c>
      <c r="H1153" s="140" t="s">
        <v>1075</v>
      </c>
      <c r="I1153" s="140" t="s">
        <v>1076</v>
      </c>
      <c r="J1153" s="140" t="s">
        <v>332</v>
      </c>
      <c r="K1153" s="140" t="s">
        <v>332</v>
      </c>
      <c r="L1153" s="140" t="s">
        <v>1075</v>
      </c>
      <c r="M1153" s="140" t="s">
        <v>160</v>
      </c>
      <c r="N1153" s="156">
        <v>0</v>
      </c>
      <c r="O1153" s="156" t="s">
        <v>47</v>
      </c>
      <c r="P1153" s="156"/>
      <c r="Q1153" s="158"/>
      <c r="R1153" s="158"/>
      <c r="S1153" s="158"/>
      <c r="T1153" s="158">
        <f t="shared" si="254"/>
        <v>0</v>
      </c>
      <c r="U1153" s="158">
        <f t="shared" si="258"/>
        <v>0</v>
      </c>
      <c r="V1153" s="158">
        <v>100000</v>
      </c>
      <c r="W1153" s="158">
        <f t="shared" si="259"/>
        <v>-100000</v>
      </c>
      <c r="X1153" s="158">
        <f t="shared" si="255"/>
        <v>-100000</v>
      </c>
      <c r="Y1153" s="158">
        <f t="shared" si="260"/>
        <v>0</v>
      </c>
      <c r="Z1153" s="158">
        <v>100000</v>
      </c>
      <c r="AA1153" s="158">
        <f t="shared" si="256"/>
        <v>0</v>
      </c>
      <c r="AB1153" s="167">
        <f t="shared" si="266"/>
        <v>100000</v>
      </c>
      <c r="AC1153" s="168">
        <f t="shared" si="257"/>
        <v>0</v>
      </c>
      <c r="AD1153" s="158">
        <v>100000</v>
      </c>
      <c r="AE1153" s="156">
        <v>0</v>
      </c>
      <c r="AF1153" s="158">
        <f t="shared" si="265"/>
        <v>0</v>
      </c>
      <c r="AG1153" s="158"/>
      <c r="AH1153" s="158"/>
      <c r="AI1153" s="158"/>
      <c r="AJ1153" s="156">
        <v>0</v>
      </c>
      <c r="AM1153" s="140" t="s">
        <v>208</v>
      </c>
    </row>
    <row r="1154" s="140" customFormat="1" ht="15" hidden="1" customHeight="1" spans="1:39">
      <c r="A1154" s="140">
        <v>2017</v>
      </c>
      <c r="B1154" s="140" t="s">
        <v>38</v>
      </c>
      <c r="C1154" s="140" t="s">
        <v>110</v>
      </c>
      <c r="F1154" s="140" t="s">
        <v>1077</v>
      </c>
      <c r="G1154" s="140" t="s">
        <v>1077</v>
      </c>
      <c r="H1154" s="140" t="s">
        <v>1077</v>
      </c>
      <c r="I1154" s="140" t="s">
        <v>204</v>
      </c>
      <c r="J1154" s="140" t="s">
        <v>1078</v>
      </c>
      <c r="K1154" s="140" t="s">
        <v>1078</v>
      </c>
      <c r="L1154" s="140" t="s">
        <v>1077</v>
      </c>
      <c r="M1154" s="140" t="s">
        <v>46</v>
      </c>
      <c r="N1154" s="157">
        <v>0.02</v>
      </c>
      <c r="O1154" s="156" t="s">
        <v>51</v>
      </c>
      <c r="P1154" s="156"/>
      <c r="Q1154" s="158">
        <v>0</v>
      </c>
      <c r="R1154" s="158"/>
      <c r="S1154" s="158"/>
      <c r="T1154" s="158">
        <f t="shared" ref="T1154:T1173" si="267">S1154*N1154</f>
        <v>0</v>
      </c>
      <c r="U1154" s="158">
        <f t="shared" si="258"/>
        <v>0</v>
      </c>
      <c r="V1154" s="158">
        <v>51000</v>
      </c>
      <c r="W1154" s="158">
        <f t="shared" si="259"/>
        <v>-51000</v>
      </c>
      <c r="X1154" s="158">
        <f t="shared" ref="X1154:X1173" si="268">W1154/(1+N1154)</f>
        <v>-50000</v>
      </c>
      <c r="Y1154" s="158">
        <f t="shared" si="260"/>
        <v>-1000</v>
      </c>
      <c r="Z1154" s="158">
        <v>6665.7</v>
      </c>
      <c r="AA1154" s="158">
        <f t="shared" ref="AA1154:AA1173" si="269">Q1154+V1154-Z1154</f>
        <v>44334.3</v>
      </c>
      <c r="AB1154" s="167">
        <f t="shared" si="266"/>
        <v>6535</v>
      </c>
      <c r="AC1154" s="168">
        <f t="shared" ref="AC1154:AC1173" si="270">IF(O1154="返现",Z1154*N1154,Z1154-AB1154)</f>
        <v>130.7</v>
      </c>
      <c r="AD1154" s="158">
        <v>6535.19607843137</v>
      </c>
      <c r="AE1154" s="156">
        <v>0</v>
      </c>
      <c r="AF1154" s="158">
        <f t="shared" si="265"/>
        <v>0</v>
      </c>
      <c r="AG1154" s="158"/>
      <c r="AH1154" s="158"/>
      <c r="AI1154" s="158"/>
      <c r="AJ1154" s="157">
        <v>0.02</v>
      </c>
      <c r="AM1154" s="140" t="s">
        <v>208</v>
      </c>
    </row>
    <row r="1155" s="140" customFormat="1" ht="15" hidden="1" customHeight="1" spans="1:39">
      <c r="A1155" s="140">
        <v>2017</v>
      </c>
      <c r="B1155" s="140" t="s">
        <v>38</v>
      </c>
      <c r="C1155" s="140" t="s">
        <v>59</v>
      </c>
      <c r="F1155" s="140" t="s">
        <v>763</v>
      </c>
      <c r="G1155" s="140" t="s">
        <v>763</v>
      </c>
      <c r="H1155" s="140" t="s">
        <v>763</v>
      </c>
      <c r="I1155" s="140" t="s">
        <v>1079</v>
      </c>
      <c r="J1155" s="140" t="s">
        <v>721</v>
      </c>
      <c r="K1155" s="140" t="s">
        <v>721</v>
      </c>
      <c r="L1155" s="140" t="s">
        <v>763</v>
      </c>
      <c r="M1155" s="140" t="s">
        <v>160</v>
      </c>
      <c r="N1155" s="156">
        <v>0</v>
      </c>
      <c r="O1155" s="156" t="s">
        <v>47</v>
      </c>
      <c r="P1155" s="156" t="s">
        <v>764</v>
      </c>
      <c r="Q1155" s="158">
        <v>0</v>
      </c>
      <c r="R1155" s="158"/>
      <c r="S1155" s="158">
        <v>224000</v>
      </c>
      <c r="T1155" s="158">
        <f t="shared" si="267"/>
        <v>0</v>
      </c>
      <c r="U1155" s="158">
        <f t="shared" ref="U1155:U1173" si="271">R1155+S1155+T1155</f>
        <v>224000</v>
      </c>
      <c r="V1155" s="158">
        <v>84000</v>
      </c>
      <c r="W1155" s="158">
        <f t="shared" ref="W1155:W1173" si="272">U1155-V1155</f>
        <v>140000</v>
      </c>
      <c r="X1155" s="158">
        <f t="shared" si="268"/>
        <v>140000</v>
      </c>
      <c r="Y1155" s="158">
        <f t="shared" ref="Y1155:Y1173" si="273">W1155-X1155</f>
        <v>0</v>
      </c>
      <c r="Z1155" s="158">
        <v>84000</v>
      </c>
      <c r="AA1155" s="158">
        <f t="shared" si="269"/>
        <v>0</v>
      </c>
      <c r="AB1155" s="167">
        <f>S1155</f>
        <v>224000</v>
      </c>
      <c r="AC1155" s="168">
        <f t="shared" si="270"/>
        <v>-140000</v>
      </c>
      <c r="AD1155" s="158">
        <v>84000</v>
      </c>
      <c r="AE1155" s="156">
        <v>0</v>
      </c>
      <c r="AF1155" s="158">
        <v>0</v>
      </c>
      <c r="AG1155" s="158"/>
      <c r="AH1155" s="158"/>
      <c r="AI1155" s="158"/>
      <c r="AJ1155" s="157">
        <v>0</v>
      </c>
      <c r="AM1155" s="140" t="s">
        <v>208</v>
      </c>
    </row>
    <row r="1156" s="140" customFormat="1" ht="15" hidden="1" customHeight="1" spans="1:37">
      <c r="A1156" s="192">
        <v>2017</v>
      </c>
      <c r="B1156" s="192" t="s">
        <v>199</v>
      </c>
      <c r="C1156" s="192" t="s">
        <v>75</v>
      </c>
      <c r="D1156" s="192" t="s">
        <v>76</v>
      </c>
      <c r="E1156" s="192" t="s">
        <v>649</v>
      </c>
      <c r="F1156" s="192" t="s">
        <v>538</v>
      </c>
      <c r="G1156" s="192" t="s">
        <v>1080</v>
      </c>
      <c r="H1156" s="192" t="s">
        <v>1081</v>
      </c>
      <c r="I1156" s="192" t="s">
        <v>1082</v>
      </c>
      <c r="J1156" s="192" t="s">
        <v>1083</v>
      </c>
      <c r="K1156" s="192" t="s">
        <v>1083</v>
      </c>
      <c r="L1156" s="192" t="s">
        <v>539</v>
      </c>
      <c r="M1156" s="192" t="s">
        <v>46</v>
      </c>
      <c r="N1156" s="156">
        <v>0</v>
      </c>
      <c r="O1156" s="156" t="s">
        <v>47</v>
      </c>
      <c r="P1156" s="156"/>
      <c r="Q1156" s="200">
        <v>0</v>
      </c>
      <c r="R1156" s="200">
        <v>0</v>
      </c>
      <c r="S1156" s="200">
        <v>200000</v>
      </c>
      <c r="T1156" s="158">
        <f t="shared" si="267"/>
        <v>0</v>
      </c>
      <c r="U1156" s="158">
        <f t="shared" si="271"/>
        <v>200000</v>
      </c>
      <c r="V1156" s="200">
        <v>200000</v>
      </c>
      <c r="W1156" s="158">
        <f t="shared" si="272"/>
        <v>0</v>
      </c>
      <c r="X1156" s="158">
        <f t="shared" si="268"/>
        <v>0</v>
      </c>
      <c r="Y1156" s="158">
        <f t="shared" si="273"/>
        <v>0</v>
      </c>
      <c r="Z1156" s="200">
        <v>200000</v>
      </c>
      <c r="AA1156" s="158">
        <f t="shared" si="269"/>
        <v>0</v>
      </c>
      <c r="AB1156" s="167">
        <f t="shared" ref="AB1156:AB1168" si="274">IF(O1156="返货",Z1156/(1+N1156),IF(O1156="返现",Z1156,IF(O1156="折扣",Z1156*N1156,IF(O1156="无",Z1156))))</f>
        <v>200000</v>
      </c>
      <c r="AC1156" s="168">
        <f t="shared" si="270"/>
        <v>0</v>
      </c>
      <c r="AD1156" s="200">
        <v>200000</v>
      </c>
      <c r="AE1156" s="201">
        <v>0</v>
      </c>
      <c r="AF1156" s="200">
        <f>AD1156*AE1156</f>
        <v>0</v>
      </c>
      <c r="AG1156" s="200"/>
      <c r="AH1156" s="200"/>
      <c r="AI1156" s="200"/>
      <c r="AJ1156" s="157">
        <v>0</v>
      </c>
      <c r="AK1156" s="192"/>
    </row>
    <row r="1157" s="140" customFormat="1" ht="15" hidden="1" customHeight="1" spans="1:37">
      <c r="A1157" s="192">
        <v>2017</v>
      </c>
      <c r="B1157" s="192" t="s">
        <v>38</v>
      </c>
      <c r="C1157" s="192" t="s">
        <v>75</v>
      </c>
      <c r="D1157" s="192" t="s">
        <v>76</v>
      </c>
      <c r="E1157" s="192" t="s">
        <v>225</v>
      </c>
      <c r="F1157" s="192" t="s">
        <v>251</v>
      </c>
      <c r="G1157" s="192" t="s">
        <v>251</v>
      </c>
      <c r="H1157" s="192" t="s">
        <v>251</v>
      </c>
      <c r="I1157" s="192" t="s">
        <v>165</v>
      </c>
      <c r="J1157" s="192" t="s">
        <v>1084</v>
      </c>
      <c r="K1157" s="192" t="s">
        <v>1084</v>
      </c>
      <c r="L1157" s="192" t="s">
        <v>230</v>
      </c>
      <c r="M1157" s="200" t="s">
        <v>178</v>
      </c>
      <c r="N1157" s="201">
        <v>0</v>
      </c>
      <c r="O1157" s="156" t="s">
        <v>47</v>
      </c>
      <c r="P1157" s="156" t="s">
        <v>179</v>
      </c>
      <c r="Q1157" s="200">
        <v>0</v>
      </c>
      <c r="R1157" s="200">
        <v>0</v>
      </c>
      <c r="S1157" s="200">
        <v>5100000</v>
      </c>
      <c r="T1157" s="158">
        <f t="shared" si="267"/>
        <v>0</v>
      </c>
      <c r="U1157" s="158">
        <f t="shared" si="271"/>
        <v>5100000</v>
      </c>
      <c r="V1157" s="200">
        <v>5100000</v>
      </c>
      <c r="W1157" s="158">
        <f t="shared" si="272"/>
        <v>0</v>
      </c>
      <c r="X1157" s="158">
        <f t="shared" si="268"/>
        <v>0</v>
      </c>
      <c r="Y1157" s="158">
        <f t="shared" si="273"/>
        <v>0</v>
      </c>
      <c r="Z1157" s="200">
        <v>5100000</v>
      </c>
      <c r="AA1157" s="158">
        <f t="shared" si="269"/>
        <v>0</v>
      </c>
      <c r="AB1157" s="167">
        <f t="shared" si="274"/>
        <v>5100000</v>
      </c>
      <c r="AC1157" s="168">
        <f t="shared" si="270"/>
        <v>0</v>
      </c>
      <c r="AD1157" s="200">
        <v>3787500</v>
      </c>
      <c r="AE1157" s="201">
        <v>0</v>
      </c>
      <c r="AF1157" s="200">
        <f t="shared" ref="AF1157:AF1173" si="275">AD1157*AE1157</f>
        <v>0</v>
      </c>
      <c r="AG1157" s="200">
        <v>0</v>
      </c>
      <c r="AH1157" s="200"/>
      <c r="AI1157" s="200"/>
      <c r="AJ1157" s="157">
        <v>0.5</v>
      </c>
      <c r="AK1157" s="220">
        <v>0.5</v>
      </c>
    </row>
    <row r="1158" s="140" customFormat="1" ht="15" hidden="1" customHeight="1" spans="1:37">
      <c r="A1158" s="192">
        <v>2017</v>
      </c>
      <c r="B1158" s="192" t="s">
        <v>38</v>
      </c>
      <c r="C1158" s="192" t="s">
        <v>75</v>
      </c>
      <c r="D1158" s="192" t="s">
        <v>76</v>
      </c>
      <c r="E1158" s="192" t="s">
        <v>225</v>
      </c>
      <c r="F1158" s="192" t="s">
        <v>251</v>
      </c>
      <c r="G1158" s="192" t="s">
        <v>251</v>
      </c>
      <c r="H1158" s="192" t="s">
        <v>251</v>
      </c>
      <c r="I1158" s="140" t="s">
        <v>165</v>
      </c>
      <c r="J1158" s="202" t="s">
        <v>605</v>
      </c>
      <c r="K1158" s="192" t="s">
        <v>1085</v>
      </c>
      <c r="L1158" s="192" t="s">
        <v>230</v>
      </c>
      <c r="M1158" s="200" t="s">
        <v>178</v>
      </c>
      <c r="N1158" s="201">
        <v>0</v>
      </c>
      <c r="O1158" s="156" t="s">
        <v>47</v>
      </c>
      <c r="P1158" s="156" t="s">
        <v>179</v>
      </c>
      <c r="Q1158" s="200">
        <v>0</v>
      </c>
      <c r="R1158" s="200">
        <v>0</v>
      </c>
      <c r="S1158" s="200">
        <v>2040000</v>
      </c>
      <c r="T1158" s="158">
        <f t="shared" si="267"/>
        <v>0</v>
      </c>
      <c r="U1158" s="158">
        <f t="shared" si="271"/>
        <v>2040000</v>
      </c>
      <c r="V1158" s="200">
        <v>3060000</v>
      </c>
      <c r="W1158" s="158">
        <f t="shared" si="272"/>
        <v>-1020000</v>
      </c>
      <c r="X1158" s="158">
        <f t="shared" si="268"/>
        <v>-1020000</v>
      </c>
      <c r="Y1158" s="158">
        <f t="shared" si="273"/>
        <v>0</v>
      </c>
      <c r="Z1158" s="200">
        <v>2040000</v>
      </c>
      <c r="AA1158" s="158">
        <f t="shared" si="269"/>
        <v>1020000</v>
      </c>
      <c r="AB1158" s="167">
        <f t="shared" si="274"/>
        <v>2040000</v>
      </c>
      <c r="AC1158" s="168">
        <f t="shared" si="270"/>
        <v>0</v>
      </c>
      <c r="AD1158" s="200">
        <v>1515000</v>
      </c>
      <c r="AE1158" s="201">
        <v>0</v>
      </c>
      <c r="AF1158" s="200">
        <f t="shared" si="275"/>
        <v>0</v>
      </c>
      <c r="AG1158" s="200">
        <v>0</v>
      </c>
      <c r="AH1158" s="200"/>
      <c r="AI1158" s="200"/>
      <c r="AJ1158" s="157">
        <v>0.5</v>
      </c>
      <c r="AK1158" s="220">
        <v>0.5</v>
      </c>
    </row>
    <row r="1159" s="140" customFormat="1" ht="15" hidden="1" customHeight="1" spans="1:37">
      <c r="A1159" s="192">
        <v>2017</v>
      </c>
      <c r="B1159" s="192" t="s">
        <v>38</v>
      </c>
      <c r="C1159" s="192" t="s">
        <v>54</v>
      </c>
      <c r="D1159" s="192" t="s">
        <v>55</v>
      </c>
      <c r="E1159" s="192" t="s">
        <v>368</v>
      </c>
      <c r="F1159" s="192" t="s">
        <v>65</v>
      </c>
      <c r="G1159" s="192" t="s">
        <v>65</v>
      </c>
      <c r="H1159" s="192" t="s">
        <v>65</v>
      </c>
      <c r="I1159" s="192" t="s">
        <v>1086</v>
      </c>
      <c r="J1159" s="192" t="s">
        <v>956</v>
      </c>
      <c r="K1159" s="192" t="s">
        <v>956</v>
      </c>
      <c r="L1159" s="192" t="s">
        <v>65</v>
      </c>
      <c r="M1159" s="192" t="s">
        <v>185</v>
      </c>
      <c r="N1159" s="156">
        <v>0</v>
      </c>
      <c r="O1159" s="156" t="s">
        <v>47</v>
      </c>
      <c r="P1159" s="156"/>
      <c r="Q1159" s="200">
        <v>0</v>
      </c>
      <c r="R1159" s="200">
        <v>0</v>
      </c>
      <c r="S1159" s="200">
        <v>8778.3</v>
      </c>
      <c r="T1159" s="158">
        <f t="shared" si="267"/>
        <v>0</v>
      </c>
      <c r="U1159" s="158">
        <f t="shared" si="271"/>
        <v>8778.3</v>
      </c>
      <c r="V1159" s="200">
        <v>8778.3</v>
      </c>
      <c r="W1159" s="158">
        <f t="shared" si="272"/>
        <v>0</v>
      </c>
      <c r="X1159" s="158">
        <f t="shared" si="268"/>
        <v>0</v>
      </c>
      <c r="Y1159" s="158">
        <f t="shared" si="273"/>
        <v>0</v>
      </c>
      <c r="Z1159" s="200">
        <v>7315.25</v>
      </c>
      <c r="AA1159" s="158">
        <f t="shared" si="269"/>
        <v>1463.05</v>
      </c>
      <c r="AB1159" s="167">
        <f t="shared" si="274"/>
        <v>7315.25</v>
      </c>
      <c r="AC1159" s="168">
        <f t="shared" si="270"/>
        <v>0</v>
      </c>
      <c r="AD1159" s="200">
        <v>7315.25</v>
      </c>
      <c r="AE1159" s="201">
        <v>0</v>
      </c>
      <c r="AF1159" s="200">
        <f t="shared" si="275"/>
        <v>0</v>
      </c>
      <c r="AG1159" s="200">
        <v>0</v>
      </c>
      <c r="AH1159" s="200"/>
      <c r="AI1159" s="200"/>
      <c r="AJ1159" s="157">
        <v>0</v>
      </c>
      <c r="AK1159" s="221" t="s">
        <v>47</v>
      </c>
    </row>
    <row r="1160" s="140" customFormat="1" ht="15" hidden="1" customHeight="1" spans="1:39">
      <c r="A1160" s="140">
        <v>2017</v>
      </c>
      <c r="B1160" s="140" t="s">
        <v>38</v>
      </c>
      <c r="C1160" s="140" t="s">
        <v>75</v>
      </c>
      <c r="D1160" s="140" t="s">
        <v>76</v>
      </c>
      <c r="E1160" s="140" t="s">
        <v>304</v>
      </c>
      <c r="F1160" s="140" t="s">
        <v>674</v>
      </c>
      <c r="G1160" s="140" t="s">
        <v>674</v>
      </c>
      <c r="H1160" s="140" t="s">
        <v>674</v>
      </c>
      <c r="I1160" s="184" t="s">
        <v>204</v>
      </c>
      <c r="J1160" s="140" t="s">
        <v>577</v>
      </c>
      <c r="K1160" s="140" t="s">
        <v>578</v>
      </c>
      <c r="L1160" s="140" t="s">
        <v>674</v>
      </c>
      <c r="M1160" s="140" t="s">
        <v>46</v>
      </c>
      <c r="N1160" s="157">
        <v>0.04</v>
      </c>
      <c r="O1160" s="156" t="s">
        <v>51</v>
      </c>
      <c r="P1160" s="156" t="s">
        <v>440</v>
      </c>
      <c r="Q1160" s="158">
        <v>0</v>
      </c>
      <c r="R1160" s="158">
        <v>0</v>
      </c>
      <c r="S1160" s="158"/>
      <c r="T1160" s="158">
        <f t="shared" si="267"/>
        <v>0</v>
      </c>
      <c r="U1160" s="158">
        <f t="shared" si="271"/>
        <v>0</v>
      </c>
      <c r="V1160" s="158"/>
      <c r="W1160" s="158">
        <f t="shared" si="272"/>
        <v>0</v>
      </c>
      <c r="X1160" s="158">
        <f t="shared" si="268"/>
        <v>0</v>
      </c>
      <c r="Y1160" s="158">
        <f t="shared" si="273"/>
        <v>0</v>
      </c>
      <c r="Z1160" s="158">
        <f>2069607-Z502</f>
        <v>437607</v>
      </c>
      <c r="AA1160" s="158">
        <f t="shared" si="269"/>
        <v>-437607</v>
      </c>
      <c r="AB1160" s="167">
        <f t="shared" si="274"/>
        <v>420775.961538462</v>
      </c>
      <c r="AC1160" s="168">
        <f t="shared" si="270"/>
        <v>16831.0384615385</v>
      </c>
      <c r="AD1160" s="158">
        <f>Z1160*0.980277351080772</f>
        <v>428976.230774403</v>
      </c>
      <c r="AE1160" s="159">
        <v>0.1077</v>
      </c>
      <c r="AF1160" s="158">
        <f t="shared" si="275"/>
        <v>46200.7400544032</v>
      </c>
      <c r="AG1160" s="158">
        <v>182316.144488235</v>
      </c>
      <c r="AH1160" s="175"/>
      <c r="AI1160" s="175"/>
      <c r="AJ1160" s="156">
        <v>0.04</v>
      </c>
      <c r="AK1160" s="140" t="s">
        <v>173</v>
      </c>
      <c r="AM1160" s="152"/>
    </row>
    <row r="1161" s="140" customFormat="1" ht="15" hidden="1" customHeight="1" spans="1:39">
      <c r="A1161" s="140">
        <v>2017</v>
      </c>
      <c r="B1161" s="140" t="s">
        <v>38</v>
      </c>
      <c r="C1161" s="140" t="s">
        <v>39</v>
      </c>
      <c r="D1161" s="140" t="s">
        <v>81</v>
      </c>
      <c r="E1161" s="140" t="s">
        <v>82</v>
      </c>
      <c r="F1161" s="140" t="s">
        <v>83</v>
      </c>
      <c r="G1161" s="140" t="s">
        <v>83</v>
      </c>
      <c r="H1161" s="140" t="s">
        <v>83</v>
      </c>
      <c r="I1161" s="184" t="s">
        <v>204</v>
      </c>
      <c r="J1161" s="140" t="s">
        <v>577</v>
      </c>
      <c r="K1161" s="140" t="s">
        <v>578</v>
      </c>
      <c r="L1161" s="140" t="s">
        <v>83</v>
      </c>
      <c r="M1161" s="140" t="s">
        <v>46</v>
      </c>
      <c r="N1161" s="157">
        <v>0.02</v>
      </c>
      <c r="O1161" s="156" t="s">
        <v>51</v>
      </c>
      <c r="P1161" s="156" t="s">
        <v>440</v>
      </c>
      <c r="Q1161" s="158">
        <v>0</v>
      </c>
      <c r="R1161" s="158">
        <v>0</v>
      </c>
      <c r="S1161" s="158"/>
      <c r="T1161" s="158">
        <f t="shared" si="267"/>
        <v>0</v>
      </c>
      <c r="U1161" s="158">
        <f t="shared" si="271"/>
        <v>0</v>
      </c>
      <c r="V1161" s="158"/>
      <c r="W1161" s="158">
        <f t="shared" si="272"/>
        <v>0</v>
      </c>
      <c r="X1161" s="158">
        <f t="shared" si="268"/>
        <v>0</v>
      </c>
      <c r="Y1161" s="158">
        <f t="shared" si="273"/>
        <v>0</v>
      </c>
      <c r="Z1161" s="158">
        <v>847208.5</v>
      </c>
      <c r="AA1161" s="158">
        <f t="shared" si="269"/>
        <v>-847208.5</v>
      </c>
      <c r="AB1161" s="167">
        <f t="shared" si="274"/>
        <v>830596.568627451</v>
      </c>
      <c r="AC1161" s="168">
        <f t="shared" si="270"/>
        <v>16611.931372549</v>
      </c>
      <c r="AD1161" s="158">
        <f>Z1161*0.980277351080772</f>
        <v>830499.304193114</v>
      </c>
      <c r="AE1161" s="159">
        <v>0.1077</v>
      </c>
      <c r="AF1161" s="158">
        <f t="shared" si="275"/>
        <v>89444.7750615984</v>
      </c>
      <c r="AG1161" s="158">
        <v>180000.709976059</v>
      </c>
      <c r="AH1161" s="175"/>
      <c r="AI1161" s="175"/>
      <c r="AJ1161" s="156">
        <v>0.02</v>
      </c>
      <c r="AK1161" s="140" t="s">
        <v>173</v>
      </c>
      <c r="AM1161" s="152"/>
    </row>
    <row r="1162" s="140" customFormat="1" ht="15" hidden="1" customHeight="1" spans="1:37">
      <c r="A1162" s="140">
        <v>2017</v>
      </c>
      <c r="B1162" s="140" t="s">
        <v>38</v>
      </c>
      <c r="C1162" s="140" t="s">
        <v>39</v>
      </c>
      <c r="D1162" s="140" t="s">
        <v>81</v>
      </c>
      <c r="E1162" s="140" t="s">
        <v>82</v>
      </c>
      <c r="F1162" s="140" t="s">
        <v>83</v>
      </c>
      <c r="G1162" s="140" t="s">
        <v>83</v>
      </c>
      <c r="H1162" s="140" t="s">
        <v>83</v>
      </c>
      <c r="I1162" s="140" t="s">
        <v>170</v>
      </c>
      <c r="J1162" s="140" t="s">
        <v>171</v>
      </c>
      <c r="K1162" s="140" t="s">
        <v>172</v>
      </c>
      <c r="L1162" s="140" t="s">
        <v>83</v>
      </c>
      <c r="M1162" s="140" t="s">
        <v>46</v>
      </c>
      <c r="N1162" s="157">
        <v>0.02</v>
      </c>
      <c r="O1162" s="156" t="s">
        <v>51</v>
      </c>
      <c r="P1162" s="156" t="s">
        <v>440</v>
      </c>
      <c r="Q1162" s="158">
        <v>0</v>
      </c>
      <c r="R1162" s="158">
        <v>0</v>
      </c>
      <c r="S1162" s="158"/>
      <c r="T1162" s="158">
        <f t="shared" si="267"/>
        <v>0</v>
      </c>
      <c r="U1162" s="158">
        <f t="shared" si="271"/>
        <v>0</v>
      </c>
      <c r="V1162" s="158"/>
      <c r="W1162" s="158">
        <f t="shared" si="272"/>
        <v>0</v>
      </c>
      <c r="X1162" s="158">
        <f t="shared" si="268"/>
        <v>0</v>
      </c>
      <c r="Y1162" s="158">
        <f t="shared" si="273"/>
        <v>0</v>
      </c>
      <c r="Z1162" s="158">
        <v>1819500</v>
      </c>
      <c r="AA1162" s="158">
        <f t="shared" si="269"/>
        <v>-1819500</v>
      </c>
      <c r="AB1162" s="167">
        <f t="shared" si="274"/>
        <v>1783823.52941176</v>
      </c>
      <c r="AC1162" s="168">
        <f t="shared" si="270"/>
        <v>35676.4705882354</v>
      </c>
      <c r="AD1162" s="158">
        <f t="shared" ref="AD1162:AD1163" si="276">(Z1162-Q1162)*0.89807640489087</f>
        <v>1634050.01869894</v>
      </c>
      <c r="AE1162" s="159">
        <v>0.112691732739812</v>
      </c>
      <c r="AF1162" s="158">
        <f t="shared" si="275"/>
        <v>184143.927990706</v>
      </c>
      <c r="AG1162" s="158">
        <v>270180.541714819</v>
      </c>
      <c r="AH1162" s="175"/>
      <c r="AI1162" s="175"/>
      <c r="AJ1162" s="156">
        <v>0.02</v>
      </c>
      <c r="AK1162" s="140" t="s">
        <v>173</v>
      </c>
    </row>
    <row r="1163" s="140" customFormat="1" ht="15" hidden="1" customHeight="1" spans="1:37">
      <c r="A1163" s="140">
        <v>2017</v>
      </c>
      <c r="B1163" s="140" t="s">
        <v>199</v>
      </c>
      <c r="C1163" s="140" t="s">
        <v>110</v>
      </c>
      <c r="D1163" s="140" t="s">
        <v>111</v>
      </c>
      <c r="E1163" s="140" t="s">
        <v>281</v>
      </c>
      <c r="F1163" s="140" t="s">
        <v>623</v>
      </c>
      <c r="G1163" s="140" t="s">
        <v>624</v>
      </c>
      <c r="H1163" s="140" t="s">
        <v>624</v>
      </c>
      <c r="I1163" s="140" t="s">
        <v>170</v>
      </c>
      <c r="J1163" s="140" t="s">
        <v>171</v>
      </c>
      <c r="K1163" s="140" t="s">
        <v>172</v>
      </c>
      <c r="L1163" s="140" t="s">
        <v>623</v>
      </c>
      <c r="M1163" s="140" t="s">
        <v>46</v>
      </c>
      <c r="N1163" s="156">
        <v>0.02</v>
      </c>
      <c r="O1163" s="156" t="s">
        <v>51</v>
      </c>
      <c r="P1163" s="156" t="s">
        <v>440</v>
      </c>
      <c r="Q1163" s="158">
        <v>0</v>
      </c>
      <c r="R1163" s="158">
        <v>0</v>
      </c>
      <c r="S1163" s="158"/>
      <c r="T1163" s="158">
        <f t="shared" si="267"/>
        <v>0</v>
      </c>
      <c r="U1163" s="158">
        <f t="shared" si="271"/>
        <v>0</v>
      </c>
      <c r="V1163" s="158"/>
      <c r="W1163" s="158">
        <f t="shared" si="272"/>
        <v>0</v>
      </c>
      <c r="X1163" s="158">
        <f t="shared" si="268"/>
        <v>0</v>
      </c>
      <c r="Y1163" s="158">
        <f t="shared" si="273"/>
        <v>0</v>
      </c>
      <c r="Z1163" s="158">
        <v>193800</v>
      </c>
      <c r="AA1163" s="158">
        <f t="shared" si="269"/>
        <v>-193800</v>
      </c>
      <c r="AB1163" s="167">
        <f t="shared" si="274"/>
        <v>190000</v>
      </c>
      <c r="AC1163" s="168">
        <f t="shared" si="270"/>
        <v>3800</v>
      </c>
      <c r="AD1163" s="158">
        <f t="shared" si="276"/>
        <v>174047.207267851</v>
      </c>
      <c r="AE1163" s="159">
        <v>0.112691732739812</v>
      </c>
      <c r="AF1163" s="158">
        <f t="shared" si="275"/>
        <v>19613.6813655393</v>
      </c>
      <c r="AG1163" s="158">
        <v>38654.5934190262</v>
      </c>
      <c r="AH1163" s="175"/>
      <c r="AI1163" s="175"/>
      <c r="AJ1163" s="156">
        <v>0.02</v>
      </c>
      <c r="AK1163" s="140" t="s">
        <v>173</v>
      </c>
    </row>
    <row r="1164" s="140" customFormat="1" ht="15" hidden="1" customHeight="1" spans="1:39">
      <c r="A1164" s="140">
        <v>2017</v>
      </c>
      <c r="B1164" s="140" t="s">
        <v>38</v>
      </c>
      <c r="C1164" s="140" t="s">
        <v>59</v>
      </c>
      <c r="D1164" s="140" t="s">
        <v>60</v>
      </c>
      <c r="E1164" s="140" t="s">
        <v>190</v>
      </c>
      <c r="F1164" s="140" t="s">
        <v>478</v>
      </c>
      <c r="G1164" s="140" t="s">
        <v>478</v>
      </c>
      <c r="H1164" s="140" t="s">
        <v>478</v>
      </c>
      <c r="I1164" s="140" t="s">
        <v>170</v>
      </c>
      <c r="J1164" s="140" t="s">
        <v>605</v>
      </c>
      <c r="K1164" s="140" t="s">
        <v>1068</v>
      </c>
      <c r="L1164" s="140" t="s">
        <v>987</v>
      </c>
      <c r="M1164" s="140" t="s">
        <v>46</v>
      </c>
      <c r="N1164" s="157">
        <v>0.02</v>
      </c>
      <c r="O1164" s="156" t="s">
        <v>51</v>
      </c>
      <c r="P1164" s="156" t="s">
        <v>440</v>
      </c>
      <c r="Q1164" s="158">
        <v>0</v>
      </c>
      <c r="R1164" s="158">
        <v>0</v>
      </c>
      <c r="S1164" s="158"/>
      <c r="T1164" s="158">
        <f t="shared" si="267"/>
        <v>0</v>
      </c>
      <c r="U1164" s="158">
        <f t="shared" si="271"/>
        <v>0</v>
      </c>
      <c r="V1164" s="158"/>
      <c r="W1164" s="158">
        <f t="shared" si="272"/>
        <v>0</v>
      </c>
      <c r="X1164" s="158">
        <f t="shared" si="268"/>
        <v>0</v>
      </c>
      <c r="Y1164" s="158">
        <f t="shared" si="273"/>
        <v>0</v>
      </c>
      <c r="Z1164" s="158">
        <v>122221.7</v>
      </c>
      <c r="AA1164" s="158">
        <f t="shared" si="269"/>
        <v>-122221.7</v>
      </c>
      <c r="AB1164" s="167">
        <f t="shared" si="274"/>
        <v>119825.196078431</v>
      </c>
      <c r="AC1164" s="168">
        <f t="shared" si="270"/>
        <v>2396.50392156863</v>
      </c>
      <c r="AD1164" s="158">
        <v>0</v>
      </c>
      <c r="AE1164" s="159">
        <v>0.06</v>
      </c>
      <c r="AF1164" s="158">
        <f t="shared" si="275"/>
        <v>0</v>
      </c>
      <c r="AG1164" s="158">
        <v>0</v>
      </c>
      <c r="AH1164" s="175"/>
      <c r="AI1164" s="175"/>
      <c r="AJ1164" s="156">
        <v>0.02</v>
      </c>
      <c r="AK1164" s="140" t="s">
        <v>173</v>
      </c>
      <c r="AM1164" s="152"/>
    </row>
    <row r="1165" s="140" customFormat="1" ht="15" hidden="1" customHeight="1" spans="1:39">
      <c r="A1165" s="140">
        <v>2017</v>
      </c>
      <c r="B1165" s="140" t="s">
        <v>38</v>
      </c>
      <c r="C1165" s="140" t="s">
        <v>54</v>
      </c>
      <c r="D1165" s="140" t="s">
        <v>55</v>
      </c>
      <c r="E1165" s="140" t="s">
        <v>368</v>
      </c>
      <c r="F1165" s="140" t="s">
        <v>489</v>
      </c>
      <c r="G1165" s="140" t="s">
        <v>489</v>
      </c>
      <c r="H1165" s="140" t="s">
        <v>489</v>
      </c>
      <c r="I1165" s="184" t="s">
        <v>204</v>
      </c>
      <c r="J1165" s="140" t="s">
        <v>577</v>
      </c>
      <c r="K1165" s="140" t="s">
        <v>578</v>
      </c>
      <c r="L1165" s="140" t="s">
        <v>787</v>
      </c>
      <c r="M1165" s="140" t="s">
        <v>46</v>
      </c>
      <c r="N1165" s="157">
        <v>0.07</v>
      </c>
      <c r="O1165" s="156" t="s">
        <v>51</v>
      </c>
      <c r="P1165" s="156" t="s">
        <v>440</v>
      </c>
      <c r="Q1165" s="158">
        <v>0</v>
      </c>
      <c r="R1165" s="158">
        <v>0</v>
      </c>
      <c r="S1165" s="158"/>
      <c r="T1165" s="158">
        <f t="shared" si="267"/>
        <v>0</v>
      </c>
      <c r="U1165" s="158">
        <f t="shared" si="271"/>
        <v>0</v>
      </c>
      <c r="V1165" s="158"/>
      <c r="W1165" s="158">
        <f t="shared" si="272"/>
        <v>0</v>
      </c>
      <c r="X1165" s="158">
        <f t="shared" si="268"/>
        <v>0</v>
      </c>
      <c r="Y1165" s="158">
        <f t="shared" si="273"/>
        <v>0</v>
      </c>
      <c r="Z1165" s="158">
        <f>839984.18-Z678</f>
        <v>30900.01</v>
      </c>
      <c r="AA1165" s="158">
        <f t="shared" si="269"/>
        <v>-30900.01</v>
      </c>
      <c r="AB1165" s="167">
        <f t="shared" si="274"/>
        <v>28878.5140186916</v>
      </c>
      <c r="AC1165" s="168">
        <f t="shared" si="270"/>
        <v>2021.49598130841</v>
      </c>
      <c r="AD1165" s="158">
        <f>Z1165*0.980277351080772</f>
        <v>30290.5799511694</v>
      </c>
      <c r="AE1165" s="159">
        <v>0.1077</v>
      </c>
      <c r="AF1165" s="158">
        <f t="shared" si="275"/>
        <v>3262.29546074094</v>
      </c>
      <c r="AG1165" s="158">
        <v>50467.0495193333</v>
      </c>
      <c r="AH1165" s="175"/>
      <c r="AI1165" s="175"/>
      <c r="AJ1165" s="156">
        <v>0.07</v>
      </c>
      <c r="AK1165" s="140" t="s">
        <v>63</v>
      </c>
      <c r="AM1165" s="152"/>
    </row>
    <row r="1166" s="140" customFormat="1" ht="15" hidden="1" customHeight="1" spans="1:37">
      <c r="A1166" s="140">
        <v>2017</v>
      </c>
      <c r="B1166" s="140" t="s">
        <v>38</v>
      </c>
      <c r="C1166" s="140" t="s">
        <v>54</v>
      </c>
      <c r="D1166" s="140" t="s">
        <v>55</v>
      </c>
      <c r="E1166" s="140" t="s">
        <v>368</v>
      </c>
      <c r="F1166" s="140" t="s">
        <v>489</v>
      </c>
      <c r="G1166" s="140" t="s">
        <v>489</v>
      </c>
      <c r="H1166" s="140" t="s">
        <v>489</v>
      </c>
      <c r="I1166" s="140" t="s">
        <v>170</v>
      </c>
      <c r="J1166" s="140" t="s">
        <v>171</v>
      </c>
      <c r="K1166" s="140" t="s">
        <v>172</v>
      </c>
      <c r="L1166" s="140" t="s">
        <v>489</v>
      </c>
      <c r="M1166" s="140" t="s">
        <v>46</v>
      </c>
      <c r="N1166" s="157">
        <v>0.04</v>
      </c>
      <c r="O1166" s="156" t="s">
        <v>51</v>
      </c>
      <c r="P1166" s="156" t="s">
        <v>440</v>
      </c>
      <c r="Q1166" s="158">
        <v>0</v>
      </c>
      <c r="R1166" s="158">
        <v>0</v>
      </c>
      <c r="S1166" s="158"/>
      <c r="T1166" s="158">
        <f t="shared" si="267"/>
        <v>0</v>
      </c>
      <c r="U1166" s="158">
        <f t="shared" si="271"/>
        <v>0</v>
      </c>
      <c r="V1166" s="158"/>
      <c r="W1166" s="158">
        <f t="shared" si="272"/>
        <v>0</v>
      </c>
      <c r="X1166" s="158">
        <f t="shared" si="268"/>
        <v>0</v>
      </c>
      <c r="Y1166" s="158">
        <f t="shared" si="273"/>
        <v>0</v>
      </c>
      <c r="Z1166" s="158">
        <v>1704400</v>
      </c>
      <c r="AA1166" s="158">
        <f t="shared" si="269"/>
        <v>-1704400</v>
      </c>
      <c r="AB1166" s="167">
        <f t="shared" si="274"/>
        <v>1638846.15384615</v>
      </c>
      <c r="AC1166" s="168">
        <f t="shared" si="270"/>
        <v>65553.8461538462</v>
      </c>
      <c r="AD1166" s="158">
        <f>(Z1166-Q1166)*0.89807640489087</f>
        <v>1530681.424496</v>
      </c>
      <c r="AE1166" s="159">
        <v>0.112691732739812</v>
      </c>
      <c r="AF1166" s="158">
        <f t="shared" si="275"/>
        <v>172495.141999098</v>
      </c>
      <c r="AG1166" s="158">
        <v>136392.544408836</v>
      </c>
      <c r="AH1166" s="175"/>
      <c r="AI1166" s="175"/>
      <c r="AJ1166" s="157">
        <v>0.04</v>
      </c>
      <c r="AK1166" s="140" t="s">
        <v>186</v>
      </c>
    </row>
    <row r="1167" s="140" customFormat="1" ht="15" hidden="1" customHeight="1" spans="1:39">
      <c r="A1167" s="140">
        <v>2017</v>
      </c>
      <c r="B1167" s="140" t="s">
        <v>38</v>
      </c>
      <c r="C1167" s="140" t="s">
        <v>54</v>
      </c>
      <c r="D1167" s="140" t="s">
        <v>102</v>
      </c>
      <c r="E1167" s="140" t="s">
        <v>115</v>
      </c>
      <c r="F1167" s="140" t="s">
        <v>502</v>
      </c>
      <c r="G1167" s="140" t="s">
        <v>502</v>
      </c>
      <c r="H1167" s="140" t="s">
        <v>502</v>
      </c>
      <c r="I1167" s="152" t="s">
        <v>243</v>
      </c>
      <c r="J1167" s="140" t="s">
        <v>244</v>
      </c>
      <c r="K1167" s="140" t="s">
        <v>245</v>
      </c>
      <c r="L1167" s="140" t="s">
        <v>503</v>
      </c>
      <c r="M1167" s="140" t="s">
        <v>46</v>
      </c>
      <c r="N1167" s="157">
        <v>0</v>
      </c>
      <c r="O1167" s="156" t="s">
        <v>47</v>
      </c>
      <c r="P1167" s="156" t="s">
        <v>440</v>
      </c>
      <c r="Q1167" s="158">
        <v>0</v>
      </c>
      <c r="R1167" s="158">
        <v>0</v>
      </c>
      <c r="S1167" s="158"/>
      <c r="T1167" s="158">
        <f t="shared" si="267"/>
        <v>0</v>
      </c>
      <c r="U1167" s="158">
        <f t="shared" si="271"/>
        <v>0</v>
      </c>
      <c r="V1167" s="158"/>
      <c r="W1167" s="158">
        <f t="shared" si="272"/>
        <v>0</v>
      </c>
      <c r="X1167" s="158">
        <f t="shared" si="268"/>
        <v>0</v>
      </c>
      <c r="Y1167" s="158">
        <f t="shared" si="273"/>
        <v>0</v>
      </c>
      <c r="Z1167" s="158">
        <v>21000</v>
      </c>
      <c r="AA1167" s="158">
        <f t="shared" si="269"/>
        <v>-21000</v>
      </c>
      <c r="AB1167" s="167">
        <f t="shared" si="274"/>
        <v>21000</v>
      </c>
      <c r="AC1167" s="168">
        <f t="shared" si="270"/>
        <v>0</v>
      </c>
      <c r="AD1167" s="158">
        <v>0</v>
      </c>
      <c r="AE1167" s="159">
        <v>0.176470588235294</v>
      </c>
      <c r="AF1167" s="158">
        <f t="shared" si="275"/>
        <v>0</v>
      </c>
      <c r="AG1167" s="158">
        <f>AB1167-Z1167+AF1167</f>
        <v>0</v>
      </c>
      <c r="AH1167" s="175"/>
      <c r="AI1167" s="175"/>
      <c r="AJ1167" s="157">
        <v>0</v>
      </c>
      <c r="AK1167" s="177">
        <v>0.02</v>
      </c>
      <c r="AM1167" s="152"/>
    </row>
    <row r="1168" s="140" customFormat="1" ht="15" hidden="1" customHeight="1" spans="1:39">
      <c r="A1168" s="140">
        <v>2017</v>
      </c>
      <c r="B1168" s="152" t="s">
        <v>38</v>
      </c>
      <c r="C1168" s="140" t="s">
        <v>137</v>
      </c>
      <c r="D1168" s="152"/>
      <c r="E1168" s="152"/>
      <c r="F1168" s="152" t="s">
        <v>271</v>
      </c>
      <c r="G1168" s="152" t="s">
        <v>403</v>
      </c>
      <c r="H1168" s="152" t="s">
        <v>403</v>
      </c>
      <c r="I1168" s="152" t="s">
        <v>243</v>
      </c>
      <c r="J1168" s="140" t="s">
        <v>244</v>
      </c>
      <c r="K1168" s="140" t="s">
        <v>245</v>
      </c>
      <c r="L1168" s="140" t="s">
        <v>545</v>
      </c>
      <c r="M1168" s="140" t="s">
        <v>46</v>
      </c>
      <c r="N1168" s="157">
        <v>0.05</v>
      </c>
      <c r="O1168" s="156" t="s">
        <v>51</v>
      </c>
      <c r="P1168" s="156" t="s">
        <v>440</v>
      </c>
      <c r="Q1168" s="158">
        <v>0</v>
      </c>
      <c r="T1168" s="158">
        <f t="shared" si="267"/>
        <v>0</v>
      </c>
      <c r="U1168" s="158">
        <f t="shared" si="271"/>
        <v>0</v>
      </c>
      <c r="V1168" s="158"/>
      <c r="W1168" s="158">
        <f t="shared" si="272"/>
        <v>0</v>
      </c>
      <c r="X1168" s="158">
        <f t="shared" si="268"/>
        <v>0</v>
      </c>
      <c r="Y1168" s="158">
        <f t="shared" si="273"/>
        <v>0</v>
      </c>
      <c r="Z1168" s="158">
        <v>3000</v>
      </c>
      <c r="AA1168" s="158">
        <f t="shared" si="269"/>
        <v>-3000</v>
      </c>
      <c r="AB1168" s="167">
        <f t="shared" si="274"/>
        <v>2857.14285714286</v>
      </c>
      <c r="AC1168" s="168">
        <f t="shared" si="270"/>
        <v>142.857142857143</v>
      </c>
      <c r="AD1168" s="158">
        <v>0</v>
      </c>
      <c r="AE1168" s="159">
        <v>0.176470588235294</v>
      </c>
      <c r="AF1168" s="158">
        <f t="shared" si="275"/>
        <v>0</v>
      </c>
      <c r="AG1168" s="152"/>
      <c r="AH1168" s="152"/>
      <c r="AI1168" s="152"/>
      <c r="AJ1168" s="156">
        <v>0.05</v>
      </c>
      <c r="AK1168" s="152"/>
      <c r="AL1168" s="152"/>
      <c r="AM1168" s="152" t="s">
        <v>208</v>
      </c>
    </row>
    <row r="1169" s="140" customFormat="1" ht="15" hidden="1" customHeight="1" spans="1:39">
      <c r="A1169" s="140">
        <v>2017</v>
      </c>
      <c r="B1169" s="140" t="s">
        <v>38</v>
      </c>
      <c r="C1169" s="140" t="s">
        <v>39</v>
      </c>
      <c r="D1169" s="140" t="s">
        <v>81</v>
      </c>
      <c r="E1169" s="140" t="s">
        <v>41</v>
      </c>
      <c r="F1169" s="140" t="s">
        <v>706</v>
      </c>
      <c r="G1169" s="140" t="s">
        <v>706</v>
      </c>
      <c r="H1169" s="140" t="s">
        <v>706</v>
      </c>
      <c r="I1169" s="184" t="s">
        <v>204</v>
      </c>
      <c r="J1169" s="140" t="s">
        <v>577</v>
      </c>
      <c r="K1169" s="140" t="s">
        <v>578</v>
      </c>
      <c r="L1169" s="140" t="s">
        <v>707</v>
      </c>
      <c r="M1169" s="140" t="s">
        <v>46</v>
      </c>
      <c r="N1169" s="157">
        <v>0</v>
      </c>
      <c r="O1169" s="156" t="s">
        <v>47</v>
      </c>
      <c r="P1169" s="156" t="s">
        <v>440</v>
      </c>
      <c r="Q1169" s="158">
        <v>14152.34</v>
      </c>
      <c r="R1169" s="158"/>
      <c r="S1169" s="158"/>
      <c r="T1169" s="158">
        <f t="shared" si="267"/>
        <v>0</v>
      </c>
      <c r="U1169" s="158">
        <f t="shared" si="271"/>
        <v>0</v>
      </c>
      <c r="V1169" s="158"/>
      <c r="W1169" s="158">
        <f t="shared" si="272"/>
        <v>0</v>
      </c>
      <c r="X1169" s="158">
        <f t="shared" si="268"/>
        <v>0</v>
      </c>
      <c r="Y1169" s="158">
        <f t="shared" si="273"/>
        <v>0</v>
      </c>
      <c r="Z1169" s="158">
        <v>425959.02</v>
      </c>
      <c r="AA1169" s="158">
        <f t="shared" si="269"/>
        <v>-411806.68</v>
      </c>
      <c r="AB1169" s="167">
        <f>IF(O1169="返货",(Z1169-Q1169)/(1+N1169),IF(O1169="返现",(Z1169-Q1169),IF(O1169="折扣",(Z1169-Q1169)*N1169,IF(O1169="无",(Z1169-Q1169)))))</f>
        <v>411806.68</v>
      </c>
      <c r="AC1169" s="168">
        <f t="shared" si="270"/>
        <v>14152.34</v>
      </c>
      <c r="AD1169" s="158">
        <f>Z1169*0.980277351080772</f>
        <v>417557.979794562</v>
      </c>
      <c r="AE1169" s="159">
        <v>0.1077</v>
      </c>
      <c r="AF1169" s="158">
        <f t="shared" si="275"/>
        <v>44970.9944238743</v>
      </c>
      <c r="AG1169" s="158">
        <v>33501.9806820874</v>
      </c>
      <c r="AH1169" s="175"/>
      <c r="AI1169" s="175"/>
      <c r="AJ1169" s="156">
        <v>0</v>
      </c>
      <c r="AK1169" s="177">
        <v>0</v>
      </c>
      <c r="AM1169" s="152"/>
    </row>
    <row r="1170" s="140" customFormat="1" ht="15" hidden="1" customHeight="1" spans="1:37">
      <c r="A1170" s="140">
        <v>2017</v>
      </c>
      <c r="B1170" s="140" t="s">
        <v>38</v>
      </c>
      <c r="C1170" s="140" t="s">
        <v>75</v>
      </c>
      <c r="D1170" s="140" t="s">
        <v>76</v>
      </c>
      <c r="E1170" s="140" t="s">
        <v>150</v>
      </c>
      <c r="F1170" s="140" t="s">
        <v>151</v>
      </c>
      <c r="G1170" s="140" t="s">
        <v>151</v>
      </c>
      <c r="H1170" s="140" t="s">
        <v>151</v>
      </c>
      <c r="I1170" s="140" t="s">
        <v>170</v>
      </c>
      <c r="J1170" s="140" t="s">
        <v>171</v>
      </c>
      <c r="K1170" s="140" t="s">
        <v>172</v>
      </c>
      <c r="L1170" s="140" t="s">
        <v>151</v>
      </c>
      <c r="M1170" s="140" t="s">
        <v>46</v>
      </c>
      <c r="N1170" s="157">
        <v>0.04</v>
      </c>
      <c r="O1170" s="156" t="s">
        <v>51</v>
      </c>
      <c r="P1170" s="156" t="s">
        <v>440</v>
      </c>
      <c r="Q1170" s="158">
        <v>0</v>
      </c>
      <c r="R1170" s="158">
        <v>0</v>
      </c>
      <c r="S1170" s="158"/>
      <c r="T1170" s="158">
        <f t="shared" si="267"/>
        <v>0</v>
      </c>
      <c r="U1170" s="158">
        <f t="shared" si="271"/>
        <v>0</v>
      </c>
      <c r="V1170" s="158"/>
      <c r="W1170" s="158">
        <f t="shared" si="272"/>
        <v>0</v>
      </c>
      <c r="X1170" s="158">
        <f t="shared" si="268"/>
        <v>0</v>
      </c>
      <c r="Y1170" s="158">
        <f t="shared" si="273"/>
        <v>0</v>
      </c>
      <c r="Z1170" s="158">
        <v>104000</v>
      </c>
      <c r="AA1170" s="158">
        <f t="shared" si="269"/>
        <v>-104000</v>
      </c>
      <c r="AB1170" s="167">
        <f>IF(O1170="返货",Z1170/(1+N1170),IF(O1170="返现",Z1170,IF(O1170="折扣",Z1170*N1170,IF(O1170="无",Z1170))))</f>
        <v>100000</v>
      </c>
      <c r="AC1170" s="168">
        <f t="shared" si="270"/>
        <v>4000</v>
      </c>
      <c r="AD1170" s="158">
        <f>(Z1170-Q1170)*0.89807640489087</f>
        <v>93399.9461086505</v>
      </c>
      <c r="AE1170" s="159">
        <v>0.112691732739812</v>
      </c>
      <c r="AF1170" s="158">
        <f t="shared" si="275"/>
        <v>10525.4017647889</v>
      </c>
      <c r="AG1170" s="158">
        <v>15812.5393496826</v>
      </c>
      <c r="AH1170" s="175"/>
      <c r="AI1170" s="175"/>
      <c r="AJ1170" s="156" t="s">
        <v>186</v>
      </c>
      <c r="AK1170" s="140" t="s">
        <v>186</v>
      </c>
    </row>
    <row r="1171" s="140" customFormat="1" ht="15" hidden="1" customHeight="1" spans="1:39">
      <c r="A1171" s="140">
        <v>2017</v>
      </c>
      <c r="B1171" s="140" t="s">
        <v>38</v>
      </c>
      <c r="C1171" s="140" t="s">
        <v>59</v>
      </c>
      <c r="D1171" s="140" t="s">
        <v>210</v>
      </c>
      <c r="E1171" s="140" t="s">
        <v>67</v>
      </c>
      <c r="F1171" s="140" t="s">
        <v>772</v>
      </c>
      <c r="G1171" s="140" t="s">
        <v>772</v>
      </c>
      <c r="H1171" s="140" t="s">
        <v>772</v>
      </c>
      <c r="I1171" s="184" t="s">
        <v>204</v>
      </c>
      <c r="J1171" s="140" t="s">
        <v>577</v>
      </c>
      <c r="K1171" s="140" t="s">
        <v>578</v>
      </c>
      <c r="L1171" s="140" t="s">
        <v>772</v>
      </c>
      <c r="M1171" s="140" t="s">
        <v>46</v>
      </c>
      <c r="N1171" s="156">
        <v>0.02</v>
      </c>
      <c r="O1171" s="156" t="s">
        <v>51</v>
      </c>
      <c r="P1171" s="156" t="s">
        <v>440</v>
      </c>
      <c r="Q1171" s="158">
        <v>14949.3</v>
      </c>
      <c r="R1171" s="158">
        <v>0</v>
      </c>
      <c r="S1171" s="158"/>
      <c r="T1171" s="158">
        <f t="shared" si="267"/>
        <v>0</v>
      </c>
      <c r="U1171" s="158">
        <f t="shared" si="271"/>
        <v>0</v>
      </c>
      <c r="V1171" s="158"/>
      <c r="W1171" s="158">
        <f t="shared" si="272"/>
        <v>0</v>
      </c>
      <c r="X1171" s="158">
        <f t="shared" si="268"/>
        <v>0</v>
      </c>
      <c r="Y1171" s="158">
        <f t="shared" si="273"/>
        <v>0</v>
      </c>
      <c r="Z1171" s="158">
        <v>220000</v>
      </c>
      <c r="AA1171" s="158">
        <f t="shared" si="269"/>
        <v>-205050.7</v>
      </c>
      <c r="AB1171" s="167">
        <f>IF(O1171="返货",(Z1171-Q1171)/(1+N1171),IF(O1171="返现",(Z1171-Q1171),IF(O1171="折扣",(Z1171-Q1171)*N1171,IF(O1171="无",(Z1171-Q1171)))))</f>
        <v>201030.098039216</v>
      </c>
      <c r="AC1171" s="168">
        <f t="shared" si="270"/>
        <v>18969.9019607843</v>
      </c>
      <c r="AD1171" s="158">
        <f>Z1171*0.980277351080772</f>
        <v>215661.01723777</v>
      </c>
      <c r="AE1171" s="159">
        <v>0.1077</v>
      </c>
      <c r="AF1171" s="158">
        <f t="shared" si="275"/>
        <v>23226.6915565078</v>
      </c>
      <c r="AG1171" s="158">
        <v>16388.4838537619</v>
      </c>
      <c r="AH1171" s="175"/>
      <c r="AI1171" s="175"/>
      <c r="AJ1171" s="156">
        <v>0.02</v>
      </c>
      <c r="AK1171" s="140" t="s">
        <v>63</v>
      </c>
      <c r="AM1171" s="152"/>
    </row>
    <row r="1172" s="140" customFormat="1" ht="15" hidden="1" customHeight="1" spans="1:37">
      <c r="A1172" s="140">
        <v>2017</v>
      </c>
      <c r="B1172" s="140" t="s">
        <v>38</v>
      </c>
      <c r="C1172" s="140" t="s">
        <v>59</v>
      </c>
      <c r="D1172" s="140" t="s">
        <v>210</v>
      </c>
      <c r="E1172" s="140" t="s">
        <v>67</v>
      </c>
      <c r="F1172" s="186" t="s">
        <v>772</v>
      </c>
      <c r="G1172" s="140" t="s">
        <v>772</v>
      </c>
      <c r="H1172" s="140" t="s">
        <v>772</v>
      </c>
      <c r="I1172" s="140" t="s">
        <v>170</v>
      </c>
      <c r="J1172" s="140" t="s">
        <v>171</v>
      </c>
      <c r="K1172" s="140" t="s">
        <v>172</v>
      </c>
      <c r="L1172" s="140" t="s">
        <v>772</v>
      </c>
      <c r="M1172" s="140" t="s">
        <v>46</v>
      </c>
      <c r="N1172" s="157">
        <v>0.02</v>
      </c>
      <c r="O1172" s="156" t="s">
        <v>51</v>
      </c>
      <c r="P1172" s="156" t="s">
        <v>440</v>
      </c>
      <c r="Q1172" s="158">
        <v>0</v>
      </c>
      <c r="R1172" s="158">
        <v>0</v>
      </c>
      <c r="S1172" s="158"/>
      <c r="T1172" s="158">
        <f t="shared" si="267"/>
        <v>0</v>
      </c>
      <c r="U1172" s="158">
        <f t="shared" si="271"/>
        <v>0</v>
      </c>
      <c r="V1172" s="158"/>
      <c r="W1172" s="158">
        <f t="shared" si="272"/>
        <v>0</v>
      </c>
      <c r="X1172" s="158">
        <f t="shared" si="268"/>
        <v>0</v>
      </c>
      <c r="Y1172" s="158">
        <f t="shared" si="273"/>
        <v>0</v>
      </c>
      <c r="Z1172" s="158">
        <v>369645.3</v>
      </c>
      <c r="AA1172" s="158">
        <f t="shared" si="269"/>
        <v>-369645.3</v>
      </c>
      <c r="AB1172" s="167">
        <f>IF(O1172="返货",Z1172/(1+N1172),IF(O1172="返现",Z1172,IF(O1172="折扣",Z1172*N1172,IF(O1172="无",Z1172))))</f>
        <v>362397.352941176</v>
      </c>
      <c r="AC1172" s="168">
        <f t="shared" si="270"/>
        <v>7247.94705882354</v>
      </c>
      <c r="AD1172" s="158">
        <f>(Z1172-Q1172)*0.89807640489087</f>
        <v>331969.722108807</v>
      </c>
      <c r="AE1172" s="159">
        <v>0.112691732739812</v>
      </c>
      <c r="AF1172" s="158">
        <f t="shared" si="275"/>
        <v>37410.2432015954</v>
      </c>
      <c r="AG1172" s="158">
        <v>47359.7810615719</v>
      </c>
      <c r="AH1172" s="175"/>
      <c r="AI1172" s="175"/>
      <c r="AJ1172" s="156" t="s">
        <v>173</v>
      </c>
      <c r="AK1172" s="140" t="s">
        <v>173</v>
      </c>
    </row>
    <row r="1173" s="140" customFormat="1" ht="15" hidden="1" customHeight="1" spans="1:39">
      <c r="A1173" s="140">
        <v>2017</v>
      </c>
      <c r="B1173" s="140" t="s">
        <v>38</v>
      </c>
      <c r="C1173" s="140" t="s">
        <v>75</v>
      </c>
      <c r="D1173" s="140" t="s">
        <v>76</v>
      </c>
      <c r="E1173" s="140" t="s">
        <v>150</v>
      </c>
      <c r="F1173" s="140" t="s">
        <v>665</v>
      </c>
      <c r="G1173" s="140" t="s">
        <v>665</v>
      </c>
      <c r="H1173" s="140" t="s">
        <v>665</v>
      </c>
      <c r="I1173" s="184" t="s">
        <v>204</v>
      </c>
      <c r="J1173" s="140" t="s">
        <v>577</v>
      </c>
      <c r="K1173" s="140" t="s">
        <v>578</v>
      </c>
      <c r="L1173" s="140" t="s">
        <v>666</v>
      </c>
      <c r="M1173" s="140" t="s">
        <v>46</v>
      </c>
      <c r="N1173" s="157">
        <v>0.07</v>
      </c>
      <c r="O1173" s="156" t="s">
        <v>495</v>
      </c>
      <c r="P1173" s="156" t="s">
        <v>667</v>
      </c>
      <c r="Q1173" s="158">
        <v>0</v>
      </c>
      <c r="R1173" s="158">
        <v>0</v>
      </c>
      <c r="S1173" s="158"/>
      <c r="T1173" s="158">
        <f t="shared" si="267"/>
        <v>0</v>
      </c>
      <c r="U1173" s="158">
        <f t="shared" si="271"/>
        <v>0</v>
      </c>
      <c r="V1173" s="158"/>
      <c r="W1173" s="158">
        <f t="shared" si="272"/>
        <v>0</v>
      </c>
      <c r="X1173" s="158">
        <f t="shared" si="268"/>
        <v>0</v>
      </c>
      <c r="Y1173" s="158">
        <f t="shared" si="273"/>
        <v>0</v>
      </c>
      <c r="Z1173" s="158">
        <v>160500</v>
      </c>
      <c r="AA1173" s="158">
        <f t="shared" si="269"/>
        <v>-160500</v>
      </c>
      <c r="AB1173" s="167">
        <f>IF(O1173="返货",Z1173/(1+N1173),IF(O1173="返现",Z1173,IF(O1173="折扣",Z1173*N1173,IF(O1173="无",Z1173))))</f>
        <v>160500</v>
      </c>
      <c r="AC1173" s="168">
        <f t="shared" si="270"/>
        <v>11235</v>
      </c>
      <c r="AD1173" s="158">
        <f>Z1173*0.980277351080772</f>
        <v>157334.514848464</v>
      </c>
      <c r="AE1173" s="159">
        <v>0.1077</v>
      </c>
      <c r="AF1173" s="158">
        <f t="shared" si="275"/>
        <v>16944.9272491796</v>
      </c>
      <c r="AG1173" s="158">
        <v>175901.101110952</v>
      </c>
      <c r="AH1173" s="175"/>
      <c r="AI1173" s="175"/>
      <c r="AJ1173" s="156">
        <v>0.07</v>
      </c>
      <c r="AK1173" s="140" t="s">
        <v>63</v>
      </c>
      <c r="AM1173" s="152"/>
    </row>
    <row r="1174" hidden="1" spans="1:38">
      <c r="A1174" s="193">
        <v>2017</v>
      </c>
      <c r="B1174" s="193" t="s">
        <v>38</v>
      </c>
      <c r="C1174" s="193" t="s">
        <v>59</v>
      </c>
      <c r="D1174" s="193"/>
      <c r="E1174" s="193"/>
      <c r="F1174" s="194" t="s">
        <v>772</v>
      </c>
      <c r="G1174" s="195" t="s">
        <v>772</v>
      </c>
      <c r="H1174" s="195" t="s">
        <v>772</v>
      </c>
      <c r="I1174" s="140" t="s">
        <v>170</v>
      </c>
      <c r="J1174" s="203" t="s">
        <v>171</v>
      </c>
      <c r="K1174" s="193" t="s">
        <v>172</v>
      </c>
      <c r="L1174" s="193" t="s">
        <v>1087</v>
      </c>
      <c r="M1174" s="193" t="s">
        <v>46</v>
      </c>
      <c r="N1174" s="204">
        <v>0.04</v>
      </c>
      <c r="O1174" s="205" t="s">
        <v>51</v>
      </c>
      <c r="P1174" s="147"/>
      <c r="Q1174" s="210">
        <v>0</v>
      </c>
      <c r="R1174" s="210">
        <v>0</v>
      </c>
      <c r="S1174" s="210"/>
      <c r="T1174" s="210">
        <v>0</v>
      </c>
      <c r="U1174" s="210">
        <v>0</v>
      </c>
      <c r="V1174" s="210">
        <v>0</v>
      </c>
      <c r="W1174" s="211">
        <v>0</v>
      </c>
      <c r="X1174" s="211">
        <v>0</v>
      </c>
      <c r="Y1174" s="211">
        <v>0</v>
      </c>
      <c r="Z1174" s="210">
        <v>12117.5</v>
      </c>
      <c r="AA1174" s="210">
        <v>-12117.5</v>
      </c>
      <c r="AB1174" s="210">
        <v>12117.5</v>
      </c>
      <c r="AC1174" s="210">
        <v>0</v>
      </c>
      <c r="AD1174" s="158">
        <f>(Z1174-Q1174)*0.89807640489087</f>
        <v>10882.4408362651</v>
      </c>
      <c r="AE1174" s="216">
        <v>0.112691732739812</v>
      </c>
      <c r="AF1174" s="217">
        <v>1233.08640321005</v>
      </c>
      <c r="AG1174" s="210">
        <v>1084.14925282583</v>
      </c>
      <c r="AH1174" s="222"/>
      <c r="AI1174" s="222"/>
      <c r="AJ1174" s="193" t="s">
        <v>47</v>
      </c>
      <c r="AK1174" s="193"/>
      <c r="AL1174" s="223" t="s">
        <v>208</v>
      </c>
    </row>
    <row r="1175" s="142" customFormat="1" hidden="1" spans="1:39">
      <c r="A1175" s="196">
        <v>2017</v>
      </c>
      <c r="B1175" s="196" t="s">
        <v>199</v>
      </c>
      <c r="C1175" s="196" t="s">
        <v>54</v>
      </c>
      <c r="D1175" s="196" t="s">
        <v>55</v>
      </c>
      <c r="E1175" s="196" t="s">
        <v>64</v>
      </c>
      <c r="F1175" s="196" t="s">
        <v>496</v>
      </c>
      <c r="G1175" s="196" t="s">
        <v>497</v>
      </c>
      <c r="H1175" s="197" t="s">
        <v>498</v>
      </c>
      <c r="I1175" s="196" t="s">
        <v>1076</v>
      </c>
      <c r="J1175" s="196" t="s">
        <v>571</v>
      </c>
      <c r="K1175" s="196" t="s">
        <v>1088</v>
      </c>
      <c r="L1175" s="196" t="s">
        <v>499</v>
      </c>
      <c r="M1175" s="196" t="s">
        <v>46</v>
      </c>
      <c r="N1175" s="205">
        <v>0.03</v>
      </c>
      <c r="O1175" s="205" t="s">
        <v>189</v>
      </c>
      <c r="P1175" s="205" t="s">
        <v>51</v>
      </c>
      <c r="Q1175" s="212">
        <v>0</v>
      </c>
      <c r="R1175" s="212">
        <v>0</v>
      </c>
      <c r="S1175" s="213">
        <v>3282000</v>
      </c>
      <c r="T1175" s="213">
        <f t="shared" ref="T1175:T1189" si="277">S1175*N1175</f>
        <v>98460</v>
      </c>
      <c r="U1175" s="213">
        <f t="shared" ref="U1175:U1189" si="278">S1175+T1175+R1175</f>
        <v>3380460</v>
      </c>
      <c r="V1175" s="213">
        <v>2888000</v>
      </c>
      <c r="W1175" s="213">
        <f t="shared" ref="W1175:W1177" si="279">U1175-V1175</f>
        <v>492460</v>
      </c>
      <c r="X1175" s="213">
        <f t="shared" ref="X1175:X1189" si="280">W1175/(1+N1175)</f>
        <v>478116.504854369</v>
      </c>
      <c r="Y1175" s="213">
        <f t="shared" ref="Y1175:Y1177" si="281">W1175-X1175</f>
        <v>14343.4951456311</v>
      </c>
      <c r="Z1175" s="213">
        <v>5276269.99</v>
      </c>
      <c r="AA1175" s="213">
        <f t="shared" ref="AA1175:AA1189" si="282">Q1175+V1175-Z1175</f>
        <v>-2388269.99</v>
      </c>
      <c r="AB1175" s="213">
        <f t="shared" ref="AB1175:AB1180" si="283">IF(P1175="返货",Z1175/(1+N1175),IF(P1175="返现",Z1175,IF(P1175="折扣",Z1175*N1175,IF(P1175="无",Z1175))))</f>
        <v>5122592.22330097</v>
      </c>
      <c r="AC1175" s="213">
        <f t="shared" ref="AC1175:AC1212" si="284">IF(P1175="返现",Z1175*N1175,Z1175-AB1175)</f>
        <v>153677.766699029</v>
      </c>
      <c r="AD1175" s="213">
        <f t="shared" ref="AD1175:AD1195" si="285">Z1175*0.635437793052747</f>
        <v>3352741.35799604</v>
      </c>
      <c r="AE1175" s="213">
        <f t="shared" ref="AE1175:AE1222" si="286">Z1175*0.753358468667708</f>
        <v>3974922.67994378</v>
      </c>
      <c r="AF1175" s="205">
        <v>0.08</v>
      </c>
      <c r="AG1175" s="213">
        <f t="shared" ref="AG1175:AG1186" si="287">AE1175*AF1175</f>
        <v>317993.814395503</v>
      </c>
      <c r="AH1175" s="213">
        <f t="shared" ref="AH1175:AH1186" si="288">AB1175-Z1175+AG1175</f>
        <v>164316.047696473</v>
      </c>
      <c r="AI1175" s="213"/>
      <c r="AJ1175" s="213"/>
      <c r="AK1175" s="224" t="s">
        <v>189</v>
      </c>
      <c r="AL1175" s="196"/>
      <c r="AM1175" s="196" t="s">
        <v>1089</v>
      </c>
    </row>
    <row r="1176" s="142" customFormat="1" hidden="1" spans="1:39">
      <c r="A1176" s="196">
        <v>2017</v>
      </c>
      <c r="B1176" s="196" t="s">
        <v>38</v>
      </c>
      <c r="C1176" s="196" t="s">
        <v>54</v>
      </c>
      <c r="D1176" s="196" t="s">
        <v>55</v>
      </c>
      <c r="E1176" s="196" t="s">
        <v>56</v>
      </c>
      <c r="F1176" s="196" t="s">
        <v>778</v>
      </c>
      <c r="G1176" s="196" t="s">
        <v>778</v>
      </c>
      <c r="H1176" s="196" t="s">
        <v>778</v>
      </c>
      <c r="I1176" s="196" t="s">
        <v>1076</v>
      </c>
      <c r="J1176" s="196" t="s">
        <v>571</v>
      </c>
      <c r="K1176" s="196" t="s">
        <v>1088</v>
      </c>
      <c r="L1176" s="196" t="s">
        <v>778</v>
      </c>
      <c r="M1176" s="196" t="s">
        <v>46</v>
      </c>
      <c r="N1176" s="205">
        <v>0.02</v>
      </c>
      <c r="O1176" s="205" t="s">
        <v>173</v>
      </c>
      <c r="P1176" s="205" t="s">
        <v>51</v>
      </c>
      <c r="Q1176" s="212">
        <v>0</v>
      </c>
      <c r="R1176" s="212">
        <v>0</v>
      </c>
      <c r="S1176" s="213">
        <v>6000</v>
      </c>
      <c r="T1176" s="213">
        <f t="shared" si="277"/>
        <v>120</v>
      </c>
      <c r="U1176" s="213">
        <f t="shared" si="278"/>
        <v>6120</v>
      </c>
      <c r="V1176" s="213">
        <v>6000</v>
      </c>
      <c r="W1176" s="213">
        <f t="shared" si="279"/>
        <v>120</v>
      </c>
      <c r="X1176" s="213">
        <f t="shared" si="280"/>
        <v>117.647058823529</v>
      </c>
      <c r="Y1176" s="213">
        <f t="shared" si="281"/>
        <v>2.35294117647059</v>
      </c>
      <c r="Z1176" s="213">
        <v>6000</v>
      </c>
      <c r="AA1176" s="213">
        <f t="shared" si="282"/>
        <v>0</v>
      </c>
      <c r="AB1176" s="213">
        <f t="shared" si="283"/>
        <v>5882.35294117647</v>
      </c>
      <c r="AC1176" s="213">
        <f t="shared" si="284"/>
        <v>117.64705882353</v>
      </c>
      <c r="AD1176" s="213">
        <f t="shared" si="285"/>
        <v>3812.62675831648</v>
      </c>
      <c r="AE1176" s="213">
        <f t="shared" si="286"/>
        <v>4520.15081200625</v>
      </c>
      <c r="AF1176" s="205">
        <v>0.08</v>
      </c>
      <c r="AG1176" s="213">
        <f t="shared" si="287"/>
        <v>361.6120649605</v>
      </c>
      <c r="AH1176" s="213">
        <f t="shared" si="288"/>
        <v>243.96500613697</v>
      </c>
      <c r="AI1176" s="213"/>
      <c r="AJ1176" s="213"/>
      <c r="AK1176" s="224" t="s">
        <v>173</v>
      </c>
      <c r="AL1176" s="196"/>
      <c r="AM1176" s="196"/>
    </row>
    <row r="1177" s="142" customFormat="1" hidden="1" spans="1:39">
      <c r="A1177" s="196">
        <v>2017</v>
      </c>
      <c r="B1177" s="196" t="s">
        <v>38</v>
      </c>
      <c r="C1177" s="196" t="s">
        <v>110</v>
      </c>
      <c r="D1177" s="196" t="s">
        <v>111</v>
      </c>
      <c r="E1177" s="196" t="s">
        <v>281</v>
      </c>
      <c r="F1177" s="196" t="s">
        <v>1090</v>
      </c>
      <c r="G1177" s="196" t="s">
        <v>1090</v>
      </c>
      <c r="H1177" s="196" t="s">
        <v>1090</v>
      </c>
      <c r="I1177" s="196" t="s">
        <v>1076</v>
      </c>
      <c r="J1177" s="196" t="s">
        <v>571</v>
      </c>
      <c r="K1177" s="196" t="s">
        <v>1088</v>
      </c>
      <c r="L1177" s="196" t="s">
        <v>1091</v>
      </c>
      <c r="M1177" s="196" t="s">
        <v>46</v>
      </c>
      <c r="N1177" s="205">
        <v>0.02</v>
      </c>
      <c r="O1177" s="205" t="s">
        <v>173</v>
      </c>
      <c r="P1177" s="205" t="s">
        <v>51</v>
      </c>
      <c r="Q1177" s="212">
        <v>0</v>
      </c>
      <c r="R1177" s="212">
        <v>0</v>
      </c>
      <c r="S1177" s="213">
        <v>20000</v>
      </c>
      <c r="T1177" s="213">
        <v>400</v>
      </c>
      <c r="U1177" s="213">
        <v>20400</v>
      </c>
      <c r="V1177" s="213">
        <v>10200</v>
      </c>
      <c r="W1177" s="213">
        <f t="shared" si="279"/>
        <v>10200</v>
      </c>
      <c r="X1177" s="213">
        <f t="shared" si="280"/>
        <v>10000</v>
      </c>
      <c r="Y1177" s="213">
        <f t="shared" si="281"/>
        <v>200</v>
      </c>
      <c r="Z1177" s="213">
        <v>10200</v>
      </c>
      <c r="AA1177" s="213">
        <f t="shared" si="282"/>
        <v>0</v>
      </c>
      <c r="AB1177" s="213">
        <f t="shared" si="283"/>
        <v>10000</v>
      </c>
      <c r="AC1177" s="213">
        <f t="shared" si="284"/>
        <v>200</v>
      </c>
      <c r="AD1177" s="213">
        <f t="shared" si="285"/>
        <v>6481.46548913802</v>
      </c>
      <c r="AE1177" s="213">
        <f t="shared" si="286"/>
        <v>7684.25638041062</v>
      </c>
      <c r="AF1177" s="205">
        <v>0.08</v>
      </c>
      <c r="AG1177" s="213">
        <f t="shared" si="287"/>
        <v>614.74051043285</v>
      </c>
      <c r="AH1177" s="213">
        <f t="shared" si="288"/>
        <v>414.74051043285</v>
      </c>
      <c r="AI1177" s="213"/>
      <c r="AJ1177" s="213"/>
      <c r="AK1177" s="224" t="s">
        <v>173</v>
      </c>
      <c r="AL1177" s="196" t="s">
        <v>1092</v>
      </c>
      <c r="AM1177" s="196"/>
    </row>
    <row r="1178" s="142" customFormat="1" hidden="1" spans="1:39">
      <c r="A1178" s="198">
        <v>2017</v>
      </c>
      <c r="B1178" s="198" t="s">
        <v>38</v>
      </c>
      <c r="C1178" s="198" t="s">
        <v>110</v>
      </c>
      <c r="D1178" s="198" t="s">
        <v>111</v>
      </c>
      <c r="E1178" s="198" t="s">
        <v>281</v>
      </c>
      <c r="F1178" s="198" t="s">
        <v>1090</v>
      </c>
      <c r="G1178" s="198" t="s">
        <v>1090</v>
      </c>
      <c r="H1178" s="198" t="s">
        <v>1090</v>
      </c>
      <c r="I1178" s="196" t="s">
        <v>1076</v>
      </c>
      <c r="J1178" s="206" t="s">
        <v>571</v>
      </c>
      <c r="K1178" s="198" t="s">
        <v>1088</v>
      </c>
      <c r="L1178" s="198" t="s">
        <v>1093</v>
      </c>
      <c r="M1178" s="196" t="s">
        <v>46</v>
      </c>
      <c r="N1178" s="205">
        <v>0.02</v>
      </c>
      <c r="O1178" s="205" t="s">
        <v>173</v>
      </c>
      <c r="P1178" s="205" t="s">
        <v>51</v>
      </c>
      <c r="Q1178" s="212">
        <v>0</v>
      </c>
      <c r="R1178" s="212">
        <v>0</v>
      </c>
      <c r="S1178" s="213">
        <v>9804</v>
      </c>
      <c r="T1178" s="213">
        <f>U1178-S1178</f>
        <v>196</v>
      </c>
      <c r="U1178" s="213">
        <v>10000</v>
      </c>
      <c r="V1178" s="213">
        <v>10000</v>
      </c>
      <c r="W1178" s="213">
        <v>0</v>
      </c>
      <c r="X1178" s="213">
        <f t="shared" si="280"/>
        <v>0</v>
      </c>
      <c r="Y1178" s="213">
        <v>0</v>
      </c>
      <c r="Z1178" s="213">
        <v>498</v>
      </c>
      <c r="AA1178" s="213">
        <f t="shared" si="282"/>
        <v>9502</v>
      </c>
      <c r="AB1178" s="213">
        <f t="shared" si="283"/>
        <v>488.235294117647</v>
      </c>
      <c r="AC1178" s="213">
        <f t="shared" si="284"/>
        <v>9.76470588235293</v>
      </c>
      <c r="AD1178" s="213">
        <f t="shared" si="285"/>
        <v>316.448020940268</v>
      </c>
      <c r="AE1178" s="213">
        <f t="shared" si="286"/>
        <v>375.172517396519</v>
      </c>
      <c r="AF1178" s="205">
        <v>0.08</v>
      </c>
      <c r="AG1178" s="213">
        <f t="shared" si="287"/>
        <v>30.0138013917215</v>
      </c>
      <c r="AH1178" s="213">
        <f t="shared" si="288"/>
        <v>20.2490955093686</v>
      </c>
      <c r="AI1178" s="213"/>
      <c r="AJ1178" s="213"/>
      <c r="AK1178" s="224"/>
      <c r="AL1178" s="196"/>
      <c r="AM1178" s="196"/>
    </row>
    <row r="1179" s="142" customFormat="1" hidden="1" spans="1:39">
      <c r="A1179" s="196">
        <v>2017</v>
      </c>
      <c r="B1179" s="196" t="s">
        <v>199</v>
      </c>
      <c r="C1179" s="196" t="s">
        <v>39</v>
      </c>
      <c r="D1179" s="196" t="s">
        <v>81</v>
      </c>
      <c r="E1179" s="196" t="s">
        <v>41</v>
      </c>
      <c r="F1179" s="196" t="s">
        <v>1057</v>
      </c>
      <c r="G1179" s="196" t="s">
        <v>1058</v>
      </c>
      <c r="H1179" s="140" t="s">
        <v>1059</v>
      </c>
      <c r="I1179" s="196" t="s">
        <v>1076</v>
      </c>
      <c r="J1179" s="196" t="s">
        <v>571</v>
      </c>
      <c r="K1179" s="196" t="s">
        <v>1088</v>
      </c>
      <c r="L1179" s="196" t="s">
        <v>1057</v>
      </c>
      <c r="M1179" s="196" t="s">
        <v>46</v>
      </c>
      <c r="N1179" s="205">
        <v>0.02</v>
      </c>
      <c r="O1179" s="205" t="s">
        <v>173</v>
      </c>
      <c r="P1179" s="205" t="s">
        <v>51</v>
      </c>
      <c r="Q1179" s="212">
        <v>0</v>
      </c>
      <c r="R1179" s="212">
        <v>0</v>
      </c>
      <c r="S1179" s="213">
        <v>10000</v>
      </c>
      <c r="T1179" s="213">
        <f t="shared" si="277"/>
        <v>200</v>
      </c>
      <c r="U1179" s="213">
        <f t="shared" si="278"/>
        <v>10200</v>
      </c>
      <c r="V1179" s="213">
        <v>10200</v>
      </c>
      <c r="W1179" s="213">
        <f t="shared" ref="W1179:W1189" si="289">U1179-V1179</f>
        <v>0</v>
      </c>
      <c r="X1179" s="213">
        <f t="shared" si="280"/>
        <v>0</v>
      </c>
      <c r="Y1179" s="213">
        <f t="shared" ref="Y1179:Y1189" si="290">W1179-X1179</f>
        <v>0</v>
      </c>
      <c r="Z1179" s="213">
        <v>5611.79</v>
      </c>
      <c r="AA1179" s="213">
        <f t="shared" si="282"/>
        <v>4588.21</v>
      </c>
      <c r="AB1179" s="213">
        <f t="shared" si="283"/>
        <v>5501.75490196078</v>
      </c>
      <c r="AC1179" s="213">
        <f t="shared" si="284"/>
        <v>110.035098039216</v>
      </c>
      <c r="AD1179" s="213">
        <f t="shared" si="285"/>
        <v>3565.94345267547</v>
      </c>
      <c r="AE1179" s="213">
        <f t="shared" si="286"/>
        <v>4227.68952088476</v>
      </c>
      <c r="AF1179" s="205">
        <v>0.08</v>
      </c>
      <c r="AG1179" s="213">
        <f t="shared" si="287"/>
        <v>338.215161670781</v>
      </c>
      <c r="AH1179" s="213">
        <f t="shared" si="288"/>
        <v>228.180063631565</v>
      </c>
      <c r="AI1179" s="213"/>
      <c r="AJ1179" s="213"/>
      <c r="AK1179" s="224" t="s">
        <v>173</v>
      </c>
      <c r="AL1179" s="196"/>
      <c r="AM1179" s="196"/>
    </row>
    <row r="1180" s="142" customFormat="1" hidden="1" spans="1:39">
      <c r="A1180" s="196">
        <v>2017</v>
      </c>
      <c r="B1180" s="196" t="s">
        <v>333</v>
      </c>
      <c r="C1180" s="196" t="s">
        <v>54</v>
      </c>
      <c r="D1180" s="196" t="s">
        <v>55</v>
      </c>
      <c r="E1180" s="196" t="s">
        <v>64</v>
      </c>
      <c r="F1180" s="196" t="s">
        <v>376</v>
      </c>
      <c r="G1180" s="196" t="s">
        <v>796</v>
      </c>
      <c r="H1180" s="196" t="s">
        <v>796</v>
      </c>
      <c r="I1180" s="196" t="s">
        <v>1076</v>
      </c>
      <c r="J1180" s="196" t="s">
        <v>571</v>
      </c>
      <c r="K1180" s="196" t="s">
        <v>1088</v>
      </c>
      <c r="L1180" s="196" t="s">
        <v>376</v>
      </c>
      <c r="M1180" s="196" t="s">
        <v>46</v>
      </c>
      <c r="N1180" s="205">
        <v>0.02</v>
      </c>
      <c r="O1180" s="205" t="s">
        <v>173</v>
      </c>
      <c r="P1180" s="205" t="s">
        <v>51</v>
      </c>
      <c r="Q1180" s="212">
        <v>0</v>
      </c>
      <c r="R1180" s="212">
        <v>0</v>
      </c>
      <c r="S1180" s="213">
        <v>10000</v>
      </c>
      <c r="T1180" s="213">
        <f t="shared" si="277"/>
        <v>200</v>
      </c>
      <c r="U1180" s="213">
        <f t="shared" si="278"/>
        <v>10200</v>
      </c>
      <c r="V1180" s="213">
        <v>10000</v>
      </c>
      <c r="W1180" s="213">
        <f t="shared" si="289"/>
        <v>200</v>
      </c>
      <c r="X1180" s="213">
        <f t="shared" si="280"/>
        <v>196.078431372549</v>
      </c>
      <c r="Y1180" s="213">
        <f t="shared" si="290"/>
        <v>3.92156862745099</v>
      </c>
      <c r="Z1180" s="213">
        <v>10000</v>
      </c>
      <c r="AA1180" s="213">
        <f t="shared" si="282"/>
        <v>0</v>
      </c>
      <c r="AB1180" s="213">
        <f t="shared" si="283"/>
        <v>9803.92156862745</v>
      </c>
      <c r="AC1180" s="213">
        <f t="shared" si="284"/>
        <v>196.078431372549</v>
      </c>
      <c r="AD1180" s="213">
        <f t="shared" si="285"/>
        <v>6354.37793052747</v>
      </c>
      <c r="AE1180" s="213">
        <f t="shared" si="286"/>
        <v>7533.58468667708</v>
      </c>
      <c r="AF1180" s="205">
        <v>0.08</v>
      </c>
      <c r="AG1180" s="213">
        <f t="shared" si="287"/>
        <v>602.686774934166</v>
      </c>
      <c r="AH1180" s="213">
        <f t="shared" si="288"/>
        <v>406.608343561617</v>
      </c>
      <c r="AI1180" s="213"/>
      <c r="AJ1180" s="213"/>
      <c r="AK1180" s="224" t="s">
        <v>173</v>
      </c>
      <c r="AL1180" s="196"/>
      <c r="AM1180" s="196"/>
    </row>
    <row r="1181" s="142" customFormat="1" hidden="1" spans="1:39">
      <c r="A1181" s="196">
        <v>2017</v>
      </c>
      <c r="B1181" s="196" t="s">
        <v>38</v>
      </c>
      <c r="C1181" s="196" t="s">
        <v>110</v>
      </c>
      <c r="D1181" s="196" t="s">
        <v>111</v>
      </c>
      <c r="E1181" s="196" t="s">
        <v>281</v>
      </c>
      <c r="F1181" s="196" t="s">
        <v>898</v>
      </c>
      <c r="G1181" s="196" t="s">
        <v>898</v>
      </c>
      <c r="H1181" s="196" t="s">
        <v>898</v>
      </c>
      <c r="I1181" s="196" t="s">
        <v>1076</v>
      </c>
      <c r="J1181" s="196" t="s">
        <v>571</v>
      </c>
      <c r="K1181" s="196" t="s">
        <v>1088</v>
      </c>
      <c r="L1181" s="196" t="s">
        <v>898</v>
      </c>
      <c r="M1181" s="196" t="s">
        <v>46</v>
      </c>
      <c r="N1181" s="205">
        <v>0.02</v>
      </c>
      <c r="O1181" s="205">
        <v>0.02</v>
      </c>
      <c r="P1181" s="205" t="s">
        <v>51</v>
      </c>
      <c r="Q1181" s="212">
        <v>53846.2</v>
      </c>
      <c r="R1181" s="212">
        <v>0</v>
      </c>
      <c r="S1181" s="213">
        <v>120000</v>
      </c>
      <c r="T1181" s="213">
        <f t="shared" si="277"/>
        <v>2400</v>
      </c>
      <c r="U1181" s="213">
        <f t="shared" si="278"/>
        <v>122400</v>
      </c>
      <c r="V1181" s="213">
        <v>122400</v>
      </c>
      <c r="W1181" s="213">
        <f t="shared" si="289"/>
        <v>0</v>
      </c>
      <c r="X1181" s="213">
        <f t="shared" si="280"/>
        <v>0</v>
      </c>
      <c r="Y1181" s="213">
        <f t="shared" si="290"/>
        <v>0</v>
      </c>
      <c r="Z1181" s="213">
        <v>149563.97</v>
      </c>
      <c r="AA1181" s="213">
        <f t="shared" si="282"/>
        <v>26682.23</v>
      </c>
      <c r="AB1181" s="213">
        <f>IF(P1181="返货",(Z1181-Q1181)/(1+N1181),IF(P1181="返现",Z1181,IF(P1181="折扣",Z1181*N1181,IF(P1181="无",Z1181))))</f>
        <v>93840.9509803922</v>
      </c>
      <c r="AC1181" s="213">
        <f t="shared" si="284"/>
        <v>55723.0190196078</v>
      </c>
      <c r="AD1181" s="213">
        <f t="shared" si="285"/>
        <v>95038.5990170072</v>
      </c>
      <c r="AE1181" s="213">
        <f t="shared" si="286"/>
        <v>112675.283407063</v>
      </c>
      <c r="AF1181" s="205">
        <v>0.08</v>
      </c>
      <c r="AG1181" s="213">
        <f t="shared" si="287"/>
        <v>9014.02267256504</v>
      </c>
      <c r="AH1181" s="213">
        <f t="shared" si="288"/>
        <v>-46708.9963470428</v>
      </c>
      <c r="AI1181" s="213"/>
      <c r="AJ1181" s="213"/>
      <c r="AK1181" s="224" t="s">
        <v>1094</v>
      </c>
      <c r="AL1181" s="196"/>
      <c r="AM1181" s="196"/>
    </row>
    <row r="1182" s="142" customFormat="1" hidden="1" spans="1:39">
      <c r="A1182" s="196">
        <v>2017</v>
      </c>
      <c r="B1182" s="196" t="s">
        <v>252</v>
      </c>
      <c r="C1182" s="196" t="s">
        <v>110</v>
      </c>
      <c r="D1182" s="196" t="s">
        <v>111</v>
      </c>
      <c r="E1182" s="196" t="s">
        <v>112</v>
      </c>
      <c r="F1182" s="196" t="s">
        <v>1095</v>
      </c>
      <c r="G1182" s="196" t="s">
        <v>1096</v>
      </c>
      <c r="H1182" s="196" t="s">
        <v>1096</v>
      </c>
      <c r="I1182" s="196" t="s">
        <v>1076</v>
      </c>
      <c r="J1182" s="196" t="s">
        <v>571</v>
      </c>
      <c r="K1182" s="196" t="s">
        <v>1088</v>
      </c>
      <c r="L1182" s="196" t="s">
        <v>1095</v>
      </c>
      <c r="M1182" s="196" t="s">
        <v>46</v>
      </c>
      <c r="N1182" s="205">
        <v>0</v>
      </c>
      <c r="O1182" s="205" t="s">
        <v>47</v>
      </c>
      <c r="P1182" s="205" t="s">
        <v>47</v>
      </c>
      <c r="Q1182" s="212">
        <v>22000</v>
      </c>
      <c r="R1182" s="212">
        <v>0</v>
      </c>
      <c r="S1182" s="213">
        <v>110000</v>
      </c>
      <c r="T1182" s="213">
        <f t="shared" si="277"/>
        <v>0</v>
      </c>
      <c r="U1182" s="213">
        <f t="shared" si="278"/>
        <v>110000</v>
      </c>
      <c r="V1182" s="213">
        <v>110000</v>
      </c>
      <c r="W1182" s="213">
        <f t="shared" si="289"/>
        <v>0</v>
      </c>
      <c r="X1182" s="213">
        <f t="shared" si="280"/>
        <v>0</v>
      </c>
      <c r="Y1182" s="213">
        <f t="shared" si="290"/>
        <v>0</v>
      </c>
      <c r="Z1182" s="213">
        <v>132000</v>
      </c>
      <c r="AA1182" s="213">
        <f t="shared" si="282"/>
        <v>0</v>
      </c>
      <c r="AB1182" s="213">
        <f>IF(P1182="返货",(Z1182-Q1182)/(1+N1182),IF(P1182="返现",Z1182,IF(P1182="折扣",Z1182*N1182,IF(P1182="无",(Z1182-Q1182)))))</f>
        <v>110000</v>
      </c>
      <c r="AC1182" s="213">
        <f t="shared" si="284"/>
        <v>22000</v>
      </c>
      <c r="AD1182" s="213">
        <f t="shared" si="285"/>
        <v>83877.7886829626</v>
      </c>
      <c r="AE1182" s="213">
        <f t="shared" si="286"/>
        <v>99443.3178641375</v>
      </c>
      <c r="AF1182" s="205">
        <v>0.08</v>
      </c>
      <c r="AG1182" s="213">
        <f t="shared" si="287"/>
        <v>7955.465429131</v>
      </c>
      <c r="AH1182" s="213">
        <f t="shared" si="288"/>
        <v>-14044.534570869</v>
      </c>
      <c r="AI1182" s="213"/>
      <c r="AJ1182" s="213"/>
      <c r="AK1182" s="224" t="s">
        <v>47</v>
      </c>
      <c r="AL1182" s="196"/>
      <c r="AM1182" s="196"/>
    </row>
    <row r="1183" s="142" customFormat="1" hidden="1" spans="1:39">
      <c r="A1183" s="196">
        <v>2017</v>
      </c>
      <c r="B1183" s="196" t="s">
        <v>38</v>
      </c>
      <c r="C1183" s="196" t="s">
        <v>54</v>
      </c>
      <c r="D1183" s="196" t="s">
        <v>55</v>
      </c>
      <c r="E1183" s="196" t="s">
        <v>64</v>
      </c>
      <c r="F1183" s="196" t="s">
        <v>1097</v>
      </c>
      <c r="G1183" s="196" t="s">
        <v>1097</v>
      </c>
      <c r="H1183" s="196" t="s">
        <v>1097</v>
      </c>
      <c r="I1183" s="196" t="s">
        <v>1076</v>
      </c>
      <c r="J1183" s="196" t="s">
        <v>571</v>
      </c>
      <c r="K1183" s="196" t="s">
        <v>1088</v>
      </c>
      <c r="L1183" s="196" t="s">
        <v>1097</v>
      </c>
      <c r="M1183" s="196" t="s">
        <v>46</v>
      </c>
      <c r="N1183" s="205">
        <v>0.02</v>
      </c>
      <c r="O1183" s="205" t="s">
        <v>173</v>
      </c>
      <c r="P1183" s="205" t="s">
        <v>51</v>
      </c>
      <c r="Q1183" s="212">
        <v>0</v>
      </c>
      <c r="R1183" s="212">
        <v>0</v>
      </c>
      <c r="S1183" s="213">
        <v>10000</v>
      </c>
      <c r="T1183" s="213">
        <f t="shared" si="277"/>
        <v>200</v>
      </c>
      <c r="U1183" s="213">
        <f t="shared" si="278"/>
        <v>10200</v>
      </c>
      <c r="V1183" s="213">
        <v>10000</v>
      </c>
      <c r="W1183" s="213">
        <f t="shared" si="289"/>
        <v>200</v>
      </c>
      <c r="X1183" s="213">
        <f t="shared" si="280"/>
        <v>196.078431372549</v>
      </c>
      <c r="Y1183" s="213">
        <f t="shared" si="290"/>
        <v>3.92156862745099</v>
      </c>
      <c r="Z1183" s="213">
        <v>10000</v>
      </c>
      <c r="AA1183" s="213">
        <f t="shared" si="282"/>
        <v>0</v>
      </c>
      <c r="AB1183" s="213">
        <f t="shared" ref="AB1183:AB1185" si="291">IF(P1183="返货",Z1183/(1+N1183),IF(P1183="返现",Z1183,IF(P1183="折扣",Z1183*N1183,IF(P1183="无",Z1183))))</f>
        <v>9803.92156862745</v>
      </c>
      <c r="AC1183" s="213">
        <f t="shared" si="284"/>
        <v>196.078431372549</v>
      </c>
      <c r="AD1183" s="213">
        <f t="shared" si="285"/>
        <v>6354.37793052747</v>
      </c>
      <c r="AE1183" s="213">
        <f t="shared" si="286"/>
        <v>7533.58468667708</v>
      </c>
      <c r="AF1183" s="205">
        <v>0.08</v>
      </c>
      <c r="AG1183" s="213">
        <f t="shared" si="287"/>
        <v>602.686774934166</v>
      </c>
      <c r="AH1183" s="213">
        <f t="shared" si="288"/>
        <v>406.608343561617</v>
      </c>
      <c r="AI1183" s="213"/>
      <c r="AJ1183" s="213"/>
      <c r="AK1183" s="224" t="s">
        <v>173</v>
      </c>
      <c r="AL1183" s="196"/>
      <c r="AM1183" s="196"/>
    </row>
    <row r="1184" s="142" customFormat="1" hidden="1" spans="1:39">
      <c r="A1184" s="196">
        <v>2017</v>
      </c>
      <c r="B1184" s="196" t="s">
        <v>38</v>
      </c>
      <c r="C1184" s="196" t="s">
        <v>59</v>
      </c>
      <c r="D1184" s="196" t="s">
        <v>60</v>
      </c>
      <c r="E1184" s="196" t="s">
        <v>190</v>
      </c>
      <c r="F1184" s="196" t="s">
        <v>478</v>
      </c>
      <c r="G1184" s="196" t="s">
        <v>478</v>
      </c>
      <c r="H1184" s="196" t="s">
        <v>478</v>
      </c>
      <c r="I1184" s="196" t="s">
        <v>1076</v>
      </c>
      <c r="J1184" s="196" t="s">
        <v>571</v>
      </c>
      <c r="K1184" s="196" t="s">
        <v>1088</v>
      </c>
      <c r="L1184" s="196" t="s">
        <v>478</v>
      </c>
      <c r="M1184" s="196" t="s">
        <v>46</v>
      </c>
      <c r="N1184" s="205">
        <v>0.05</v>
      </c>
      <c r="O1184" s="205" t="s">
        <v>63</v>
      </c>
      <c r="P1184" s="205" t="s">
        <v>51</v>
      </c>
      <c r="Q1184" s="212">
        <v>0</v>
      </c>
      <c r="R1184" s="212">
        <v>0</v>
      </c>
      <c r="S1184" s="213">
        <v>430000</v>
      </c>
      <c r="T1184" s="213">
        <f t="shared" si="277"/>
        <v>21500</v>
      </c>
      <c r="U1184" s="213">
        <f t="shared" si="278"/>
        <v>451500</v>
      </c>
      <c r="V1184" s="213">
        <v>446317</v>
      </c>
      <c r="W1184" s="213">
        <f t="shared" si="289"/>
        <v>5183</v>
      </c>
      <c r="X1184" s="213">
        <f t="shared" si="280"/>
        <v>4936.19047619048</v>
      </c>
      <c r="Y1184" s="213">
        <f t="shared" si="290"/>
        <v>246.809523809524</v>
      </c>
      <c r="Z1184" s="213">
        <v>403175.07</v>
      </c>
      <c r="AA1184" s="213">
        <f t="shared" si="282"/>
        <v>43141.93</v>
      </c>
      <c r="AB1184" s="213">
        <f t="shared" si="291"/>
        <v>383976.257142857</v>
      </c>
      <c r="AC1184" s="213">
        <f t="shared" si="284"/>
        <v>19198.8128571429</v>
      </c>
      <c r="AD1184" s="213">
        <f t="shared" si="285"/>
        <v>256192.676694687</v>
      </c>
      <c r="AE1184" s="213">
        <f t="shared" si="286"/>
        <v>303735.353340196</v>
      </c>
      <c r="AF1184" s="205">
        <v>0.08</v>
      </c>
      <c r="AG1184" s="213">
        <f t="shared" si="287"/>
        <v>24298.8282672157</v>
      </c>
      <c r="AH1184" s="213">
        <f t="shared" si="288"/>
        <v>5100.0154100728</v>
      </c>
      <c r="AI1184" s="213"/>
      <c r="AJ1184" s="213"/>
      <c r="AK1184" s="224" t="s">
        <v>63</v>
      </c>
      <c r="AL1184" s="196"/>
      <c r="AM1184" s="196"/>
    </row>
    <row r="1185" s="142" customFormat="1" hidden="1" spans="1:39">
      <c r="A1185" s="196">
        <v>2017</v>
      </c>
      <c r="B1185" s="196" t="s">
        <v>38</v>
      </c>
      <c r="C1185" s="196" t="s">
        <v>110</v>
      </c>
      <c r="D1185" s="196" t="s">
        <v>111</v>
      </c>
      <c r="E1185" s="196" t="s">
        <v>112</v>
      </c>
      <c r="F1185" s="196" t="s">
        <v>113</v>
      </c>
      <c r="G1185" s="196" t="s">
        <v>113</v>
      </c>
      <c r="H1185" s="196" t="s">
        <v>113</v>
      </c>
      <c r="I1185" s="196" t="s">
        <v>1076</v>
      </c>
      <c r="J1185" s="196" t="s">
        <v>571</v>
      </c>
      <c r="K1185" s="196" t="s">
        <v>1088</v>
      </c>
      <c r="L1185" s="196" t="s">
        <v>248</v>
      </c>
      <c r="M1185" s="196" t="s">
        <v>46</v>
      </c>
      <c r="N1185" s="205">
        <v>0.02</v>
      </c>
      <c r="O1185" s="205">
        <v>0.02</v>
      </c>
      <c r="P1185" s="205" t="s">
        <v>51</v>
      </c>
      <c r="Q1185" s="212">
        <v>0</v>
      </c>
      <c r="R1185" s="212">
        <v>0</v>
      </c>
      <c r="S1185" s="213">
        <v>1080000</v>
      </c>
      <c r="T1185" s="213">
        <f t="shared" si="277"/>
        <v>21600</v>
      </c>
      <c r="U1185" s="213">
        <f t="shared" si="278"/>
        <v>1101600</v>
      </c>
      <c r="V1185" s="213">
        <v>999600</v>
      </c>
      <c r="W1185" s="213">
        <f t="shared" si="289"/>
        <v>102000</v>
      </c>
      <c r="X1185" s="213">
        <f t="shared" si="280"/>
        <v>100000</v>
      </c>
      <c r="Y1185" s="213">
        <f t="shared" si="290"/>
        <v>2000</v>
      </c>
      <c r="Z1185" s="213">
        <v>951278.55</v>
      </c>
      <c r="AA1185" s="213">
        <f t="shared" si="282"/>
        <v>48321.45</v>
      </c>
      <c r="AB1185" s="213">
        <f t="shared" si="291"/>
        <v>932626.029411765</v>
      </c>
      <c r="AC1185" s="213">
        <f t="shared" si="284"/>
        <v>18652.5205882353</v>
      </c>
      <c r="AD1185" s="213">
        <f t="shared" si="285"/>
        <v>604478.342390417</v>
      </c>
      <c r="AE1185" s="213">
        <f t="shared" si="286"/>
        <v>716653.751704438</v>
      </c>
      <c r="AF1185" s="205">
        <v>0.08</v>
      </c>
      <c r="AG1185" s="213">
        <f t="shared" si="287"/>
        <v>57332.300136355</v>
      </c>
      <c r="AH1185" s="213">
        <f t="shared" si="288"/>
        <v>38679.7795481197</v>
      </c>
      <c r="AI1185" s="213"/>
      <c r="AJ1185" s="213"/>
      <c r="AK1185" s="224" t="s">
        <v>1094</v>
      </c>
      <c r="AL1185" s="196"/>
      <c r="AM1185" s="196"/>
    </row>
    <row r="1186" s="142" customFormat="1" hidden="1" customHeight="1" spans="1:39">
      <c r="A1186" s="196">
        <v>2017</v>
      </c>
      <c r="B1186" s="196" t="s">
        <v>252</v>
      </c>
      <c r="C1186" s="196" t="s">
        <v>110</v>
      </c>
      <c r="D1186" s="196" t="s">
        <v>111</v>
      </c>
      <c r="E1186" s="196" t="s">
        <v>112</v>
      </c>
      <c r="F1186" s="196" t="s">
        <v>1098</v>
      </c>
      <c r="G1186" s="196" t="s">
        <v>1099</v>
      </c>
      <c r="H1186" s="196" t="s">
        <v>1099</v>
      </c>
      <c r="I1186" s="196" t="s">
        <v>1076</v>
      </c>
      <c r="J1186" s="196" t="s">
        <v>571</v>
      </c>
      <c r="K1186" s="196" t="s">
        <v>1088</v>
      </c>
      <c r="L1186" s="196" t="s">
        <v>1098</v>
      </c>
      <c r="M1186" s="196" t="s">
        <v>160</v>
      </c>
      <c r="N1186" s="205">
        <v>0.08</v>
      </c>
      <c r="O1186" s="205">
        <v>0.08</v>
      </c>
      <c r="P1186" s="205" t="s">
        <v>51</v>
      </c>
      <c r="Q1186" s="212">
        <v>180000</v>
      </c>
      <c r="R1186" s="212">
        <v>0</v>
      </c>
      <c r="S1186" s="213">
        <v>965000</v>
      </c>
      <c r="T1186" s="213">
        <f t="shared" si="277"/>
        <v>77200</v>
      </c>
      <c r="U1186" s="213">
        <f t="shared" si="278"/>
        <v>1042200</v>
      </c>
      <c r="V1186" s="213">
        <v>965000</v>
      </c>
      <c r="W1186" s="213">
        <f t="shared" si="289"/>
        <v>77200</v>
      </c>
      <c r="X1186" s="213">
        <f t="shared" si="280"/>
        <v>71481.4814814815</v>
      </c>
      <c r="Y1186" s="213">
        <f t="shared" si="290"/>
        <v>5718.51851851853</v>
      </c>
      <c r="Z1186" s="213">
        <v>1145000</v>
      </c>
      <c r="AA1186" s="213">
        <f t="shared" si="282"/>
        <v>0</v>
      </c>
      <c r="AB1186" s="213">
        <f>IF(P1186="返货",(Z1186-Q1186)/(1+N1186),IF(P1186="返现",Z1186,IF(P1186="折扣",Z1186*N1186,IF(P1186="无",Z1186))))</f>
        <v>893518.518518518</v>
      </c>
      <c r="AC1186" s="213">
        <f t="shared" si="284"/>
        <v>251481.481481482</v>
      </c>
      <c r="AD1186" s="213">
        <f t="shared" si="285"/>
        <v>727576.273045395</v>
      </c>
      <c r="AE1186" s="213">
        <f t="shared" si="286"/>
        <v>862595.446624526</v>
      </c>
      <c r="AF1186" s="205">
        <v>0.08</v>
      </c>
      <c r="AG1186" s="213">
        <f t="shared" si="287"/>
        <v>69007.635729962</v>
      </c>
      <c r="AH1186" s="213">
        <f t="shared" si="288"/>
        <v>-182473.84575152</v>
      </c>
      <c r="AI1186" s="213"/>
      <c r="AJ1186" s="213"/>
      <c r="AK1186" s="224" t="s">
        <v>53</v>
      </c>
      <c r="AL1186" s="196"/>
      <c r="AM1186" s="196"/>
    </row>
    <row r="1187" s="142" customFormat="1" hidden="1" spans="1:39">
      <c r="A1187" s="196">
        <v>2017</v>
      </c>
      <c r="B1187" s="196" t="s">
        <v>252</v>
      </c>
      <c r="C1187" s="196" t="s">
        <v>110</v>
      </c>
      <c r="D1187" s="196" t="s">
        <v>111</v>
      </c>
      <c r="E1187" s="196" t="s">
        <v>112</v>
      </c>
      <c r="F1187" s="196" t="s">
        <v>1098</v>
      </c>
      <c r="G1187" s="196" t="s">
        <v>1099</v>
      </c>
      <c r="H1187" s="196" t="s">
        <v>1099</v>
      </c>
      <c r="I1187" s="196" t="s">
        <v>1076</v>
      </c>
      <c r="J1187" s="196" t="s">
        <v>571</v>
      </c>
      <c r="K1187" s="196" t="s">
        <v>1088</v>
      </c>
      <c r="L1187" s="196" t="s">
        <v>1098</v>
      </c>
      <c r="M1187" s="196" t="s">
        <v>46</v>
      </c>
      <c r="N1187" s="205">
        <v>0.08</v>
      </c>
      <c r="O1187" s="205" t="s">
        <v>53</v>
      </c>
      <c r="P1187" s="205" t="s">
        <v>51</v>
      </c>
      <c r="Q1187" s="212">
        <v>614273.54</v>
      </c>
      <c r="R1187" s="212"/>
      <c r="S1187" s="213">
        <v>0</v>
      </c>
      <c r="T1187" s="213">
        <f t="shared" si="277"/>
        <v>0</v>
      </c>
      <c r="U1187" s="213">
        <f t="shared" si="278"/>
        <v>0</v>
      </c>
      <c r="V1187" s="213">
        <v>0</v>
      </c>
      <c r="W1187" s="213">
        <f t="shared" si="289"/>
        <v>0</v>
      </c>
      <c r="X1187" s="213">
        <f t="shared" si="280"/>
        <v>0</v>
      </c>
      <c r="Y1187" s="213">
        <f t="shared" si="290"/>
        <v>0</v>
      </c>
      <c r="Z1187" s="213">
        <v>1242941.35</v>
      </c>
      <c r="AA1187" s="213">
        <f t="shared" si="282"/>
        <v>-628667.81</v>
      </c>
      <c r="AB1187" s="213">
        <f>IF(P1187="返货",(Z1187-Q1187)/(1+N1187),IF(P1187="返现",Z1187,IF(P1187="折扣",Z1187*N1187,IF(P1187="无",Z1187))))</f>
        <v>582099.824074074</v>
      </c>
      <c r="AC1187" s="213">
        <f t="shared" si="284"/>
        <v>660841.525925926</v>
      </c>
      <c r="AD1187" s="213">
        <f t="shared" si="285"/>
        <v>789811.908338002</v>
      </c>
      <c r="AE1187" s="213">
        <f t="shared" si="286"/>
        <v>936380.392079774</v>
      </c>
      <c r="AF1187" s="205">
        <v>0.08</v>
      </c>
      <c r="AG1187" s="213"/>
      <c r="AH1187" s="213"/>
      <c r="AI1187" s="213"/>
      <c r="AJ1187" s="213"/>
      <c r="AK1187" s="224"/>
      <c r="AL1187" s="196"/>
      <c r="AM1187" s="196"/>
    </row>
    <row r="1188" s="142" customFormat="1" hidden="1" spans="1:39">
      <c r="A1188" s="196">
        <v>2017</v>
      </c>
      <c r="B1188" s="196" t="s">
        <v>38</v>
      </c>
      <c r="C1188" s="196" t="s">
        <v>39</v>
      </c>
      <c r="D1188" s="196" t="s">
        <v>40</v>
      </c>
      <c r="E1188" s="196" t="s">
        <v>48</v>
      </c>
      <c r="F1188" s="196" t="s">
        <v>127</v>
      </c>
      <c r="G1188" s="196" t="s">
        <v>127</v>
      </c>
      <c r="H1188" s="196" t="s">
        <v>127</v>
      </c>
      <c r="I1188" s="196" t="s">
        <v>1076</v>
      </c>
      <c r="J1188" s="196" t="s">
        <v>571</v>
      </c>
      <c r="K1188" s="196" t="s">
        <v>1088</v>
      </c>
      <c r="L1188" s="196" t="s">
        <v>127</v>
      </c>
      <c r="M1188" s="196" t="s">
        <v>46</v>
      </c>
      <c r="N1188" s="205">
        <v>0.02</v>
      </c>
      <c r="O1188" s="205">
        <v>0.02</v>
      </c>
      <c r="P1188" s="205" t="s">
        <v>51</v>
      </c>
      <c r="Q1188" s="212">
        <v>0</v>
      </c>
      <c r="R1188" s="212">
        <v>0</v>
      </c>
      <c r="S1188" s="213">
        <v>1550000</v>
      </c>
      <c r="T1188" s="213">
        <f t="shared" si="277"/>
        <v>31000</v>
      </c>
      <c r="U1188" s="213">
        <f t="shared" si="278"/>
        <v>1581000</v>
      </c>
      <c r="V1188" s="213">
        <v>1377000</v>
      </c>
      <c r="W1188" s="213">
        <f t="shared" si="289"/>
        <v>204000</v>
      </c>
      <c r="X1188" s="213">
        <f t="shared" si="280"/>
        <v>200000</v>
      </c>
      <c r="Y1188" s="213">
        <f t="shared" si="290"/>
        <v>4000</v>
      </c>
      <c r="Z1188" s="213">
        <v>647612.17</v>
      </c>
      <c r="AA1188" s="213">
        <f t="shared" si="282"/>
        <v>729387.83</v>
      </c>
      <c r="AB1188" s="213">
        <f t="shared" ref="AB1188:AB1212" si="292">IF(P1188="返货",Z1188/(1+N1188),IF(P1188="返现",Z1188,IF(P1188="折扣",Z1188*N1188,IF(P1188="无",Z1188))))</f>
        <v>634913.892156863</v>
      </c>
      <c r="AC1188" s="213">
        <f t="shared" si="284"/>
        <v>12698.2778431373</v>
      </c>
      <c r="AD1188" s="213">
        <f t="shared" si="285"/>
        <v>411517.2480589</v>
      </c>
      <c r="AE1188" s="213">
        <f t="shared" si="286"/>
        <v>487884.112681771</v>
      </c>
      <c r="AF1188" s="205">
        <v>0.08</v>
      </c>
      <c r="AG1188" s="213">
        <f t="shared" ref="AG1188:AG1222" si="293">AE1188*AF1188</f>
        <v>39030.7290145417</v>
      </c>
      <c r="AH1188" s="213">
        <f t="shared" ref="AH1188:AH1222" si="294">AB1188-Z1188+AG1188</f>
        <v>26332.4511714044</v>
      </c>
      <c r="AI1188" s="213"/>
      <c r="AJ1188" s="213"/>
      <c r="AK1188" s="224" t="s">
        <v>1094</v>
      </c>
      <c r="AL1188" s="196"/>
      <c r="AM1188" s="196"/>
    </row>
    <row r="1189" s="142" customFormat="1" hidden="1" spans="1:39">
      <c r="A1189" s="196">
        <v>2017</v>
      </c>
      <c r="B1189" s="196" t="s">
        <v>38</v>
      </c>
      <c r="C1189" s="196" t="s">
        <v>88</v>
      </c>
      <c r="D1189" s="196" t="s">
        <v>128</v>
      </c>
      <c r="E1189" s="196" t="s">
        <v>194</v>
      </c>
      <c r="F1189" s="196" t="s">
        <v>610</v>
      </c>
      <c r="G1189" s="196" t="s">
        <v>610</v>
      </c>
      <c r="H1189" s="196" t="s">
        <v>610</v>
      </c>
      <c r="I1189" s="196" t="s">
        <v>1076</v>
      </c>
      <c r="J1189" s="196" t="s">
        <v>571</v>
      </c>
      <c r="K1189" s="196" t="s">
        <v>1088</v>
      </c>
      <c r="L1189" s="196" t="s">
        <v>610</v>
      </c>
      <c r="M1189" s="196" t="s">
        <v>46</v>
      </c>
      <c r="N1189" s="205">
        <v>0.02</v>
      </c>
      <c r="O1189" s="205">
        <v>0.02</v>
      </c>
      <c r="P1189" s="205" t="s">
        <v>51</v>
      </c>
      <c r="Q1189" s="212">
        <v>0</v>
      </c>
      <c r="R1189" s="212">
        <v>0</v>
      </c>
      <c r="S1189" s="213">
        <v>10000</v>
      </c>
      <c r="T1189" s="213">
        <f t="shared" si="277"/>
        <v>200</v>
      </c>
      <c r="U1189" s="213">
        <f t="shared" si="278"/>
        <v>10200</v>
      </c>
      <c r="V1189" s="213">
        <v>10200</v>
      </c>
      <c r="W1189" s="213">
        <f t="shared" si="289"/>
        <v>0</v>
      </c>
      <c r="X1189" s="213">
        <f t="shared" si="280"/>
        <v>0</v>
      </c>
      <c r="Y1189" s="213">
        <f t="shared" si="290"/>
        <v>0</v>
      </c>
      <c r="Z1189" s="213">
        <v>10200</v>
      </c>
      <c r="AA1189" s="213">
        <f t="shared" si="282"/>
        <v>0</v>
      </c>
      <c r="AB1189" s="213">
        <f t="shared" si="292"/>
        <v>10000</v>
      </c>
      <c r="AC1189" s="213">
        <f t="shared" si="284"/>
        <v>200</v>
      </c>
      <c r="AD1189" s="213">
        <f t="shared" si="285"/>
        <v>6481.46548913802</v>
      </c>
      <c r="AE1189" s="213">
        <f t="shared" si="286"/>
        <v>7684.25638041062</v>
      </c>
      <c r="AF1189" s="205">
        <v>0.08</v>
      </c>
      <c r="AG1189" s="213">
        <f t="shared" si="293"/>
        <v>614.74051043285</v>
      </c>
      <c r="AH1189" s="213">
        <f t="shared" si="294"/>
        <v>414.74051043285</v>
      </c>
      <c r="AI1189" s="213"/>
      <c r="AJ1189" s="213"/>
      <c r="AK1189" s="224" t="s">
        <v>1094</v>
      </c>
      <c r="AL1189" s="196"/>
      <c r="AM1189" s="196"/>
    </row>
    <row r="1190" s="142" customFormat="1" hidden="1" spans="1:39">
      <c r="A1190" s="198">
        <v>2017</v>
      </c>
      <c r="B1190" s="198" t="s">
        <v>252</v>
      </c>
      <c r="C1190" s="198" t="s">
        <v>88</v>
      </c>
      <c r="D1190" s="198" t="s">
        <v>128</v>
      </c>
      <c r="E1190" s="198" t="s">
        <v>194</v>
      </c>
      <c r="F1190" s="198" t="s">
        <v>603</v>
      </c>
      <c r="G1190" s="198" t="s">
        <v>604</v>
      </c>
      <c r="H1190" s="198" t="s">
        <v>604</v>
      </c>
      <c r="I1190" s="196" t="s">
        <v>1076</v>
      </c>
      <c r="J1190" s="206" t="s">
        <v>571</v>
      </c>
      <c r="K1190" s="198" t="s">
        <v>1088</v>
      </c>
      <c r="L1190" s="198" t="s">
        <v>603</v>
      </c>
      <c r="M1190" s="198" t="s">
        <v>46</v>
      </c>
      <c r="N1190" s="207">
        <v>0</v>
      </c>
      <c r="O1190" s="205" t="s">
        <v>47</v>
      </c>
      <c r="P1190" s="205" t="s">
        <v>47</v>
      </c>
      <c r="Q1190" s="212">
        <v>0</v>
      </c>
      <c r="R1190" s="212">
        <v>0</v>
      </c>
      <c r="S1190" s="212">
        <v>300000</v>
      </c>
      <c r="T1190" s="212">
        <v>9000</v>
      </c>
      <c r="U1190" s="212">
        <v>309000</v>
      </c>
      <c r="V1190" s="212">
        <v>300000</v>
      </c>
      <c r="W1190" s="214">
        <v>9000</v>
      </c>
      <c r="X1190" s="214">
        <v>8737.8640776699</v>
      </c>
      <c r="Y1190" s="214">
        <v>262.135922330097</v>
      </c>
      <c r="Z1190" s="212">
        <v>100663.14</v>
      </c>
      <c r="AA1190" s="218">
        <v>199336.86</v>
      </c>
      <c r="AB1190" s="213">
        <f t="shared" si="292"/>
        <v>100663.14</v>
      </c>
      <c r="AC1190" s="213">
        <f t="shared" si="284"/>
        <v>0</v>
      </c>
      <c r="AD1190" s="213">
        <f t="shared" si="285"/>
        <v>63965.1635233597</v>
      </c>
      <c r="AE1190" s="213">
        <f t="shared" si="286"/>
        <v>75835.4290016831</v>
      </c>
      <c r="AF1190" s="219">
        <v>0.08</v>
      </c>
      <c r="AG1190" s="212">
        <v>8053.0512</v>
      </c>
      <c r="AH1190" s="212">
        <v>5121.11508349514</v>
      </c>
      <c r="AI1190" s="198"/>
      <c r="AJ1190" s="198"/>
      <c r="AK1190" s="198" t="s">
        <v>47</v>
      </c>
      <c r="AL1190" s="198" t="s">
        <v>1100</v>
      </c>
      <c r="AM1190" s="198"/>
    </row>
    <row r="1191" s="142" customFormat="1" hidden="1" spans="1:39">
      <c r="A1191" s="196">
        <v>2017</v>
      </c>
      <c r="B1191" s="196" t="s">
        <v>38</v>
      </c>
      <c r="C1191" s="196" t="s">
        <v>39</v>
      </c>
      <c r="D1191" s="196" t="s">
        <v>40</v>
      </c>
      <c r="E1191" s="196" t="s">
        <v>82</v>
      </c>
      <c r="F1191" s="196" t="s">
        <v>136</v>
      </c>
      <c r="G1191" s="196" t="s">
        <v>136</v>
      </c>
      <c r="H1191" s="196" t="s">
        <v>136</v>
      </c>
      <c r="I1191" s="196" t="s">
        <v>1076</v>
      </c>
      <c r="J1191" s="196" t="s">
        <v>571</v>
      </c>
      <c r="K1191" s="196" t="s">
        <v>1088</v>
      </c>
      <c r="L1191" s="196" t="s">
        <v>136</v>
      </c>
      <c r="M1191" s="196" t="s">
        <v>46</v>
      </c>
      <c r="N1191" s="205">
        <v>0.02</v>
      </c>
      <c r="O1191" s="205">
        <v>0.02</v>
      </c>
      <c r="P1191" s="205" t="s">
        <v>51</v>
      </c>
      <c r="Q1191" s="212">
        <v>0</v>
      </c>
      <c r="R1191" s="212">
        <v>0</v>
      </c>
      <c r="S1191" s="213">
        <v>22807.48</v>
      </c>
      <c r="T1191" s="213">
        <f t="shared" ref="T1191:T1221" si="295">S1191*N1191</f>
        <v>456.1496</v>
      </c>
      <c r="U1191" s="213">
        <f t="shared" ref="U1191:U1222" si="296">S1191+T1191+R1191</f>
        <v>23263.6296</v>
      </c>
      <c r="V1191" s="213">
        <v>23263.6296</v>
      </c>
      <c r="W1191" s="213">
        <f t="shared" ref="W1191:W1222" si="297">U1191-V1191</f>
        <v>0</v>
      </c>
      <c r="X1191" s="213">
        <f t="shared" ref="X1191:X1222" si="298">W1191/(1+N1191)</f>
        <v>0</v>
      </c>
      <c r="Y1191" s="213">
        <f t="shared" ref="Y1191:Y1222" si="299">W1191-X1191</f>
        <v>0</v>
      </c>
      <c r="Z1191" s="213">
        <v>23263.63</v>
      </c>
      <c r="AA1191" s="213">
        <f t="shared" ref="AA1191:AA1222" si="300">Q1191+V1191-Z1191</f>
        <v>-0.000400000000809086</v>
      </c>
      <c r="AB1191" s="213">
        <f t="shared" si="292"/>
        <v>22807.4803921569</v>
      </c>
      <c r="AC1191" s="213">
        <f t="shared" si="284"/>
        <v>456.149607843137</v>
      </c>
      <c r="AD1191" s="213">
        <f t="shared" si="285"/>
        <v>14782.5897055957</v>
      </c>
      <c r="AE1191" s="213">
        <f t="shared" si="286"/>
        <v>17525.8526724522</v>
      </c>
      <c r="AF1191" s="205">
        <v>0.08</v>
      </c>
      <c r="AG1191" s="213">
        <f t="shared" si="293"/>
        <v>1402.06821379617</v>
      </c>
      <c r="AH1191" s="213">
        <f t="shared" si="294"/>
        <v>945.918605953035</v>
      </c>
      <c r="AI1191" s="213"/>
      <c r="AJ1191" s="213"/>
      <c r="AK1191" s="224" t="s">
        <v>1094</v>
      </c>
      <c r="AL1191" s="196" t="s">
        <v>1101</v>
      </c>
      <c r="AM1191" s="196"/>
    </row>
    <row r="1192" s="142" customFormat="1" hidden="1" spans="1:39">
      <c r="A1192" s="196">
        <v>2017</v>
      </c>
      <c r="B1192" s="196" t="s">
        <v>38</v>
      </c>
      <c r="C1192" s="196" t="s">
        <v>54</v>
      </c>
      <c r="D1192" s="196" t="s">
        <v>55</v>
      </c>
      <c r="E1192" s="196" t="s">
        <v>64</v>
      </c>
      <c r="F1192" s="196" t="s">
        <v>797</v>
      </c>
      <c r="G1192" s="196" t="s">
        <v>797</v>
      </c>
      <c r="H1192" s="196" t="s">
        <v>797</v>
      </c>
      <c r="I1192" s="196" t="s">
        <v>1076</v>
      </c>
      <c r="J1192" s="196" t="s">
        <v>571</v>
      </c>
      <c r="K1192" s="196" t="s">
        <v>1088</v>
      </c>
      <c r="L1192" s="196" t="s">
        <v>797</v>
      </c>
      <c r="M1192" s="196" t="s">
        <v>46</v>
      </c>
      <c r="N1192" s="205">
        <v>0.02</v>
      </c>
      <c r="O1192" s="205" t="s">
        <v>173</v>
      </c>
      <c r="P1192" s="205" t="s">
        <v>51</v>
      </c>
      <c r="Q1192" s="212">
        <v>0</v>
      </c>
      <c r="R1192" s="212">
        <v>0</v>
      </c>
      <c r="S1192" s="213">
        <v>140000</v>
      </c>
      <c r="T1192" s="213">
        <f t="shared" si="295"/>
        <v>2800</v>
      </c>
      <c r="U1192" s="213">
        <f t="shared" si="296"/>
        <v>142800</v>
      </c>
      <c r="V1192" s="213">
        <v>120000</v>
      </c>
      <c r="W1192" s="213">
        <f t="shared" si="297"/>
        <v>22800</v>
      </c>
      <c r="X1192" s="213">
        <f t="shared" si="298"/>
        <v>22352.9411764706</v>
      </c>
      <c r="Y1192" s="213">
        <f t="shared" si="299"/>
        <v>447.058823529413</v>
      </c>
      <c r="Z1192" s="213">
        <v>109045.25</v>
      </c>
      <c r="AA1192" s="213">
        <f t="shared" si="300"/>
        <v>10954.75</v>
      </c>
      <c r="AB1192" s="213">
        <f t="shared" si="292"/>
        <v>106907.107843137</v>
      </c>
      <c r="AC1192" s="213">
        <f t="shared" si="284"/>
        <v>2138.14215686274</v>
      </c>
      <c r="AD1192" s="213">
        <f t="shared" si="285"/>
        <v>69291.4730028851</v>
      </c>
      <c r="AE1192" s="213">
        <f t="shared" si="286"/>
        <v>82150.1625554874</v>
      </c>
      <c r="AF1192" s="205">
        <v>0.08</v>
      </c>
      <c r="AG1192" s="213">
        <f t="shared" si="293"/>
        <v>6572.01300443899</v>
      </c>
      <c r="AH1192" s="213">
        <f t="shared" si="294"/>
        <v>4433.87084757625</v>
      </c>
      <c r="AI1192" s="213"/>
      <c r="AJ1192" s="213"/>
      <c r="AK1192" s="224" t="s">
        <v>173</v>
      </c>
      <c r="AL1192" s="196"/>
      <c r="AM1192" s="196"/>
    </row>
    <row r="1193" s="142" customFormat="1" hidden="1" spans="1:39">
      <c r="A1193" s="196">
        <v>2017</v>
      </c>
      <c r="B1193" s="196" t="s">
        <v>199</v>
      </c>
      <c r="C1193" s="196" t="s">
        <v>200</v>
      </c>
      <c r="D1193" s="196" t="s">
        <v>201</v>
      </c>
      <c r="E1193" s="196" t="s">
        <v>814</v>
      </c>
      <c r="F1193" s="196" t="s">
        <v>202</v>
      </c>
      <c r="G1193" s="196" t="s">
        <v>203</v>
      </c>
      <c r="H1193" s="196" t="s">
        <v>203</v>
      </c>
      <c r="I1193" s="196" t="s">
        <v>1076</v>
      </c>
      <c r="J1193" s="196" t="s">
        <v>571</v>
      </c>
      <c r="K1193" s="196" t="s">
        <v>1088</v>
      </c>
      <c r="L1193" s="196" t="s">
        <v>202</v>
      </c>
      <c r="M1193" s="196" t="s">
        <v>46</v>
      </c>
      <c r="N1193" s="205">
        <v>0.05</v>
      </c>
      <c r="O1193" s="205" t="s">
        <v>63</v>
      </c>
      <c r="P1193" s="205" t="s">
        <v>51</v>
      </c>
      <c r="Q1193" s="212">
        <v>0</v>
      </c>
      <c r="R1193" s="212">
        <v>0</v>
      </c>
      <c r="S1193" s="213">
        <v>150000</v>
      </c>
      <c r="T1193" s="213">
        <f t="shared" si="295"/>
        <v>7500</v>
      </c>
      <c r="U1193" s="213">
        <f t="shared" si="296"/>
        <v>157500</v>
      </c>
      <c r="V1193" s="213">
        <v>152018</v>
      </c>
      <c r="W1193" s="213">
        <f t="shared" si="297"/>
        <v>5482</v>
      </c>
      <c r="X1193" s="213">
        <f t="shared" si="298"/>
        <v>5220.95238095238</v>
      </c>
      <c r="Y1193" s="213">
        <f t="shared" si="299"/>
        <v>261.047619047619</v>
      </c>
      <c r="Z1193" s="213">
        <v>52018</v>
      </c>
      <c r="AA1193" s="213">
        <f t="shared" si="300"/>
        <v>100000</v>
      </c>
      <c r="AB1193" s="213">
        <f t="shared" si="292"/>
        <v>49540.9523809524</v>
      </c>
      <c r="AC1193" s="213">
        <f t="shared" si="284"/>
        <v>2477.04761904762</v>
      </c>
      <c r="AD1193" s="213">
        <f t="shared" si="285"/>
        <v>33054.2031190178</v>
      </c>
      <c r="AE1193" s="213">
        <f t="shared" si="286"/>
        <v>39188.2008231568</v>
      </c>
      <c r="AF1193" s="205">
        <v>0.08</v>
      </c>
      <c r="AG1193" s="213">
        <f t="shared" si="293"/>
        <v>3135.05606585255</v>
      </c>
      <c r="AH1193" s="213">
        <f t="shared" si="294"/>
        <v>658.008446804928</v>
      </c>
      <c r="AI1193" s="213"/>
      <c r="AJ1193" s="213"/>
      <c r="AK1193" s="224" t="s">
        <v>63</v>
      </c>
      <c r="AL1193" s="196"/>
      <c r="AM1193" s="196"/>
    </row>
    <row r="1194" s="142" customFormat="1" hidden="1" spans="1:39">
      <c r="A1194" s="196">
        <v>2017</v>
      </c>
      <c r="B1194" s="196" t="s">
        <v>38</v>
      </c>
      <c r="C1194" s="196" t="s">
        <v>88</v>
      </c>
      <c r="D1194" s="196" t="s">
        <v>89</v>
      </c>
      <c r="E1194" s="196" t="s">
        <v>124</v>
      </c>
      <c r="F1194" s="196" t="s">
        <v>1102</v>
      </c>
      <c r="G1194" s="196" t="s">
        <v>1102</v>
      </c>
      <c r="H1194" s="196" t="s">
        <v>1102</v>
      </c>
      <c r="I1194" s="196" t="s">
        <v>1076</v>
      </c>
      <c r="J1194" s="196" t="s">
        <v>571</v>
      </c>
      <c r="K1194" s="196" t="s">
        <v>1088</v>
      </c>
      <c r="L1194" s="196" t="s">
        <v>1102</v>
      </c>
      <c r="M1194" s="196" t="s">
        <v>46</v>
      </c>
      <c r="N1194" s="205">
        <v>0.02</v>
      </c>
      <c r="O1194" s="205">
        <v>0.02</v>
      </c>
      <c r="P1194" s="205" t="s">
        <v>51</v>
      </c>
      <c r="Q1194" s="212">
        <v>0</v>
      </c>
      <c r="R1194" s="212">
        <v>0</v>
      </c>
      <c r="S1194" s="213">
        <v>655490.2</v>
      </c>
      <c r="T1194" s="213">
        <f t="shared" si="295"/>
        <v>13109.804</v>
      </c>
      <c r="U1194" s="213">
        <f t="shared" si="296"/>
        <v>668600.004</v>
      </c>
      <c r="V1194" s="213">
        <v>948600</v>
      </c>
      <c r="W1194" s="213">
        <f t="shared" si="297"/>
        <v>-279999.996</v>
      </c>
      <c r="X1194" s="213">
        <f t="shared" si="298"/>
        <v>-274509.8</v>
      </c>
      <c r="Y1194" s="213">
        <f t="shared" si="299"/>
        <v>-5490.196</v>
      </c>
      <c r="Z1194" s="213">
        <v>613912.05</v>
      </c>
      <c r="AA1194" s="213">
        <f t="shared" si="300"/>
        <v>334687.95</v>
      </c>
      <c r="AB1194" s="213">
        <f t="shared" si="292"/>
        <v>601874.558823529</v>
      </c>
      <c r="AC1194" s="213">
        <f t="shared" si="284"/>
        <v>12037.4911764706</v>
      </c>
      <c r="AD1194" s="213">
        <f t="shared" si="285"/>
        <v>390102.918180488</v>
      </c>
      <c r="AE1194" s="213">
        <f t="shared" si="286"/>
        <v>462495.841884653</v>
      </c>
      <c r="AF1194" s="205">
        <v>0.08</v>
      </c>
      <c r="AG1194" s="213">
        <f t="shared" si="293"/>
        <v>36999.6673507723</v>
      </c>
      <c r="AH1194" s="213">
        <f t="shared" si="294"/>
        <v>24962.1761743016</v>
      </c>
      <c r="AI1194" s="213"/>
      <c r="AJ1194" s="213"/>
      <c r="AK1194" s="224" t="s">
        <v>1094</v>
      </c>
      <c r="AL1194" s="196" t="s">
        <v>1103</v>
      </c>
      <c r="AM1194" s="196"/>
    </row>
    <row r="1195" s="142" customFormat="1" hidden="1" spans="1:39">
      <c r="A1195" s="196">
        <v>2017</v>
      </c>
      <c r="B1195" s="196" t="s">
        <v>38</v>
      </c>
      <c r="C1195" s="196" t="s">
        <v>88</v>
      </c>
      <c r="D1195" s="196" t="s">
        <v>89</v>
      </c>
      <c r="E1195" s="196" t="s">
        <v>124</v>
      </c>
      <c r="F1195" s="196" t="s">
        <v>1104</v>
      </c>
      <c r="G1195" s="196" t="s">
        <v>1104</v>
      </c>
      <c r="H1195" s="196" t="s">
        <v>1104</v>
      </c>
      <c r="I1195" s="196" t="s">
        <v>1076</v>
      </c>
      <c r="J1195" s="196" t="s">
        <v>571</v>
      </c>
      <c r="K1195" s="196" t="s">
        <v>1088</v>
      </c>
      <c r="L1195" s="196" t="s">
        <v>1104</v>
      </c>
      <c r="M1195" s="196" t="s">
        <v>46</v>
      </c>
      <c r="N1195" s="205">
        <v>0.02</v>
      </c>
      <c r="O1195" s="205" t="s">
        <v>173</v>
      </c>
      <c r="P1195" s="205" t="s">
        <v>51</v>
      </c>
      <c r="Q1195" s="212">
        <v>0</v>
      </c>
      <c r="R1195" s="212">
        <v>0</v>
      </c>
      <c r="S1195" s="213">
        <v>30000</v>
      </c>
      <c r="T1195" s="213">
        <f t="shared" si="295"/>
        <v>600</v>
      </c>
      <c r="U1195" s="213">
        <f t="shared" si="296"/>
        <v>30600</v>
      </c>
      <c r="V1195" s="213">
        <v>30600</v>
      </c>
      <c r="W1195" s="213">
        <f t="shared" si="297"/>
        <v>0</v>
      </c>
      <c r="X1195" s="213">
        <f t="shared" si="298"/>
        <v>0</v>
      </c>
      <c r="Y1195" s="213">
        <f t="shared" si="299"/>
        <v>0</v>
      </c>
      <c r="Z1195" s="213">
        <v>30600</v>
      </c>
      <c r="AA1195" s="213">
        <f t="shared" si="300"/>
        <v>0</v>
      </c>
      <c r="AB1195" s="213">
        <f t="shared" si="292"/>
        <v>30000</v>
      </c>
      <c r="AC1195" s="213">
        <f t="shared" si="284"/>
        <v>600</v>
      </c>
      <c r="AD1195" s="213">
        <f t="shared" si="285"/>
        <v>19444.3964674141</v>
      </c>
      <c r="AE1195" s="213">
        <f t="shared" si="286"/>
        <v>23052.7691412319</v>
      </c>
      <c r="AF1195" s="205">
        <v>0.08</v>
      </c>
      <c r="AG1195" s="213">
        <f t="shared" si="293"/>
        <v>1844.22153129855</v>
      </c>
      <c r="AH1195" s="213">
        <f t="shared" si="294"/>
        <v>1244.22153129855</v>
      </c>
      <c r="AI1195" s="213"/>
      <c r="AJ1195" s="213"/>
      <c r="AK1195" s="224" t="s">
        <v>173</v>
      </c>
      <c r="AL1195" s="196" t="s">
        <v>1105</v>
      </c>
      <c r="AM1195" s="196"/>
    </row>
    <row r="1196" s="142" customFormat="1" hidden="1" spans="1:39">
      <c r="A1196" s="196">
        <v>2017</v>
      </c>
      <c r="B1196" s="196" t="s">
        <v>252</v>
      </c>
      <c r="C1196" s="196" t="s">
        <v>110</v>
      </c>
      <c r="D1196" s="196" t="s">
        <v>111</v>
      </c>
      <c r="E1196" s="196" t="s">
        <v>281</v>
      </c>
      <c r="F1196" s="196" t="s">
        <v>1106</v>
      </c>
      <c r="G1196" s="196" t="s">
        <v>1107</v>
      </c>
      <c r="H1196" s="196" t="s">
        <v>1107</v>
      </c>
      <c r="I1196" s="196" t="s">
        <v>1076</v>
      </c>
      <c r="J1196" s="196" t="s">
        <v>571</v>
      </c>
      <c r="K1196" s="196" t="s">
        <v>1088</v>
      </c>
      <c r="L1196" s="196" t="s">
        <v>1106</v>
      </c>
      <c r="M1196" s="196" t="s">
        <v>46</v>
      </c>
      <c r="N1196" s="205">
        <v>0.02</v>
      </c>
      <c r="O1196" s="205" t="s">
        <v>173</v>
      </c>
      <c r="P1196" s="205" t="s">
        <v>51</v>
      </c>
      <c r="Q1196" s="212">
        <v>0</v>
      </c>
      <c r="R1196" s="212">
        <v>0</v>
      </c>
      <c r="S1196" s="213">
        <v>10000</v>
      </c>
      <c r="T1196" s="213">
        <f t="shared" si="295"/>
        <v>200</v>
      </c>
      <c r="U1196" s="213">
        <f t="shared" si="296"/>
        <v>10200</v>
      </c>
      <c r="V1196" s="213">
        <v>10200</v>
      </c>
      <c r="W1196" s="213">
        <f t="shared" si="297"/>
        <v>0</v>
      </c>
      <c r="X1196" s="213">
        <f t="shared" si="298"/>
        <v>0</v>
      </c>
      <c r="Y1196" s="213">
        <f t="shared" si="299"/>
        <v>0</v>
      </c>
      <c r="Z1196" s="213">
        <v>10200</v>
      </c>
      <c r="AA1196" s="213">
        <f t="shared" si="300"/>
        <v>0</v>
      </c>
      <c r="AB1196" s="213">
        <f t="shared" si="292"/>
        <v>10000</v>
      </c>
      <c r="AC1196" s="213">
        <f t="shared" si="284"/>
        <v>200</v>
      </c>
      <c r="AD1196" s="213">
        <v>9588</v>
      </c>
      <c r="AE1196" s="213">
        <f t="shared" si="286"/>
        <v>7684.25638041062</v>
      </c>
      <c r="AF1196" s="205">
        <v>0.06</v>
      </c>
      <c r="AG1196" s="213">
        <f t="shared" si="293"/>
        <v>461.055382824637</v>
      </c>
      <c r="AH1196" s="213">
        <f t="shared" si="294"/>
        <v>261.055382824637</v>
      </c>
      <c r="AI1196" s="213"/>
      <c r="AJ1196" s="213"/>
      <c r="AK1196" s="224" t="s">
        <v>173</v>
      </c>
      <c r="AL1196" s="196" t="s">
        <v>1108</v>
      </c>
      <c r="AM1196" s="196"/>
    </row>
    <row r="1197" s="142" customFormat="1" hidden="1" spans="1:39">
      <c r="A1197" s="196">
        <v>2017</v>
      </c>
      <c r="B1197" s="196" t="s">
        <v>38</v>
      </c>
      <c r="C1197" s="196" t="s">
        <v>110</v>
      </c>
      <c r="D1197" s="196" t="s">
        <v>111</v>
      </c>
      <c r="E1197" s="196" t="s">
        <v>112</v>
      </c>
      <c r="F1197" s="196" t="s">
        <v>147</v>
      </c>
      <c r="G1197" s="196" t="s">
        <v>147</v>
      </c>
      <c r="H1197" s="196" t="s">
        <v>147</v>
      </c>
      <c r="I1197" s="196" t="s">
        <v>1076</v>
      </c>
      <c r="J1197" s="196" t="s">
        <v>571</v>
      </c>
      <c r="K1197" s="196" t="s">
        <v>1088</v>
      </c>
      <c r="L1197" s="196" t="s">
        <v>147</v>
      </c>
      <c r="M1197" s="196" t="s">
        <v>46</v>
      </c>
      <c r="N1197" s="205">
        <v>0.02</v>
      </c>
      <c r="O1197" s="205" t="s">
        <v>173</v>
      </c>
      <c r="P1197" s="205" t="s">
        <v>51</v>
      </c>
      <c r="Q1197" s="212">
        <v>0</v>
      </c>
      <c r="R1197" s="212">
        <v>0</v>
      </c>
      <c r="S1197" s="213">
        <v>40000</v>
      </c>
      <c r="T1197" s="213">
        <f t="shared" si="295"/>
        <v>800</v>
      </c>
      <c r="U1197" s="213">
        <f t="shared" si="296"/>
        <v>40800</v>
      </c>
      <c r="V1197" s="213">
        <v>40800</v>
      </c>
      <c r="W1197" s="213">
        <f t="shared" si="297"/>
        <v>0</v>
      </c>
      <c r="X1197" s="213">
        <f t="shared" si="298"/>
        <v>0</v>
      </c>
      <c r="Y1197" s="213">
        <f t="shared" si="299"/>
        <v>0</v>
      </c>
      <c r="Z1197" s="213">
        <v>40800</v>
      </c>
      <c r="AA1197" s="213">
        <f t="shared" si="300"/>
        <v>0</v>
      </c>
      <c r="AB1197" s="213">
        <f t="shared" si="292"/>
        <v>40000</v>
      </c>
      <c r="AC1197" s="213">
        <f t="shared" si="284"/>
        <v>800</v>
      </c>
      <c r="AD1197" s="213">
        <f t="shared" ref="AD1197:AD1223" si="301">Z1197*0.635437793052747</f>
        <v>25925.8619565521</v>
      </c>
      <c r="AE1197" s="213">
        <f t="shared" si="286"/>
        <v>30737.0255216425</v>
      </c>
      <c r="AF1197" s="205">
        <v>0.08</v>
      </c>
      <c r="AG1197" s="213">
        <f t="shared" si="293"/>
        <v>2458.9620417314</v>
      </c>
      <c r="AH1197" s="213">
        <f t="shared" si="294"/>
        <v>1658.9620417314</v>
      </c>
      <c r="AI1197" s="213"/>
      <c r="AJ1197" s="213"/>
      <c r="AK1197" s="224" t="s">
        <v>173</v>
      </c>
      <c r="AL1197" s="196"/>
      <c r="AM1197" s="196"/>
    </row>
    <row r="1198" s="142" customFormat="1" hidden="1" spans="1:39">
      <c r="A1198" s="196">
        <v>2017</v>
      </c>
      <c r="B1198" s="196" t="s">
        <v>38</v>
      </c>
      <c r="C1198" s="196" t="s">
        <v>110</v>
      </c>
      <c r="D1198" s="196" t="s">
        <v>111</v>
      </c>
      <c r="E1198" s="196" t="s">
        <v>253</v>
      </c>
      <c r="F1198" s="196" t="s">
        <v>909</v>
      </c>
      <c r="G1198" s="196" t="s">
        <v>909</v>
      </c>
      <c r="H1198" s="196" t="s">
        <v>909</v>
      </c>
      <c r="I1198" s="196" t="s">
        <v>1076</v>
      </c>
      <c r="J1198" s="196" t="s">
        <v>571</v>
      </c>
      <c r="K1198" s="196" t="s">
        <v>1088</v>
      </c>
      <c r="L1198" s="196" t="s">
        <v>909</v>
      </c>
      <c r="M1198" s="196" t="s">
        <v>46</v>
      </c>
      <c r="N1198" s="205">
        <v>0.02</v>
      </c>
      <c r="O1198" s="205">
        <v>0.02</v>
      </c>
      <c r="P1198" s="205" t="s">
        <v>51</v>
      </c>
      <c r="Q1198" s="212">
        <v>0</v>
      </c>
      <c r="R1198" s="212">
        <v>0</v>
      </c>
      <c r="S1198" s="213">
        <v>95000</v>
      </c>
      <c r="T1198" s="213">
        <f t="shared" si="295"/>
        <v>1900</v>
      </c>
      <c r="U1198" s="213">
        <f t="shared" si="296"/>
        <v>96900</v>
      </c>
      <c r="V1198" s="213">
        <v>76500</v>
      </c>
      <c r="W1198" s="213">
        <f t="shared" si="297"/>
        <v>20400</v>
      </c>
      <c r="X1198" s="213">
        <f t="shared" si="298"/>
        <v>20000</v>
      </c>
      <c r="Y1198" s="213">
        <f t="shared" si="299"/>
        <v>400</v>
      </c>
      <c r="Z1198" s="213">
        <v>67093.35</v>
      </c>
      <c r="AA1198" s="213">
        <f t="shared" si="300"/>
        <v>9406.64999999999</v>
      </c>
      <c r="AB1198" s="213">
        <f t="shared" si="292"/>
        <v>65777.7941176471</v>
      </c>
      <c r="AC1198" s="213">
        <f t="shared" si="284"/>
        <v>1315.55588235294</v>
      </c>
      <c r="AD1198" s="213">
        <f t="shared" si="301"/>
        <v>42633.6502525155</v>
      </c>
      <c r="AE1198" s="213">
        <f t="shared" si="286"/>
        <v>50545.3434137866</v>
      </c>
      <c r="AF1198" s="205">
        <v>0.08</v>
      </c>
      <c r="AG1198" s="213">
        <f t="shared" si="293"/>
        <v>4043.62747310293</v>
      </c>
      <c r="AH1198" s="213">
        <f t="shared" si="294"/>
        <v>2728.07159074998</v>
      </c>
      <c r="AI1198" s="213"/>
      <c r="AJ1198" s="213"/>
      <c r="AK1198" s="224" t="s">
        <v>1094</v>
      </c>
      <c r="AL1198" s="196"/>
      <c r="AM1198" s="196"/>
    </row>
    <row r="1199" s="142" customFormat="1" hidden="1" spans="1:39">
      <c r="A1199" s="196">
        <v>2017</v>
      </c>
      <c r="B1199" s="196" t="s">
        <v>38</v>
      </c>
      <c r="C1199" s="196" t="s">
        <v>110</v>
      </c>
      <c r="D1199" s="196" t="s">
        <v>111</v>
      </c>
      <c r="E1199" s="196" t="s">
        <v>253</v>
      </c>
      <c r="F1199" s="196" t="s">
        <v>910</v>
      </c>
      <c r="G1199" s="196" t="s">
        <v>910</v>
      </c>
      <c r="H1199" s="196" t="s">
        <v>910</v>
      </c>
      <c r="I1199" s="196" t="s">
        <v>1076</v>
      </c>
      <c r="J1199" s="196" t="s">
        <v>571</v>
      </c>
      <c r="K1199" s="196" t="s">
        <v>1088</v>
      </c>
      <c r="L1199" s="196" t="s">
        <v>910</v>
      </c>
      <c r="M1199" s="196" t="s">
        <v>46</v>
      </c>
      <c r="N1199" s="205">
        <v>0.02</v>
      </c>
      <c r="O1199" s="205">
        <v>0.02</v>
      </c>
      <c r="P1199" s="205" t="s">
        <v>51</v>
      </c>
      <c r="Q1199" s="212">
        <v>0</v>
      </c>
      <c r="R1199" s="212">
        <v>0</v>
      </c>
      <c r="S1199" s="213">
        <v>20000</v>
      </c>
      <c r="T1199" s="213">
        <f t="shared" si="295"/>
        <v>400</v>
      </c>
      <c r="U1199" s="213">
        <f t="shared" si="296"/>
        <v>20400</v>
      </c>
      <c r="V1199" s="213">
        <v>10200</v>
      </c>
      <c r="W1199" s="213">
        <f t="shared" si="297"/>
        <v>10200</v>
      </c>
      <c r="X1199" s="213">
        <f t="shared" si="298"/>
        <v>10000</v>
      </c>
      <c r="Y1199" s="213">
        <f t="shared" si="299"/>
        <v>200</v>
      </c>
      <c r="Z1199" s="213">
        <v>1284.05</v>
      </c>
      <c r="AA1199" s="213">
        <f t="shared" si="300"/>
        <v>8915.95</v>
      </c>
      <c r="AB1199" s="213">
        <f t="shared" si="292"/>
        <v>1258.87254901961</v>
      </c>
      <c r="AC1199" s="213">
        <f t="shared" si="284"/>
        <v>25.1774509803922</v>
      </c>
      <c r="AD1199" s="213">
        <f t="shared" si="301"/>
        <v>815.93389816938</v>
      </c>
      <c r="AE1199" s="213">
        <f t="shared" si="286"/>
        <v>967.34994169277</v>
      </c>
      <c r="AF1199" s="205">
        <v>0.08</v>
      </c>
      <c r="AG1199" s="213">
        <f t="shared" si="293"/>
        <v>77.3879953354216</v>
      </c>
      <c r="AH1199" s="213">
        <f t="shared" si="294"/>
        <v>52.2105443550294</v>
      </c>
      <c r="AI1199" s="213"/>
      <c r="AJ1199" s="213"/>
      <c r="AK1199" s="224" t="s">
        <v>1094</v>
      </c>
      <c r="AL1199" s="196"/>
      <c r="AM1199" s="196"/>
    </row>
    <row r="1200" s="142" customFormat="1" hidden="1" spans="1:39">
      <c r="A1200" s="196">
        <v>2017</v>
      </c>
      <c r="B1200" s="196" t="s">
        <v>38</v>
      </c>
      <c r="C1200" s="196" t="s">
        <v>59</v>
      </c>
      <c r="D1200" s="196" t="s">
        <v>181</v>
      </c>
      <c r="E1200" s="196" t="s">
        <v>131</v>
      </c>
      <c r="F1200" s="196" t="s">
        <v>1109</v>
      </c>
      <c r="G1200" s="196" t="s">
        <v>1109</v>
      </c>
      <c r="H1200" s="196" t="s">
        <v>1109</v>
      </c>
      <c r="I1200" s="196" t="s">
        <v>1076</v>
      </c>
      <c r="J1200" s="196" t="s">
        <v>571</v>
      </c>
      <c r="K1200" s="196" t="s">
        <v>1088</v>
      </c>
      <c r="L1200" s="196" t="s">
        <v>1109</v>
      </c>
      <c r="M1200" s="196" t="s">
        <v>46</v>
      </c>
      <c r="N1200" s="205">
        <v>0.02</v>
      </c>
      <c r="O1200" s="205" t="s">
        <v>173</v>
      </c>
      <c r="P1200" s="205" t="s">
        <v>51</v>
      </c>
      <c r="Q1200" s="212">
        <v>0</v>
      </c>
      <c r="R1200" s="212">
        <v>0</v>
      </c>
      <c r="S1200" s="213">
        <v>15000</v>
      </c>
      <c r="T1200" s="213">
        <f t="shared" si="295"/>
        <v>300</v>
      </c>
      <c r="U1200" s="213">
        <f t="shared" si="296"/>
        <v>15300</v>
      </c>
      <c r="V1200" s="213">
        <v>15300</v>
      </c>
      <c r="W1200" s="213">
        <f t="shared" si="297"/>
        <v>0</v>
      </c>
      <c r="X1200" s="213">
        <f t="shared" si="298"/>
        <v>0</v>
      </c>
      <c r="Y1200" s="213">
        <f t="shared" si="299"/>
        <v>0</v>
      </c>
      <c r="Z1200" s="213">
        <v>15300</v>
      </c>
      <c r="AA1200" s="213">
        <f t="shared" si="300"/>
        <v>0</v>
      </c>
      <c r="AB1200" s="213">
        <f t="shared" si="292"/>
        <v>15000</v>
      </c>
      <c r="AC1200" s="213">
        <f t="shared" si="284"/>
        <v>300</v>
      </c>
      <c r="AD1200" s="213">
        <f t="shared" si="301"/>
        <v>9722.19823370703</v>
      </c>
      <c r="AE1200" s="213">
        <f t="shared" si="286"/>
        <v>11526.3845706159</v>
      </c>
      <c r="AF1200" s="205">
        <v>0.08</v>
      </c>
      <c r="AG1200" s="213">
        <f t="shared" si="293"/>
        <v>922.110765649275</v>
      </c>
      <c r="AH1200" s="213">
        <f t="shared" si="294"/>
        <v>622.110765649275</v>
      </c>
      <c r="AI1200" s="213"/>
      <c r="AJ1200" s="213"/>
      <c r="AK1200" s="224" t="s">
        <v>173</v>
      </c>
      <c r="AL1200" s="196"/>
      <c r="AM1200" s="196"/>
    </row>
    <row r="1201" s="142" customFormat="1" hidden="1" spans="1:39">
      <c r="A1201" s="196">
        <v>2017</v>
      </c>
      <c r="B1201" s="196" t="s">
        <v>38</v>
      </c>
      <c r="C1201" s="196" t="s">
        <v>39</v>
      </c>
      <c r="D1201" s="196" t="s">
        <v>40</v>
      </c>
      <c r="E1201" s="196" t="s">
        <v>41</v>
      </c>
      <c r="F1201" s="196" t="s">
        <v>42</v>
      </c>
      <c r="G1201" s="196" t="s">
        <v>42</v>
      </c>
      <c r="H1201" s="196" t="s">
        <v>42</v>
      </c>
      <c r="I1201" s="196" t="s">
        <v>1076</v>
      </c>
      <c r="J1201" s="197" t="s">
        <v>605</v>
      </c>
      <c r="K1201" s="196" t="s">
        <v>1110</v>
      </c>
      <c r="L1201" s="196" t="s">
        <v>42</v>
      </c>
      <c r="M1201" s="196" t="s">
        <v>46</v>
      </c>
      <c r="N1201" s="205">
        <v>0</v>
      </c>
      <c r="O1201" s="205">
        <v>0</v>
      </c>
      <c r="P1201" s="205" t="s">
        <v>47</v>
      </c>
      <c r="Q1201" s="213">
        <v>0</v>
      </c>
      <c r="R1201" s="213">
        <v>0</v>
      </c>
      <c r="S1201" s="213">
        <v>30000</v>
      </c>
      <c r="T1201" s="213">
        <f t="shared" si="295"/>
        <v>0</v>
      </c>
      <c r="U1201" s="213">
        <f t="shared" si="296"/>
        <v>30000</v>
      </c>
      <c r="V1201" s="213">
        <v>30000</v>
      </c>
      <c r="W1201" s="213">
        <f t="shared" si="297"/>
        <v>0</v>
      </c>
      <c r="X1201" s="213">
        <f t="shared" si="298"/>
        <v>0</v>
      </c>
      <c r="Y1201" s="213">
        <f t="shared" si="299"/>
        <v>0</v>
      </c>
      <c r="Z1201" s="213">
        <v>29953.75</v>
      </c>
      <c r="AA1201" s="213">
        <f t="shared" si="300"/>
        <v>46.25</v>
      </c>
      <c r="AB1201" s="213">
        <f t="shared" si="292"/>
        <v>29953.75</v>
      </c>
      <c r="AC1201" s="213">
        <f t="shared" si="284"/>
        <v>0</v>
      </c>
      <c r="AD1201" s="213">
        <f t="shared" si="301"/>
        <v>19033.7447936537</v>
      </c>
      <c r="AE1201" s="213">
        <f t="shared" si="286"/>
        <v>22565.9112308554</v>
      </c>
      <c r="AF1201" s="205">
        <v>0.08</v>
      </c>
      <c r="AG1201" s="213">
        <f t="shared" si="293"/>
        <v>1805.27289846843</v>
      </c>
      <c r="AH1201" s="213">
        <f t="shared" si="294"/>
        <v>1805.27289846843</v>
      </c>
      <c r="AI1201" s="213"/>
      <c r="AJ1201" s="213"/>
      <c r="AK1201" s="224" t="s">
        <v>1111</v>
      </c>
      <c r="AL1201" s="196" t="s">
        <v>1112</v>
      </c>
      <c r="AM1201" s="196"/>
    </row>
    <row r="1202" s="142" customFormat="1" hidden="1" spans="1:39">
      <c r="A1202" s="196">
        <v>2017</v>
      </c>
      <c r="B1202" s="196" t="s">
        <v>199</v>
      </c>
      <c r="C1202" s="196" t="s">
        <v>54</v>
      </c>
      <c r="D1202" s="196" t="s">
        <v>55</v>
      </c>
      <c r="E1202" s="196" t="s">
        <v>64</v>
      </c>
      <c r="F1202" s="196" t="s">
        <v>496</v>
      </c>
      <c r="G1202" s="196" t="s">
        <v>497</v>
      </c>
      <c r="H1202" s="197" t="s">
        <v>498</v>
      </c>
      <c r="I1202" s="196" t="s">
        <v>1076</v>
      </c>
      <c r="J1202" s="197" t="s">
        <v>605</v>
      </c>
      <c r="K1202" s="196" t="s">
        <v>1110</v>
      </c>
      <c r="L1202" s="196" t="s">
        <v>499</v>
      </c>
      <c r="M1202" s="196" t="s">
        <v>46</v>
      </c>
      <c r="N1202" s="205">
        <v>0.03</v>
      </c>
      <c r="O1202" s="205" t="s">
        <v>189</v>
      </c>
      <c r="P1202" s="205" t="s">
        <v>51</v>
      </c>
      <c r="Q1202" s="213">
        <v>0</v>
      </c>
      <c r="R1202" s="213">
        <v>720460</v>
      </c>
      <c r="S1202" s="213">
        <v>3187000</v>
      </c>
      <c r="T1202" s="213">
        <f t="shared" si="295"/>
        <v>95610</v>
      </c>
      <c r="U1202" s="213">
        <f t="shared" si="296"/>
        <v>4003070</v>
      </c>
      <c r="V1202" s="213">
        <v>3698000</v>
      </c>
      <c r="W1202" s="213">
        <f t="shared" si="297"/>
        <v>305070</v>
      </c>
      <c r="X1202" s="213">
        <f t="shared" si="298"/>
        <v>296184.466019417</v>
      </c>
      <c r="Y1202" s="213">
        <f t="shared" si="299"/>
        <v>8885.53398058255</v>
      </c>
      <c r="Z1202" s="213">
        <v>749973.78</v>
      </c>
      <c r="AA1202" s="213">
        <f t="shared" si="300"/>
        <v>2948026.22</v>
      </c>
      <c r="AB1202" s="213">
        <f t="shared" si="292"/>
        <v>728129.883495146</v>
      </c>
      <c r="AC1202" s="213">
        <f t="shared" si="284"/>
        <v>21843.8965048544</v>
      </c>
      <c r="AD1202" s="213">
        <f t="shared" si="301"/>
        <v>476561.683610626</v>
      </c>
      <c r="AE1202" s="213">
        <f t="shared" si="286"/>
        <v>564999.098441732</v>
      </c>
      <c r="AF1202" s="205">
        <v>0.08</v>
      </c>
      <c r="AG1202" s="213">
        <f t="shared" si="293"/>
        <v>45199.9278753386</v>
      </c>
      <c r="AH1202" s="213">
        <f t="shared" si="294"/>
        <v>23356.0313704842</v>
      </c>
      <c r="AI1202" s="213"/>
      <c r="AJ1202" s="213"/>
      <c r="AK1202" s="224" t="s">
        <v>189</v>
      </c>
      <c r="AL1202" s="196" t="s">
        <v>1112</v>
      </c>
      <c r="AM1202" s="196"/>
    </row>
    <row r="1203" s="142" customFormat="1" hidden="1" spans="1:39">
      <c r="A1203" s="196">
        <v>2017</v>
      </c>
      <c r="B1203" s="196" t="s">
        <v>38</v>
      </c>
      <c r="C1203" s="196" t="s">
        <v>110</v>
      </c>
      <c r="D1203" s="196" t="s">
        <v>111</v>
      </c>
      <c r="E1203" s="196" t="s">
        <v>281</v>
      </c>
      <c r="F1203" s="196" t="s">
        <v>1090</v>
      </c>
      <c r="G1203" s="196" t="s">
        <v>1090</v>
      </c>
      <c r="H1203" s="196" t="s">
        <v>1090</v>
      </c>
      <c r="I1203" s="196" t="s">
        <v>1076</v>
      </c>
      <c r="J1203" s="197" t="s">
        <v>605</v>
      </c>
      <c r="K1203" s="196" t="s">
        <v>1110</v>
      </c>
      <c r="L1203" s="196" t="s">
        <v>1091</v>
      </c>
      <c r="M1203" s="196" t="s">
        <v>46</v>
      </c>
      <c r="N1203" s="205">
        <v>0.02</v>
      </c>
      <c r="O1203" s="205" t="s">
        <v>173</v>
      </c>
      <c r="P1203" s="205" t="s">
        <v>51</v>
      </c>
      <c r="Q1203" s="213">
        <v>0</v>
      </c>
      <c r="R1203" s="213">
        <v>0</v>
      </c>
      <c r="S1203" s="213">
        <v>40000</v>
      </c>
      <c r="T1203" s="213">
        <f t="shared" si="295"/>
        <v>800</v>
      </c>
      <c r="U1203" s="213">
        <f t="shared" si="296"/>
        <v>40800</v>
      </c>
      <c r="V1203" s="213">
        <v>51000</v>
      </c>
      <c r="W1203" s="213">
        <f t="shared" si="297"/>
        <v>-10200</v>
      </c>
      <c r="X1203" s="213">
        <f t="shared" si="298"/>
        <v>-10000</v>
      </c>
      <c r="Y1203" s="213">
        <f t="shared" si="299"/>
        <v>-200</v>
      </c>
      <c r="Z1203" s="213">
        <v>51000</v>
      </c>
      <c r="AA1203" s="213">
        <f t="shared" si="300"/>
        <v>0</v>
      </c>
      <c r="AB1203" s="213">
        <f t="shared" si="292"/>
        <v>50000</v>
      </c>
      <c r="AC1203" s="213">
        <f t="shared" si="284"/>
        <v>1000</v>
      </c>
      <c r="AD1203" s="213">
        <f t="shared" si="301"/>
        <v>32407.3274456901</v>
      </c>
      <c r="AE1203" s="213">
        <f t="shared" si="286"/>
        <v>38421.2819020531</v>
      </c>
      <c r="AF1203" s="205">
        <v>0.08</v>
      </c>
      <c r="AG1203" s="213">
        <f t="shared" si="293"/>
        <v>3073.70255216425</v>
      </c>
      <c r="AH1203" s="213">
        <f t="shared" si="294"/>
        <v>2073.70255216425</v>
      </c>
      <c r="AI1203" s="213"/>
      <c r="AJ1203" s="213"/>
      <c r="AK1203" s="224" t="s">
        <v>173</v>
      </c>
      <c r="AL1203" s="196" t="s">
        <v>1113</v>
      </c>
      <c r="AM1203" s="196"/>
    </row>
    <row r="1204" s="142" customFormat="1" hidden="1" spans="1:39">
      <c r="A1204" s="196">
        <v>2017</v>
      </c>
      <c r="B1204" s="196" t="s">
        <v>333</v>
      </c>
      <c r="C1204" s="196" t="s">
        <v>54</v>
      </c>
      <c r="D1204" s="196" t="s">
        <v>55</v>
      </c>
      <c r="E1204" s="196" t="s">
        <v>64</v>
      </c>
      <c r="F1204" s="196" t="s">
        <v>376</v>
      </c>
      <c r="G1204" s="196" t="s">
        <v>796</v>
      </c>
      <c r="H1204" s="196" t="s">
        <v>796</v>
      </c>
      <c r="I1204" s="196" t="s">
        <v>1076</v>
      </c>
      <c r="J1204" s="197" t="s">
        <v>605</v>
      </c>
      <c r="K1204" s="196" t="s">
        <v>1110</v>
      </c>
      <c r="L1204" s="196" t="s">
        <v>376</v>
      </c>
      <c r="M1204" s="196" t="s">
        <v>46</v>
      </c>
      <c r="N1204" s="205">
        <v>0.02</v>
      </c>
      <c r="O1204" s="205" t="s">
        <v>173</v>
      </c>
      <c r="P1204" s="205" t="s">
        <v>51</v>
      </c>
      <c r="Q1204" s="213">
        <v>0</v>
      </c>
      <c r="R1204" s="213">
        <v>0</v>
      </c>
      <c r="S1204" s="213">
        <v>10008</v>
      </c>
      <c r="T1204" s="213">
        <f t="shared" si="295"/>
        <v>200.16</v>
      </c>
      <c r="U1204" s="213">
        <f t="shared" si="296"/>
        <v>10208.16</v>
      </c>
      <c r="V1204" s="213">
        <v>10008</v>
      </c>
      <c r="W1204" s="213">
        <f t="shared" si="297"/>
        <v>200.16</v>
      </c>
      <c r="X1204" s="213">
        <f t="shared" si="298"/>
        <v>196.235294117647</v>
      </c>
      <c r="Y1204" s="213">
        <f t="shared" si="299"/>
        <v>3.92470588235295</v>
      </c>
      <c r="Z1204" s="213">
        <v>10008</v>
      </c>
      <c r="AA1204" s="213">
        <f t="shared" si="300"/>
        <v>0</v>
      </c>
      <c r="AB1204" s="213">
        <f t="shared" si="292"/>
        <v>9811.76470588235</v>
      </c>
      <c r="AC1204" s="213">
        <f t="shared" si="284"/>
        <v>196.235294117647</v>
      </c>
      <c r="AD1204" s="213">
        <f t="shared" si="301"/>
        <v>6359.46143287189</v>
      </c>
      <c r="AE1204" s="213">
        <f t="shared" si="286"/>
        <v>7539.61155442642</v>
      </c>
      <c r="AF1204" s="205">
        <v>0.08</v>
      </c>
      <c r="AG1204" s="213">
        <f t="shared" si="293"/>
        <v>603.168924354114</v>
      </c>
      <c r="AH1204" s="213">
        <f t="shared" si="294"/>
        <v>406.933630236467</v>
      </c>
      <c r="AI1204" s="213"/>
      <c r="AJ1204" s="213"/>
      <c r="AK1204" s="224" t="s">
        <v>173</v>
      </c>
      <c r="AL1204" s="196" t="s">
        <v>1112</v>
      </c>
      <c r="AM1204" s="196"/>
    </row>
    <row r="1205" s="142" customFormat="1" hidden="1" spans="1:39">
      <c r="A1205" s="196">
        <v>2017</v>
      </c>
      <c r="B1205" s="196" t="s">
        <v>38</v>
      </c>
      <c r="C1205" s="196" t="s">
        <v>110</v>
      </c>
      <c r="D1205" s="196" t="s">
        <v>111</v>
      </c>
      <c r="E1205" s="196" t="s">
        <v>281</v>
      </c>
      <c r="F1205" s="196" t="s">
        <v>898</v>
      </c>
      <c r="G1205" s="196" t="s">
        <v>898</v>
      </c>
      <c r="H1205" s="196" t="s">
        <v>898</v>
      </c>
      <c r="I1205" s="196" t="s">
        <v>1076</v>
      </c>
      <c r="J1205" s="197" t="s">
        <v>605</v>
      </c>
      <c r="K1205" s="196" t="s">
        <v>1110</v>
      </c>
      <c r="L1205" s="196" t="s">
        <v>898</v>
      </c>
      <c r="M1205" s="196" t="s">
        <v>46</v>
      </c>
      <c r="N1205" s="205">
        <v>0.02</v>
      </c>
      <c r="O1205" s="205">
        <v>0.02</v>
      </c>
      <c r="P1205" s="205" t="s">
        <v>51</v>
      </c>
      <c r="Q1205" s="213">
        <v>0</v>
      </c>
      <c r="R1205" s="213">
        <v>0</v>
      </c>
      <c r="S1205" s="213">
        <v>100000</v>
      </c>
      <c r="T1205" s="213">
        <f t="shared" si="295"/>
        <v>2000</v>
      </c>
      <c r="U1205" s="213">
        <f t="shared" si="296"/>
        <v>102000</v>
      </c>
      <c r="V1205" s="213">
        <v>102000</v>
      </c>
      <c r="W1205" s="213">
        <f t="shared" si="297"/>
        <v>0</v>
      </c>
      <c r="X1205" s="213">
        <f t="shared" si="298"/>
        <v>0</v>
      </c>
      <c r="Y1205" s="213">
        <f t="shared" si="299"/>
        <v>0</v>
      </c>
      <c r="Z1205" s="213">
        <v>118388.56</v>
      </c>
      <c r="AA1205" s="213">
        <f t="shared" si="300"/>
        <v>-16388.56</v>
      </c>
      <c r="AB1205" s="213">
        <f t="shared" si="292"/>
        <v>116067.215686275</v>
      </c>
      <c r="AC1205" s="213">
        <f t="shared" si="284"/>
        <v>2321.34431372549</v>
      </c>
      <c r="AD1205" s="213">
        <f t="shared" si="301"/>
        <v>75228.5652890927</v>
      </c>
      <c r="AE1205" s="213">
        <f t="shared" si="286"/>
        <v>89189.0242693751</v>
      </c>
      <c r="AF1205" s="205">
        <v>0.08</v>
      </c>
      <c r="AG1205" s="213">
        <f t="shared" si="293"/>
        <v>7135.12194155001</v>
      </c>
      <c r="AH1205" s="213">
        <f t="shared" si="294"/>
        <v>4813.77762782451</v>
      </c>
      <c r="AI1205" s="213"/>
      <c r="AJ1205" s="213"/>
      <c r="AK1205" s="224" t="s">
        <v>1094</v>
      </c>
      <c r="AL1205" s="196" t="s">
        <v>1113</v>
      </c>
      <c r="AM1205" s="196"/>
    </row>
    <row r="1206" s="142" customFormat="1" hidden="1" spans="1:39">
      <c r="A1206" s="196">
        <v>2017</v>
      </c>
      <c r="B1206" s="196" t="s">
        <v>199</v>
      </c>
      <c r="C1206" s="196" t="s">
        <v>110</v>
      </c>
      <c r="D1206" s="196" t="s">
        <v>111</v>
      </c>
      <c r="E1206" s="196" t="s">
        <v>281</v>
      </c>
      <c r="F1206" s="196" t="s">
        <v>416</v>
      </c>
      <c r="G1206" s="196" t="s">
        <v>417</v>
      </c>
      <c r="H1206" s="196" t="s">
        <v>417</v>
      </c>
      <c r="I1206" s="196" t="s">
        <v>1076</v>
      </c>
      <c r="J1206" s="197" t="s">
        <v>605</v>
      </c>
      <c r="K1206" s="196" t="s">
        <v>1110</v>
      </c>
      <c r="L1206" s="196" t="s">
        <v>416</v>
      </c>
      <c r="M1206" s="196" t="s">
        <v>46</v>
      </c>
      <c r="N1206" s="205">
        <v>0.02</v>
      </c>
      <c r="O1206" s="205" t="s">
        <v>173</v>
      </c>
      <c r="P1206" s="205" t="s">
        <v>51</v>
      </c>
      <c r="Q1206" s="213">
        <v>0</v>
      </c>
      <c r="R1206" s="213">
        <v>0</v>
      </c>
      <c r="S1206" s="213">
        <v>10000</v>
      </c>
      <c r="T1206" s="213">
        <f t="shared" si="295"/>
        <v>200</v>
      </c>
      <c r="U1206" s="213">
        <f t="shared" si="296"/>
        <v>10200</v>
      </c>
      <c r="V1206" s="213">
        <v>0</v>
      </c>
      <c r="W1206" s="213">
        <f t="shared" si="297"/>
        <v>10200</v>
      </c>
      <c r="X1206" s="213">
        <f t="shared" si="298"/>
        <v>10000</v>
      </c>
      <c r="Y1206" s="213">
        <f t="shared" si="299"/>
        <v>200</v>
      </c>
      <c r="Z1206" s="213">
        <v>0</v>
      </c>
      <c r="AA1206" s="213">
        <f t="shared" si="300"/>
        <v>0</v>
      </c>
      <c r="AB1206" s="213">
        <f t="shared" si="292"/>
        <v>0</v>
      </c>
      <c r="AC1206" s="213">
        <f t="shared" si="284"/>
        <v>0</v>
      </c>
      <c r="AD1206" s="213">
        <f t="shared" si="301"/>
        <v>0</v>
      </c>
      <c r="AE1206" s="213">
        <f t="shared" si="286"/>
        <v>0</v>
      </c>
      <c r="AF1206" s="205">
        <v>0.08</v>
      </c>
      <c r="AG1206" s="213">
        <f t="shared" si="293"/>
        <v>0</v>
      </c>
      <c r="AH1206" s="213">
        <f t="shared" si="294"/>
        <v>0</v>
      </c>
      <c r="AI1206" s="213"/>
      <c r="AJ1206" s="213"/>
      <c r="AK1206" s="224" t="s">
        <v>173</v>
      </c>
      <c r="AL1206" s="196" t="s">
        <v>1112</v>
      </c>
      <c r="AM1206" s="196"/>
    </row>
    <row r="1207" s="142" customFormat="1" hidden="1" spans="1:39">
      <c r="A1207" s="196">
        <v>2017</v>
      </c>
      <c r="B1207" s="196" t="s">
        <v>252</v>
      </c>
      <c r="C1207" s="196" t="s">
        <v>110</v>
      </c>
      <c r="D1207" s="196" t="s">
        <v>111</v>
      </c>
      <c r="E1207" s="196" t="s">
        <v>281</v>
      </c>
      <c r="F1207" s="196" t="s">
        <v>1095</v>
      </c>
      <c r="G1207" s="196" t="s">
        <v>1096</v>
      </c>
      <c r="H1207" s="196" t="s">
        <v>1096</v>
      </c>
      <c r="I1207" s="196" t="s">
        <v>1076</v>
      </c>
      <c r="J1207" s="197" t="s">
        <v>605</v>
      </c>
      <c r="K1207" s="196" t="s">
        <v>1110</v>
      </c>
      <c r="L1207" s="196" t="s">
        <v>1095</v>
      </c>
      <c r="M1207" s="196" t="s">
        <v>46</v>
      </c>
      <c r="N1207" s="205">
        <v>0.02</v>
      </c>
      <c r="O1207" s="205" t="s">
        <v>173</v>
      </c>
      <c r="P1207" s="205" t="s">
        <v>51</v>
      </c>
      <c r="Q1207" s="213">
        <v>0</v>
      </c>
      <c r="R1207" s="213">
        <v>0</v>
      </c>
      <c r="S1207" s="213">
        <v>180000</v>
      </c>
      <c r="T1207" s="213">
        <f t="shared" si="295"/>
        <v>3600</v>
      </c>
      <c r="U1207" s="213">
        <f t="shared" si="296"/>
        <v>183600</v>
      </c>
      <c r="V1207" s="213">
        <v>183600</v>
      </c>
      <c r="W1207" s="213">
        <f t="shared" si="297"/>
        <v>0</v>
      </c>
      <c r="X1207" s="213">
        <f t="shared" si="298"/>
        <v>0</v>
      </c>
      <c r="Y1207" s="213">
        <f t="shared" si="299"/>
        <v>0</v>
      </c>
      <c r="Z1207" s="213">
        <v>53260.53</v>
      </c>
      <c r="AA1207" s="213">
        <f t="shared" si="300"/>
        <v>130339.47</v>
      </c>
      <c r="AB1207" s="213">
        <f t="shared" si="292"/>
        <v>52216.2058823529</v>
      </c>
      <c r="AC1207" s="213">
        <f t="shared" si="284"/>
        <v>1044.32411764706</v>
      </c>
      <c r="AD1207" s="213">
        <f t="shared" si="301"/>
        <v>33843.7536400196</v>
      </c>
      <c r="AE1207" s="213">
        <f t="shared" si="286"/>
        <v>40124.2713212305</v>
      </c>
      <c r="AF1207" s="205">
        <v>0.08</v>
      </c>
      <c r="AG1207" s="213">
        <f t="shared" si="293"/>
        <v>3209.94170569844</v>
      </c>
      <c r="AH1207" s="213">
        <f t="shared" si="294"/>
        <v>2165.61758805138</v>
      </c>
      <c r="AI1207" s="213"/>
      <c r="AJ1207" s="213"/>
      <c r="AK1207" s="224" t="s">
        <v>173</v>
      </c>
      <c r="AL1207" s="196" t="s">
        <v>1112</v>
      </c>
      <c r="AM1207" s="196"/>
    </row>
    <row r="1208" s="142" customFormat="1" hidden="1" spans="1:39">
      <c r="A1208" s="196">
        <v>2017</v>
      </c>
      <c r="B1208" s="196" t="s">
        <v>38</v>
      </c>
      <c r="C1208" s="196" t="s">
        <v>59</v>
      </c>
      <c r="D1208" s="196" t="s">
        <v>60</v>
      </c>
      <c r="E1208" s="196" t="s">
        <v>190</v>
      </c>
      <c r="F1208" s="196" t="s">
        <v>478</v>
      </c>
      <c r="G1208" s="196" t="s">
        <v>478</v>
      </c>
      <c r="H1208" s="196" t="s">
        <v>478</v>
      </c>
      <c r="I1208" s="196" t="s">
        <v>1076</v>
      </c>
      <c r="J1208" s="197" t="s">
        <v>605</v>
      </c>
      <c r="K1208" s="196" t="s">
        <v>1110</v>
      </c>
      <c r="L1208" s="196" t="s">
        <v>478</v>
      </c>
      <c r="M1208" s="196" t="s">
        <v>46</v>
      </c>
      <c r="N1208" s="205">
        <v>0.05</v>
      </c>
      <c r="O1208" s="205" t="s">
        <v>63</v>
      </c>
      <c r="P1208" s="205" t="s">
        <v>51</v>
      </c>
      <c r="Q1208" s="213">
        <v>0</v>
      </c>
      <c r="R1208" s="213">
        <v>0</v>
      </c>
      <c r="S1208" s="213">
        <v>200000</v>
      </c>
      <c r="T1208" s="213">
        <f t="shared" si="295"/>
        <v>10000</v>
      </c>
      <c r="U1208" s="213">
        <f t="shared" si="296"/>
        <v>210000</v>
      </c>
      <c r="V1208" s="213">
        <v>204000</v>
      </c>
      <c r="W1208" s="213">
        <f t="shared" si="297"/>
        <v>6000</v>
      </c>
      <c r="X1208" s="213">
        <f t="shared" si="298"/>
        <v>5714.28571428571</v>
      </c>
      <c r="Y1208" s="213">
        <f t="shared" si="299"/>
        <v>285.714285714286</v>
      </c>
      <c r="Z1208" s="213">
        <v>206490.5</v>
      </c>
      <c r="AA1208" s="213">
        <f t="shared" si="300"/>
        <v>-2490.5</v>
      </c>
      <c r="AB1208" s="213">
        <f t="shared" si="292"/>
        <v>196657.619047619</v>
      </c>
      <c r="AC1208" s="213">
        <f t="shared" si="284"/>
        <v>9832.88095238095</v>
      </c>
      <c r="AD1208" s="213">
        <f t="shared" si="301"/>
        <v>131211.867606358</v>
      </c>
      <c r="AE1208" s="213">
        <f t="shared" si="286"/>
        <v>155561.366874429</v>
      </c>
      <c r="AF1208" s="205">
        <v>0.08</v>
      </c>
      <c r="AG1208" s="213">
        <f t="shared" si="293"/>
        <v>12444.9093499543</v>
      </c>
      <c r="AH1208" s="213">
        <f t="shared" si="294"/>
        <v>2612.0283975734</v>
      </c>
      <c r="AI1208" s="213"/>
      <c r="AJ1208" s="213"/>
      <c r="AK1208" s="224" t="s">
        <v>63</v>
      </c>
      <c r="AL1208" s="196" t="s">
        <v>1112</v>
      </c>
      <c r="AM1208" s="196"/>
    </row>
    <row r="1209" s="142" customFormat="1" hidden="1" spans="1:39">
      <c r="A1209" s="196">
        <v>2017</v>
      </c>
      <c r="B1209" s="196" t="s">
        <v>38</v>
      </c>
      <c r="C1209" s="196" t="s">
        <v>39</v>
      </c>
      <c r="D1209" s="196" t="s">
        <v>40</v>
      </c>
      <c r="E1209" s="196" t="s">
        <v>48</v>
      </c>
      <c r="F1209" s="196" t="s">
        <v>127</v>
      </c>
      <c r="G1209" s="196" t="s">
        <v>127</v>
      </c>
      <c r="H1209" s="196" t="s">
        <v>127</v>
      </c>
      <c r="I1209" s="196" t="s">
        <v>1076</v>
      </c>
      <c r="J1209" s="197" t="s">
        <v>605</v>
      </c>
      <c r="K1209" s="196" t="s">
        <v>1110</v>
      </c>
      <c r="L1209" s="196" t="s">
        <v>127</v>
      </c>
      <c r="M1209" s="196" t="s">
        <v>46</v>
      </c>
      <c r="N1209" s="205">
        <v>0.02</v>
      </c>
      <c r="O1209" s="205" t="s">
        <v>173</v>
      </c>
      <c r="P1209" s="205" t="s">
        <v>51</v>
      </c>
      <c r="Q1209" s="213">
        <v>0</v>
      </c>
      <c r="R1209" s="213">
        <v>0</v>
      </c>
      <c r="S1209" s="213">
        <v>640000</v>
      </c>
      <c r="T1209" s="213">
        <f t="shared" si="295"/>
        <v>12800</v>
      </c>
      <c r="U1209" s="213">
        <f t="shared" si="296"/>
        <v>652800</v>
      </c>
      <c r="V1209" s="213">
        <v>652800</v>
      </c>
      <c r="W1209" s="213">
        <f t="shared" si="297"/>
        <v>0</v>
      </c>
      <c r="X1209" s="213">
        <f t="shared" si="298"/>
        <v>0</v>
      </c>
      <c r="Y1209" s="213">
        <f t="shared" si="299"/>
        <v>0</v>
      </c>
      <c r="Z1209" s="213">
        <v>1301143.87</v>
      </c>
      <c r="AA1209" s="213">
        <f t="shared" si="300"/>
        <v>-648343.87</v>
      </c>
      <c r="AB1209" s="213">
        <f t="shared" si="292"/>
        <v>1275631.24509804</v>
      </c>
      <c r="AC1209" s="213">
        <f t="shared" si="284"/>
        <v>25512.6249019608</v>
      </c>
      <c r="AD1209" s="213">
        <f t="shared" si="301"/>
        <v>826795.98919691</v>
      </c>
      <c r="AE1209" s="213">
        <f t="shared" si="286"/>
        <v>980227.753419575</v>
      </c>
      <c r="AF1209" s="205">
        <v>0.08</v>
      </c>
      <c r="AG1209" s="213">
        <f t="shared" si="293"/>
        <v>78418.220273566</v>
      </c>
      <c r="AH1209" s="213">
        <f t="shared" si="294"/>
        <v>52905.5953716052</v>
      </c>
      <c r="AI1209" s="213"/>
      <c r="AJ1209" s="213"/>
      <c r="AK1209" s="224" t="s">
        <v>173</v>
      </c>
      <c r="AL1209" s="196" t="s">
        <v>1112</v>
      </c>
      <c r="AM1209" s="196" t="s">
        <v>1089</v>
      </c>
    </row>
    <row r="1210" s="142" customFormat="1" hidden="1" spans="1:39">
      <c r="A1210" s="196">
        <v>2017</v>
      </c>
      <c r="B1210" s="196" t="s">
        <v>38</v>
      </c>
      <c r="C1210" s="196" t="s">
        <v>54</v>
      </c>
      <c r="D1210" s="196" t="s">
        <v>55</v>
      </c>
      <c r="E1210" s="196" t="s">
        <v>64</v>
      </c>
      <c r="F1210" s="196" t="s">
        <v>797</v>
      </c>
      <c r="G1210" s="196" t="s">
        <v>797</v>
      </c>
      <c r="H1210" s="196" t="s">
        <v>797</v>
      </c>
      <c r="I1210" s="196" t="s">
        <v>1076</v>
      </c>
      <c r="J1210" s="197" t="s">
        <v>605</v>
      </c>
      <c r="K1210" s="196" t="s">
        <v>1110</v>
      </c>
      <c r="L1210" s="196" t="s">
        <v>797</v>
      </c>
      <c r="M1210" s="196" t="s">
        <v>46</v>
      </c>
      <c r="N1210" s="205">
        <v>0.02</v>
      </c>
      <c r="O1210" s="205" t="s">
        <v>173</v>
      </c>
      <c r="P1210" s="205" t="s">
        <v>51</v>
      </c>
      <c r="Q1210" s="213">
        <v>0</v>
      </c>
      <c r="R1210" s="213">
        <v>22800</v>
      </c>
      <c r="S1210" s="213">
        <v>50000</v>
      </c>
      <c r="T1210" s="213">
        <f t="shared" si="295"/>
        <v>1000</v>
      </c>
      <c r="U1210" s="213">
        <f t="shared" si="296"/>
        <v>73800</v>
      </c>
      <c r="V1210" s="213">
        <v>70000</v>
      </c>
      <c r="W1210" s="213">
        <f t="shared" si="297"/>
        <v>3800</v>
      </c>
      <c r="X1210" s="213">
        <f t="shared" si="298"/>
        <v>3725.49019607843</v>
      </c>
      <c r="Y1210" s="213">
        <f t="shared" si="299"/>
        <v>74.5098039215686</v>
      </c>
      <c r="Z1210" s="213">
        <v>71500.6</v>
      </c>
      <c r="AA1210" s="213">
        <f t="shared" si="300"/>
        <v>-1500.60000000001</v>
      </c>
      <c r="AB1210" s="213">
        <f t="shared" si="292"/>
        <v>70098.6274509804</v>
      </c>
      <c r="AC1210" s="213">
        <f t="shared" si="284"/>
        <v>1401.97254901961</v>
      </c>
      <c r="AD1210" s="213">
        <f t="shared" si="301"/>
        <v>45434.1834659472</v>
      </c>
      <c r="AE1210" s="213">
        <f t="shared" si="286"/>
        <v>53865.5825248223</v>
      </c>
      <c r="AF1210" s="205">
        <v>0.08</v>
      </c>
      <c r="AG1210" s="213">
        <f t="shared" si="293"/>
        <v>4309.24660198579</v>
      </c>
      <c r="AH1210" s="213">
        <f t="shared" si="294"/>
        <v>2907.27405296617</v>
      </c>
      <c r="AI1210" s="213"/>
      <c r="AJ1210" s="213"/>
      <c r="AK1210" s="224" t="s">
        <v>173</v>
      </c>
      <c r="AL1210" s="196" t="s">
        <v>1112</v>
      </c>
      <c r="AM1210" s="196"/>
    </row>
    <row r="1211" s="142" customFormat="1" hidden="1" spans="1:39">
      <c r="A1211" s="196">
        <v>2017</v>
      </c>
      <c r="B1211" s="196" t="s">
        <v>38</v>
      </c>
      <c r="C1211" s="196" t="s">
        <v>110</v>
      </c>
      <c r="D1211" s="196" t="s">
        <v>111</v>
      </c>
      <c r="E1211" s="196" t="s">
        <v>253</v>
      </c>
      <c r="F1211" s="196" t="s">
        <v>909</v>
      </c>
      <c r="G1211" s="196" t="s">
        <v>909</v>
      </c>
      <c r="H1211" s="196" t="s">
        <v>909</v>
      </c>
      <c r="I1211" s="196" t="s">
        <v>1076</v>
      </c>
      <c r="J1211" s="197" t="s">
        <v>605</v>
      </c>
      <c r="K1211" s="196" t="s">
        <v>1110</v>
      </c>
      <c r="L1211" s="196" t="s">
        <v>909</v>
      </c>
      <c r="M1211" s="196" t="s">
        <v>46</v>
      </c>
      <c r="N1211" s="205">
        <v>0.02</v>
      </c>
      <c r="O1211" s="205">
        <v>0.02</v>
      </c>
      <c r="P1211" s="205" t="s">
        <v>51</v>
      </c>
      <c r="Q1211" s="213">
        <v>0</v>
      </c>
      <c r="R1211" s="213">
        <v>20400</v>
      </c>
      <c r="S1211" s="213">
        <v>70000</v>
      </c>
      <c r="T1211" s="213">
        <f t="shared" si="295"/>
        <v>1400</v>
      </c>
      <c r="U1211" s="213">
        <f t="shared" si="296"/>
        <v>91800</v>
      </c>
      <c r="V1211" s="213">
        <v>91800</v>
      </c>
      <c r="W1211" s="213">
        <f t="shared" si="297"/>
        <v>0</v>
      </c>
      <c r="X1211" s="213">
        <f t="shared" si="298"/>
        <v>0</v>
      </c>
      <c r="Y1211" s="213">
        <f t="shared" si="299"/>
        <v>0</v>
      </c>
      <c r="Z1211" s="213">
        <v>79918.94</v>
      </c>
      <c r="AA1211" s="213">
        <f t="shared" si="300"/>
        <v>11881.06</v>
      </c>
      <c r="AB1211" s="213">
        <f t="shared" si="292"/>
        <v>78351.9019607843</v>
      </c>
      <c r="AC1211" s="213">
        <f t="shared" si="284"/>
        <v>1567.03803921569</v>
      </c>
      <c r="AD1211" s="213">
        <f t="shared" si="301"/>
        <v>50783.5148567149</v>
      </c>
      <c r="AE1211" s="213">
        <f t="shared" si="286"/>
        <v>60207.6102559464</v>
      </c>
      <c r="AF1211" s="205">
        <v>0.08</v>
      </c>
      <c r="AG1211" s="213">
        <f t="shared" si="293"/>
        <v>4816.60882047572</v>
      </c>
      <c r="AH1211" s="213">
        <f t="shared" si="294"/>
        <v>3249.57078126002</v>
      </c>
      <c r="AI1211" s="213"/>
      <c r="AJ1211" s="213"/>
      <c r="AK1211" s="224" t="s">
        <v>1094</v>
      </c>
      <c r="AL1211" s="196" t="s">
        <v>1112</v>
      </c>
      <c r="AM1211" s="196" t="s">
        <v>1089</v>
      </c>
    </row>
    <row r="1212" s="142" customFormat="1" hidden="1" spans="1:39">
      <c r="A1212" s="196">
        <v>2017</v>
      </c>
      <c r="B1212" s="196" t="s">
        <v>252</v>
      </c>
      <c r="C1212" s="196" t="s">
        <v>110</v>
      </c>
      <c r="D1212" s="196" t="s">
        <v>111</v>
      </c>
      <c r="E1212" s="196" t="s">
        <v>281</v>
      </c>
      <c r="F1212" s="196" t="s">
        <v>418</v>
      </c>
      <c r="G1212" s="196" t="s">
        <v>419</v>
      </c>
      <c r="H1212" s="197" t="s">
        <v>420</v>
      </c>
      <c r="I1212" s="196" t="s">
        <v>1076</v>
      </c>
      <c r="J1212" s="197" t="s">
        <v>605</v>
      </c>
      <c r="K1212" s="196" t="s">
        <v>1110</v>
      </c>
      <c r="L1212" s="196" t="s">
        <v>418</v>
      </c>
      <c r="M1212" s="196" t="s">
        <v>46</v>
      </c>
      <c r="N1212" s="205">
        <v>0.02</v>
      </c>
      <c r="O1212" s="205" t="s">
        <v>173</v>
      </c>
      <c r="P1212" s="205" t="s">
        <v>51</v>
      </c>
      <c r="Q1212" s="213">
        <v>0</v>
      </c>
      <c r="R1212" s="213">
        <v>0</v>
      </c>
      <c r="S1212" s="213">
        <v>40000</v>
      </c>
      <c r="T1212" s="213">
        <f t="shared" si="295"/>
        <v>800</v>
      </c>
      <c r="U1212" s="213">
        <f t="shared" si="296"/>
        <v>40800</v>
      </c>
      <c r="V1212" s="213">
        <v>40800</v>
      </c>
      <c r="W1212" s="213">
        <f t="shared" si="297"/>
        <v>0</v>
      </c>
      <c r="X1212" s="213">
        <f t="shared" si="298"/>
        <v>0</v>
      </c>
      <c r="Y1212" s="213">
        <f t="shared" si="299"/>
        <v>0</v>
      </c>
      <c r="Z1212" s="213">
        <v>30181.89</v>
      </c>
      <c r="AA1212" s="213">
        <f t="shared" si="300"/>
        <v>10618.11</v>
      </c>
      <c r="AB1212" s="213">
        <f t="shared" si="292"/>
        <v>29590.0882352941</v>
      </c>
      <c r="AC1212" s="213">
        <f t="shared" si="284"/>
        <v>591.801764705884</v>
      </c>
      <c r="AD1212" s="213">
        <f t="shared" si="301"/>
        <v>19178.7135717608</v>
      </c>
      <c r="AE1212" s="213">
        <f t="shared" si="286"/>
        <v>22737.7824318972</v>
      </c>
      <c r="AF1212" s="205">
        <v>0.08</v>
      </c>
      <c r="AG1212" s="213">
        <f t="shared" si="293"/>
        <v>1819.02259455178</v>
      </c>
      <c r="AH1212" s="213">
        <f t="shared" si="294"/>
        <v>1227.22082984589</v>
      </c>
      <c r="AI1212" s="213"/>
      <c r="AJ1212" s="213"/>
      <c r="AK1212" s="224" t="s">
        <v>173</v>
      </c>
      <c r="AL1212" s="196" t="s">
        <v>1112</v>
      </c>
      <c r="AM1212" s="196"/>
    </row>
    <row r="1213" s="143" customFormat="1" hidden="1" spans="1:39">
      <c r="A1213" s="199">
        <v>2017</v>
      </c>
      <c r="B1213" s="199" t="s">
        <v>1114</v>
      </c>
      <c r="C1213" s="199"/>
      <c r="D1213" s="199"/>
      <c r="E1213" s="199"/>
      <c r="F1213" s="199" t="s">
        <v>1115</v>
      </c>
      <c r="G1213" s="199"/>
      <c r="H1213" s="199"/>
      <c r="I1213" s="196" t="s">
        <v>1076</v>
      </c>
      <c r="J1213" s="208" t="s">
        <v>571</v>
      </c>
      <c r="K1213" s="199" t="s">
        <v>1088</v>
      </c>
      <c r="L1213" s="199" t="s">
        <v>1115</v>
      </c>
      <c r="M1213" s="199" t="s">
        <v>46</v>
      </c>
      <c r="N1213" s="209">
        <v>0</v>
      </c>
      <c r="O1213" s="209">
        <v>0</v>
      </c>
      <c r="P1213" s="209" t="s">
        <v>47</v>
      </c>
      <c r="Q1213" s="215">
        <v>5095</v>
      </c>
      <c r="R1213" s="215">
        <v>0</v>
      </c>
      <c r="S1213" s="215"/>
      <c r="T1213" s="215">
        <f t="shared" si="295"/>
        <v>0</v>
      </c>
      <c r="U1213" s="215">
        <f t="shared" si="296"/>
        <v>0</v>
      </c>
      <c r="V1213" s="215">
        <v>0</v>
      </c>
      <c r="W1213" s="215">
        <f t="shared" si="297"/>
        <v>0</v>
      </c>
      <c r="X1213" s="215">
        <f t="shared" si="298"/>
        <v>0</v>
      </c>
      <c r="Y1213" s="215">
        <f t="shared" si="299"/>
        <v>0</v>
      </c>
      <c r="Z1213" s="215">
        <v>5095</v>
      </c>
      <c r="AA1213" s="215">
        <f t="shared" si="300"/>
        <v>0</v>
      </c>
      <c r="AB1213" s="215">
        <v>0</v>
      </c>
      <c r="AC1213" s="215">
        <v>0</v>
      </c>
      <c r="AD1213" s="215">
        <f t="shared" si="301"/>
        <v>3237.55555560375</v>
      </c>
      <c r="AE1213" s="215">
        <f t="shared" si="286"/>
        <v>3838.36139786197</v>
      </c>
      <c r="AF1213" s="209">
        <v>0.08</v>
      </c>
      <c r="AG1213" s="215">
        <f t="shared" si="293"/>
        <v>307.068911828958</v>
      </c>
      <c r="AH1213" s="215">
        <f t="shared" si="294"/>
        <v>-4787.93108817104</v>
      </c>
      <c r="AI1213" s="215"/>
      <c r="AJ1213" s="215"/>
      <c r="AK1213" s="199"/>
      <c r="AL1213" s="199" t="s">
        <v>1116</v>
      </c>
      <c r="AM1213" s="199"/>
    </row>
    <row r="1214" s="143" customFormat="1" hidden="1" spans="1:39">
      <c r="A1214" s="199">
        <v>2017</v>
      </c>
      <c r="B1214" s="199" t="s">
        <v>1114</v>
      </c>
      <c r="C1214" s="199" t="s">
        <v>88</v>
      </c>
      <c r="D1214" s="199"/>
      <c r="E1214" s="199"/>
      <c r="F1214" s="199" t="s">
        <v>1117</v>
      </c>
      <c r="G1214" s="199"/>
      <c r="H1214" s="199"/>
      <c r="I1214" s="196" t="s">
        <v>1076</v>
      </c>
      <c r="J1214" s="208" t="s">
        <v>571</v>
      </c>
      <c r="K1214" s="199" t="s">
        <v>1088</v>
      </c>
      <c r="L1214" s="199" t="s">
        <v>1117</v>
      </c>
      <c r="M1214" s="199" t="s">
        <v>46</v>
      </c>
      <c r="N1214" s="209">
        <v>0</v>
      </c>
      <c r="O1214" s="209">
        <v>0</v>
      </c>
      <c r="P1214" s="209" t="s">
        <v>47</v>
      </c>
      <c r="Q1214" s="215">
        <v>93199.51</v>
      </c>
      <c r="R1214" s="215"/>
      <c r="S1214" s="215"/>
      <c r="T1214" s="215">
        <f t="shared" si="295"/>
        <v>0</v>
      </c>
      <c r="U1214" s="215">
        <f t="shared" si="296"/>
        <v>0</v>
      </c>
      <c r="V1214" s="215">
        <v>0</v>
      </c>
      <c r="W1214" s="215">
        <f t="shared" si="297"/>
        <v>0</v>
      </c>
      <c r="X1214" s="215">
        <f t="shared" si="298"/>
        <v>0</v>
      </c>
      <c r="Y1214" s="215">
        <f t="shared" si="299"/>
        <v>0</v>
      </c>
      <c r="Z1214" s="215">
        <v>59335.63</v>
      </c>
      <c r="AA1214" s="215">
        <f t="shared" si="300"/>
        <v>33863.88</v>
      </c>
      <c r="AB1214" s="215">
        <v>0</v>
      </c>
      <c r="AC1214" s="215">
        <v>0</v>
      </c>
      <c r="AD1214" s="215">
        <f t="shared" si="301"/>
        <v>37704.1017765944</v>
      </c>
      <c r="AE1214" s="215">
        <f t="shared" si="286"/>
        <v>44700.9993542337</v>
      </c>
      <c r="AF1214" s="209">
        <v>0.08</v>
      </c>
      <c r="AG1214" s="215">
        <f t="shared" si="293"/>
        <v>3576.0799483387</v>
      </c>
      <c r="AH1214" s="215">
        <f t="shared" si="294"/>
        <v>-55759.5500516613</v>
      </c>
      <c r="AI1214" s="215"/>
      <c r="AJ1214" s="215"/>
      <c r="AK1214" s="199"/>
      <c r="AL1214" s="199" t="s">
        <v>1116</v>
      </c>
      <c r="AM1214" s="199" t="s">
        <v>1089</v>
      </c>
    </row>
    <row r="1215" s="143" customFormat="1" hidden="1" spans="1:39">
      <c r="A1215" s="199">
        <v>2017</v>
      </c>
      <c r="B1215" s="199" t="s">
        <v>1114</v>
      </c>
      <c r="C1215" s="199" t="s">
        <v>54</v>
      </c>
      <c r="D1215" s="199"/>
      <c r="E1215" s="199"/>
      <c r="F1215" s="199" t="s">
        <v>1015</v>
      </c>
      <c r="G1215" s="199"/>
      <c r="H1215" s="199"/>
      <c r="I1215" s="196" t="s">
        <v>1076</v>
      </c>
      <c r="J1215" s="208" t="s">
        <v>571</v>
      </c>
      <c r="K1215" s="199" t="s">
        <v>1088</v>
      </c>
      <c r="L1215" s="199" t="s">
        <v>1015</v>
      </c>
      <c r="M1215" s="199" t="s">
        <v>46</v>
      </c>
      <c r="N1215" s="209">
        <v>0</v>
      </c>
      <c r="O1215" s="209">
        <v>0</v>
      </c>
      <c r="P1215" s="209" t="s">
        <v>47</v>
      </c>
      <c r="Q1215" s="215">
        <v>313272.43</v>
      </c>
      <c r="R1215" s="215">
        <v>0</v>
      </c>
      <c r="S1215" s="215"/>
      <c r="T1215" s="215">
        <f t="shared" si="295"/>
        <v>0</v>
      </c>
      <c r="U1215" s="215">
        <f t="shared" si="296"/>
        <v>0</v>
      </c>
      <c r="V1215" s="215">
        <v>0</v>
      </c>
      <c r="W1215" s="215">
        <f t="shared" si="297"/>
        <v>0</v>
      </c>
      <c r="X1215" s="215">
        <f t="shared" si="298"/>
        <v>0</v>
      </c>
      <c r="Y1215" s="215">
        <f t="shared" si="299"/>
        <v>0</v>
      </c>
      <c r="Z1215" s="215">
        <v>313272.43</v>
      </c>
      <c r="AA1215" s="215">
        <f t="shared" si="300"/>
        <v>0</v>
      </c>
      <c r="AB1215" s="215">
        <v>0</v>
      </c>
      <c r="AC1215" s="215">
        <v>0</v>
      </c>
      <c r="AD1215" s="215">
        <f t="shared" si="301"/>
        <v>199065.141543471</v>
      </c>
      <c r="AE1215" s="215">
        <f t="shared" si="286"/>
        <v>236006.438140612</v>
      </c>
      <c r="AF1215" s="209">
        <v>0.08</v>
      </c>
      <c r="AG1215" s="215">
        <f t="shared" si="293"/>
        <v>18880.5150512489</v>
      </c>
      <c r="AH1215" s="215">
        <f t="shared" si="294"/>
        <v>-294391.914948751</v>
      </c>
      <c r="AI1215" s="215"/>
      <c r="AJ1215" s="215"/>
      <c r="AK1215" s="199"/>
      <c r="AL1215" s="199" t="s">
        <v>1116</v>
      </c>
      <c r="AM1215" s="199" t="s">
        <v>1089</v>
      </c>
    </row>
    <row r="1216" s="142" customFormat="1" hidden="1" spans="1:39">
      <c r="A1216" s="196">
        <v>2017</v>
      </c>
      <c r="B1216" s="198" t="s">
        <v>38</v>
      </c>
      <c r="C1216" s="198" t="s">
        <v>110</v>
      </c>
      <c r="D1216" s="198" t="s">
        <v>111</v>
      </c>
      <c r="E1216" s="198" t="s">
        <v>281</v>
      </c>
      <c r="F1216" s="198" t="s">
        <v>1090</v>
      </c>
      <c r="G1216" s="198" t="s">
        <v>1090</v>
      </c>
      <c r="H1216" s="198" t="s">
        <v>1090</v>
      </c>
      <c r="I1216" s="196" t="s">
        <v>1076</v>
      </c>
      <c r="J1216" s="197" t="s">
        <v>605</v>
      </c>
      <c r="K1216" s="196" t="s">
        <v>1110</v>
      </c>
      <c r="L1216" s="196" t="s">
        <v>1093</v>
      </c>
      <c r="M1216" s="196" t="s">
        <v>46</v>
      </c>
      <c r="N1216" s="205">
        <v>0.02</v>
      </c>
      <c r="O1216" s="205" t="s">
        <v>173</v>
      </c>
      <c r="P1216" s="205" t="s">
        <v>51</v>
      </c>
      <c r="Q1216" s="213">
        <v>0</v>
      </c>
      <c r="R1216" s="213">
        <v>0</v>
      </c>
      <c r="S1216" s="213"/>
      <c r="T1216" s="213">
        <f t="shared" si="295"/>
        <v>0</v>
      </c>
      <c r="U1216" s="213">
        <f t="shared" si="296"/>
        <v>0</v>
      </c>
      <c r="V1216" s="213">
        <v>0</v>
      </c>
      <c r="W1216" s="213">
        <f t="shared" si="297"/>
        <v>0</v>
      </c>
      <c r="X1216" s="213">
        <f t="shared" si="298"/>
        <v>0</v>
      </c>
      <c r="Y1216" s="213">
        <f t="shared" si="299"/>
        <v>0</v>
      </c>
      <c r="Z1216" s="213">
        <v>1279.32</v>
      </c>
      <c r="AA1216" s="213">
        <f t="shared" si="300"/>
        <v>-1279.32</v>
      </c>
      <c r="AB1216" s="213">
        <f t="shared" ref="AB1216:AB1279" si="302">IF(P1216="返货",Z1216/(1+N1216),IF(P1216="返现",Z1216,IF(P1216="折扣",Z1216*N1216,IF(P1216="无",Z1216))))</f>
        <v>1254.23529411765</v>
      </c>
      <c r="AC1216" s="213">
        <f t="shared" ref="AC1216:AC1279" si="303">IF(P1216="返现",Z1216*N1216,Z1216-AB1216)</f>
        <v>25.0847058823529</v>
      </c>
      <c r="AD1216" s="213">
        <f t="shared" si="301"/>
        <v>812.92827740824</v>
      </c>
      <c r="AE1216" s="213">
        <f t="shared" si="286"/>
        <v>963.786556135972</v>
      </c>
      <c r="AF1216" s="205">
        <v>0.08</v>
      </c>
      <c r="AG1216" s="213">
        <f t="shared" si="293"/>
        <v>77.1029244908778</v>
      </c>
      <c r="AH1216" s="213">
        <f t="shared" si="294"/>
        <v>52.0182186085249</v>
      </c>
      <c r="AI1216" s="213"/>
      <c r="AJ1216" s="213"/>
      <c r="AK1216" s="196"/>
      <c r="AL1216" s="196" t="s">
        <v>1118</v>
      </c>
      <c r="AM1216" s="196"/>
    </row>
    <row r="1217" s="142" customFormat="1" hidden="1" spans="1:39">
      <c r="A1217" s="196">
        <v>2017</v>
      </c>
      <c r="B1217" s="196" t="s">
        <v>199</v>
      </c>
      <c r="C1217" s="196" t="s">
        <v>200</v>
      </c>
      <c r="D1217" s="196" t="s">
        <v>201</v>
      </c>
      <c r="E1217" s="196" t="s">
        <v>814</v>
      </c>
      <c r="F1217" s="196" t="s">
        <v>202</v>
      </c>
      <c r="G1217" s="196" t="s">
        <v>203</v>
      </c>
      <c r="H1217" s="196" t="s">
        <v>203</v>
      </c>
      <c r="I1217" s="196" t="s">
        <v>1076</v>
      </c>
      <c r="J1217" s="197" t="s">
        <v>605</v>
      </c>
      <c r="K1217" s="196" t="s">
        <v>1110</v>
      </c>
      <c r="L1217" s="196" t="s">
        <v>202</v>
      </c>
      <c r="M1217" s="196" t="s">
        <v>46</v>
      </c>
      <c r="N1217" s="205">
        <v>0.05</v>
      </c>
      <c r="O1217" s="205" t="s">
        <v>63</v>
      </c>
      <c r="P1217" s="205" t="s">
        <v>51</v>
      </c>
      <c r="Q1217" s="213">
        <v>0</v>
      </c>
      <c r="R1217" s="213">
        <v>0</v>
      </c>
      <c r="S1217" s="213"/>
      <c r="T1217" s="213">
        <f t="shared" si="295"/>
        <v>0</v>
      </c>
      <c r="U1217" s="213">
        <f t="shared" si="296"/>
        <v>0</v>
      </c>
      <c r="V1217" s="213">
        <v>0</v>
      </c>
      <c r="W1217" s="213">
        <f t="shared" si="297"/>
        <v>0</v>
      </c>
      <c r="X1217" s="213">
        <f t="shared" si="298"/>
        <v>0</v>
      </c>
      <c r="Y1217" s="213">
        <f t="shared" si="299"/>
        <v>0</v>
      </c>
      <c r="Z1217" s="213">
        <v>100000</v>
      </c>
      <c r="AA1217" s="213">
        <f t="shared" si="300"/>
        <v>-100000</v>
      </c>
      <c r="AB1217" s="213">
        <f t="shared" si="302"/>
        <v>95238.0952380952</v>
      </c>
      <c r="AC1217" s="213">
        <f t="shared" si="303"/>
        <v>4761.90476190476</v>
      </c>
      <c r="AD1217" s="213">
        <f t="shared" si="301"/>
        <v>63543.7793052747</v>
      </c>
      <c r="AE1217" s="213">
        <f t="shared" si="286"/>
        <v>75335.8468667708</v>
      </c>
      <c r="AF1217" s="205">
        <v>0.08</v>
      </c>
      <c r="AG1217" s="213">
        <f t="shared" si="293"/>
        <v>6026.86774934166</v>
      </c>
      <c r="AH1217" s="213">
        <f t="shared" si="294"/>
        <v>1264.9629874369</v>
      </c>
      <c r="AI1217" s="213"/>
      <c r="AJ1217" s="213"/>
      <c r="AK1217" s="196"/>
      <c r="AL1217" s="196" t="s">
        <v>1118</v>
      </c>
      <c r="AM1217" s="196"/>
    </row>
    <row r="1218" s="142" customFormat="1" hidden="1" spans="1:39">
      <c r="A1218" s="196">
        <v>2017</v>
      </c>
      <c r="B1218" s="198" t="s">
        <v>252</v>
      </c>
      <c r="C1218" s="198" t="s">
        <v>88</v>
      </c>
      <c r="D1218" s="198" t="s">
        <v>128</v>
      </c>
      <c r="E1218" s="198" t="s">
        <v>194</v>
      </c>
      <c r="F1218" s="198" t="s">
        <v>603</v>
      </c>
      <c r="G1218" s="198" t="s">
        <v>604</v>
      </c>
      <c r="H1218" s="198" t="s">
        <v>604</v>
      </c>
      <c r="I1218" s="196" t="s">
        <v>1076</v>
      </c>
      <c r="J1218" s="197" t="s">
        <v>605</v>
      </c>
      <c r="K1218" s="196" t="s">
        <v>1110</v>
      </c>
      <c r="L1218" s="196" t="s">
        <v>1119</v>
      </c>
      <c r="M1218" s="196" t="s">
        <v>46</v>
      </c>
      <c r="N1218" s="205">
        <v>0</v>
      </c>
      <c r="O1218" s="205" t="s">
        <v>47</v>
      </c>
      <c r="P1218" s="205" t="s">
        <v>47</v>
      </c>
      <c r="Q1218" s="213">
        <v>0</v>
      </c>
      <c r="R1218" s="213">
        <v>0</v>
      </c>
      <c r="S1218" s="213"/>
      <c r="T1218" s="213">
        <f t="shared" si="295"/>
        <v>0</v>
      </c>
      <c r="U1218" s="213">
        <f t="shared" si="296"/>
        <v>0</v>
      </c>
      <c r="V1218" s="213">
        <v>0</v>
      </c>
      <c r="W1218" s="213">
        <f t="shared" si="297"/>
        <v>0</v>
      </c>
      <c r="X1218" s="213">
        <f t="shared" si="298"/>
        <v>0</v>
      </c>
      <c r="Y1218" s="213">
        <f t="shared" si="299"/>
        <v>0</v>
      </c>
      <c r="Z1218" s="213">
        <v>117131.45</v>
      </c>
      <c r="AA1218" s="213">
        <f t="shared" si="300"/>
        <v>-117131.45</v>
      </c>
      <c r="AB1218" s="213">
        <f t="shared" si="302"/>
        <v>117131.45</v>
      </c>
      <c r="AC1218" s="213">
        <f t="shared" si="303"/>
        <v>0</v>
      </c>
      <c r="AD1218" s="213">
        <f t="shared" si="301"/>
        <v>74429.7500850682</v>
      </c>
      <c r="AE1218" s="213">
        <f t="shared" si="286"/>
        <v>88241.9698048282</v>
      </c>
      <c r="AF1218" s="205">
        <v>0.08</v>
      </c>
      <c r="AG1218" s="213">
        <f t="shared" si="293"/>
        <v>7059.35758438626</v>
      </c>
      <c r="AH1218" s="213">
        <f t="shared" si="294"/>
        <v>7059.35758438626</v>
      </c>
      <c r="AI1218" s="213"/>
      <c r="AJ1218" s="213"/>
      <c r="AK1218" s="196"/>
      <c r="AL1218" s="196" t="s">
        <v>1118</v>
      </c>
      <c r="AM1218" s="196"/>
    </row>
    <row r="1219" s="142" customFormat="1" hidden="1" spans="1:39">
      <c r="A1219" s="196">
        <v>2017</v>
      </c>
      <c r="B1219" s="196" t="s">
        <v>38</v>
      </c>
      <c r="C1219" s="196" t="s">
        <v>110</v>
      </c>
      <c r="D1219" s="196" t="s">
        <v>111</v>
      </c>
      <c r="E1219" s="196" t="s">
        <v>112</v>
      </c>
      <c r="F1219" s="196" t="s">
        <v>113</v>
      </c>
      <c r="G1219" s="196" t="s">
        <v>113</v>
      </c>
      <c r="H1219" s="196" t="s">
        <v>113</v>
      </c>
      <c r="I1219" s="196" t="s">
        <v>1076</v>
      </c>
      <c r="J1219" s="197" t="s">
        <v>605</v>
      </c>
      <c r="K1219" s="196" t="s">
        <v>1110</v>
      </c>
      <c r="L1219" s="196" t="s">
        <v>114</v>
      </c>
      <c r="M1219" s="196" t="s">
        <v>46</v>
      </c>
      <c r="N1219" s="205">
        <v>0.02</v>
      </c>
      <c r="O1219" s="205">
        <v>0.02</v>
      </c>
      <c r="P1219" s="205" t="s">
        <v>51</v>
      </c>
      <c r="Q1219" s="213">
        <v>0</v>
      </c>
      <c r="R1219" s="213">
        <v>0</v>
      </c>
      <c r="S1219" s="213"/>
      <c r="T1219" s="213">
        <f t="shared" si="295"/>
        <v>0</v>
      </c>
      <c r="U1219" s="213">
        <f t="shared" si="296"/>
        <v>0</v>
      </c>
      <c r="V1219" s="213">
        <v>102000</v>
      </c>
      <c r="W1219" s="213">
        <f t="shared" si="297"/>
        <v>-102000</v>
      </c>
      <c r="X1219" s="213">
        <f t="shared" si="298"/>
        <v>-100000</v>
      </c>
      <c r="Y1219" s="213">
        <f t="shared" si="299"/>
        <v>-2000</v>
      </c>
      <c r="Z1219" s="213">
        <v>150321.45</v>
      </c>
      <c r="AA1219" s="213">
        <f t="shared" si="300"/>
        <v>-48321.45</v>
      </c>
      <c r="AB1219" s="213">
        <f t="shared" si="302"/>
        <v>147373.970588235</v>
      </c>
      <c r="AC1219" s="213">
        <f t="shared" si="303"/>
        <v>2947.47941176471</v>
      </c>
      <c r="AD1219" s="213">
        <f t="shared" si="301"/>
        <v>95519.9304364889</v>
      </c>
      <c r="AE1219" s="213">
        <f t="shared" si="286"/>
        <v>113245.937379909</v>
      </c>
      <c r="AF1219" s="205">
        <v>0.08</v>
      </c>
      <c r="AG1219" s="213">
        <f t="shared" si="293"/>
        <v>9059.67499039275</v>
      </c>
      <c r="AH1219" s="213">
        <f t="shared" si="294"/>
        <v>6112.19557862804</v>
      </c>
      <c r="AI1219" s="213"/>
      <c r="AJ1219" s="213"/>
      <c r="AK1219" s="196"/>
      <c r="AL1219" s="196" t="s">
        <v>1118</v>
      </c>
      <c r="AM1219" s="196"/>
    </row>
    <row r="1220" s="142" customFormat="1" hidden="1" spans="1:39">
      <c r="A1220" s="196">
        <v>2017</v>
      </c>
      <c r="B1220" s="196" t="s">
        <v>38</v>
      </c>
      <c r="C1220" s="196" t="s">
        <v>110</v>
      </c>
      <c r="D1220" s="196" t="s">
        <v>111</v>
      </c>
      <c r="E1220" s="196" t="s">
        <v>253</v>
      </c>
      <c r="F1220" s="196" t="s">
        <v>910</v>
      </c>
      <c r="G1220" s="196" t="s">
        <v>910</v>
      </c>
      <c r="H1220" s="196" t="s">
        <v>910</v>
      </c>
      <c r="I1220" s="196" t="s">
        <v>1076</v>
      </c>
      <c r="J1220" s="197" t="s">
        <v>605</v>
      </c>
      <c r="K1220" s="196" t="s">
        <v>1110</v>
      </c>
      <c r="L1220" s="196" t="s">
        <v>910</v>
      </c>
      <c r="M1220" s="196" t="s">
        <v>46</v>
      </c>
      <c r="N1220" s="205">
        <v>0.02</v>
      </c>
      <c r="O1220" s="205">
        <v>0.02</v>
      </c>
      <c r="P1220" s="205" t="s">
        <v>51</v>
      </c>
      <c r="Q1220" s="213">
        <v>0</v>
      </c>
      <c r="R1220" s="213">
        <v>0</v>
      </c>
      <c r="S1220" s="213"/>
      <c r="T1220" s="213">
        <f t="shared" si="295"/>
        <v>0</v>
      </c>
      <c r="U1220" s="213">
        <f t="shared" si="296"/>
        <v>0</v>
      </c>
      <c r="V1220" s="213">
        <v>0</v>
      </c>
      <c r="W1220" s="213">
        <f t="shared" si="297"/>
        <v>0</v>
      </c>
      <c r="X1220" s="213">
        <f t="shared" si="298"/>
        <v>0</v>
      </c>
      <c r="Y1220" s="213">
        <f t="shared" si="299"/>
        <v>0</v>
      </c>
      <c r="Z1220" s="213">
        <v>2595.11</v>
      </c>
      <c r="AA1220" s="213">
        <f t="shared" si="300"/>
        <v>-2595.11</v>
      </c>
      <c r="AB1220" s="213">
        <f t="shared" si="302"/>
        <v>2544.22549019608</v>
      </c>
      <c r="AC1220" s="213">
        <f t="shared" si="303"/>
        <v>50.8845098039214</v>
      </c>
      <c r="AD1220" s="213">
        <f t="shared" si="301"/>
        <v>1649.03097112911</v>
      </c>
      <c r="AE1220" s="213">
        <f t="shared" si="286"/>
        <v>1955.04809562426</v>
      </c>
      <c r="AF1220" s="205">
        <v>0.08</v>
      </c>
      <c r="AG1220" s="213">
        <f t="shared" si="293"/>
        <v>156.40384764994</v>
      </c>
      <c r="AH1220" s="213">
        <f t="shared" si="294"/>
        <v>105.519337846019</v>
      </c>
      <c r="AI1220" s="213"/>
      <c r="AJ1220" s="213"/>
      <c r="AK1220" s="196"/>
      <c r="AL1220" s="196" t="s">
        <v>1118</v>
      </c>
      <c r="AM1220" s="196"/>
    </row>
    <row r="1221" s="142" customFormat="1" hidden="1" spans="1:39">
      <c r="A1221" s="196">
        <v>2017</v>
      </c>
      <c r="B1221" s="196" t="s">
        <v>38</v>
      </c>
      <c r="C1221" s="196" t="s">
        <v>88</v>
      </c>
      <c r="D1221" s="196" t="s">
        <v>89</v>
      </c>
      <c r="E1221" s="196" t="s">
        <v>124</v>
      </c>
      <c r="F1221" s="196" t="s">
        <v>1102</v>
      </c>
      <c r="G1221" s="196" t="s">
        <v>1102</v>
      </c>
      <c r="H1221" s="196" t="s">
        <v>1102</v>
      </c>
      <c r="I1221" s="196" t="s">
        <v>1076</v>
      </c>
      <c r="J1221" s="197" t="s">
        <v>605</v>
      </c>
      <c r="K1221" s="196" t="s">
        <v>1110</v>
      </c>
      <c r="L1221" s="196" t="s">
        <v>1102</v>
      </c>
      <c r="M1221" s="196" t="s">
        <v>46</v>
      </c>
      <c r="N1221" s="205">
        <v>0.02</v>
      </c>
      <c r="O1221" s="205">
        <v>0.02</v>
      </c>
      <c r="P1221" s="205" t="s">
        <v>51</v>
      </c>
      <c r="Q1221" s="213">
        <v>0</v>
      </c>
      <c r="R1221" s="213">
        <v>0</v>
      </c>
      <c r="S1221" s="213"/>
      <c r="T1221" s="213">
        <f t="shared" si="295"/>
        <v>0</v>
      </c>
      <c r="U1221" s="213">
        <f t="shared" si="296"/>
        <v>0</v>
      </c>
      <c r="V1221" s="213">
        <v>0</v>
      </c>
      <c r="W1221" s="213">
        <f t="shared" si="297"/>
        <v>0</v>
      </c>
      <c r="X1221" s="213">
        <f t="shared" si="298"/>
        <v>0</v>
      </c>
      <c r="Y1221" s="213">
        <f t="shared" si="299"/>
        <v>0</v>
      </c>
      <c r="Z1221" s="213">
        <v>32578.6</v>
      </c>
      <c r="AA1221" s="213">
        <f t="shared" si="300"/>
        <v>-32578.6</v>
      </c>
      <c r="AB1221" s="213">
        <f t="shared" si="302"/>
        <v>31939.8039215686</v>
      </c>
      <c r="AC1221" s="213">
        <f t="shared" si="303"/>
        <v>638.796078431373</v>
      </c>
      <c r="AD1221" s="213">
        <f t="shared" si="301"/>
        <v>20701.6736847482</v>
      </c>
      <c r="AE1221" s="213">
        <f t="shared" si="286"/>
        <v>24543.3642073378</v>
      </c>
      <c r="AF1221" s="205">
        <v>0.08</v>
      </c>
      <c r="AG1221" s="213">
        <f t="shared" si="293"/>
        <v>1963.46913658702</v>
      </c>
      <c r="AH1221" s="213">
        <f t="shared" si="294"/>
        <v>1324.67305815565</v>
      </c>
      <c r="AI1221" s="213"/>
      <c r="AJ1221" s="213"/>
      <c r="AK1221" s="196"/>
      <c r="AL1221" s="196" t="s">
        <v>1118</v>
      </c>
      <c r="AM1221" s="196"/>
    </row>
    <row r="1222" s="142" customFormat="1" hidden="1" spans="1:39">
      <c r="A1222" s="196">
        <v>2017</v>
      </c>
      <c r="B1222" s="196" t="s">
        <v>199</v>
      </c>
      <c r="C1222" s="196" t="s">
        <v>54</v>
      </c>
      <c r="D1222" s="196" t="s">
        <v>55</v>
      </c>
      <c r="E1222" s="196" t="s">
        <v>64</v>
      </c>
      <c r="F1222" s="196" t="s">
        <v>496</v>
      </c>
      <c r="G1222" s="196" t="s">
        <v>497</v>
      </c>
      <c r="H1222" s="197" t="s">
        <v>498</v>
      </c>
      <c r="I1222" s="196" t="s">
        <v>1076</v>
      </c>
      <c r="J1222" s="197" t="s">
        <v>605</v>
      </c>
      <c r="K1222" s="196" t="s">
        <v>1110</v>
      </c>
      <c r="L1222" s="196" t="s">
        <v>499</v>
      </c>
      <c r="M1222" s="196" t="s">
        <v>46</v>
      </c>
      <c r="N1222" s="205">
        <v>0.03</v>
      </c>
      <c r="O1222" s="205" t="s">
        <v>189</v>
      </c>
      <c r="P1222" s="205" t="s">
        <v>51</v>
      </c>
      <c r="Q1222" s="213">
        <v>0</v>
      </c>
      <c r="R1222" s="213">
        <v>0</v>
      </c>
      <c r="S1222" s="213">
        <v>0</v>
      </c>
      <c r="T1222" s="213">
        <v>0</v>
      </c>
      <c r="U1222" s="213">
        <f t="shared" si="296"/>
        <v>0</v>
      </c>
      <c r="V1222" s="213">
        <v>0</v>
      </c>
      <c r="W1222" s="213">
        <f t="shared" si="297"/>
        <v>0</v>
      </c>
      <c r="X1222" s="213">
        <f t="shared" si="298"/>
        <v>0</v>
      </c>
      <c r="Y1222" s="213">
        <f t="shared" si="299"/>
        <v>0</v>
      </c>
      <c r="Z1222" s="213">
        <v>50000</v>
      </c>
      <c r="AA1222" s="213">
        <f t="shared" si="300"/>
        <v>-50000</v>
      </c>
      <c r="AB1222" s="213">
        <f t="shared" si="302"/>
        <v>48543.6893203883</v>
      </c>
      <c r="AC1222" s="213">
        <f t="shared" si="303"/>
        <v>1456.31067961166</v>
      </c>
      <c r="AD1222" s="213">
        <f t="shared" si="301"/>
        <v>31771.8896526373</v>
      </c>
      <c r="AE1222" s="213">
        <f t="shared" si="286"/>
        <v>37667.9234333854</v>
      </c>
      <c r="AF1222" s="205">
        <v>0.08</v>
      </c>
      <c r="AG1222" s="213">
        <f t="shared" si="293"/>
        <v>3013.43387467083</v>
      </c>
      <c r="AH1222" s="213">
        <f t="shared" si="294"/>
        <v>1557.12319505918</v>
      </c>
      <c r="AI1222" s="213"/>
      <c r="AJ1222" s="213"/>
      <c r="AK1222" s="224" t="s">
        <v>189</v>
      </c>
      <c r="AL1222" s="196"/>
      <c r="AM1222" s="196" t="s">
        <v>208</v>
      </c>
    </row>
    <row r="1223" s="142" customFormat="1" hidden="1" spans="1:38">
      <c r="A1223" s="196">
        <v>2017</v>
      </c>
      <c r="B1223" s="196" t="s">
        <v>38</v>
      </c>
      <c r="C1223" s="196" t="s">
        <v>39</v>
      </c>
      <c r="D1223" s="196" t="s">
        <v>40</v>
      </c>
      <c r="E1223" s="196" t="s">
        <v>48</v>
      </c>
      <c r="F1223" s="196" t="s">
        <v>127</v>
      </c>
      <c r="G1223" s="196" t="s">
        <v>127</v>
      </c>
      <c r="H1223" s="196" t="s">
        <v>127</v>
      </c>
      <c r="I1223" s="196" t="s">
        <v>1076</v>
      </c>
      <c r="J1223" s="197" t="s">
        <v>605</v>
      </c>
      <c r="K1223" s="196" t="s">
        <v>1110</v>
      </c>
      <c r="L1223" s="196" t="s">
        <v>1120</v>
      </c>
      <c r="M1223" s="196" t="s">
        <v>46</v>
      </c>
      <c r="N1223" s="205">
        <v>0.02</v>
      </c>
      <c r="O1223" s="205" t="s">
        <v>173</v>
      </c>
      <c r="P1223" s="205" t="s">
        <v>51</v>
      </c>
      <c r="Q1223" s="213">
        <v>0</v>
      </c>
      <c r="Z1223" s="213">
        <v>457.48</v>
      </c>
      <c r="AB1223" s="213">
        <f t="shared" si="302"/>
        <v>448.509803921569</v>
      </c>
      <c r="AC1223" s="213">
        <f t="shared" si="303"/>
        <v>8.9701960784314</v>
      </c>
      <c r="AD1223" s="213">
        <f t="shared" si="301"/>
        <v>290.700081565771</v>
      </c>
      <c r="AF1223" s="205">
        <v>0.08</v>
      </c>
      <c r="AL1223" s="196" t="s">
        <v>1121</v>
      </c>
    </row>
    <row r="1224" s="144" customFormat="1" ht="14.25" hidden="1" spans="1:36">
      <c r="A1224" s="144">
        <v>2017</v>
      </c>
      <c r="B1224" s="144" t="s">
        <v>38</v>
      </c>
      <c r="C1224" s="144" t="s">
        <v>39</v>
      </c>
      <c r="D1224" s="144" t="s">
        <v>40</v>
      </c>
      <c r="E1224" s="144" t="s">
        <v>41</v>
      </c>
      <c r="F1224" s="144" t="s">
        <v>42</v>
      </c>
      <c r="G1224" s="144" t="s">
        <v>42</v>
      </c>
      <c r="H1224" s="144" t="s">
        <v>42</v>
      </c>
      <c r="I1224" s="140" t="s">
        <v>1122</v>
      </c>
      <c r="J1224" s="140" t="s">
        <v>1123</v>
      </c>
      <c r="K1224" s="144" t="s">
        <v>1123</v>
      </c>
      <c r="L1224" s="144" t="s">
        <v>42</v>
      </c>
      <c r="M1224" s="225" t="s">
        <v>46</v>
      </c>
      <c r="N1224" s="205">
        <v>0</v>
      </c>
      <c r="O1224" s="205" t="s">
        <v>1111</v>
      </c>
      <c r="P1224" s="205" t="s">
        <v>47</v>
      </c>
      <c r="Q1224" s="225">
        <v>0</v>
      </c>
      <c r="R1224" s="225">
        <v>0</v>
      </c>
      <c r="S1224" s="225">
        <v>10000</v>
      </c>
      <c r="T1224" s="225">
        <f t="shared" ref="T1224:T1272" si="304">S1224*N1224</f>
        <v>0</v>
      </c>
      <c r="U1224" s="225">
        <f t="shared" ref="U1224:U1272" si="305">S1224+T1224+R1224</f>
        <v>10000</v>
      </c>
      <c r="V1224" s="225">
        <v>9000</v>
      </c>
      <c r="W1224" s="225">
        <f t="shared" ref="W1224:W1272" si="306">U1224-V1224</f>
        <v>1000</v>
      </c>
      <c r="X1224" s="226">
        <f t="shared" ref="X1224:X1272" si="307">W1224/(1+N1224)</f>
        <v>1000</v>
      </c>
      <c r="Y1224" s="226">
        <f t="shared" ref="Y1224:Y1272" si="308">W1224-X1224</f>
        <v>0</v>
      </c>
      <c r="Z1224" s="228">
        <f t="shared" ref="Z1224:Z1233" si="309">AD1224/90%</f>
        <v>10000</v>
      </c>
      <c r="AA1224" s="225">
        <f t="shared" ref="AA1224:AA1229" si="310">Q1224+V1224-Z1224</f>
        <v>-1000</v>
      </c>
      <c r="AB1224" s="229">
        <f t="shared" si="302"/>
        <v>10000</v>
      </c>
      <c r="AC1224" s="230">
        <f t="shared" si="303"/>
        <v>0</v>
      </c>
      <c r="AD1224" s="228">
        <v>9000</v>
      </c>
      <c r="AE1224" s="156">
        <v>0</v>
      </c>
      <c r="AF1224" s="226">
        <f t="shared" ref="AF1224:AF1287" si="311">AD1224*AE1224</f>
        <v>0</v>
      </c>
      <c r="AG1224" s="226">
        <f t="shared" ref="AG1224:AG1229" si="312">AB1224-Z1224+AF1224</f>
        <v>0</v>
      </c>
      <c r="AH1224" s="226"/>
      <c r="AI1224" s="226"/>
      <c r="AJ1224" s="144" t="s">
        <v>1111</v>
      </c>
    </row>
    <row r="1225" s="144" customFormat="1" ht="14.25" hidden="1" spans="1:36">
      <c r="A1225" s="144">
        <v>2017</v>
      </c>
      <c r="B1225" s="144" t="s">
        <v>38</v>
      </c>
      <c r="C1225" s="144" t="s">
        <v>54</v>
      </c>
      <c r="D1225" s="144" t="s">
        <v>55</v>
      </c>
      <c r="E1225" s="144" t="s">
        <v>368</v>
      </c>
      <c r="F1225" s="144" t="s">
        <v>487</v>
      </c>
      <c r="G1225" s="144" t="s">
        <v>487</v>
      </c>
      <c r="H1225" s="144" t="s">
        <v>487</v>
      </c>
      <c r="I1225" s="140" t="s">
        <v>1122</v>
      </c>
      <c r="J1225" s="140" t="s">
        <v>1123</v>
      </c>
      <c r="K1225" s="144" t="s">
        <v>1123</v>
      </c>
      <c r="L1225" s="144" t="s">
        <v>487</v>
      </c>
      <c r="M1225" s="225" t="s">
        <v>46</v>
      </c>
      <c r="N1225" s="205">
        <v>0</v>
      </c>
      <c r="O1225" s="205" t="s">
        <v>47</v>
      </c>
      <c r="P1225" s="205" t="s">
        <v>47</v>
      </c>
      <c r="Q1225" s="225">
        <v>0</v>
      </c>
      <c r="R1225" s="225">
        <v>0</v>
      </c>
      <c r="S1225" s="225">
        <v>120000</v>
      </c>
      <c r="T1225" s="225">
        <f t="shared" si="304"/>
        <v>0</v>
      </c>
      <c r="U1225" s="225">
        <f t="shared" si="305"/>
        <v>120000</v>
      </c>
      <c r="V1225" s="225">
        <v>120000</v>
      </c>
      <c r="W1225" s="225">
        <f t="shared" si="306"/>
        <v>0</v>
      </c>
      <c r="X1225" s="226">
        <f t="shared" si="307"/>
        <v>0</v>
      </c>
      <c r="Y1225" s="226">
        <f t="shared" si="308"/>
        <v>0</v>
      </c>
      <c r="Z1225" s="228">
        <f t="shared" si="309"/>
        <v>108066</v>
      </c>
      <c r="AA1225" s="225">
        <f t="shared" si="310"/>
        <v>11934</v>
      </c>
      <c r="AB1225" s="229">
        <f t="shared" si="302"/>
        <v>108066</v>
      </c>
      <c r="AC1225" s="230">
        <f t="shared" si="303"/>
        <v>0</v>
      </c>
      <c r="AD1225" s="228">
        <v>97259.4</v>
      </c>
      <c r="AE1225" s="156">
        <v>0</v>
      </c>
      <c r="AF1225" s="226">
        <f t="shared" si="311"/>
        <v>0</v>
      </c>
      <c r="AG1225" s="226">
        <f t="shared" si="312"/>
        <v>0</v>
      </c>
      <c r="AH1225" s="226"/>
      <c r="AI1225" s="226"/>
      <c r="AJ1225" s="144" t="s">
        <v>47</v>
      </c>
    </row>
    <row r="1226" s="144" customFormat="1" ht="14.25" hidden="1" spans="1:36">
      <c r="A1226" s="144">
        <v>2017</v>
      </c>
      <c r="B1226" s="144" t="s">
        <v>38</v>
      </c>
      <c r="C1226" s="144" t="s">
        <v>75</v>
      </c>
      <c r="D1226" s="144" t="s">
        <v>76</v>
      </c>
      <c r="E1226" s="144" t="s">
        <v>304</v>
      </c>
      <c r="F1226" s="144" t="s">
        <v>305</v>
      </c>
      <c r="G1226" s="144" t="s">
        <v>305</v>
      </c>
      <c r="H1226" s="144" t="s">
        <v>305</v>
      </c>
      <c r="I1226" s="140" t="s">
        <v>1122</v>
      </c>
      <c r="J1226" s="140" t="s">
        <v>1123</v>
      </c>
      <c r="K1226" s="144" t="s">
        <v>1123</v>
      </c>
      <c r="L1226" s="144" t="s">
        <v>305</v>
      </c>
      <c r="M1226" s="225" t="s">
        <v>46</v>
      </c>
      <c r="N1226" s="205">
        <v>0</v>
      </c>
      <c r="O1226" s="205" t="s">
        <v>1124</v>
      </c>
      <c r="P1226" s="205" t="s">
        <v>47</v>
      </c>
      <c r="Q1226" s="225">
        <v>0</v>
      </c>
      <c r="R1226" s="225">
        <v>0</v>
      </c>
      <c r="S1226" s="225">
        <v>20000</v>
      </c>
      <c r="T1226" s="225">
        <f t="shared" si="304"/>
        <v>0</v>
      </c>
      <c r="U1226" s="225">
        <f t="shared" si="305"/>
        <v>20000</v>
      </c>
      <c r="V1226" s="225">
        <v>18000</v>
      </c>
      <c r="W1226" s="225">
        <f t="shared" si="306"/>
        <v>2000</v>
      </c>
      <c r="X1226" s="226">
        <f t="shared" si="307"/>
        <v>2000</v>
      </c>
      <c r="Y1226" s="226">
        <f t="shared" si="308"/>
        <v>0</v>
      </c>
      <c r="Z1226" s="228">
        <f t="shared" si="309"/>
        <v>15220</v>
      </c>
      <c r="AA1226" s="225">
        <f t="shared" si="310"/>
        <v>2780</v>
      </c>
      <c r="AB1226" s="229">
        <f t="shared" si="302"/>
        <v>15220</v>
      </c>
      <c r="AC1226" s="230">
        <f t="shared" si="303"/>
        <v>0</v>
      </c>
      <c r="AD1226" s="228">
        <v>13698</v>
      </c>
      <c r="AE1226" s="156">
        <v>0</v>
      </c>
      <c r="AF1226" s="226">
        <f t="shared" si="311"/>
        <v>0</v>
      </c>
      <c r="AG1226" s="226">
        <f t="shared" si="312"/>
        <v>0</v>
      </c>
      <c r="AH1226" s="226"/>
      <c r="AI1226" s="226"/>
      <c r="AJ1226" s="144" t="s">
        <v>1124</v>
      </c>
    </row>
    <row r="1227" s="144" customFormat="1" ht="14.25" hidden="1" spans="1:36">
      <c r="A1227" s="144">
        <v>2017</v>
      </c>
      <c r="B1227" s="144" t="s">
        <v>38</v>
      </c>
      <c r="C1227" s="144" t="s">
        <v>54</v>
      </c>
      <c r="D1227" s="144" t="s">
        <v>102</v>
      </c>
      <c r="E1227" s="144" t="s">
        <v>187</v>
      </c>
      <c r="F1227" s="144" t="s">
        <v>379</v>
      </c>
      <c r="G1227" s="144" t="s">
        <v>379</v>
      </c>
      <c r="H1227" s="144" t="s">
        <v>379</v>
      </c>
      <c r="I1227" s="140" t="s">
        <v>1122</v>
      </c>
      <c r="J1227" s="140" t="s">
        <v>1123</v>
      </c>
      <c r="K1227" s="144" t="s">
        <v>1123</v>
      </c>
      <c r="L1227" s="144" t="s">
        <v>379</v>
      </c>
      <c r="M1227" s="225" t="s">
        <v>46</v>
      </c>
      <c r="N1227" s="205">
        <v>0</v>
      </c>
      <c r="O1227" s="205" t="s">
        <v>47</v>
      </c>
      <c r="P1227" s="205" t="s">
        <v>47</v>
      </c>
      <c r="Q1227" s="225">
        <v>0</v>
      </c>
      <c r="R1227" s="225">
        <v>0</v>
      </c>
      <c r="S1227" s="225">
        <v>60000</v>
      </c>
      <c r="T1227" s="225">
        <f t="shared" si="304"/>
        <v>0</v>
      </c>
      <c r="U1227" s="225">
        <f t="shared" si="305"/>
        <v>60000</v>
      </c>
      <c r="V1227" s="225">
        <f>U1227*90%</f>
        <v>54000</v>
      </c>
      <c r="W1227" s="225">
        <f t="shared" si="306"/>
        <v>6000</v>
      </c>
      <c r="X1227" s="226">
        <f t="shared" si="307"/>
        <v>6000</v>
      </c>
      <c r="Y1227" s="226">
        <f t="shared" si="308"/>
        <v>0</v>
      </c>
      <c r="Z1227" s="228">
        <f t="shared" si="309"/>
        <v>58072</v>
      </c>
      <c r="AA1227" s="225">
        <f t="shared" si="310"/>
        <v>-4072</v>
      </c>
      <c r="AB1227" s="229">
        <f t="shared" si="302"/>
        <v>58072</v>
      </c>
      <c r="AC1227" s="230">
        <f t="shared" si="303"/>
        <v>0</v>
      </c>
      <c r="AD1227" s="226">
        <v>52264.8</v>
      </c>
      <c r="AE1227" s="156">
        <v>0</v>
      </c>
      <c r="AF1227" s="226">
        <f t="shared" si="311"/>
        <v>0</v>
      </c>
      <c r="AG1227" s="226">
        <f t="shared" si="312"/>
        <v>0</v>
      </c>
      <c r="AH1227" s="226"/>
      <c r="AI1227" s="226"/>
      <c r="AJ1227" s="144" t="s">
        <v>47</v>
      </c>
    </row>
    <row r="1228" s="144" customFormat="1" ht="14.25" hidden="1" spans="1:36">
      <c r="A1228" s="144">
        <v>2017</v>
      </c>
      <c r="B1228" s="144" t="s">
        <v>38</v>
      </c>
      <c r="C1228" s="144" t="s">
        <v>54</v>
      </c>
      <c r="D1228" s="144" t="s">
        <v>55</v>
      </c>
      <c r="E1228" s="144" t="s">
        <v>368</v>
      </c>
      <c r="F1228" s="144" t="s">
        <v>65</v>
      </c>
      <c r="G1228" s="144" t="s">
        <v>65</v>
      </c>
      <c r="H1228" s="144" t="s">
        <v>65</v>
      </c>
      <c r="I1228" s="140" t="s">
        <v>1122</v>
      </c>
      <c r="J1228" s="140" t="s">
        <v>1123</v>
      </c>
      <c r="K1228" s="144" t="s">
        <v>1123</v>
      </c>
      <c r="L1228" s="144" t="s">
        <v>65</v>
      </c>
      <c r="M1228" s="225" t="s">
        <v>46</v>
      </c>
      <c r="N1228" s="205">
        <v>0</v>
      </c>
      <c r="O1228" s="205" t="s">
        <v>47</v>
      </c>
      <c r="P1228" s="205" t="s">
        <v>47</v>
      </c>
      <c r="Q1228" s="225">
        <v>0</v>
      </c>
      <c r="R1228" s="225">
        <v>0</v>
      </c>
      <c r="S1228" s="225">
        <v>10000</v>
      </c>
      <c r="T1228" s="225">
        <f t="shared" si="304"/>
        <v>0</v>
      </c>
      <c r="U1228" s="225">
        <f t="shared" si="305"/>
        <v>10000</v>
      </c>
      <c r="V1228" s="225">
        <v>9000</v>
      </c>
      <c r="W1228" s="225">
        <f t="shared" si="306"/>
        <v>1000</v>
      </c>
      <c r="X1228" s="226">
        <f t="shared" si="307"/>
        <v>1000</v>
      </c>
      <c r="Y1228" s="226">
        <f t="shared" si="308"/>
        <v>0</v>
      </c>
      <c r="Z1228" s="228">
        <f t="shared" si="309"/>
        <v>10000</v>
      </c>
      <c r="AA1228" s="225">
        <f t="shared" si="310"/>
        <v>-1000</v>
      </c>
      <c r="AB1228" s="229">
        <f t="shared" si="302"/>
        <v>10000</v>
      </c>
      <c r="AC1228" s="230">
        <f t="shared" si="303"/>
        <v>0</v>
      </c>
      <c r="AD1228" s="228">
        <v>9000</v>
      </c>
      <c r="AE1228" s="156">
        <v>0</v>
      </c>
      <c r="AF1228" s="226">
        <f t="shared" si="311"/>
        <v>0</v>
      </c>
      <c r="AG1228" s="226">
        <f t="shared" si="312"/>
        <v>0</v>
      </c>
      <c r="AH1228" s="226"/>
      <c r="AI1228" s="226"/>
      <c r="AJ1228" s="144" t="s">
        <v>47</v>
      </c>
    </row>
    <row r="1229" s="144" customFormat="1" ht="14.25" hidden="1" spans="1:36">
      <c r="A1229" s="144">
        <v>2017</v>
      </c>
      <c r="B1229" s="144" t="s">
        <v>38</v>
      </c>
      <c r="C1229" s="144" t="s">
        <v>54</v>
      </c>
      <c r="D1229" s="144" t="s">
        <v>55</v>
      </c>
      <c r="E1229" s="144" t="s">
        <v>64</v>
      </c>
      <c r="F1229" s="144" t="s">
        <v>65</v>
      </c>
      <c r="G1229" s="144" t="s">
        <v>66</v>
      </c>
      <c r="H1229" s="144" t="s">
        <v>66</v>
      </c>
      <c r="I1229" s="140" t="s">
        <v>1122</v>
      </c>
      <c r="J1229" s="140" t="s">
        <v>1123</v>
      </c>
      <c r="K1229" s="144" t="s">
        <v>1123</v>
      </c>
      <c r="L1229" s="144" t="s">
        <v>65</v>
      </c>
      <c r="M1229" s="225" t="s">
        <v>46</v>
      </c>
      <c r="N1229" s="205">
        <v>0</v>
      </c>
      <c r="O1229" s="205" t="s">
        <v>47</v>
      </c>
      <c r="P1229" s="205" t="s">
        <v>47</v>
      </c>
      <c r="Q1229" s="225">
        <v>0</v>
      </c>
      <c r="R1229" s="225">
        <v>0</v>
      </c>
      <c r="S1229" s="225">
        <v>20000</v>
      </c>
      <c r="T1229" s="225">
        <f t="shared" si="304"/>
        <v>0</v>
      </c>
      <c r="U1229" s="225">
        <f t="shared" si="305"/>
        <v>20000</v>
      </c>
      <c r="V1229" s="225">
        <v>18000</v>
      </c>
      <c r="W1229" s="225">
        <f t="shared" si="306"/>
        <v>2000</v>
      </c>
      <c r="X1229" s="226">
        <f t="shared" si="307"/>
        <v>2000</v>
      </c>
      <c r="Y1229" s="226">
        <f t="shared" si="308"/>
        <v>0</v>
      </c>
      <c r="Z1229" s="228">
        <f t="shared" si="309"/>
        <v>14012</v>
      </c>
      <c r="AA1229" s="225">
        <f t="shared" si="310"/>
        <v>3988</v>
      </c>
      <c r="AB1229" s="229">
        <f t="shared" si="302"/>
        <v>14012</v>
      </c>
      <c r="AC1229" s="230">
        <f t="shared" si="303"/>
        <v>0</v>
      </c>
      <c r="AD1229" s="226">
        <v>12610.8</v>
      </c>
      <c r="AE1229" s="156">
        <v>0</v>
      </c>
      <c r="AF1229" s="226">
        <f t="shared" si="311"/>
        <v>0</v>
      </c>
      <c r="AG1229" s="226">
        <f t="shared" si="312"/>
        <v>0</v>
      </c>
      <c r="AH1229" s="226"/>
      <c r="AI1229" s="226"/>
      <c r="AJ1229" s="144" t="s">
        <v>47</v>
      </c>
    </row>
    <row r="1230" s="144" customFormat="1" ht="14.25" hidden="1" spans="1:36">
      <c r="A1230" s="144">
        <v>2017</v>
      </c>
      <c r="B1230" s="144" t="s">
        <v>38</v>
      </c>
      <c r="C1230" s="144" t="s">
        <v>54</v>
      </c>
      <c r="D1230" s="144" t="s">
        <v>55</v>
      </c>
      <c r="E1230" s="144" t="s">
        <v>368</v>
      </c>
      <c r="F1230" s="144" t="s">
        <v>489</v>
      </c>
      <c r="G1230" s="144" t="s">
        <v>489</v>
      </c>
      <c r="H1230" s="144" t="s">
        <v>489</v>
      </c>
      <c r="I1230" s="140" t="s">
        <v>1122</v>
      </c>
      <c r="J1230" s="140" t="s">
        <v>1123</v>
      </c>
      <c r="K1230" s="144" t="s">
        <v>1123</v>
      </c>
      <c r="L1230" s="144" t="s">
        <v>489</v>
      </c>
      <c r="M1230" s="225" t="s">
        <v>46</v>
      </c>
      <c r="N1230" s="204">
        <v>0.95</v>
      </c>
      <c r="O1230" s="204">
        <v>0.95</v>
      </c>
      <c r="P1230" s="205" t="s">
        <v>259</v>
      </c>
      <c r="Q1230" s="225">
        <v>0</v>
      </c>
      <c r="R1230" s="225">
        <v>0</v>
      </c>
      <c r="S1230" s="225">
        <v>15669.8</v>
      </c>
      <c r="T1230" s="225">
        <f t="shared" si="304"/>
        <v>14886.31</v>
      </c>
      <c r="U1230" s="225">
        <f t="shared" si="305"/>
        <v>30556.11</v>
      </c>
      <c r="V1230" s="225">
        <v>15003</v>
      </c>
      <c r="W1230" s="225">
        <f t="shared" si="306"/>
        <v>15553.11</v>
      </c>
      <c r="X1230" s="226">
        <f t="shared" si="307"/>
        <v>7975.95384615385</v>
      </c>
      <c r="Y1230" s="226">
        <f t="shared" si="308"/>
        <v>7577.15615384615</v>
      </c>
      <c r="Z1230" s="228">
        <f t="shared" si="309"/>
        <v>0</v>
      </c>
      <c r="AA1230" s="225">
        <f>Q1230+V1230-AD1230</f>
        <v>15003</v>
      </c>
      <c r="AB1230" s="229">
        <f t="shared" si="302"/>
        <v>0</v>
      </c>
      <c r="AC1230" s="230">
        <f t="shared" si="303"/>
        <v>0</v>
      </c>
      <c r="AD1230" s="228">
        <v>0</v>
      </c>
      <c r="AE1230" s="156">
        <v>0</v>
      </c>
      <c r="AF1230" s="226">
        <f t="shared" si="311"/>
        <v>0</v>
      </c>
      <c r="AG1230" s="226">
        <f>AB1230-AD1230+AF1230</f>
        <v>0</v>
      </c>
      <c r="AH1230" s="226"/>
      <c r="AI1230" s="226"/>
      <c r="AJ1230" s="144" t="s">
        <v>1125</v>
      </c>
    </row>
    <row r="1231" s="144" customFormat="1" ht="14.25" hidden="1" spans="1:36">
      <c r="A1231" s="144">
        <v>2017</v>
      </c>
      <c r="B1231" s="144" t="s">
        <v>38</v>
      </c>
      <c r="C1231" s="144" t="s">
        <v>54</v>
      </c>
      <c r="D1231" s="144" t="s">
        <v>55</v>
      </c>
      <c r="E1231" s="144" t="s">
        <v>368</v>
      </c>
      <c r="F1231" s="144" t="s">
        <v>1126</v>
      </c>
      <c r="G1231" s="144" t="s">
        <v>1126</v>
      </c>
      <c r="H1231" s="144" t="s">
        <v>1126</v>
      </c>
      <c r="I1231" s="140" t="s">
        <v>1122</v>
      </c>
      <c r="J1231" s="140" t="s">
        <v>1123</v>
      </c>
      <c r="K1231" s="144" t="s">
        <v>1123</v>
      </c>
      <c r="L1231" s="144" t="s">
        <v>1126</v>
      </c>
      <c r="M1231" s="225" t="s">
        <v>46</v>
      </c>
      <c r="N1231" s="204">
        <v>0.98</v>
      </c>
      <c r="O1231" s="205" t="s">
        <v>1127</v>
      </c>
      <c r="P1231" s="205" t="s">
        <v>259</v>
      </c>
      <c r="Q1231" s="225">
        <v>0</v>
      </c>
      <c r="R1231" s="225">
        <v>0</v>
      </c>
      <c r="S1231" s="225">
        <v>9800</v>
      </c>
      <c r="T1231" s="225">
        <f t="shared" si="304"/>
        <v>9604</v>
      </c>
      <c r="U1231" s="225">
        <f t="shared" si="305"/>
        <v>19404</v>
      </c>
      <c r="V1231" s="225">
        <v>9000</v>
      </c>
      <c r="W1231" s="225">
        <f t="shared" si="306"/>
        <v>10404</v>
      </c>
      <c r="X1231" s="226">
        <f t="shared" si="307"/>
        <v>5254.54545454545</v>
      </c>
      <c r="Y1231" s="226">
        <f t="shared" si="308"/>
        <v>5149.45454545455</v>
      </c>
      <c r="Z1231" s="228">
        <f t="shared" si="309"/>
        <v>10000</v>
      </c>
      <c r="AA1231" s="225">
        <v>9000</v>
      </c>
      <c r="AB1231" s="229">
        <f t="shared" si="302"/>
        <v>9800</v>
      </c>
      <c r="AC1231" s="230">
        <f t="shared" si="303"/>
        <v>200</v>
      </c>
      <c r="AD1231" s="226">
        <v>9000</v>
      </c>
      <c r="AE1231" s="156">
        <v>0</v>
      </c>
      <c r="AF1231" s="226">
        <f t="shared" si="311"/>
        <v>0</v>
      </c>
      <c r="AG1231" s="226">
        <f t="shared" ref="AG1231:AG1239" si="313">AB1231-Z1231+AF1231</f>
        <v>-200</v>
      </c>
      <c r="AH1231" s="226"/>
      <c r="AI1231" s="226"/>
      <c r="AJ1231" s="144" t="s">
        <v>1127</v>
      </c>
    </row>
    <row r="1232" s="144" customFormat="1" ht="14.25" hidden="1" spans="1:36">
      <c r="A1232" s="144">
        <v>2017</v>
      </c>
      <c r="B1232" s="144" t="s">
        <v>38</v>
      </c>
      <c r="C1232" s="144" t="s">
        <v>88</v>
      </c>
      <c r="D1232" s="144" t="s">
        <v>128</v>
      </c>
      <c r="E1232" s="144" t="s">
        <v>96</v>
      </c>
      <c r="F1232" s="144" t="s">
        <v>594</v>
      </c>
      <c r="G1232" s="144" t="s">
        <v>594</v>
      </c>
      <c r="H1232" s="144" t="s">
        <v>594</v>
      </c>
      <c r="I1232" s="140" t="s">
        <v>1122</v>
      </c>
      <c r="J1232" s="140" t="s">
        <v>1123</v>
      </c>
      <c r="K1232" s="144" t="s">
        <v>1123</v>
      </c>
      <c r="L1232" s="144" t="s">
        <v>594</v>
      </c>
      <c r="M1232" s="225" t="s">
        <v>46</v>
      </c>
      <c r="N1232" s="204">
        <v>0.95</v>
      </c>
      <c r="O1232" s="205" t="s">
        <v>1128</v>
      </c>
      <c r="P1232" s="205" t="s">
        <v>259</v>
      </c>
      <c r="Q1232" s="225">
        <v>0</v>
      </c>
      <c r="R1232" s="225">
        <v>0</v>
      </c>
      <c r="S1232" s="225">
        <v>28500</v>
      </c>
      <c r="T1232" s="225">
        <f t="shared" si="304"/>
        <v>27075</v>
      </c>
      <c r="U1232" s="225">
        <f t="shared" si="305"/>
        <v>55575</v>
      </c>
      <c r="V1232" s="225">
        <v>27000</v>
      </c>
      <c r="W1232" s="225">
        <f t="shared" si="306"/>
        <v>28575</v>
      </c>
      <c r="X1232" s="226">
        <f t="shared" si="307"/>
        <v>14653.8461538462</v>
      </c>
      <c r="Y1232" s="226">
        <f t="shared" si="308"/>
        <v>13921.1538461538</v>
      </c>
      <c r="Z1232" s="228">
        <f t="shared" si="309"/>
        <v>17572</v>
      </c>
      <c r="AA1232" s="225">
        <f t="shared" ref="AA1232:AA1234" si="314">Q1232+V1232-Z1232</f>
        <v>9428</v>
      </c>
      <c r="AB1232" s="229">
        <f t="shared" si="302"/>
        <v>16693.4</v>
      </c>
      <c r="AC1232" s="230">
        <f t="shared" si="303"/>
        <v>878.600000000002</v>
      </c>
      <c r="AD1232" s="226">
        <v>15814.8</v>
      </c>
      <c r="AE1232" s="156">
        <v>0</v>
      </c>
      <c r="AF1232" s="226">
        <f t="shared" si="311"/>
        <v>0</v>
      </c>
      <c r="AG1232" s="226">
        <f t="shared" si="313"/>
        <v>-878.600000000002</v>
      </c>
      <c r="AH1232" s="226"/>
      <c r="AI1232" s="226"/>
      <c r="AJ1232" s="144" t="s">
        <v>1128</v>
      </c>
    </row>
    <row r="1233" s="144" customFormat="1" ht="14.25" hidden="1" spans="1:37">
      <c r="A1233" s="144">
        <v>2017</v>
      </c>
      <c r="B1233" s="144" t="s">
        <v>38</v>
      </c>
      <c r="C1233" s="144" t="s">
        <v>54</v>
      </c>
      <c r="D1233" s="144" t="s">
        <v>55</v>
      </c>
      <c r="E1233" s="144" t="s">
        <v>56</v>
      </c>
      <c r="F1233" s="144" t="s">
        <v>1129</v>
      </c>
      <c r="G1233" s="144" t="s">
        <v>1129</v>
      </c>
      <c r="H1233" s="144" t="s">
        <v>1129</v>
      </c>
      <c r="I1233" s="140" t="s">
        <v>1122</v>
      </c>
      <c r="J1233" s="140" t="s">
        <v>1123</v>
      </c>
      <c r="K1233" s="144" t="s">
        <v>1123</v>
      </c>
      <c r="L1233" s="144" t="s">
        <v>1129</v>
      </c>
      <c r="M1233" s="225" t="s">
        <v>46</v>
      </c>
      <c r="N1233" s="204">
        <v>0.95</v>
      </c>
      <c r="O1233" s="205" t="s">
        <v>1125</v>
      </c>
      <c r="P1233" s="205" t="s">
        <v>259</v>
      </c>
      <c r="Q1233" s="225">
        <v>0</v>
      </c>
      <c r="R1233" s="225">
        <v>0</v>
      </c>
      <c r="S1233" s="225">
        <v>19000</v>
      </c>
      <c r="T1233" s="225">
        <f t="shared" si="304"/>
        <v>18050</v>
      </c>
      <c r="U1233" s="225">
        <f t="shared" si="305"/>
        <v>37050</v>
      </c>
      <c r="V1233" s="225">
        <v>18000</v>
      </c>
      <c r="W1233" s="225">
        <f t="shared" si="306"/>
        <v>19050</v>
      </c>
      <c r="X1233" s="226">
        <f t="shared" si="307"/>
        <v>9769.23076923077</v>
      </c>
      <c r="Y1233" s="226">
        <f t="shared" si="308"/>
        <v>9280.76923076923</v>
      </c>
      <c r="Z1233" s="228">
        <f t="shared" si="309"/>
        <v>20000</v>
      </c>
      <c r="AA1233" s="225">
        <f t="shared" si="314"/>
        <v>-2000</v>
      </c>
      <c r="AB1233" s="229">
        <f t="shared" si="302"/>
        <v>19000</v>
      </c>
      <c r="AC1233" s="230">
        <f t="shared" si="303"/>
        <v>1000</v>
      </c>
      <c r="AD1233" s="228">
        <v>18000</v>
      </c>
      <c r="AE1233" s="156">
        <v>0</v>
      </c>
      <c r="AF1233" s="226">
        <f t="shared" si="311"/>
        <v>0</v>
      </c>
      <c r="AG1233" s="226">
        <f t="shared" si="313"/>
        <v>-1000</v>
      </c>
      <c r="AH1233" s="226"/>
      <c r="AI1233" s="226"/>
      <c r="AJ1233" s="144" t="s">
        <v>1125</v>
      </c>
      <c r="AK1233" s="226" t="s">
        <v>1130</v>
      </c>
    </row>
    <row r="1234" s="144" customFormat="1" ht="14.25" hidden="1" spans="1:37">
      <c r="A1234" s="144">
        <v>2017</v>
      </c>
      <c r="B1234" s="144" t="s">
        <v>38</v>
      </c>
      <c r="C1234" s="144" t="s">
        <v>75</v>
      </c>
      <c r="D1234" s="144" t="s">
        <v>76</v>
      </c>
      <c r="E1234" s="144" t="s">
        <v>304</v>
      </c>
      <c r="F1234" s="144" t="s">
        <v>305</v>
      </c>
      <c r="G1234" s="144" t="s">
        <v>305</v>
      </c>
      <c r="H1234" s="144" t="s">
        <v>305</v>
      </c>
      <c r="I1234" s="140" t="s">
        <v>1122</v>
      </c>
      <c r="J1234" s="184" t="s">
        <v>44</v>
      </c>
      <c r="K1234" s="144" t="s">
        <v>1131</v>
      </c>
      <c r="L1234" s="144" t="s">
        <v>305</v>
      </c>
      <c r="M1234" s="225" t="s">
        <v>46</v>
      </c>
      <c r="N1234" s="205">
        <v>0</v>
      </c>
      <c r="O1234" s="204">
        <v>0</v>
      </c>
      <c r="P1234" s="205" t="s">
        <v>47</v>
      </c>
      <c r="Q1234" s="227">
        <v>0</v>
      </c>
      <c r="R1234" s="227">
        <v>0</v>
      </c>
      <c r="S1234" s="225">
        <v>20000</v>
      </c>
      <c r="T1234" s="225">
        <f t="shared" si="304"/>
        <v>0</v>
      </c>
      <c r="U1234" s="225">
        <f t="shared" si="305"/>
        <v>20000</v>
      </c>
      <c r="V1234" s="225">
        <v>18000</v>
      </c>
      <c r="W1234" s="225">
        <f t="shared" si="306"/>
        <v>2000</v>
      </c>
      <c r="X1234" s="226">
        <f t="shared" si="307"/>
        <v>2000</v>
      </c>
      <c r="Y1234" s="226">
        <f t="shared" si="308"/>
        <v>0</v>
      </c>
      <c r="Z1234" s="226">
        <v>20000</v>
      </c>
      <c r="AA1234" s="225">
        <f t="shared" si="314"/>
        <v>-2000</v>
      </c>
      <c r="AB1234" s="229">
        <f t="shared" si="302"/>
        <v>20000</v>
      </c>
      <c r="AC1234" s="230">
        <f t="shared" si="303"/>
        <v>0</v>
      </c>
      <c r="AD1234" s="226">
        <v>20000</v>
      </c>
      <c r="AE1234" s="156">
        <v>0</v>
      </c>
      <c r="AF1234" s="226">
        <f t="shared" si="311"/>
        <v>0</v>
      </c>
      <c r="AG1234" s="226">
        <f t="shared" si="313"/>
        <v>0</v>
      </c>
      <c r="AH1234" s="226"/>
      <c r="AI1234" s="226"/>
      <c r="AJ1234" s="144" t="s">
        <v>1124</v>
      </c>
      <c r="AK1234" s="144" t="s">
        <v>1132</v>
      </c>
    </row>
    <row r="1235" s="144" customFormat="1" ht="14.25" hidden="1" spans="1:37">
      <c r="A1235" s="144">
        <v>2017</v>
      </c>
      <c r="B1235" s="144" t="s">
        <v>38</v>
      </c>
      <c r="C1235" s="144" t="s">
        <v>39</v>
      </c>
      <c r="D1235" s="144" t="s">
        <v>40</v>
      </c>
      <c r="E1235" s="144" t="s">
        <v>82</v>
      </c>
      <c r="F1235" s="144" t="s">
        <v>136</v>
      </c>
      <c r="G1235" s="144" t="s">
        <v>136</v>
      </c>
      <c r="H1235" s="144" t="s">
        <v>136</v>
      </c>
      <c r="I1235" s="140" t="s">
        <v>1122</v>
      </c>
      <c r="J1235" s="184" t="s">
        <v>44</v>
      </c>
      <c r="K1235" s="144" t="s">
        <v>1131</v>
      </c>
      <c r="L1235" s="144" t="s">
        <v>136</v>
      </c>
      <c r="M1235" s="225" t="s">
        <v>46</v>
      </c>
      <c r="N1235" s="205">
        <v>0</v>
      </c>
      <c r="O1235" s="204">
        <v>0</v>
      </c>
      <c r="P1235" s="205" t="s">
        <v>47</v>
      </c>
      <c r="Q1235" s="225">
        <v>0</v>
      </c>
      <c r="R1235" s="225">
        <v>0</v>
      </c>
      <c r="S1235" s="225">
        <v>30000</v>
      </c>
      <c r="T1235" s="225">
        <f t="shared" si="304"/>
        <v>0</v>
      </c>
      <c r="U1235" s="225">
        <f t="shared" si="305"/>
        <v>30000</v>
      </c>
      <c r="V1235" s="225">
        <v>28420.2</v>
      </c>
      <c r="W1235" s="225">
        <f t="shared" si="306"/>
        <v>1579.8</v>
      </c>
      <c r="X1235" s="226">
        <f t="shared" si="307"/>
        <v>1579.8</v>
      </c>
      <c r="Y1235" s="226">
        <f t="shared" si="308"/>
        <v>0</v>
      </c>
      <c r="Z1235" s="228">
        <v>12215.1</v>
      </c>
      <c r="AA1235" s="231">
        <v>12215.1</v>
      </c>
      <c r="AB1235" s="229">
        <f t="shared" si="302"/>
        <v>12215.1</v>
      </c>
      <c r="AC1235" s="230">
        <f t="shared" si="303"/>
        <v>0</v>
      </c>
      <c r="AD1235" s="228">
        <v>12215.1</v>
      </c>
      <c r="AE1235" s="156">
        <v>0</v>
      </c>
      <c r="AF1235" s="226">
        <f t="shared" si="311"/>
        <v>0</v>
      </c>
      <c r="AG1235" s="226">
        <f t="shared" si="313"/>
        <v>0</v>
      </c>
      <c r="AH1235" s="226"/>
      <c r="AI1235" s="226"/>
      <c r="AJ1235" s="144" t="s">
        <v>1128</v>
      </c>
      <c r="AK1235" s="144" t="s">
        <v>1132</v>
      </c>
    </row>
    <row r="1236" s="145" customFormat="1" ht="14.25" hidden="1" spans="1:36">
      <c r="A1236" s="145">
        <v>2017</v>
      </c>
      <c r="B1236" s="145" t="s">
        <v>38</v>
      </c>
      <c r="C1236" s="145" t="s">
        <v>39</v>
      </c>
      <c r="D1236" s="145" t="s">
        <v>40</v>
      </c>
      <c r="E1236" s="145" t="s">
        <v>41</v>
      </c>
      <c r="F1236" s="145" t="s">
        <v>42</v>
      </c>
      <c r="G1236" s="145" t="s">
        <v>42</v>
      </c>
      <c r="H1236" s="145" t="s">
        <v>42</v>
      </c>
      <c r="I1236" s="196">
        <v>360</v>
      </c>
      <c r="J1236" s="196" t="s">
        <v>1133</v>
      </c>
      <c r="K1236" s="145" t="s">
        <v>1134</v>
      </c>
      <c r="L1236" s="145" t="s">
        <v>42</v>
      </c>
      <c r="M1236" s="225" t="s">
        <v>185</v>
      </c>
      <c r="N1236" s="205">
        <v>0</v>
      </c>
      <c r="O1236" s="205" t="s">
        <v>47</v>
      </c>
      <c r="P1236" s="205" t="s">
        <v>47</v>
      </c>
      <c r="Q1236" s="225">
        <v>0</v>
      </c>
      <c r="R1236" s="225">
        <v>0</v>
      </c>
      <c r="S1236" s="225">
        <v>50000</v>
      </c>
      <c r="T1236" s="225">
        <f t="shared" si="304"/>
        <v>0</v>
      </c>
      <c r="U1236" s="225">
        <f t="shared" si="305"/>
        <v>50000</v>
      </c>
      <c r="V1236" s="225">
        <v>50000</v>
      </c>
      <c r="W1236" s="225">
        <f t="shared" si="306"/>
        <v>0</v>
      </c>
      <c r="X1236" s="225">
        <f t="shared" si="307"/>
        <v>0</v>
      </c>
      <c r="Y1236" s="225">
        <f t="shared" si="308"/>
        <v>0</v>
      </c>
      <c r="Z1236" s="225">
        <v>50000</v>
      </c>
      <c r="AA1236" s="225">
        <f t="shared" ref="AA1236:AA1239" si="315">Q1236+V1236-Z1236</f>
        <v>0</v>
      </c>
      <c r="AB1236" s="229">
        <f t="shared" si="302"/>
        <v>50000</v>
      </c>
      <c r="AC1236" s="230">
        <f t="shared" si="303"/>
        <v>0</v>
      </c>
      <c r="AD1236" s="231">
        <v>44000</v>
      </c>
      <c r="AE1236" s="205">
        <v>0</v>
      </c>
      <c r="AF1236" s="226">
        <f t="shared" si="311"/>
        <v>0</v>
      </c>
      <c r="AG1236" s="225">
        <f t="shared" si="313"/>
        <v>0</v>
      </c>
      <c r="AH1236" s="225"/>
      <c r="AI1236" s="225"/>
      <c r="AJ1236" s="145" t="s">
        <v>1111</v>
      </c>
    </row>
    <row r="1237" s="145" customFormat="1" ht="14.25" hidden="1" spans="1:36">
      <c r="A1237" s="145">
        <v>2017</v>
      </c>
      <c r="B1237" s="145" t="s">
        <v>38</v>
      </c>
      <c r="C1237" s="145" t="s">
        <v>433</v>
      </c>
      <c r="D1237" s="145" t="s">
        <v>434</v>
      </c>
      <c r="E1237" s="145" t="s">
        <v>435</v>
      </c>
      <c r="F1237" s="145" t="s">
        <v>1135</v>
      </c>
      <c r="G1237" s="145" t="s">
        <v>1135</v>
      </c>
      <c r="H1237" s="145" t="s">
        <v>1135</v>
      </c>
      <c r="I1237" s="196" t="s">
        <v>1136</v>
      </c>
      <c r="J1237" s="196" t="s">
        <v>679</v>
      </c>
      <c r="K1237" s="145" t="s">
        <v>1137</v>
      </c>
      <c r="L1237" s="145" t="s">
        <v>1135</v>
      </c>
      <c r="M1237" s="225" t="s">
        <v>178</v>
      </c>
      <c r="N1237" s="205">
        <v>0</v>
      </c>
      <c r="O1237" s="205" t="s">
        <v>1138</v>
      </c>
      <c r="P1237" s="205" t="s">
        <v>47</v>
      </c>
      <c r="Q1237" s="225">
        <v>0</v>
      </c>
      <c r="R1237" s="225">
        <v>0</v>
      </c>
      <c r="S1237" s="225">
        <v>27778</v>
      </c>
      <c r="T1237" s="225">
        <f t="shared" si="304"/>
        <v>0</v>
      </c>
      <c r="U1237" s="225">
        <f t="shared" si="305"/>
        <v>27778</v>
      </c>
      <c r="V1237" s="225">
        <v>24600</v>
      </c>
      <c r="W1237" s="225">
        <f t="shared" si="306"/>
        <v>3178</v>
      </c>
      <c r="X1237" s="225">
        <f t="shared" si="307"/>
        <v>3178</v>
      </c>
      <c r="Y1237" s="225">
        <f t="shared" si="308"/>
        <v>0</v>
      </c>
      <c r="Z1237" s="225">
        <v>27778</v>
      </c>
      <c r="AA1237" s="225">
        <f t="shared" si="315"/>
        <v>-3178</v>
      </c>
      <c r="AB1237" s="229">
        <f t="shared" si="302"/>
        <v>27778</v>
      </c>
      <c r="AC1237" s="230">
        <f t="shared" si="303"/>
        <v>0</v>
      </c>
      <c r="AD1237" s="225">
        <v>24600</v>
      </c>
      <c r="AE1237" s="205">
        <v>0</v>
      </c>
      <c r="AF1237" s="226">
        <f t="shared" si="311"/>
        <v>0</v>
      </c>
      <c r="AG1237" s="225">
        <f t="shared" si="313"/>
        <v>0</v>
      </c>
      <c r="AH1237" s="225"/>
      <c r="AI1237" s="225"/>
      <c r="AJ1237" s="145" t="s">
        <v>1138</v>
      </c>
    </row>
    <row r="1238" s="145" customFormat="1" ht="14.25" hidden="1" spans="1:36">
      <c r="A1238" s="145">
        <v>2017</v>
      </c>
      <c r="B1238" s="145" t="s">
        <v>199</v>
      </c>
      <c r="C1238" s="145" t="s">
        <v>75</v>
      </c>
      <c r="D1238" s="145" t="s">
        <v>76</v>
      </c>
      <c r="E1238" s="145" t="s">
        <v>649</v>
      </c>
      <c r="F1238" s="145" t="s">
        <v>538</v>
      </c>
      <c r="G1238" s="145" t="s">
        <v>1080</v>
      </c>
      <c r="H1238" s="192" t="s">
        <v>1081</v>
      </c>
      <c r="I1238" s="196" t="s">
        <v>1139</v>
      </c>
      <c r="J1238" s="196" t="s">
        <v>1140</v>
      </c>
      <c r="K1238" s="145" t="s">
        <v>1141</v>
      </c>
      <c r="L1238" s="145" t="s">
        <v>539</v>
      </c>
      <c r="M1238" s="225" t="s">
        <v>46</v>
      </c>
      <c r="N1238" s="205">
        <v>0</v>
      </c>
      <c r="O1238" s="205" t="s">
        <v>1142</v>
      </c>
      <c r="P1238" s="205" t="s">
        <v>47</v>
      </c>
      <c r="Q1238" s="225">
        <v>0</v>
      </c>
      <c r="R1238" s="225">
        <v>0</v>
      </c>
      <c r="S1238" s="225">
        <v>600000</v>
      </c>
      <c r="T1238" s="225">
        <f t="shared" si="304"/>
        <v>0</v>
      </c>
      <c r="U1238" s="225">
        <f t="shared" si="305"/>
        <v>600000</v>
      </c>
      <c r="V1238" s="225">
        <v>600000</v>
      </c>
      <c r="W1238" s="225">
        <f t="shared" si="306"/>
        <v>0</v>
      </c>
      <c r="X1238" s="225">
        <f t="shared" si="307"/>
        <v>0</v>
      </c>
      <c r="Y1238" s="225">
        <f t="shared" si="308"/>
        <v>0</v>
      </c>
      <c r="Z1238" s="225">
        <v>600000</v>
      </c>
      <c r="AA1238" s="225">
        <f t="shared" si="315"/>
        <v>0</v>
      </c>
      <c r="AB1238" s="229">
        <f t="shared" si="302"/>
        <v>600000</v>
      </c>
      <c r="AC1238" s="230">
        <f t="shared" si="303"/>
        <v>0</v>
      </c>
      <c r="AD1238" s="231">
        <v>600000</v>
      </c>
      <c r="AE1238" s="205">
        <v>0</v>
      </c>
      <c r="AF1238" s="226">
        <f t="shared" si="311"/>
        <v>0</v>
      </c>
      <c r="AG1238" s="225">
        <f t="shared" si="313"/>
        <v>0</v>
      </c>
      <c r="AH1238" s="225"/>
      <c r="AI1238" s="225"/>
      <c r="AJ1238" s="145" t="s">
        <v>1142</v>
      </c>
    </row>
    <row r="1239" s="144" customFormat="1" ht="14.25" hidden="1" spans="1:37">
      <c r="A1239" s="144">
        <v>2017</v>
      </c>
      <c r="B1239" s="144" t="s">
        <v>38</v>
      </c>
      <c r="C1239" s="144" t="s">
        <v>59</v>
      </c>
      <c r="D1239" s="144" t="s">
        <v>106</v>
      </c>
      <c r="E1239" s="144" t="s">
        <v>239</v>
      </c>
      <c r="F1239" s="144" t="s">
        <v>352</v>
      </c>
      <c r="G1239" s="144" t="s">
        <v>352</v>
      </c>
      <c r="H1239" s="144" t="s">
        <v>352</v>
      </c>
      <c r="I1239" s="140" t="s">
        <v>1122</v>
      </c>
      <c r="J1239" s="184" t="s">
        <v>44</v>
      </c>
      <c r="K1239" s="144" t="s">
        <v>1131</v>
      </c>
      <c r="L1239" s="144" t="s">
        <v>352</v>
      </c>
      <c r="M1239" s="225" t="s">
        <v>46</v>
      </c>
      <c r="N1239" s="205">
        <v>0</v>
      </c>
      <c r="O1239" s="205" t="s">
        <v>47</v>
      </c>
      <c r="P1239" s="205" t="s">
        <v>47</v>
      </c>
      <c r="Q1239" s="225">
        <v>0</v>
      </c>
      <c r="R1239" s="225">
        <v>0</v>
      </c>
      <c r="S1239" s="225">
        <v>120000</v>
      </c>
      <c r="T1239" s="225">
        <f t="shared" si="304"/>
        <v>0</v>
      </c>
      <c r="U1239" s="225">
        <f t="shared" si="305"/>
        <v>120000</v>
      </c>
      <c r="V1239" s="225">
        <v>108000</v>
      </c>
      <c r="W1239" s="225">
        <f t="shared" si="306"/>
        <v>12000</v>
      </c>
      <c r="X1239" s="226">
        <f t="shared" si="307"/>
        <v>12000</v>
      </c>
      <c r="Y1239" s="226">
        <f t="shared" si="308"/>
        <v>0</v>
      </c>
      <c r="Z1239" s="226">
        <v>155511</v>
      </c>
      <c r="AA1239" s="225">
        <f t="shared" si="315"/>
        <v>-47511</v>
      </c>
      <c r="AB1239" s="229">
        <f t="shared" si="302"/>
        <v>155511</v>
      </c>
      <c r="AC1239" s="230">
        <f t="shared" si="303"/>
        <v>0</v>
      </c>
      <c r="AD1239" s="226">
        <v>120000</v>
      </c>
      <c r="AE1239" s="156">
        <v>0</v>
      </c>
      <c r="AF1239" s="226">
        <f t="shared" si="311"/>
        <v>0</v>
      </c>
      <c r="AG1239" s="226">
        <f t="shared" si="313"/>
        <v>0</v>
      </c>
      <c r="AH1239" s="226"/>
      <c r="AI1239" s="226"/>
      <c r="AJ1239" s="144" t="s">
        <v>47</v>
      </c>
      <c r="AK1239" s="226" t="s">
        <v>1130</v>
      </c>
    </row>
    <row r="1240" s="144" customFormat="1" ht="14.25" hidden="1" spans="1:37">
      <c r="A1240" s="144">
        <v>2017</v>
      </c>
      <c r="B1240" s="144" t="s">
        <v>38</v>
      </c>
      <c r="C1240" s="144" t="s">
        <v>54</v>
      </c>
      <c r="D1240" s="144" t="s">
        <v>55</v>
      </c>
      <c r="E1240" s="144" t="s">
        <v>368</v>
      </c>
      <c r="F1240" s="144" t="s">
        <v>489</v>
      </c>
      <c r="G1240" s="144" t="s">
        <v>489</v>
      </c>
      <c r="H1240" s="144" t="s">
        <v>489</v>
      </c>
      <c r="I1240" s="140" t="s">
        <v>1122</v>
      </c>
      <c r="J1240" s="184" t="s">
        <v>44</v>
      </c>
      <c r="K1240" s="144" t="s">
        <v>1131</v>
      </c>
      <c r="L1240" s="144" t="s">
        <v>489</v>
      </c>
      <c r="M1240" s="225" t="s">
        <v>46</v>
      </c>
      <c r="N1240" s="204">
        <v>0.95</v>
      </c>
      <c r="O1240" s="205" t="s">
        <v>1125</v>
      </c>
      <c r="P1240" s="205" t="s">
        <v>259</v>
      </c>
      <c r="Q1240" s="225">
        <v>0</v>
      </c>
      <c r="R1240" s="225">
        <v>0</v>
      </c>
      <c r="S1240" s="225">
        <v>38000</v>
      </c>
      <c r="T1240" s="225">
        <f t="shared" si="304"/>
        <v>36100</v>
      </c>
      <c r="U1240" s="225">
        <f t="shared" si="305"/>
        <v>74100</v>
      </c>
      <c r="V1240" s="225">
        <v>38000</v>
      </c>
      <c r="W1240" s="225">
        <f t="shared" si="306"/>
        <v>36100</v>
      </c>
      <c r="X1240" s="226">
        <f t="shared" si="307"/>
        <v>18512.8205128205</v>
      </c>
      <c r="Y1240" s="226">
        <f t="shared" si="308"/>
        <v>17587.1794871795</v>
      </c>
      <c r="Z1240" s="228">
        <v>18074.7</v>
      </c>
      <c r="AA1240" s="232">
        <v>18074.7</v>
      </c>
      <c r="AB1240" s="229">
        <f t="shared" si="302"/>
        <v>17170.965</v>
      </c>
      <c r="AC1240" s="230">
        <f t="shared" si="303"/>
        <v>903.735000000001</v>
      </c>
      <c r="AD1240" s="228">
        <v>18074.7</v>
      </c>
      <c r="AE1240" s="156">
        <v>0</v>
      </c>
      <c r="AF1240" s="226">
        <f t="shared" si="311"/>
        <v>0</v>
      </c>
      <c r="AG1240" s="226">
        <f>AB1240-AD1240+AF1240</f>
        <v>-903.735000000001</v>
      </c>
      <c r="AH1240" s="226"/>
      <c r="AI1240" s="226"/>
      <c r="AJ1240" s="144" t="s">
        <v>1125</v>
      </c>
      <c r="AK1240" s="226"/>
    </row>
    <row r="1241" s="144" customFormat="1" ht="14.25" hidden="1" spans="1:37">
      <c r="A1241" s="144">
        <v>2017</v>
      </c>
      <c r="B1241" s="144" t="s">
        <v>38</v>
      </c>
      <c r="C1241" s="144" t="s">
        <v>54</v>
      </c>
      <c r="D1241" s="144" t="s">
        <v>55</v>
      </c>
      <c r="E1241" s="144" t="s">
        <v>368</v>
      </c>
      <c r="F1241" s="144" t="s">
        <v>493</v>
      </c>
      <c r="G1241" s="144" t="s">
        <v>493</v>
      </c>
      <c r="H1241" s="144" t="s">
        <v>493</v>
      </c>
      <c r="I1241" s="140" t="s">
        <v>1122</v>
      </c>
      <c r="J1241" s="184" t="s">
        <v>44</v>
      </c>
      <c r="K1241" s="144" t="s">
        <v>1131</v>
      </c>
      <c r="L1241" s="144" t="s">
        <v>1143</v>
      </c>
      <c r="M1241" s="225" t="s">
        <v>46</v>
      </c>
      <c r="N1241" s="204">
        <v>0.95</v>
      </c>
      <c r="O1241" s="205" t="s">
        <v>1128</v>
      </c>
      <c r="P1241" s="205" t="s">
        <v>259</v>
      </c>
      <c r="Q1241" s="225">
        <v>0</v>
      </c>
      <c r="R1241" s="225">
        <v>0</v>
      </c>
      <c r="S1241" s="225">
        <v>9500</v>
      </c>
      <c r="T1241" s="225">
        <f t="shared" si="304"/>
        <v>9025</v>
      </c>
      <c r="U1241" s="225">
        <f t="shared" si="305"/>
        <v>18525</v>
      </c>
      <c r="V1241" s="225">
        <v>9000</v>
      </c>
      <c r="W1241" s="225">
        <f t="shared" si="306"/>
        <v>9525</v>
      </c>
      <c r="X1241" s="226">
        <f t="shared" si="307"/>
        <v>4884.61538461538</v>
      </c>
      <c r="Y1241" s="226">
        <f t="shared" si="308"/>
        <v>4640.38461538462</v>
      </c>
      <c r="Z1241" s="226">
        <v>9500</v>
      </c>
      <c r="AA1241" s="225">
        <v>9500</v>
      </c>
      <c r="AB1241" s="229">
        <f t="shared" si="302"/>
        <v>9025</v>
      </c>
      <c r="AC1241" s="230">
        <f t="shared" si="303"/>
        <v>475</v>
      </c>
      <c r="AD1241" s="226">
        <v>9500</v>
      </c>
      <c r="AE1241" s="156">
        <v>0</v>
      </c>
      <c r="AF1241" s="226">
        <f t="shared" si="311"/>
        <v>0</v>
      </c>
      <c r="AG1241" s="226">
        <f t="shared" ref="AG1241:AG1272" si="316">AB1241-Z1241+AF1241</f>
        <v>-475</v>
      </c>
      <c r="AH1241" s="226"/>
      <c r="AI1241" s="226"/>
      <c r="AJ1241" s="144" t="s">
        <v>1128</v>
      </c>
      <c r="AK1241" s="226" t="s">
        <v>1130</v>
      </c>
    </row>
    <row r="1242" s="144" customFormat="1" ht="14.25" hidden="1" spans="1:36">
      <c r="A1242" s="144">
        <v>2017</v>
      </c>
      <c r="B1242" s="144" t="s">
        <v>38</v>
      </c>
      <c r="C1242" s="144" t="s">
        <v>88</v>
      </c>
      <c r="D1242" s="144" t="s">
        <v>128</v>
      </c>
      <c r="E1242" s="144" t="s">
        <v>96</v>
      </c>
      <c r="F1242" s="144" t="s">
        <v>594</v>
      </c>
      <c r="G1242" s="144" t="s">
        <v>594</v>
      </c>
      <c r="H1242" s="144" t="s">
        <v>594</v>
      </c>
      <c r="I1242" s="140" t="s">
        <v>1122</v>
      </c>
      <c r="J1242" s="184" t="s">
        <v>44</v>
      </c>
      <c r="K1242" s="144" t="s">
        <v>1131</v>
      </c>
      <c r="L1242" s="144" t="s">
        <v>594</v>
      </c>
      <c r="M1242" s="225" t="s">
        <v>46</v>
      </c>
      <c r="N1242" s="204">
        <v>0.95</v>
      </c>
      <c r="O1242" s="205" t="s">
        <v>1128</v>
      </c>
      <c r="P1242" s="205" t="s">
        <v>259</v>
      </c>
      <c r="Q1242" s="225">
        <v>0</v>
      </c>
      <c r="R1242" s="225">
        <v>0</v>
      </c>
      <c r="S1242" s="225">
        <v>64193.4</v>
      </c>
      <c r="T1242" s="225">
        <f t="shared" si="304"/>
        <v>60983.73</v>
      </c>
      <c r="U1242" s="225">
        <f t="shared" si="305"/>
        <v>125177.13</v>
      </c>
      <c r="V1242" s="225">
        <v>64193.4</v>
      </c>
      <c r="W1242" s="225">
        <f t="shared" si="306"/>
        <v>60983.73</v>
      </c>
      <c r="X1242" s="226">
        <f t="shared" si="307"/>
        <v>31273.7076923077</v>
      </c>
      <c r="Y1242" s="226">
        <f t="shared" si="308"/>
        <v>29710.0223076923</v>
      </c>
      <c r="Z1242" s="226">
        <v>76000</v>
      </c>
      <c r="AA1242" s="225">
        <v>76000</v>
      </c>
      <c r="AB1242" s="229">
        <f t="shared" si="302"/>
        <v>72200</v>
      </c>
      <c r="AC1242" s="230">
        <f t="shared" si="303"/>
        <v>3800</v>
      </c>
      <c r="AD1242" s="226">
        <v>76000</v>
      </c>
      <c r="AE1242" s="156">
        <v>0</v>
      </c>
      <c r="AF1242" s="226">
        <f t="shared" si="311"/>
        <v>0</v>
      </c>
      <c r="AG1242" s="226">
        <f t="shared" si="316"/>
        <v>-3800</v>
      </c>
      <c r="AH1242" s="226"/>
      <c r="AI1242" s="226"/>
      <c r="AJ1242" s="144" t="s">
        <v>1128</v>
      </c>
    </row>
    <row r="1243" s="144" customFormat="1" ht="14.25" hidden="1" spans="1:36">
      <c r="A1243" s="144">
        <v>2017</v>
      </c>
      <c r="B1243" s="144" t="s">
        <v>38</v>
      </c>
      <c r="C1243" s="144" t="s">
        <v>54</v>
      </c>
      <c r="D1243" s="144" t="s">
        <v>55</v>
      </c>
      <c r="E1243" s="144" t="s">
        <v>368</v>
      </c>
      <c r="F1243" s="144" t="s">
        <v>794</v>
      </c>
      <c r="G1243" s="144" t="s">
        <v>794</v>
      </c>
      <c r="H1243" s="144" t="s">
        <v>794</v>
      </c>
      <c r="I1243" s="140" t="s">
        <v>1122</v>
      </c>
      <c r="J1243" s="184" t="s">
        <v>44</v>
      </c>
      <c r="K1243" s="144" t="s">
        <v>1131</v>
      </c>
      <c r="L1243" s="144" t="s">
        <v>794</v>
      </c>
      <c r="M1243" s="225" t="s">
        <v>46</v>
      </c>
      <c r="N1243" s="205">
        <v>0</v>
      </c>
      <c r="O1243" s="205" t="s">
        <v>47</v>
      </c>
      <c r="P1243" s="205" t="s">
        <v>47</v>
      </c>
      <c r="Q1243" s="225">
        <v>0</v>
      </c>
      <c r="R1243" s="225">
        <v>0</v>
      </c>
      <c r="S1243" s="225">
        <v>20000</v>
      </c>
      <c r="T1243" s="225">
        <f t="shared" si="304"/>
        <v>0</v>
      </c>
      <c r="U1243" s="225">
        <f t="shared" si="305"/>
        <v>20000</v>
      </c>
      <c r="V1243" s="225">
        <v>20000</v>
      </c>
      <c r="W1243" s="225">
        <f t="shared" si="306"/>
        <v>0</v>
      </c>
      <c r="X1243" s="226">
        <f t="shared" si="307"/>
        <v>0</v>
      </c>
      <c r="Y1243" s="226">
        <f t="shared" si="308"/>
        <v>0</v>
      </c>
      <c r="Z1243" s="226">
        <v>9516</v>
      </c>
      <c r="AA1243" s="225">
        <f t="shared" ref="AA1243:AA1272" si="317">Q1243+V1243-Z1243</f>
        <v>10484</v>
      </c>
      <c r="AB1243" s="229">
        <f t="shared" si="302"/>
        <v>9516</v>
      </c>
      <c r="AC1243" s="230">
        <f t="shared" si="303"/>
        <v>0</v>
      </c>
      <c r="AD1243" s="226">
        <v>9516</v>
      </c>
      <c r="AE1243" s="156">
        <v>0</v>
      </c>
      <c r="AF1243" s="226">
        <f t="shared" si="311"/>
        <v>0</v>
      </c>
      <c r="AG1243" s="226">
        <f t="shared" si="316"/>
        <v>0</v>
      </c>
      <c r="AH1243" s="226"/>
      <c r="AI1243" s="226"/>
      <c r="AJ1243" s="144" t="s">
        <v>47</v>
      </c>
    </row>
    <row r="1244" s="145" customFormat="1" ht="14.25" hidden="1" spans="1:36">
      <c r="A1244" s="145">
        <v>2017</v>
      </c>
      <c r="B1244" s="145" t="s">
        <v>38</v>
      </c>
      <c r="C1244" s="145" t="s">
        <v>39</v>
      </c>
      <c r="D1244" s="145" t="s">
        <v>40</v>
      </c>
      <c r="E1244" s="145" t="s">
        <v>41</v>
      </c>
      <c r="F1244" s="145" t="s">
        <v>42</v>
      </c>
      <c r="G1244" s="145" t="s">
        <v>42</v>
      </c>
      <c r="H1244" s="145" t="s">
        <v>42</v>
      </c>
      <c r="I1244" s="196" t="s">
        <v>1144</v>
      </c>
      <c r="J1244" s="196" t="s">
        <v>1145</v>
      </c>
      <c r="K1244" s="145" t="s">
        <v>1145</v>
      </c>
      <c r="L1244" s="145" t="s">
        <v>42</v>
      </c>
      <c r="M1244" s="225" t="s">
        <v>46</v>
      </c>
      <c r="N1244" s="205">
        <v>0</v>
      </c>
      <c r="O1244" s="205" t="s">
        <v>1111</v>
      </c>
      <c r="P1244" s="205" t="s">
        <v>47</v>
      </c>
      <c r="Q1244" s="225">
        <v>0</v>
      </c>
      <c r="R1244" s="225">
        <v>0</v>
      </c>
      <c r="S1244" s="225">
        <v>0</v>
      </c>
      <c r="T1244" s="225">
        <f t="shared" si="304"/>
        <v>0</v>
      </c>
      <c r="U1244" s="225">
        <f t="shared" si="305"/>
        <v>0</v>
      </c>
      <c r="V1244" s="225">
        <v>0</v>
      </c>
      <c r="W1244" s="225">
        <f t="shared" si="306"/>
        <v>0</v>
      </c>
      <c r="X1244" s="225">
        <f t="shared" si="307"/>
        <v>0</v>
      </c>
      <c r="Y1244" s="225">
        <f t="shared" si="308"/>
        <v>0</v>
      </c>
      <c r="Z1244" s="225">
        <v>0</v>
      </c>
      <c r="AA1244" s="225">
        <f t="shared" si="317"/>
        <v>0</v>
      </c>
      <c r="AB1244" s="229">
        <f t="shared" si="302"/>
        <v>0</v>
      </c>
      <c r="AC1244" s="230">
        <f t="shared" si="303"/>
        <v>0</v>
      </c>
      <c r="AD1244" s="225">
        <v>0</v>
      </c>
      <c r="AE1244" s="205">
        <v>0</v>
      </c>
      <c r="AF1244" s="226">
        <f t="shared" si="311"/>
        <v>0</v>
      </c>
      <c r="AG1244" s="225">
        <f t="shared" si="316"/>
        <v>0</v>
      </c>
      <c r="AH1244" s="225"/>
      <c r="AI1244" s="225"/>
      <c r="AJ1244" s="145" t="s">
        <v>1111</v>
      </c>
    </row>
    <row r="1245" s="145" customFormat="1" ht="14.25" hidden="1" spans="1:36">
      <c r="A1245" s="145">
        <v>2017</v>
      </c>
      <c r="B1245" s="145" t="s">
        <v>38</v>
      </c>
      <c r="C1245" s="145" t="s">
        <v>59</v>
      </c>
      <c r="D1245" s="145" t="s">
        <v>106</v>
      </c>
      <c r="E1245" s="145" t="s">
        <v>107</v>
      </c>
      <c r="F1245" s="145" t="s">
        <v>392</v>
      </c>
      <c r="G1245" s="145" t="s">
        <v>392</v>
      </c>
      <c r="H1245" s="145" t="s">
        <v>392</v>
      </c>
      <c r="I1245" s="196" t="s">
        <v>1144</v>
      </c>
      <c r="J1245" s="196" t="s">
        <v>1145</v>
      </c>
      <c r="K1245" s="145" t="s">
        <v>1145</v>
      </c>
      <c r="L1245" s="145" t="s">
        <v>392</v>
      </c>
      <c r="M1245" s="225" t="s">
        <v>160</v>
      </c>
      <c r="N1245" s="205">
        <v>0</v>
      </c>
      <c r="O1245" s="205" t="s">
        <v>1146</v>
      </c>
      <c r="P1245" s="205" t="s">
        <v>47</v>
      </c>
      <c r="Q1245" s="225">
        <v>0</v>
      </c>
      <c r="R1245" s="225">
        <v>0</v>
      </c>
      <c r="S1245" s="225">
        <v>185000</v>
      </c>
      <c r="T1245" s="225">
        <f t="shared" si="304"/>
        <v>0</v>
      </c>
      <c r="U1245" s="225">
        <f t="shared" si="305"/>
        <v>185000</v>
      </c>
      <c r="V1245" s="225">
        <v>185000</v>
      </c>
      <c r="W1245" s="225">
        <f t="shared" si="306"/>
        <v>0</v>
      </c>
      <c r="X1245" s="225">
        <f t="shared" si="307"/>
        <v>0</v>
      </c>
      <c r="Y1245" s="225">
        <f t="shared" si="308"/>
        <v>0</v>
      </c>
      <c r="Z1245" s="225">
        <v>185000</v>
      </c>
      <c r="AA1245" s="231">
        <v>185000</v>
      </c>
      <c r="AB1245" s="229">
        <f t="shared" si="302"/>
        <v>185000</v>
      </c>
      <c r="AC1245" s="230">
        <f t="shared" si="303"/>
        <v>0</v>
      </c>
      <c r="AD1245" s="231">
        <v>185000</v>
      </c>
      <c r="AE1245" s="205">
        <v>0.1</v>
      </c>
      <c r="AF1245" s="226">
        <f t="shared" si="311"/>
        <v>18500</v>
      </c>
      <c r="AG1245" s="225">
        <f t="shared" si="316"/>
        <v>18500</v>
      </c>
      <c r="AH1245" s="225"/>
      <c r="AI1245" s="225"/>
      <c r="AJ1245" s="145" t="s">
        <v>1146</v>
      </c>
    </row>
    <row r="1246" s="145" customFormat="1" ht="14.25" hidden="1" spans="1:36">
      <c r="A1246" s="145">
        <v>2017</v>
      </c>
      <c r="B1246" s="145" t="s">
        <v>38</v>
      </c>
      <c r="C1246" s="145" t="s">
        <v>75</v>
      </c>
      <c r="D1246" s="145" t="s">
        <v>76</v>
      </c>
      <c r="E1246" s="145" t="s">
        <v>257</v>
      </c>
      <c r="F1246" s="145" t="s">
        <v>230</v>
      </c>
      <c r="G1246" s="145" t="s">
        <v>230</v>
      </c>
      <c r="H1246" s="145" t="s">
        <v>230</v>
      </c>
      <c r="I1246" s="196" t="s">
        <v>1144</v>
      </c>
      <c r="J1246" s="196" t="s">
        <v>1145</v>
      </c>
      <c r="K1246" s="145" t="s">
        <v>1145</v>
      </c>
      <c r="L1246" s="145" t="s">
        <v>230</v>
      </c>
      <c r="M1246" s="225" t="s">
        <v>46</v>
      </c>
      <c r="N1246" s="205">
        <v>0</v>
      </c>
      <c r="O1246" s="205" t="s">
        <v>1124</v>
      </c>
      <c r="P1246" s="205" t="s">
        <v>47</v>
      </c>
      <c r="Q1246" s="225">
        <v>0</v>
      </c>
      <c r="R1246" s="225">
        <v>0</v>
      </c>
      <c r="S1246" s="225">
        <v>26000</v>
      </c>
      <c r="T1246" s="225">
        <f t="shared" si="304"/>
        <v>0</v>
      </c>
      <c r="U1246" s="225">
        <f t="shared" si="305"/>
        <v>26000</v>
      </c>
      <c r="V1246" s="225">
        <v>25504.85</v>
      </c>
      <c r="W1246" s="225">
        <f t="shared" si="306"/>
        <v>495.150000000001</v>
      </c>
      <c r="X1246" s="225">
        <f t="shared" si="307"/>
        <v>495.150000000001</v>
      </c>
      <c r="Y1246" s="225">
        <f t="shared" si="308"/>
        <v>0</v>
      </c>
      <c r="Z1246" s="225">
        <f>26000-9691.2</f>
        <v>16308.8</v>
      </c>
      <c r="AA1246" s="225">
        <f t="shared" si="317"/>
        <v>9196.05</v>
      </c>
      <c r="AB1246" s="229">
        <f t="shared" si="302"/>
        <v>16308.8</v>
      </c>
      <c r="AC1246" s="230">
        <f t="shared" si="303"/>
        <v>0</v>
      </c>
      <c r="AD1246" s="225">
        <f>25504.85-9691.2</f>
        <v>15813.65</v>
      </c>
      <c r="AE1246" s="205">
        <v>0</v>
      </c>
      <c r="AF1246" s="226">
        <f t="shared" si="311"/>
        <v>0</v>
      </c>
      <c r="AG1246" s="225">
        <f t="shared" si="316"/>
        <v>0</v>
      </c>
      <c r="AH1246" s="225"/>
      <c r="AI1246" s="225"/>
      <c r="AJ1246" s="145" t="s">
        <v>1124</v>
      </c>
    </row>
    <row r="1247" s="145" customFormat="1" ht="14.25" hidden="1" spans="1:36">
      <c r="A1247" s="145">
        <v>2017</v>
      </c>
      <c r="B1247" s="145" t="s">
        <v>38</v>
      </c>
      <c r="C1247" s="145" t="s">
        <v>75</v>
      </c>
      <c r="D1247" s="145" t="s">
        <v>76</v>
      </c>
      <c r="E1247" s="145" t="s">
        <v>257</v>
      </c>
      <c r="F1247" s="145" t="s">
        <v>230</v>
      </c>
      <c r="G1247" s="145" t="s">
        <v>230</v>
      </c>
      <c r="H1247" s="145" t="s">
        <v>230</v>
      </c>
      <c r="I1247" s="196" t="s">
        <v>1144</v>
      </c>
      <c r="J1247" s="196" t="s">
        <v>1145</v>
      </c>
      <c r="K1247" s="145" t="s">
        <v>1145</v>
      </c>
      <c r="L1247" s="145" t="s">
        <v>230</v>
      </c>
      <c r="M1247" s="225" t="s">
        <v>160</v>
      </c>
      <c r="N1247" s="205">
        <v>0</v>
      </c>
      <c r="O1247" s="205" t="s">
        <v>1146</v>
      </c>
      <c r="P1247" s="205" t="s">
        <v>47</v>
      </c>
      <c r="Q1247" s="225">
        <v>0</v>
      </c>
      <c r="R1247" s="225">
        <v>0</v>
      </c>
      <c r="S1247" s="225">
        <v>133250</v>
      </c>
      <c r="T1247" s="225">
        <f t="shared" si="304"/>
        <v>0</v>
      </c>
      <c r="U1247" s="225">
        <f t="shared" si="305"/>
        <v>133250</v>
      </c>
      <c r="V1247" s="225">
        <v>133250</v>
      </c>
      <c r="W1247" s="225">
        <f t="shared" si="306"/>
        <v>0</v>
      </c>
      <c r="X1247" s="225">
        <f t="shared" si="307"/>
        <v>0</v>
      </c>
      <c r="Y1247" s="225">
        <f t="shared" si="308"/>
        <v>0</v>
      </c>
      <c r="Z1247" s="225">
        <v>133250</v>
      </c>
      <c r="AA1247" s="225">
        <f t="shared" si="317"/>
        <v>0</v>
      </c>
      <c r="AB1247" s="229">
        <f t="shared" si="302"/>
        <v>133250</v>
      </c>
      <c r="AC1247" s="230">
        <f t="shared" si="303"/>
        <v>0</v>
      </c>
      <c r="AD1247" s="231">
        <v>133250</v>
      </c>
      <c r="AE1247" s="205">
        <v>0.1</v>
      </c>
      <c r="AF1247" s="226">
        <f t="shared" si="311"/>
        <v>13325</v>
      </c>
      <c r="AG1247" s="225">
        <f t="shared" si="316"/>
        <v>13325</v>
      </c>
      <c r="AH1247" s="225"/>
      <c r="AI1247" s="225"/>
      <c r="AJ1247" s="145" t="s">
        <v>1146</v>
      </c>
    </row>
    <row r="1248" s="145" customFormat="1" ht="14.25" hidden="1" spans="1:36">
      <c r="A1248" s="145">
        <v>2017</v>
      </c>
      <c r="B1248" s="145" t="s">
        <v>38</v>
      </c>
      <c r="C1248" s="145" t="s">
        <v>54</v>
      </c>
      <c r="D1248" s="145" t="s">
        <v>102</v>
      </c>
      <c r="E1248" s="145" t="s">
        <v>115</v>
      </c>
      <c r="F1248" s="145" t="s">
        <v>380</v>
      </c>
      <c r="G1248" s="145" t="s">
        <v>380</v>
      </c>
      <c r="H1248" s="145" t="s">
        <v>380</v>
      </c>
      <c r="I1248" s="196" t="s">
        <v>1144</v>
      </c>
      <c r="J1248" s="196" t="s">
        <v>1145</v>
      </c>
      <c r="K1248" s="145" t="s">
        <v>1145</v>
      </c>
      <c r="L1248" s="145" t="s">
        <v>380</v>
      </c>
      <c r="M1248" s="225" t="s">
        <v>46</v>
      </c>
      <c r="N1248" s="205">
        <v>0</v>
      </c>
      <c r="O1248" s="205" t="s">
        <v>47</v>
      </c>
      <c r="P1248" s="205" t="s">
        <v>47</v>
      </c>
      <c r="Q1248" s="225">
        <v>0</v>
      </c>
      <c r="R1248" s="225">
        <v>0</v>
      </c>
      <c r="S1248" s="225">
        <v>5000</v>
      </c>
      <c r="T1248" s="225">
        <f t="shared" si="304"/>
        <v>0</v>
      </c>
      <c r="U1248" s="225">
        <f t="shared" si="305"/>
        <v>5000</v>
      </c>
      <c r="V1248" s="225">
        <v>4854.36893203883</v>
      </c>
      <c r="W1248" s="225">
        <f t="shared" si="306"/>
        <v>145.63106796117</v>
      </c>
      <c r="X1248" s="225">
        <f t="shared" si="307"/>
        <v>145.63106796117</v>
      </c>
      <c r="Y1248" s="225">
        <f t="shared" si="308"/>
        <v>0</v>
      </c>
      <c r="Z1248" s="225">
        <v>5000</v>
      </c>
      <c r="AA1248" s="225">
        <f t="shared" si="317"/>
        <v>-145.63106796117</v>
      </c>
      <c r="AB1248" s="229">
        <f t="shared" si="302"/>
        <v>5000</v>
      </c>
      <c r="AC1248" s="230">
        <f t="shared" si="303"/>
        <v>0</v>
      </c>
      <c r="AD1248" s="225">
        <v>4854.36893203883</v>
      </c>
      <c r="AE1248" s="205">
        <v>0</v>
      </c>
      <c r="AF1248" s="226">
        <f t="shared" si="311"/>
        <v>0</v>
      </c>
      <c r="AG1248" s="225">
        <f t="shared" si="316"/>
        <v>0</v>
      </c>
      <c r="AH1248" s="225"/>
      <c r="AI1248" s="225"/>
      <c r="AJ1248" s="145" t="s">
        <v>47</v>
      </c>
    </row>
    <row r="1249" s="145" customFormat="1" ht="14.25" hidden="1" spans="1:36">
      <c r="A1249" s="145">
        <v>2017</v>
      </c>
      <c r="B1249" s="145" t="s">
        <v>38</v>
      </c>
      <c r="C1249" s="145" t="s">
        <v>59</v>
      </c>
      <c r="D1249" s="145" t="s">
        <v>106</v>
      </c>
      <c r="E1249" s="145" t="s">
        <v>190</v>
      </c>
      <c r="F1249" s="145" t="s">
        <v>355</v>
      </c>
      <c r="G1249" s="145" t="s">
        <v>356</v>
      </c>
      <c r="H1249" s="145" t="s">
        <v>356</v>
      </c>
      <c r="I1249" s="196" t="s">
        <v>1144</v>
      </c>
      <c r="J1249" s="196" t="s">
        <v>1145</v>
      </c>
      <c r="K1249" s="145" t="s">
        <v>1145</v>
      </c>
      <c r="L1249" s="145" t="s">
        <v>357</v>
      </c>
      <c r="M1249" s="225" t="s">
        <v>46</v>
      </c>
      <c r="N1249" s="205">
        <v>0</v>
      </c>
      <c r="O1249" s="205" t="s">
        <v>47</v>
      </c>
      <c r="P1249" s="205" t="s">
        <v>47</v>
      </c>
      <c r="Q1249" s="225">
        <v>0</v>
      </c>
      <c r="R1249" s="225">
        <v>0</v>
      </c>
      <c r="S1249" s="225">
        <v>10000</v>
      </c>
      <c r="T1249" s="225">
        <f t="shared" si="304"/>
        <v>0</v>
      </c>
      <c r="U1249" s="225">
        <f t="shared" si="305"/>
        <v>10000</v>
      </c>
      <c r="V1249" s="225">
        <v>9708.73786407767</v>
      </c>
      <c r="W1249" s="225">
        <f t="shared" si="306"/>
        <v>291.26213592233</v>
      </c>
      <c r="X1249" s="225">
        <f t="shared" si="307"/>
        <v>291.26213592233</v>
      </c>
      <c r="Y1249" s="225">
        <f t="shared" si="308"/>
        <v>0</v>
      </c>
      <c r="Z1249" s="225">
        <v>10000</v>
      </c>
      <c r="AA1249" s="225">
        <f t="shared" si="317"/>
        <v>-291.26213592233</v>
      </c>
      <c r="AB1249" s="229">
        <f t="shared" si="302"/>
        <v>10000</v>
      </c>
      <c r="AC1249" s="230">
        <f t="shared" si="303"/>
        <v>0</v>
      </c>
      <c r="AD1249" s="225">
        <v>9708.73786407767</v>
      </c>
      <c r="AE1249" s="205">
        <v>0</v>
      </c>
      <c r="AF1249" s="226">
        <f t="shared" si="311"/>
        <v>0</v>
      </c>
      <c r="AG1249" s="225">
        <f t="shared" si="316"/>
        <v>0</v>
      </c>
      <c r="AH1249" s="225"/>
      <c r="AI1249" s="225"/>
      <c r="AJ1249" s="145" t="s">
        <v>47</v>
      </c>
    </row>
    <row r="1250" s="145" customFormat="1" ht="14.25" hidden="1" spans="1:36">
      <c r="A1250" s="145">
        <v>2017</v>
      </c>
      <c r="B1250" s="145" t="s">
        <v>38</v>
      </c>
      <c r="C1250" s="145" t="s">
        <v>110</v>
      </c>
      <c r="D1250" s="145" t="s">
        <v>111</v>
      </c>
      <c r="E1250" s="145" t="s">
        <v>281</v>
      </c>
      <c r="F1250" s="145" t="s">
        <v>900</v>
      </c>
      <c r="G1250" s="145" t="s">
        <v>900</v>
      </c>
      <c r="H1250" s="145" t="s">
        <v>900</v>
      </c>
      <c r="I1250" s="196" t="s">
        <v>1144</v>
      </c>
      <c r="J1250" s="196" t="s">
        <v>1145</v>
      </c>
      <c r="K1250" s="145" t="s">
        <v>1145</v>
      </c>
      <c r="L1250" s="145" t="s">
        <v>900</v>
      </c>
      <c r="M1250" s="225" t="s">
        <v>46</v>
      </c>
      <c r="N1250" s="204">
        <v>0.02</v>
      </c>
      <c r="O1250" s="205" t="s">
        <v>173</v>
      </c>
      <c r="P1250" s="205" t="s">
        <v>51</v>
      </c>
      <c r="Q1250" s="225">
        <v>0</v>
      </c>
      <c r="R1250" s="225">
        <v>0</v>
      </c>
      <c r="S1250" s="225">
        <v>20000</v>
      </c>
      <c r="T1250" s="225">
        <f t="shared" si="304"/>
        <v>400</v>
      </c>
      <c r="U1250" s="225">
        <f t="shared" si="305"/>
        <v>20400</v>
      </c>
      <c r="V1250" s="225">
        <v>19417.48</v>
      </c>
      <c r="W1250" s="225">
        <f t="shared" si="306"/>
        <v>982.52</v>
      </c>
      <c r="X1250" s="225">
        <f t="shared" si="307"/>
        <v>963.254901960785</v>
      </c>
      <c r="Y1250" s="225">
        <f t="shared" si="308"/>
        <v>19.2650980392157</v>
      </c>
      <c r="Z1250" s="225">
        <v>20000</v>
      </c>
      <c r="AA1250" s="225">
        <f t="shared" si="317"/>
        <v>-582.52</v>
      </c>
      <c r="AB1250" s="229">
        <f t="shared" si="302"/>
        <v>19607.8431372549</v>
      </c>
      <c r="AC1250" s="230">
        <f t="shared" si="303"/>
        <v>392.156862745098</v>
      </c>
      <c r="AD1250" s="225">
        <v>19417.48</v>
      </c>
      <c r="AE1250" s="205">
        <v>0</v>
      </c>
      <c r="AF1250" s="226">
        <f t="shared" si="311"/>
        <v>0</v>
      </c>
      <c r="AG1250" s="225">
        <f t="shared" si="316"/>
        <v>-392.156862745098</v>
      </c>
      <c r="AH1250" s="225"/>
      <c r="AI1250" s="225"/>
      <c r="AJ1250" s="145" t="s">
        <v>173</v>
      </c>
    </row>
    <row r="1251" s="145" customFormat="1" ht="14.25" hidden="1" spans="1:36">
      <c r="A1251" s="145">
        <v>2017</v>
      </c>
      <c r="B1251" s="145" t="s">
        <v>38</v>
      </c>
      <c r="C1251" s="145" t="s">
        <v>137</v>
      </c>
      <c r="D1251" s="145" t="s">
        <v>270</v>
      </c>
      <c r="E1251" s="145" t="s">
        <v>270</v>
      </c>
      <c r="F1251" s="145" t="s">
        <v>1147</v>
      </c>
      <c r="G1251" s="145" t="s">
        <v>1147</v>
      </c>
      <c r="H1251" s="145" t="s">
        <v>1147</v>
      </c>
      <c r="I1251" s="196" t="s">
        <v>1144</v>
      </c>
      <c r="J1251" s="196" t="s">
        <v>1145</v>
      </c>
      <c r="K1251" s="145" t="s">
        <v>1145</v>
      </c>
      <c r="L1251" s="145" t="s">
        <v>1147</v>
      </c>
      <c r="M1251" s="225" t="s">
        <v>46</v>
      </c>
      <c r="N1251" s="205">
        <v>0</v>
      </c>
      <c r="O1251" s="205" t="s">
        <v>47</v>
      </c>
      <c r="P1251" s="205" t="s">
        <v>47</v>
      </c>
      <c r="Q1251" s="225">
        <v>0</v>
      </c>
      <c r="R1251" s="225">
        <v>0</v>
      </c>
      <c r="S1251" s="225">
        <v>60000</v>
      </c>
      <c r="T1251" s="225">
        <f t="shared" si="304"/>
        <v>0</v>
      </c>
      <c r="U1251" s="225">
        <f t="shared" si="305"/>
        <v>60000</v>
      </c>
      <c r="V1251" s="225">
        <v>58543.7</v>
      </c>
      <c r="W1251" s="225">
        <f t="shared" si="306"/>
        <v>1456.3</v>
      </c>
      <c r="X1251" s="225">
        <f t="shared" si="307"/>
        <v>1456.3</v>
      </c>
      <c r="Y1251" s="225">
        <f t="shared" si="308"/>
        <v>0</v>
      </c>
      <c r="Z1251" s="225">
        <f>60000-3340</f>
        <v>56660</v>
      </c>
      <c r="AA1251" s="225">
        <f t="shared" si="317"/>
        <v>1883.7</v>
      </c>
      <c r="AB1251" s="229">
        <f t="shared" si="302"/>
        <v>56660</v>
      </c>
      <c r="AC1251" s="230">
        <f t="shared" si="303"/>
        <v>0</v>
      </c>
      <c r="AD1251" s="225">
        <v>55203.7</v>
      </c>
      <c r="AE1251" s="205">
        <v>0</v>
      </c>
      <c r="AF1251" s="226">
        <f t="shared" si="311"/>
        <v>0</v>
      </c>
      <c r="AG1251" s="225">
        <f t="shared" si="316"/>
        <v>0</v>
      </c>
      <c r="AH1251" s="225"/>
      <c r="AI1251" s="225"/>
      <c r="AJ1251" s="145" t="s">
        <v>47</v>
      </c>
    </row>
    <row r="1252" s="145" customFormat="1" ht="14.25" hidden="1" spans="1:36">
      <c r="A1252" s="145">
        <v>2017</v>
      </c>
      <c r="B1252" s="145" t="s">
        <v>38</v>
      </c>
      <c r="C1252" s="145" t="s">
        <v>59</v>
      </c>
      <c r="D1252" s="145" t="s">
        <v>60</v>
      </c>
      <c r="E1252" s="145" t="s">
        <v>192</v>
      </c>
      <c r="F1252" s="145" t="s">
        <v>1148</v>
      </c>
      <c r="G1252" s="145" t="s">
        <v>1148</v>
      </c>
      <c r="H1252" s="145" t="s">
        <v>1148</v>
      </c>
      <c r="I1252" s="196" t="s">
        <v>1144</v>
      </c>
      <c r="J1252" s="196" t="s">
        <v>1145</v>
      </c>
      <c r="K1252" s="145" t="s">
        <v>1145</v>
      </c>
      <c r="L1252" s="145" t="s">
        <v>1148</v>
      </c>
      <c r="M1252" s="225" t="s">
        <v>46</v>
      </c>
      <c r="N1252" s="205">
        <v>0</v>
      </c>
      <c r="O1252" s="204">
        <v>0</v>
      </c>
      <c r="P1252" s="205" t="s">
        <v>47</v>
      </c>
      <c r="Q1252" s="225">
        <v>0</v>
      </c>
      <c r="R1252" s="225">
        <v>0</v>
      </c>
      <c r="S1252" s="225">
        <v>5000</v>
      </c>
      <c r="T1252" s="225">
        <f t="shared" si="304"/>
        <v>0</v>
      </c>
      <c r="U1252" s="225">
        <f t="shared" si="305"/>
        <v>5000</v>
      </c>
      <c r="V1252" s="225">
        <v>4854.36893203883</v>
      </c>
      <c r="W1252" s="225">
        <f t="shared" si="306"/>
        <v>145.63106796117</v>
      </c>
      <c r="X1252" s="225">
        <f t="shared" si="307"/>
        <v>145.63106796117</v>
      </c>
      <c r="Y1252" s="225">
        <f t="shared" si="308"/>
        <v>0</v>
      </c>
      <c r="Z1252" s="225">
        <v>5000</v>
      </c>
      <c r="AA1252" s="225">
        <f t="shared" si="317"/>
        <v>-145.63106796117</v>
      </c>
      <c r="AB1252" s="229">
        <f t="shared" si="302"/>
        <v>5000</v>
      </c>
      <c r="AC1252" s="230">
        <f t="shared" si="303"/>
        <v>0</v>
      </c>
      <c r="AD1252" s="225">
        <v>4854.36893203883</v>
      </c>
      <c r="AE1252" s="205">
        <v>0</v>
      </c>
      <c r="AF1252" s="226">
        <f t="shared" si="311"/>
        <v>0</v>
      </c>
      <c r="AG1252" s="225">
        <f t="shared" si="316"/>
        <v>0</v>
      </c>
      <c r="AH1252" s="225"/>
      <c r="AI1252" s="225"/>
      <c r="AJ1252" s="145" t="s">
        <v>120</v>
      </c>
    </row>
    <row r="1253" s="145" customFormat="1" ht="14.25" hidden="1" spans="1:36">
      <c r="A1253" s="145">
        <v>2017</v>
      </c>
      <c r="B1253" s="145" t="s">
        <v>38</v>
      </c>
      <c r="C1253" s="145" t="s">
        <v>59</v>
      </c>
      <c r="D1253" s="145" t="s">
        <v>106</v>
      </c>
      <c r="E1253" s="145" t="s">
        <v>239</v>
      </c>
      <c r="F1253" s="145" t="s">
        <v>240</v>
      </c>
      <c r="G1253" s="145" t="s">
        <v>240</v>
      </c>
      <c r="H1253" s="145" t="s">
        <v>240</v>
      </c>
      <c r="I1253" s="196" t="s">
        <v>1144</v>
      </c>
      <c r="J1253" s="196" t="s">
        <v>1145</v>
      </c>
      <c r="K1253" s="145" t="s">
        <v>1145</v>
      </c>
      <c r="L1253" s="145" t="s">
        <v>240</v>
      </c>
      <c r="M1253" s="225" t="s">
        <v>46</v>
      </c>
      <c r="N1253" s="205">
        <v>0</v>
      </c>
      <c r="O1253" s="205" t="s">
        <v>47</v>
      </c>
      <c r="P1253" s="205" t="s">
        <v>47</v>
      </c>
      <c r="Q1253" s="225">
        <v>0</v>
      </c>
      <c r="R1253" s="225">
        <v>0</v>
      </c>
      <c r="S1253" s="225">
        <v>4543.15</v>
      </c>
      <c r="T1253" s="225">
        <f t="shared" si="304"/>
        <v>0</v>
      </c>
      <c r="U1253" s="225">
        <f t="shared" si="305"/>
        <v>4543.15</v>
      </c>
      <c r="V1253" s="225">
        <v>4410.83</v>
      </c>
      <c r="W1253" s="225">
        <f t="shared" si="306"/>
        <v>132.32</v>
      </c>
      <c r="X1253" s="225">
        <f t="shared" si="307"/>
        <v>132.32</v>
      </c>
      <c r="Y1253" s="225">
        <f t="shared" si="308"/>
        <v>0</v>
      </c>
      <c r="Z1253" s="225">
        <v>4543.15</v>
      </c>
      <c r="AA1253" s="225">
        <f t="shared" si="317"/>
        <v>-132.32</v>
      </c>
      <c r="AB1253" s="229">
        <f t="shared" si="302"/>
        <v>4543.15</v>
      </c>
      <c r="AC1253" s="230">
        <f t="shared" si="303"/>
        <v>0</v>
      </c>
      <c r="AD1253" s="225">
        <v>4410.83</v>
      </c>
      <c r="AE1253" s="205">
        <v>0</v>
      </c>
      <c r="AF1253" s="226">
        <f t="shared" si="311"/>
        <v>0</v>
      </c>
      <c r="AG1253" s="225">
        <f t="shared" si="316"/>
        <v>0</v>
      </c>
      <c r="AH1253" s="225"/>
      <c r="AI1253" s="225"/>
      <c r="AJ1253" s="145" t="s">
        <v>120</v>
      </c>
    </row>
    <row r="1254" s="145" customFormat="1" ht="14.25" hidden="1" spans="1:36">
      <c r="A1254" s="145">
        <v>2017</v>
      </c>
      <c r="B1254" s="145" t="s">
        <v>38</v>
      </c>
      <c r="C1254" s="145" t="s">
        <v>59</v>
      </c>
      <c r="D1254" s="145" t="s">
        <v>106</v>
      </c>
      <c r="E1254" s="145" t="s">
        <v>131</v>
      </c>
      <c r="F1254" s="145" t="s">
        <v>473</v>
      </c>
      <c r="G1254" s="145" t="s">
        <v>473</v>
      </c>
      <c r="H1254" s="145" t="s">
        <v>473</v>
      </c>
      <c r="I1254" s="196" t="s">
        <v>1144</v>
      </c>
      <c r="J1254" s="196" t="s">
        <v>1145</v>
      </c>
      <c r="K1254" s="145" t="s">
        <v>1145</v>
      </c>
      <c r="L1254" s="145" t="s">
        <v>473</v>
      </c>
      <c r="M1254" s="225" t="s">
        <v>46</v>
      </c>
      <c r="N1254" s="205">
        <v>0</v>
      </c>
      <c r="O1254" s="205" t="s">
        <v>47</v>
      </c>
      <c r="P1254" s="205" t="s">
        <v>47</v>
      </c>
      <c r="Q1254" s="225">
        <v>0</v>
      </c>
      <c r="R1254" s="225">
        <v>0</v>
      </c>
      <c r="S1254" s="225">
        <v>15000</v>
      </c>
      <c r="T1254" s="225">
        <f t="shared" si="304"/>
        <v>0</v>
      </c>
      <c r="U1254" s="225">
        <f t="shared" si="305"/>
        <v>15000</v>
      </c>
      <c r="V1254" s="225">
        <v>14563.11</v>
      </c>
      <c r="W1254" s="225">
        <f t="shared" si="306"/>
        <v>436.889999999999</v>
      </c>
      <c r="X1254" s="225">
        <f t="shared" si="307"/>
        <v>436.889999999999</v>
      </c>
      <c r="Y1254" s="225">
        <f t="shared" si="308"/>
        <v>0</v>
      </c>
      <c r="Z1254" s="225">
        <v>15000</v>
      </c>
      <c r="AA1254" s="225">
        <f t="shared" si="317"/>
        <v>-436.889999999999</v>
      </c>
      <c r="AB1254" s="229">
        <f t="shared" si="302"/>
        <v>15000</v>
      </c>
      <c r="AC1254" s="230">
        <f t="shared" si="303"/>
        <v>0</v>
      </c>
      <c r="AD1254" s="225">
        <v>14563.11</v>
      </c>
      <c r="AE1254" s="205">
        <v>0</v>
      </c>
      <c r="AF1254" s="226">
        <f t="shared" si="311"/>
        <v>0</v>
      </c>
      <c r="AG1254" s="225">
        <f t="shared" si="316"/>
        <v>0</v>
      </c>
      <c r="AH1254" s="225"/>
      <c r="AI1254" s="225"/>
      <c r="AJ1254" s="145" t="s">
        <v>120</v>
      </c>
    </row>
    <row r="1255" s="145" customFormat="1" ht="14.25" hidden="1" spans="1:36">
      <c r="A1255" s="145">
        <v>2017</v>
      </c>
      <c r="B1255" s="145" t="s">
        <v>38</v>
      </c>
      <c r="C1255" s="145" t="s">
        <v>59</v>
      </c>
      <c r="D1255" s="145" t="s">
        <v>106</v>
      </c>
      <c r="E1255" s="145" t="s">
        <v>239</v>
      </c>
      <c r="F1255" s="145" t="s">
        <v>352</v>
      </c>
      <c r="G1255" s="145" t="s">
        <v>352</v>
      </c>
      <c r="H1255" s="145" t="s">
        <v>352</v>
      </c>
      <c r="I1255" s="196" t="s">
        <v>1144</v>
      </c>
      <c r="J1255" s="196" t="s">
        <v>1145</v>
      </c>
      <c r="K1255" s="145" t="s">
        <v>1145</v>
      </c>
      <c r="L1255" s="145" t="s">
        <v>352</v>
      </c>
      <c r="M1255" s="225" t="s">
        <v>46</v>
      </c>
      <c r="N1255" s="205">
        <v>0</v>
      </c>
      <c r="O1255" s="205" t="s">
        <v>47</v>
      </c>
      <c r="P1255" s="205" t="s">
        <v>47</v>
      </c>
      <c r="Q1255" s="225">
        <v>0</v>
      </c>
      <c r="R1255" s="225">
        <v>0</v>
      </c>
      <c r="S1255" s="225">
        <v>20000</v>
      </c>
      <c r="T1255" s="225">
        <f t="shared" si="304"/>
        <v>0</v>
      </c>
      <c r="U1255" s="225">
        <f t="shared" si="305"/>
        <v>20000</v>
      </c>
      <c r="V1255" s="225">
        <v>19417.48</v>
      </c>
      <c r="W1255" s="225">
        <f t="shared" si="306"/>
        <v>582.52</v>
      </c>
      <c r="X1255" s="225">
        <f t="shared" si="307"/>
        <v>582.52</v>
      </c>
      <c r="Y1255" s="225">
        <f t="shared" si="308"/>
        <v>0</v>
      </c>
      <c r="Z1255" s="225">
        <v>20000</v>
      </c>
      <c r="AA1255" s="225">
        <f t="shared" si="317"/>
        <v>-582.52</v>
      </c>
      <c r="AB1255" s="229">
        <f t="shared" si="302"/>
        <v>20000</v>
      </c>
      <c r="AC1255" s="230">
        <f t="shared" si="303"/>
        <v>0</v>
      </c>
      <c r="AD1255" s="225">
        <v>19417.48</v>
      </c>
      <c r="AE1255" s="205">
        <v>0</v>
      </c>
      <c r="AF1255" s="226">
        <f t="shared" si="311"/>
        <v>0</v>
      </c>
      <c r="AG1255" s="225">
        <f t="shared" si="316"/>
        <v>0</v>
      </c>
      <c r="AH1255" s="225"/>
      <c r="AI1255" s="225"/>
      <c r="AJ1255" s="145" t="s">
        <v>120</v>
      </c>
    </row>
    <row r="1256" s="145" customFormat="1" ht="14.25" hidden="1" spans="1:36">
      <c r="A1256" s="145">
        <v>2017</v>
      </c>
      <c r="B1256" s="145" t="s">
        <v>38</v>
      </c>
      <c r="C1256" s="145" t="s">
        <v>59</v>
      </c>
      <c r="D1256" s="145" t="s">
        <v>106</v>
      </c>
      <c r="E1256" s="145" t="s">
        <v>239</v>
      </c>
      <c r="F1256" s="145" t="s">
        <v>352</v>
      </c>
      <c r="G1256" s="145" t="s">
        <v>352</v>
      </c>
      <c r="H1256" s="145" t="s">
        <v>352</v>
      </c>
      <c r="I1256" s="196" t="s">
        <v>1144</v>
      </c>
      <c r="J1256" s="196" t="s">
        <v>1145</v>
      </c>
      <c r="K1256" s="145" t="s">
        <v>1145</v>
      </c>
      <c r="L1256" s="145" t="s">
        <v>352</v>
      </c>
      <c r="M1256" s="225" t="s">
        <v>160</v>
      </c>
      <c r="N1256" s="205">
        <v>0</v>
      </c>
      <c r="O1256" s="205" t="s">
        <v>241</v>
      </c>
      <c r="P1256" s="205" t="s">
        <v>47</v>
      </c>
      <c r="Q1256" s="225">
        <v>0</v>
      </c>
      <c r="R1256" s="225">
        <v>0</v>
      </c>
      <c r="S1256" s="225">
        <v>562000</v>
      </c>
      <c r="T1256" s="225">
        <f t="shared" si="304"/>
        <v>0</v>
      </c>
      <c r="U1256" s="225">
        <f t="shared" si="305"/>
        <v>562000</v>
      </c>
      <c r="V1256" s="225">
        <v>562000</v>
      </c>
      <c r="W1256" s="225">
        <f t="shared" si="306"/>
        <v>0</v>
      </c>
      <c r="X1256" s="225">
        <f t="shared" si="307"/>
        <v>0</v>
      </c>
      <c r="Y1256" s="225">
        <f t="shared" si="308"/>
        <v>0</v>
      </c>
      <c r="Z1256" s="225">
        <v>562000</v>
      </c>
      <c r="AA1256" s="225">
        <f t="shared" si="317"/>
        <v>0</v>
      </c>
      <c r="AB1256" s="229">
        <f t="shared" si="302"/>
        <v>562000</v>
      </c>
      <c r="AC1256" s="230">
        <f t="shared" si="303"/>
        <v>0</v>
      </c>
      <c r="AD1256" s="231">
        <v>562000</v>
      </c>
      <c r="AE1256" s="205">
        <v>0.1</v>
      </c>
      <c r="AF1256" s="226">
        <f t="shared" si="311"/>
        <v>56200</v>
      </c>
      <c r="AG1256" s="225">
        <f t="shared" si="316"/>
        <v>56200</v>
      </c>
      <c r="AH1256" s="225"/>
      <c r="AI1256" s="225"/>
      <c r="AJ1256" s="145" t="s">
        <v>241</v>
      </c>
    </row>
    <row r="1257" s="145" customFormat="1" ht="14.25" hidden="1" spans="1:36">
      <c r="A1257" s="145">
        <v>2017</v>
      </c>
      <c r="B1257" s="145" t="s">
        <v>38</v>
      </c>
      <c r="C1257" s="145" t="s">
        <v>75</v>
      </c>
      <c r="D1257" s="145" t="s">
        <v>76</v>
      </c>
      <c r="E1257" s="145" t="s">
        <v>225</v>
      </c>
      <c r="F1257" s="145" t="s">
        <v>159</v>
      </c>
      <c r="G1257" s="145" t="s">
        <v>159</v>
      </c>
      <c r="H1257" s="145" t="s">
        <v>159</v>
      </c>
      <c r="I1257" s="196" t="s">
        <v>1144</v>
      </c>
      <c r="J1257" s="196" t="s">
        <v>1145</v>
      </c>
      <c r="K1257" s="145" t="s">
        <v>1145</v>
      </c>
      <c r="L1257" s="145" t="s">
        <v>159</v>
      </c>
      <c r="M1257" s="225" t="s">
        <v>46</v>
      </c>
      <c r="N1257" s="205">
        <v>0</v>
      </c>
      <c r="O1257" s="205" t="s">
        <v>1124</v>
      </c>
      <c r="P1257" s="205" t="s">
        <v>47</v>
      </c>
      <c r="Q1257" s="225">
        <v>0</v>
      </c>
      <c r="R1257" s="225">
        <v>0</v>
      </c>
      <c r="S1257" s="225">
        <v>5000</v>
      </c>
      <c r="T1257" s="225">
        <f t="shared" si="304"/>
        <v>0</v>
      </c>
      <c r="U1257" s="225">
        <f t="shared" si="305"/>
        <v>5000</v>
      </c>
      <c r="V1257" s="225">
        <v>4854.37</v>
      </c>
      <c r="W1257" s="225">
        <f t="shared" si="306"/>
        <v>145.63</v>
      </c>
      <c r="X1257" s="225">
        <f t="shared" si="307"/>
        <v>145.63</v>
      </c>
      <c r="Y1257" s="225">
        <f t="shared" si="308"/>
        <v>0</v>
      </c>
      <c r="Z1257" s="225">
        <v>5000</v>
      </c>
      <c r="AA1257" s="225">
        <f t="shared" si="317"/>
        <v>-145.63</v>
      </c>
      <c r="AB1257" s="229">
        <f t="shared" si="302"/>
        <v>5000</v>
      </c>
      <c r="AC1257" s="230">
        <f t="shared" si="303"/>
        <v>0</v>
      </c>
      <c r="AD1257" s="225">
        <v>4854.37</v>
      </c>
      <c r="AE1257" s="205">
        <v>0</v>
      </c>
      <c r="AF1257" s="226">
        <f t="shared" si="311"/>
        <v>0</v>
      </c>
      <c r="AG1257" s="225">
        <f t="shared" si="316"/>
        <v>0</v>
      </c>
      <c r="AH1257" s="225"/>
      <c r="AI1257" s="225"/>
      <c r="AJ1257" s="145" t="s">
        <v>1124</v>
      </c>
    </row>
    <row r="1258" s="145" customFormat="1" ht="14.25" hidden="1" spans="1:36">
      <c r="A1258" s="145">
        <v>2017</v>
      </c>
      <c r="B1258" s="145" t="s">
        <v>38</v>
      </c>
      <c r="C1258" s="145" t="s">
        <v>75</v>
      </c>
      <c r="D1258" s="145" t="s">
        <v>76</v>
      </c>
      <c r="E1258" s="145" t="s">
        <v>225</v>
      </c>
      <c r="F1258" s="145" t="s">
        <v>159</v>
      </c>
      <c r="G1258" s="145" t="s">
        <v>159</v>
      </c>
      <c r="H1258" s="145" t="s">
        <v>159</v>
      </c>
      <c r="I1258" s="196" t="s">
        <v>1144</v>
      </c>
      <c r="J1258" s="196" t="s">
        <v>1145</v>
      </c>
      <c r="K1258" s="145" t="s">
        <v>1145</v>
      </c>
      <c r="L1258" s="145" t="s">
        <v>159</v>
      </c>
      <c r="M1258" s="225" t="s">
        <v>160</v>
      </c>
      <c r="N1258" s="205">
        <v>0</v>
      </c>
      <c r="O1258" s="205" t="s">
        <v>1146</v>
      </c>
      <c r="P1258" s="205" t="s">
        <v>47</v>
      </c>
      <c r="Q1258" s="225">
        <v>0</v>
      </c>
      <c r="R1258" s="225">
        <v>0</v>
      </c>
      <c r="S1258" s="225">
        <v>3107000</v>
      </c>
      <c r="T1258" s="225">
        <f t="shared" si="304"/>
        <v>0</v>
      </c>
      <c r="U1258" s="225">
        <f t="shared" si="305"/>
        <v>3107000</v>
      </c>
      <c r="V1258" s="225">
        <v>3107000</v>
      </c>
      <c r="W1258" s="225">
        <f t="shared" si="306"/>
        <v>0</v>
      </c>
      <c r="X1258" s="225">
        <f t="shared" si="307"/>
        <v>0</v>
      </c>
      <c r="Y1258" s="225">
        <f t="shared" si="308"/>
        <v>0</v>
      </c>
      <c r="Z1258" s="225">
        <v>3107000</v>
      </c>
      <c r="AA1258" s="225">
        <f t="shared" si="317"/>
        <v>0</v>
      </c>
      <c r="AB1258" s="229">
        <f t="shared" si="302"/>
        <v>3107000</v>
      </c>
      <c r="AC1258" s="230">
        <f t="shared" si="303"/>
        <v>0</v>
      </c>
      <c r="AD1258" s="231">
        <v>3107000</v>
      </c>
      <c r="AE1258" s="205">
        <v>0.1</v>
      </c>
      <c r="AF1258" s="226">
        <f t="shared" si="311"/>
        <v>310700</v>
      </c>
      <c r="AG1258" s="225">
        <f t="shared" si="316"/>
        <v>310700</v>
      </c>
      <c r="AH1258" s="225"/>
      <c r="AI1258" s="225"/>
      <c r="AJ1258" s="145" t="s">
        <v>1146</v>
      </c>
    </row>
    <row r="1259" s="145" customFormat="1" ht="14.25" hidden="1" spans="1:36">
      <c r="A1259" s="145">
        <v>2017</v>
      </c>
      <c r="B1259" s="145" t="s">
        <v>38</v>
      </c>
      <c r="C1259" s="145" t="s">
        <v>54</v>
      </c>
      <c r="D1259" s="145" t="s">
        <v>102</v>
      </c>
      <c r="E1259" s="145" t="s">
        <v>187</v>
      </c>
      <c r="F1259" s="145" t="s">
        <v>1149</v>
      </c>
      <c r="G1259" s="145" t="s">
        <v>1149</v>
      </c>
      <c r="H1259" s="145" t="s">
        <v>1149</v>
      </c>
      <c r="I1259" s="196" t="s">
        <v>1144</v>
      </c>
      <c r="J1259" s="196" t="s">
        <v>1145</v>
      </c>
      <c r="K1259" s="145" t="s">
        <v>1145</v>
      </c>
      <c r="L1259" s="145" t="s">
        <v>1150</v>
      </c>
      <c r="M1259" s="225" t="s">
        <v>46</v>
      </c>
      <c r="N1259" s="205">
        <v>0</v>
      </c>
      <c r="O1259" s="205" t="s">
        <v>47</v>
      </c>
      <c r="P1259" s="205" t="s">
        <v>47</v>
      </c>
      <c r="Q1259" s="225">
        <v>0</v>
      </c>
      <c r="R1259" s="225">
        <v>0</v>
      </c>
      <c r="S1259" s="225">
        <v>50000</v>
      </c>
      <c r="T1259" s="225">
        <f t="shared" si="304"/>
        <v>0</v>
      </c>
      <c r="U1259" s="225">
        <f t="shared" si="305"/>
        <v>50000</v>
      </c>
      <c r="V1259" s="225">
        <v>49126.21</v>
      </c>
      <c r="W1259" s="225">
        <f t="shared" si="306"/>
        <v>873.790000000001</v>
      </c>
      <c r="X1259" s="225">
        <f t="shared" si="307"/>
        <v>873.790000000001</v>
      </c>
      <c r="Y1259" s="225">
        <f t="shared" si="308"/>
        <v>0</v>
      </c>
      <c r="Z1259" s="225">
        <v>50000</v>
      </c>
      <c r="AA1259" s="225">
        <f t="shared" si="317"/>
        <v>-873.790000000001</v>
      </c>
      <c r="AB1259" s="229">
        <f t="shared" si="302"/>
        <v>50000</v>
      </c>
      <c r="AC1259" s="230">
        <f t="shared" si="303"/>
        <v>0</v>
      </c>
      <c r="AD1259" s="225">
        <v>49126.21</v>
      </c>
      <c r="AE1259" s="205">
        <v>0</v>
      </c>
      <c r="AF1259" s="226">
        <f t="shared" si="311"/>
        <v>0</v>
      </c>
      <c r="AG1259" s="225">
        <f t="shared" si="316"/>
        <v>0</v>
      </c>
      <c r="AH1259" s="225"/>
      <c r="AI1259" s="225"/>
      <c r="AJ1259" s="145" t="s">
        <v>47</v>
      </c>
    </row>
    <row r="1260" s="145" customFormat="1" ht="14.25" hidden="1" spans="1:36">
      <c r="A1260" s="145">
        <v>2017</v>
      </c>
      <c r="B1260" s="145" t="s">
        <v>252</v>
      </c>
      <c r="C1260" s="145" t="s">
        <v>110</v>
      </c>
      <c r="D1260" s="145" t="s">
        <v>111</v>
      </c>
      <c r="E1260" s="145" t="s">
        <v>112</v>
      </c>
      <c r="F1260" s="145" t="s">
        <v>1098</v>
      </c>
      <c r="G1260" s="145" t="s">
        <v>1099</v>
      </c>
      <c r="H1260" s="145" t="s">
        <v>1099</v>
      </c>
      <c r="I1260" s="196" t="s">
        <v>1144</v>
      </c>
      <c r="J1260" s="196" t="s">
        <v>1145</v>
      </c>
      <c r="K1260" s="145" t="s">
        <v>1145</v>
      </c>
      <c r="L1260" s="145" t="s">
        <v>1098</v>
      </c>
      <c r="M1260" s="225" t="s">
        <v>160</v>
      </c>
      <c r="N1260" s="205">
        <v>0</v>
      </c>
      <c r="O1260" s="205" t="s">
        <v>1142</v>
      </c>
      <c r="P1260" s="205" t="s">
        <v>47</v>
      </c>
      <c r="Q1260" s="225">
        <v>0</v>
      </c>
      <c r="R1260" s="225">
        <v>0</v>
      </c>
      <c r="S1260" s="225">
        <v>175000</v>
      </c>
      <c r="T1260" s="225">
        <f t="shared" si="304"/>
        <v>0</v>
      </c>
      <c r="U1260" s="225">
        <f t="shared" si="305"/>
        <v>175000</v>
      </c>
      <c r="V1260" s="225">
        <v>175000</v>
      </c>
      <c r="W1260" s="225">
        <f t="shared" si="306"/>
        <v>0</v>
      </c>
      <c r="X1260" s="225">
        <f t="shared" si="307"/>
        <v>0</v>
      </c>
      <c r="Y1260" s="225">
        <f t="shared" si="308"/>
        <v>0</v>
      </c>
      <c r="Z1260" s="225">
        <v>175000</v>
      </c>
      <c r="AA1260" s="225">
        <f t="shared" si="317"/>
        <v>0</v>
      </c>
      <c r="AB1260" s="229">
        <f t="shared" si="302"/>
        <v>175000</v>
      </c>
      <c r="AC1260" s="230">
        <f t="shared" si="303"/>
        <v>0</v>
      </c>
      <c r="AD1260" s="225">
        <v>175000</v>
      </c>
      <c r="AE1260" s="205">
        <v>0.1</v>
      </c>
      <c r="AF1260" s="226">
        <f t="shared" si="311"/>
        <v>17500</v>
      </c>
      <c r="AG1260" s="225">
        <f t="shared" si="316"/>
        <v>17500</v>
      </c>
      <c r="AH1260" s="225"/>
      <c r="AI1260" s="225"/>
      <c r="AJ1260" s="145" t="s">
        <v>1142</v>
      </c>
    </row>
    <row r="1261" s="145" customFormat="1" ht="14.25" hidden="1" spans="1:36">
      <c r="A1261" s="145">
        <v>2017</v>
      </c>
      <c r="B1261" s="145" t="s">
        <v>38</v>
      </c>
      <c r="C1261" s="145" t="s">
        <v>88</v>
      </c>
      <c r="D1261" s="145" t="s">
        <v>128</v>
      </c>
      <c r="E1261" s="145" t="s">
        <v>124</v>
      </c>
      <c r="F1261" s="145" t="s">
        <v>169</v>
      </c>
      <c r="G1261" s="145" t="s">
        <v>169</v>
      </c>
      <c r="H1261" s="145" t="s">
        <v>169</v>
      </c>
      <c r="I1261" s="196" t="s">
        <v>1144</v>
      </c>
      <c r="J1261" s="196" t="s">
        <v>1145</v>
      </c>
      <c r="K1261" s="145" t="s">
        <v>1145</v>
      </c>
      <c r="L1261" s="145" t="s">
        <v>169</v>
      </c>
      <c r="M1261" s="225" t="s">
        <v>46</v>
      </c>
      <c r="N1261" s="205">
        <v>0</v>
      </c>
      <c r="O1261" s="205" t="s">
        <v>47</v>
      </c>
      <c r="P1261" s="205" t="s">
        <v>47</v>
      </c>
      <c r="Q1261" s="225">
        <v>0</v>
      </c>
      <c r="R1261" s="225">
        <v>0</v>
      </c>
      <c r="S1261" s="225">
        <v>0</v>
      </c>
      <c r="T1261" s="225">
        <f t="shared" si="304"/>
        <v>0</v>
      </c>
      <c r="U1261" s="225">
        <f t="shared" si="305"/>
        <v>0</v>
      </c>
      <c r="V1261" s="225">
        <v>0</v>
      </c>
      <c r="W1261" s="225">
        <f t="shared" si="306"/>
        <v>0</v>
      </c>
      <c r="X1261" s="225">
        <f t="shared" si="307"/>
        <v>0</v>
      </c>
      <c r="Y1261" s="225">
        <f t="shared" si="308"/>
        <v>0</v>
      </c>
      <c r="Z1261" s="225">
        <v>0</v>
      </c>
      <c r="AA1261" s="225">
        <f t="shared" si="317"/>
        <v>0</v>
      </c>
      <c r="AB1261" s="229">
        <f t="shared" si="302"/>
        <v>0</v>
      </c>
      <c r="AC1261" s="230">
        <f t="shared" si="303"/>
        <v>0</v>
      </c>
      <c r="AD1261" s="225">
        <v>0</v>
      </c>
      <c r="AE1261" s="205">
        <v>0</v>
      </c>
      <c r="AF1261" s="226">
        <f t="shared" si="311"/>
        <v>0</v>
      </c>
      <c r="AG1261" s="225">
        <f t="shared" si="316"/>
        <v>0</v>
      </c>
      <c r="AH1261" s="225"/>
      <c r="AI1261" s="225"/>
      <c r="AJ1261" s="145" t="s">
        <v>47</v>
      </c>
    </row>
    <row r="1262" s="145" customFormat="1" ht="14.25" hidden="1" spans="1:36">
      <c r="A1262" s="145">
        <v>2017</v>
      </c>
      <c r="B1262" s="145" t="s">
        <v>38</v>
      </c>
      <c r="C1262" s="145" t="s">
        <v>88</v>
      </c>
      <c r="D1262" s="145" t="s">
        <v>128</v>
      </c>
      <c r="E1262" s="145" t="s">
        <v>194</v>
      </c>
      <c r="F1262" s="145" t="s">
        <v>169</v>
      </c>
      <c r="G1262" s="145" t="s">
        <v>169</v>
      </c>
      <c r="H1262" s="145" t="s">
        <v>169</v>
      </c>
      <c r="I1262" s="196" t="s">
        <v>1144</v>
      </c>
      <c r="J1262" s="196" t="s">
        <v>1145</v>
      </c>
      <c r="K1262" s="145" t="s">
        <v>1145</v>
      </c>
      <c r="L1262" s="145" t="s">
        <v>169</v>
      </c>
      <c r="M1262" s="225" t="s">
        <v>160</v>
      </c>
      <c r="N1262" s="204">
        <v>0</v>
      </c>
      <c r="O1262" s="205" t="s">
        <v>522</v>
      </c>
      <c r="P1262" s="205" t="s">
        <v>47</v>
      </c>
      <c r="Q1262" s="225">
        <v>0</v>
      </c>
      <c r="R1262" s="225">
        <v>0</v>
      </c>
      <c r="S1262" s="225">
        <v>271800</v>
      </c>
      <c r="T1262" s="225">
        <f t="shared" si="304"/>
        <v>0</v>
      </c>
      <c r="U1262" s="225">
        <f t="shared" si="305"/>
        <v>271800</v>
      </c>
      <c r="V1262" s="225">
        <v>226500</v>
      </c>
      <c r="W1262" s="225">
        <f t="shared" si="306"/>
        <v>45300</v>
      </c>
      <c r="X1262" s="225">
        <f t="shared" si="307"/>
        <v>45300</v>
      </c>
      <c r="Y1262" s="225">
        <f t="shared" si="308"/>
        <v>0</v>
      </c>
      <c r="Z1262" s="225">
        <v>271800</v>
      </c>
      <c r="AA1262" s="225">
        <f t="shared" si="317"/>
        <v>-45300</v>
      </c>
      <c r="AB1262" s="229">
        <f t="shared" si="302"/>
        <v>271800</v>
      </c>
      <c r="AC1262" s="230">
        <f t="shared" si="303"/>
        <v>0</v>
      </c>
      <c r="AD1262" s="225">
        <v>226500</v>
      </c>
      <c r="AE1262" s="205">
        <v>0.1</v>
      </c>
      <c r="AF1262" s="226">
        <f t="shared" si="311"/>
        <v>22650</v>
      </c>
      <c r="AG1262" s="225">
        <f t="shared" si="316"/>
        <v>22650</v>
      </c>
      <c r="AH1262" s="225"/>
      <c r="AI1262" s="225"/>
      <c r="AJ1262" s="145" t="s">
        <v>522</v>
      </c>
    </row>
    <row r="1263" s="145" customFormat="1" ht="14.25" hidden="1" spans="1:36">
      <c r="A1263" s="145">
        <v>2017</v>
      </c>
      <c r="B1263" s="145" t="s">
        <v>38</v>
      </c>
      <c r="C1263" s="145" t="s">
        <v>59</v>
      </c>
      <c r="D1263" s="145" t="s">
        <v>210</v>
      </c>
      <c r="E1263" s="145" t="s">
        <v>239</v>
      </c>
      <c r="F1263" s="145" t="s">
        <v>765</v>
      </c>
      <c r="G1263" s="145" t="s">
        <v>765</v>
      </c>
      <c r="H1263" s="145" t="s">
        <v>765</v>
      </c>
      <c r="I1263" s="196" t="s">
        <v>1144</v>
      </c>
      <c r="J1263" s="196" t="s">
        <v>1145</v>
      </c>
      <c r="K1263" s="145" t="s">
        <v>1145</v>
      </c>
      <c r="L1263" s="145" t="s">
        <v>765</v>
      </c>
      <c r="M1263" s="225" t="s">
        <v>160</v>
      </c>
      <c r="N1263" s="205">
        <v>0</v>
      </c>
      <c r="O1263" s="205" t="s">
        <v>241</v>
      </c>
      <c r="P1263" s="205" t="s">
        <v>47</v>
      </c>
      <c r="Q1263" s="225">
        <v>0</v>
      </c>
      <c r="R1263" s="225">
        <v>0</v>
      </c>
      <c r="S1263" s="225">
        <v>633786</v>
      </c>
      <c r="T1263" s="225">
        <f t="shared" si="304"/>
        <v>0</v>
      </c>
      <c r="U1263" s="225">
        <f t="shared" si="305"/>
        <v>633786</v>
      </c>
      <c r="V1263" s="225">
        <v>590929</v>
      </c>
      <c r="W1263" s="225">
        <f t="shared" si="306"/>
        <v>42857</v>
      </c>
      <c r="X1263" s="225">
        <f t="shared" si="307"/>
        <v>42857</v>
      </c>
      <c r="Y1263" s="225">
        <f t="shared" si="308"/>
        <v>0</v>
      </c>
      <c r="Z1263" s="225">
        <v>633786</v>
      </c>
      <c r="AA1263" s="225">
        <f t="shared" si="317"/>
        <v>-42857</v>
      </c>
      <c r="AB1263" s="229">
        <f t="shared" si="302"/>
        <v>633786</v>
      </c>
      <c r="AC1263" s="230">
        <f t="shared" si="303"/>
        <v>0</v>
      </c>
      <c r="AD1263" s="231">
        <v>590929</v>
      </c>
      <c r="AE1263" s="205">
        <v>0.1</v>
      </c>
      <c r="AF1263" s="226">
        <f t="shared" si="311"/>
        <v>59092.9</v>
      </c>
      <c r="AG1263" s="225">
        <f t="shared" si="316"/>
        <v>59092.9</v>
      </c>
      <c r="AH1263" s="225"/>
      <c r="AI1263" s="225"/>
      <c r="AJ1263" s="145" t="s">
        <v>241</v>
      </c>
    </row>
    <row r="1264" s="145" customFormat="1" ht="14.25" hidden="1" spans="1:36">
      <c r="A1264" s="145">
        <v>2017</v>
      </c>
      <c r="B1264" s="145" t="s">
        <v>38</v>
      </c>
      <c r="C1264" s="145" t="s">
        <v>59</v>
      </c>
      <c r="D1264" s="145" t="s">
        <v>210</v>
      </c>
      <c r="E1264" s="145" t="s">
        <v>239</v>
      </c>
      <c r="F1264" s="145" t="s">
        <v>765</v>
      </c>
      <c r="G1264" s="145" t="s">
        <v>765</v>
      </c>
      <c r="H1264" s="145" t="s">
        <v>765</v>
      </c>
      <c r="I1264" s="196" t="s">
        <v>1144</v>
      </c>
      <c r="J1264" s="196" t="s">
        <v>1145</v>
      </c>
      <c r="K1264" s="145" t="s">
        <v>1145</v>
      </c>
      <c r="L1264" s="145" t="s">
        <v>765</v>
      </c>
      <c r="M1264" s="225" t="s">
        <v>46</v>
      </c>
      <c r="N1264" s="205">
        <v>0</v>
      </c>
      <c r="O1264" s="205" t="s">
        <v>47</v>
      </c>
      <c r="P1264" s="205" t="s">
        <v>47</v>
      </c>
      <c r="Q1264" s="225">
        <v>0</v>
      </c>
      <c r="R1264" s="225">
        <v>0</v>
      </c>
      <c r="S1264" s="225">
        <v>10000</v>
      </c>
      <c r="T1264" s="225">
        <f t="shared" si="304"/>
        <v>0</v>
      </c>
      <c r="U1264" s="225">
        <f t="shared" si="305"/>
        <v>10000</v>
      </c>
      <c r="V1264" s="225">
        <v>9708.74</v>
      </c>
      <c r="W1264" s="225">
        <f t="shared" si="306"/>
        <v>291.26</v>
      </c>
      <c r="X1264" s="225">
        <f t="shared" si="307"/>
        <v>291.26</v>
      </c>
      <c r="Y1264" s="225">
        <f t="shared" si="308"/>
        <v>0</v>
      </c>
      <c r="Z1264" s="225">
        <f>10000-2911</f>
        <v>7089</v>
      </c>
      <c r="AA1264" s="225">
        <f t="shared" si="317"/>
        <v>2619.74</v>
      </c>
      <c r="AB1264" s="229">
        <f t="shared" si="302"/>
        <v>7089</v>
      </c>
      <c r="AC1264" s="230">
        <f t="shared" si="303"/>
        <v>0</v>
      </c>
      <c r="AD1264" s="225">
        <v>6797.74</v>
      </c>
      <c r="AE1264" s="205">
        <v>0</v>
      </c>
      <c r="AF1264" s="226">
        <f t="shared" si="311"/>
        <v>0</v>
      </c>
      <c r="AG1264" s="225">
        <f t="shared" si="316"/>
        <v>0</v>
      </c>
      <c r="AH1264" s="225"/>
      <c r="AI1264" s="225"/>
      <c r="AJ1264" s="145" t="s">
        <v>47</v>
      </c>
    </row>
    <row r="1265" s="145" customFormat="1" ht="14.25" hidden="1" spans="1:36">
      <c r="A1265" s="145">
        <v>2017</v>
      </c>
      <c r="B1265" s="145" t="s">
        <v>38</v>
      </c>
      <c r="C1265" s="145" t="s">
        <v>59</v>
      </c>
      <c r="D1265" s="145" t="s">
        <v>106</v>
      </c>
      <c r="E1265" s="145" t="s">
        <v>131</v>
      </c>
      <c r="F1265" s="145" t="s">
        <v>132</v>
      </c>
      <c r="G1265" s="145" t="s">
        <v>132</v>
      </c>
      <c r="H1265" s="145" t="s">
        <v>132</v>
      </c>
      <c r="I1265" s="196" t="s">
        <v>1144</v>
      </c>
      <c r="J1265" s="196" t="s">
        <v>1145</v>
      </c>
      <c r="K1265" s="145" t="s">
        <v>1145</v>
      </c>
      <c r="L1265" s="145" t="s">
        <v>132</v>
      </c>
      <c r="M1265" s="225" t="s">
        <v>160</v>
      </c>
      <c r="N1265" s="205">
        <v>0</v>
      </c>
      <c r="O1265" s="205" t="s">
        <v>1146</v>
      </c>
      <c r="P1265" s="205" t="s">
        <v>47</v>
      </c>
      <c r="Q1265" s="225">
        <v>0</v>
      </c>
      <c r="R1265" s="225">
        <v>0</v>
      </c>
      <c r="S1265" s="225">
        <v>16000</v>
      </c>
      <c r="T1265" s="225">
        <f t="shared" si="304"/>
        <v>0</v>
      </c>
      <c r="U1265" s="225">
        <f t="shared" si="305"/>
        <v>16000</v>
      </c>
      <c r="V1265" s="225">
        <v>16000</v>
      </c>
      <c r="W1265" s="225">
        <f t="shared" si="306"/>
        <v>0</v>
      </c>
      <c r="X1265" s="225">
        <f t="shared" si="307"/>
        <v>0</v>
      </c>
      <c r="Y1265" s="225">
        <f t="shared" si="308"/>
        <v>0</v>
      </c>
      <c r="Z1265" s="225">
        <v>16000</v>
      </c>
      <c r="AA1265" s="225">
        <f t="shared" si="317"/>
        <v>0</v>
      </c>
      <c r="AB1265" s="229">
        <f t="shared" si="302"/>
        <v>16000</v>
      </c>
      <c r="AC1265" s="230">
        <f t="shared" si="303"/>
        <v>0</v>
      </c>
      <c r="AD1265" s="231">
        <v>16000</v>
      </c>
      <c r="AE1265" s="205">
        <v>0.1</v>
      </c>
      <c r="AF1265" s="226">
        <f t="shared" si="311"/>
        <v>1600</v>
      </c>
      <c r="AG1265" s="225">
        <f t="shared" si="316"/>
        <v>1600</v>
      </c>
      <c r="AH1265" s="225"/>
      <c r="AI1265" s="225"/>
      <c r="AJ1265" s="145" t="s">
        <v>1146</v>
      </c>
    </row>
    <row r="1266" s="145" customFormat="1" ht="14.25" hidden="1" spans="1:36">
      <c r="A1266" s="145">
        <v>2017</v>
      </c>
      <c r="B1266" s="145" t="s">
        <v>38</v>
      </c>
      <c r="C1266" s="145" t="s">
        <v>75</v>
      </c>
      <c r="D1266" s="145" t="s">
        <v>76</v>
      </c>
      <c r="E1266" s="145" t="s">
        <v>649</v>
      </c>
      <c r="F1266" s="145" t="s">
        <v>443</v>
      </c>
      <c r="G1266" s="145" t="s">
        <v>443</v>
      </c>
      <c r="H1266" s="145" t="s">
        <v>443</v>
      </c>
      <c r="I1266" s="196" t="s">
        <v>1144</v>
      </c>
      <c r="J1266" s="196" t="s">
        <v>1145</v>
      </c>
      <c r="K1266" s="145" t="s">
        <v>1145</v>
      </c>
      <c r="L1266" s="145" t="s">
        <v>443</v>
      </c>
      <c r="M1266" s="225" t="s">
        <v>160</v>
      </c>
      <c r="N1266" s="204">
        <v>0</v>
      </c>
      <c r="O1266" s="205" t="s">
        <v>1151</v>
      </c>
      <c r="P1266" s="205" t="s">
        <v>47</v>
      </c>
      <c r="Q1266" s="225">
        <v>0</v>
      </c>
      <c r="R1266" s="225">
        <v>0</v>
      </c>
      <c r="S1266" s="225">
        <v>375600</v>
      </c>
      <c r="T1266" s="225">
        <f t="shared" si="304"/>
        <v>0</v>
      </c>
      <c r="U1266" s="225">
        <f t="shared" si="305"/>
        <v>375600</v>
      </c>
      <c r="V1266" s="225">
        <v>313000</v>
      </c>
      <c r="W1266" s="225">
        <f t="shared" si="306"/>
        <v>62600</v>
      </c>
      <c r="X1266" s="225">
        <f t="shared" si="307"/>
        <v>62600</v>
      </c>
      <c r="Y1266" s="225">
        <f t="shared" si="308"/>
        <v>0</v>
      </c>
      <c r="Z1266" s="225">
        <v>375600</v>
      </c>
      <c r="AA1266" s="225">
        <f t="shared" si="317"/>
        <v>-62600</v>
      </c>
      <c r="AB1266" s="229">
        <f t="shared" si="302"/>
        <v>375600</v>
      </c>
      <c r="AC1266" s="230">
        <f t="shared" si="303"/>
        <v>0</v>
      </c>
      <c r="AD1266" s="231">
        <v>313000</v>
      </c>
      <c r="AE1266" s="205">
        <v>0.1</v>
      </c>
      <c r="AF1266" s="226">
        <f t="shared" si="311"/>
        <v>31300</v>
      </c>
      <c r="AG1266" s="225">
        <f t="shared" si="316"/>
        <v>31300</v>
      </c>
      <c r="AH1266" s="225"/>
      <c r="AI1266" s="225"/>
      <c r="AJ1266" s="145" t="s">
        <v>1151</v>
      </c>
    </row>
    <row r="1267" s="145" customFormat="1" ht="14.25" hidden="1" spans="1:36">
      <c r="A1267" s="145">
        <v>2017</v>
      </c>
      <c r="B1267" s="145" t="s">
        <v>199</v>
      </c>
      <c r="C1267" s="145" t="s">
        <v>54</v>
      </c>
      <c r="D1267" s="145" t="s">
        <v>102</v>
      </c>
      <c r="E1267" s="145" t="s">
        <v>103</v>
      </c>
      <c r="F1267" s="145" t="s">
        <v>389</v>
      </c>
      <c r="G1267" s="145" t="s">
        <v>390</v>
      </c>
      <c r="H1267" s="197" t="s">
        <v>391</v>
      </c>
      <c r="I1267" s="196" t="s">
        <v>1144</v>
      </c>
      <c r="J1267" s="196" t="s">
        <v>1145</v>
      </c>
      <c r="K1267" s="145" t="s">
        <v>1145</v>
      </c>
      <c r="L1267" s="145" t="s">
        <v>392</v>
      </c>
      <c r="M1267" s="225" t="s">
        <v>46</v>
      </c>
      <c r="N1267" s="205">
        <v>0</v>
      </c>
      <c r="O1267" s="205" t="s">
        <v>47</v>
      </c>
      <c r="P1267" s="205" t="s">
        <v>47</v>
      </c>
      <c r="Q1267" s="225">
        <v>0</v>
      </c>
      <c r="R1267" s="225">
        <v>0</v>
      </c>
      <c r="S1267" s="225">
        <v>10000</v>
      </c>
      <c r="T1267" s="225">
        <f t="shared" si="304"/>
        <v>0</v>
      </c>
      <c r="U1267" s="225">
        <f t="shared" si="305"/>
        <v>10000</v>
      </c>
      <c r="V1267" s="225">
        <v>9708.73786407767</v>
      </c>
      <c r="W1267" s="225">
        <f t="shared" si="306"/>
        <v>291.26213592233</v>
      </c>
      <c r="X1267" s="225">
        <f t="shared" si="307"/>
        <v>291.26213592233</v>
      </c>
      <c r="Y1267" s="225">
        <f t="shared" si="308"/>
        <v>0</v>
      </c>
      <c r="Z1267" s="225">
        <v>10000</v>
      </c>
      <c r="AA1267" s="225">
        <f t="shared" si="317"/>
        <v>-291.26213592233</v>
      </c>
      <c r="AB1267" s="229">
        <f t="shared" si="302"/>
        <v>10000</v>
      </c>
      <c r="AC1267" s="230">
        <f t="shared" si="303"/>
        <v>0</v>
      </c>
      <c r="AD1267" s="225">
        <v>9708.73786407767</v>
      </c>
      <c r="AE1267" s="205">
        <v>0</v>
      </c>
      <c r="AF1267" s="226">
        <f t="shared" si="311"/>
        <v>0</v>
      </c>
      <c r="AG1267" s="225">
        <f t="shared" si="316"/>
        <v>0</v>
      </c>
      <c r="AH1267" s="225"/>
      <c r="AI1267" s="225"/>
      <c r="AJ1267" s="145" t="s">
        <v>47</v>
      </c>
    </row>
    <row r="1268" s="145" customFormat="1" ht="14.25" hidden="1" spans="1:36">
      <c r="A1268" s="145">
        <v>2017</v>
      </c>
      <c r="B1268" s="145" t="s">
        <v>252</v>
      </c>
      <c r="C1268" s="145" t="s">
        <v>75</v>
      </c>
      <c r="D1268" s="145" t="s">
        <v>256</v>
      </c>
      <c r="E1268" s="145" t="s">
        <v>257</v>
      </c>
      <c r="F1268" s="145" t="s">
        <v>1152</v>
      </c>
      <c r="G1268" s="196" t="s">
        <v>1153</v>
      </c>
      <c r="H1268" s="196" t="s">
        <v>1154</v>
      </c>
      <c r="I1268" s="196" t="s">
        <v>1144</v>
      </c>
      <c r="J1268" s="196" t="s">
        <v>1155</v>
      </c>
      <c r="K1268" s="145" t="s">
        <v>1155</v>
      </c>
      <c r="L1268" s="145" t="s">
        <v>1152</v>
      </c>
      <c r="M1268" s="225" t="s">
        <v>160</v>
      </c>
      <c r="N1268" s="205">
        <v>0</v>
      </c>
      <c r="O1268" s="205" t="s">
        <v>1146</v>
      </c>
      <c r="P1268" s="205" t="s">
        <v>47</v>
      </c>
      <c r="Q1268" s="225">
        <v>0</v>
      </c>
      <c r="R1268" s="225">
        <v>0</v>
      </c>
      <c r="S1268" s="225">
        <v>456573</v>
      </c>
      <c r="T1268" s="225">
        <f t="shared" si="304"/>
        <v>0</v>
      </c>
      <c r="U1268" s="225">
        <f t="shared" si="305"/>
        <v>456573</v>
      </c>
      <c r="V1268" s="225">
        <v>456573</v>
      </c>
      <c r="W1268" s="225">
        <f t="shared" si="306"/>
        <v>0</v>
      </c>
      <c r="X1268" s="225">
        <f t="shared" si="307"/>
        <v>0</v>
      </c>
      <c r="Y1268" s="225">
        <f t="shared" si="308"/>
        <v>0</v>
      </c>
      <c r="Z1268" s="225">
        <v>456573</v>
      </c>
      <c r="AA1268" s="225">
        <f t="shared" si="317"/>
        <v>0</v>
      </c>
      <c r="AB1268" s="229">
        <f t="shared" si="302"/>
        <v>456573</v>
      </c>
      <c r="AC1268" s="230">
        <f t="shared" si="303"/>
        <v>0</v>
      </c>
      <c r="AD1268" s="231">
        <v>456573</v>
      </c>
      <c r="AE1268" s="205">
        <v>0</v>
      </c>
      <c r="AF1268" s="226">
        <f t="shared" si="311"/>
        <v>0</v>
      </c>
      <c r="AG1268" s="225">
        <f t="shared" si="316"/>
        <v>0</v>
      </c>
      <c r="AH1268" s="225"/>
      <c r="AI1268" s="225"/>
      <c r="AJ1268" s="145" t="s">
        <v>1146</v>
      </c>
    </row>
    <row r="1269" s="145" customFormat="1" ht="14.25" hidden="1" spans="1:36">
      <c r="A1269" s="145">
        <v>2017</v>
      </c>
      <c r="B1269" s="145" t="s">
        <v>38</v>
      </c>
      <c r="C1269" s="145" t="s">
        <v>75</v>
      </c>
      <c r="D1269" s="145" t="s">
        <v>76</v>
      </c>
      <c r="E1269" s="145" t="s">
        <v>257</v>
      </c>
      <c r="F1269" s="145" t="s">
        <v>230</v>
      </c>
      <c r="G1269" s="145" t="s">
        <v>230</v>
      </c>
      <c r="H1269" s="145" t="s">
        <v>230</v>
      </c>
      <c r="I1269" s="196" t="s">
        <v>1144</v>
      </c>
      <c r="J1269" s="196" t="s">
        <v>1155</v>
      </c>
      <c r="K1269" s="145" t="s">
        <v>1155</v>
      </c>
      <c r="L1269" s="145" t="s">
        <v>230</v>
      </c>
      <c r="M1269" s="225" t="s">
        <v>160</v>
      </c>
      <c r="N1269" s="205">
        <v>0</v>
      </c>
      <c r="O1269" s="205" t="s">
        <v>1146</v>
      </c>
      <c r="P1269" s="205" t="s">
        <v>47</v>
      </c>
      <c r="Q1269" s="225">
        <v>0</v>
      </c>
      <c r="R1269" s="225">
        <v>0</v>
      </c>
      <c r="S1269" s="225">
        <v>50500</v>
      </c>
      <c r="T1269" s="225">
        <f t="shared" si="304"/>
        <v>0</v>
      </c>
      <c r="U1269" s="225">
        <f t="shared" si="305"/>
        <v>50500</v>
      </c>
      <c r="V1269" s="225">
        <v>50500</v>
      </c>
      <c r="W1269" s="225">
        <f t="shared" si="306"/>
        <v>0</v>
      </c>
      <c r="X1269" s="225">
        <f t="shared" si="307"/>
        <v>0</v>
      </c>
      <c r="Y1269" s="225">
        <f t="shared" si="308"/>
        <v>0</v>
      </c>
      <c r="Z1269" s="225">
        <v>50500</v>
      </c>
      <c r="AA1269" s="225">
        <f t="shared" si="317"/>
        <v>0</v>
      </c>
      <c r="AB1269" s="229">
        <f t="shared" si="302"/>
        <v>50500</v>
      </c>
      <c r="AC1269" s="230">
        <f t="shared" si="303"/>
        <v>0</v>
      </c>
      <c r="AD1269" s="231">
        <v>50500</v>
      </c>
      <c r="AE1269" s="205">
        <v>0</v>
      </c>
      <c r="AF1269" s="226">
        <f t="shared" si="311"/>
        <v>0</v>
      </c>
      <c r="AG1269" s="225">
        <f t="shared" si="316"/>
        <v>0</v>
      </c>
      <c r="AH1269" s="225"/>
      <c r="AI1269" s="225"/>
      <c r="AJ1269" s="145" t="s">
        <v>1146</v>
      </c>
    </row>
    <row r="1270" s="145" customFormat="1" ht="14.25" hidden="1" spans="1:36">
      <c r="A1270" s="145">
        <v>2017</v>
      </c>
      <c r="B1270" s="145" t="s">
        <v>199</v>
      </c>
      <c r="C1270" s="145" t="s">
        <v>39</v>
      </c>
      <c r="D1270" s="145" t="s">
        <v>81</v>
      </c>
      <c r="E1270" s="145" t="s">
        <v>82</v>
      </c>
      <c r="F1270" s="145" t="s">
        <v>1156</v>
      </c>
      <c r="G1270" s="145" t="s">
        <v>1157</v>
      </c>
      <c r="H1270" s="145" t="s">
        <v>1158</v>
      </c>
      <c r="I1270" s="196" t="s">
        <v>1144</v>
      </c>
      <c r="J1270" s="196" t="s">
        <v>1155</v>
      </c>
      <c r="K1270" s="145" t="s">
        <v>1155</v>
      </c>
      <c r="L1270" s="145" t="s">
        <v>1156</v>
      </c>
      <c r="M1270" s="225" t="s">
        <v>46</v>
      </c>
      <c r="N1270" s="205">
        <v>0</v>
      </c>
      <c r="O1270" s="205" t="s">
        <v>47</v>
      </c>
      <c r="P1270" s="205" t="s">
        <v>47</v>
      </c>
      <c r="Q1270" s="225">
        <v>0</v>
      </c>
      <c r="R1270" s="225">
        <v>0</v>
      </c>
      <c r="S1270" s="225">
        <v>70000</v>
      </c>
      <c r="T1270" s="225">
        <f t="shared" si="304"/>
        <v>0</v>
      </c>
      <c r="U1270" s="225">
        <f t="shared" si="305"/>
        <v>70000</v>
      </c>
      <c r="V1270" s="225">
        <v>66666.67</v>
      </c>
      <c r="W1270" s="225">
        <f t="shared" si="306"/>
        <v>3333.33</v>
      </c>
      <c r="X1270" s="225">
        <f t="shared" si="307"/>
        <v>3333.33</v>
      </c>
      <c r="Y1270" s="225">
        <f t="shared" si="308"/>
        <v>0</v>
      </c>
      <c r="Z1270" s="225">
        <v>70000</v>
      </c>
      <c r="AA1270" s="225">
        <f t="shared" si="317"/>
        <v>-3333.33</v>
      </c>
      <c r="AB1270" s="229">
        <f t="shared" si="302"/>
        <v>70000</v>
      </c>
      <c r="AC1270" s="230">
        <f t="shared" si="303"/>
        <v>0</v>
      </c>
      <c r="AD1270" s="231">
        <v>66666.67</v>
      </c>
      <c r="AE1270" s="205">
        <v>0</v>
      </c>
      <c r="AF1270" s="226">
        <f t="shared" si="311"/>
        <v>0</v>
      </c>
      <c r="AG1270" s="225">
        <f t="shared" si="316"/>
        <v>0</v>
      </c>
      <c r="AH1270" s="225"/>
      <c r="AI1270" s="225"/>
      <c r="AJ1270" s="145" t="s">
        <v>47</v>
      </c>
    </row>
    <row r="1271" s="145" customFormat="1" ht="14.25" hidden="1" spans="1:36">
      <c r="A1271" s="145">
        <v>2017</v>
      </c>
      <c r="B1271" s="145" t="s">
        <v>38</v>
      </c>
      <c r="C1271" s="145" t="s">
        <v>75</v>
      </c>
      <c r="D1271" s="145" t="s">
        <v>76</v>
      </c>
      <c r="E1271" s="145" t="s">
        <v>225</v>
      </c>
      <c r="F1271" s="145" t="s">
        <v>251</v>
      </c>
      <c r="G1271" s="145" t="s">
        <v>251</v>
      </c>
      <c r="H1271" s="145" t="s">
        <v>251</v>
      </c>
      <c r="I1271" s="196" t="s">
        <v>1144</v>
      </c>
      <c r="J1271" s="196" t="s">
        <v>1155</v>
      </c>
      <c r="K1271" s="145" t="s">
        <v>1155</v>
      </c>
      <c r="L1271" s="145" t="s">
        <v>230</v>
      </c>
      <c r="M1271" s="225" t="s">
        <v>160</v>
      </c>
      <c r="N1271" s="205">
        <v>0</v>
      </c>
      <c r="O1271" s="205" t="s">
        <v>1146</v>
      </c>
      <c r="P1271" s="205" t="s">
        <v>47</v>
      </c>
      <c r="Q1271" s="225">
        <v>0</v>
      </c>
      <c r="R1271" s="225">
        <v>0</v>
      </c>
      <c r="S1271" s="225">
        <v>934000</v>
      </c>
      <c r="T1271" s="225">
        <f t="shared" si="304"/>
        <v>0</v>
      </c>
      <c r="U1271" s="225">
        <f t="shared" si="305"/>
        <v>934000</v>
      </c>
      <c r="V1271" s="225">
        <v>934000</v>
      </c>
      <c r="W1271" s="225">
        <f t="shared" si="306"/>
        <v>0</v>
      </c>
      <c r="X1271" s="225">
        <f t="shared" si="307"/>
        <v>0</v>
      </c>
      <c r="Y1271" s="225">
        <f t="shared" si="308"/>
        <v>0</v>
      </c>
      <c r="Z1271" s="225">
        <v>934000</v>
      </c>
      <c r="AA1271" s="225">
        <f t="shared" si="317"/>
        <v>0</v>
      </c>
      <c r="AB1271" s="229">
        <f t="shared" si="302"/>
        <v>934000</v>
      </c>
      <c r="AC1271" s="230">
        <f t="shared" si="303"/>
        <v>0</v>
      </c>
      <c r="AD1271" s="231">
        <v>934000</v>
      </c>
      <c r="AE1271" s="205">
        <v>0</v>
      </c>
      <c r="AF1271" s="226">
        <f t="shared" si="311"/>
        <v>0</v>
      </c>
      <c r="AG1271" s="225">
        <f t="shared" si="316"/>
        <v>0</v>
      </c>
      <c r="AH1271" s="225"/>
      <c r="AI1271" s="225"/>
      <c r="AJ1271" s="145" t="s">
        <v>1146</v>
      </c>
    </row>
    <row r="1272" s="145" customFormat="1" ht="14.25" hidden="1" spans="1:36">
      <c r="A1272" s="145">
        <v>2017</v>
      </c>
      <c r="B1272" s="145" t="s">
        <v>38</v>
      </c>
      <c r="C1272" s="145" t="s">
        <v>54</v>
      </c>
      <c r="D1272" s="145" t="s">
        <v>102</v>
      </c>
      <c r="E1272" s="145" t="s">
        <v>115</v>
      </c>
      <c r="F1272" s="145" t="s">
        <v>338</v>
      </c>
      <c r="G1272" s="145" t="s">
        <v>338</v>
      </c>
      <c r="H1272" s="145" t="s">
        <v>338</v>
      </c>
      <c r="I1272" s="196" t="s">
        <v>1144</v>
      </c>
      <c r="J1272" s="196" t="s">
        <v>1155</v>
      </c>
      <c r="K1272" s="145" t="s">
        <v>1155</v>
      </c>
      <c r="L1272" s="145" t="s">
        <v>338</v>
      </c>
      <c r="M1272" s="225" t="s">
        <v>46</v>
      </c>
      <c r="N1272" s="205">
        <v>0</v>
      </c>
      <c r="O1272" s="205" t="s">
        <v>47</v>
      </c>
      <c r="P1272" s="205" t="s">
        <v>47</v>
      </c>
      <c r="Q1272" s="225">
        <v>0</v>
      </c>
      <c r="R1272" s="225">
        <v>0</v>
      </c>
      <c r="S1272" s="225">
        <v>18000</v>
      </c>
      <c r="T1272" s="225">
        <f t="shared" si="304"/>
        <v>0</v>
      </c>
      <c r="U1272" s="225">
        <f t="shared" si="305"/>
        <v>18000</v>
      </c>
      <c r="V1272" s="225">
        <v>17142.86</v>
      </c>
      <c r="W1272" s="225">
        <f t="shared" si="306"/>
        <v>857.139999999999</v>
      </c>
      <c r="X1272" s="225">
        <f t="shared" si="307"/>
        <v>857.139999999999</v>
      </c>
      <c r="Y1272" s="225">
        <f t="shared" si="308"/>
        <v>0</v>
      </c>
      <c r="Z1272" s="225">
        <v>18000</v>
      </c>
      <c r="AA1272" s="225">
        <f t="shared" si="317"/>
        <v>-857.139999999999</v>
      </c>
      <c r="AB1272" s="229">
        <f t="shared" si="302"/>
        <v>18000</v>
      </c>
      <c r="AC1272" s="230">
        <f t="shared" si="303"/>
        <v>0</v>
      </c>
      <c r="AD1272" s="225">
        <v>17142.86</v>
      </c>
      <c r="AE1272" s="205">
        <v>0</v>
      </c>
      <c r="AF1272" s="226">
        <f t="shared" si="311"/>
        <v>0</v>
      </c>
      <c r="AG1272" s="225">
        <f t="shared" si="316"/>
        <v>0</v>
      </c>
      <c r="AH1272" s="225"/>
      <c r="AI1272" s="225"/>
      <c r="AJ1272" s="145" t="s">
        <v>47</v>
      </c>
    </row>
    <row r="1273" s="145" customFormat="1" ht="14.25" hidden="1" spans="1:36">
      <c r="A1273" s="145">
        <v>2017</v>
      </c>
      <c r="B1273" s="145" t="s">
        <v>38</v>
      </c>
      <c r="C1273" s="145" t="s">
        <v>54</v>
      </c>
      <c r="D1273" s="145" t="s">
        <v>55</v>
      </c>
      <c r="E1273" s="145" t="s">
        <v>56</v>
      </c>
      <c r="F1273" s="145" t="s">
        <v>57</v>
      </c>
      <c r="G1273" s="145" t="s">
        <v>57</v>
      </c>
      <c r="H1273" s="145" t="s">
        <v>57</v>
      </c>
      <c r="I1273" s="196" t="s">
        <v>1159</v>
      </c>
      <c r="J1273" s="196" t="s">
        <v>1160</v>
      </c>
      <c r="K1273" s="145" t="s">
        <v>1160</v>
      </c>
      <c r="L1273" s="145" t="s">
        <v>57</v>
      </c>
      <c r="M1273" s="145" t="s">
        <v>46</v>
      </c>
      <c r="N1273" s="205">
        <v>0.02</v>
      </c>
      <c r="O1273" s="205" t="s">
        <v>173</v>
      </c>
      <c r="P1273" s="205" t="s">
        <v>51</v>
      </c>
      <c r="Q1273" s="225">
        <v>0</v>
      </c>
      <c r="R1273" s="225">
        <v>0</v>
      </c>
      <c r="S1273" s="225">
        <v>20000</v>
      </c>
      <c r="T1273" s="225">
        <v>400</v>
      </c>
      <c r="U1273" s="225">
        <v>20400</v>
      </c>
      <c r="V1273" s="225">
        <v>20000</v>
      </c>
      <c r="W1273" s="225">
        <v>400</v>
      </c>
      <c r="X1273" s="225">
        <v>392.156862745098</v>
      </c>
      <c r="Y1273" s="225">
        <v>7.84313725490199</v>
      </c>
      <c r="Z1273" s="225">
        <v>20000</v>
      </c>
      <c r="AA1273" s="225">
        <v>0</v>
      </c>
      <c r="AB1273" s="229">
        <f t="shared" si="302"/>
        <v>19607.8431372549</v>
      </c>
      <c r="AC1273" s="230">
        <f t="shared" si="303"/>
        <v>392.156862745098</v>
      </c>
      <c r="AD1273" s="225">
        <v>16540</v>
      </c>
      <c r="AE1273" s="205">
        <v>0</v>
      </c>
      <c r="AF1273" s="226">
        <f t="shared" si="311"/>
        <v>0</v>
      </c>
      <c r="AG1273" s="225">
        <v>-392.156862745098</v>
      </c>
      <c r="AH1273" s="225"/>
      <c r="AI1273" s="225"/>
      <c r="AJ1273" s="145" t="s">
        <v>173</v>
      </c>
    </row>
    <row r="1274" s="145" customFormat="1" ht="14.25" hidden="1" spans="1:36">
      <c r="A1274" s="145">
        <v>2017</v>
      </c>
      <c r="B1274" s="145" t="s">
        <v>199</v>
      </c>
      <c r="C1274" s="145" t="s">
        <v>59</v>
      </c>
      <c r="D1274" s="145" t="s">
        <v>181</v>
      </c>
      <c r="E1274" s="145" t="s">
        <v>131</v>
      </c>
      <c r="F1274" s="145" t="s">
        <v>1161</v>
      </c>
      <c r="G1274" s="145" t="s">
        <v>1162</v>
      </c>
      <c r="H1274" s="145" t="s">
        <v>1162</v>
      </c>
      <c r="I1274" s="196" t="s">
        <v>1159</v>
      </c>
      <c r="J1274" s="196" t="s">
        <v>1160</v>
      </c>
      <c r="K1274" s="145" t="s">
        <v>1160</v>
      </c>
      <c r="L1274" s="145" t="s">
        <v>1161</v>
      </c>
      <c r="M1274" s="145" t="s">
        <v>46</v>
      </c>
      <c r="N1274" s="205">
        <v>0</v>
      </c>
      <c r="O1274" s="205" t="s">
        <v>1142</v>
      </c>
      <c r="P1274" s="205" t="s">
        <v>47</v>
      </c>
      <c r="Q1274" s="225">
        <v>0</v>
      </c>
      <c r="R1274" s="225">
        <v>0</v>
      </c>
      <c r="S1274" s="225">
        <v>85000</v>
      </c>
      <c r="T1274" s="225">
        <v>0</v>
      </c>
      <c r="U1274" s="225">
        <v>85000</v>
      </c>
      <c r="V1274" s="225">
        <v>85000</v>
      </c>
      <c r="W1274" s="225">
        <v>0</v>
      </c>
      <c r="X1274" s="225">
        <v>0</v>
      </c>
      <c r="Y1274" s="225">
        <v>0</v>
      </c>
      <c r="Z1274" s="225">
        <v>85000</v>
      </c>
      <c r="AA1274" s="225">
        <v>0</v>
      </c>
      <c r="AB1274" s="229">
        <f t="shared" si="302"/>
        <v>85000</v>
      </c>
      <c r="AC1274" s="230">
        <f t="shared" si="303"/>
        <v>0</v>
      </c>
      <c r="AD1274" s="225">
        <v>70295</v>
      </c>
      <c r="AE1274" s="205">
        <v>0</v>
      </c>
      <c r="AF1274" s="226">
        <f t="shared" si="311"/>
        <v>0</v>
      </c>
      <c r="AG1274" s="225">
        <v>0</v>
      </c>
      <c r="AH1274" s="225"/>
      <c r="AI1274" s="225"/>
      <c r="AJ1274" s="145" t="s">
        <v>1142</v>
      </c>
    </row>
    <row r="1275" s="145" customFormat="1" ht="14.25" hidden="1" spans="1:36">
      <c r="A1275" s="145">
        <v>2017</v>
      </c>
      <c r="B1275" s="145" t="s">
        <v>38</v>
      </c>
      <c r="C1275" s="145" t="s">
        <v>54</v>
      </c>
      <c r="D1275" s="145" t="s">
        <v>102</v>
      </c>
      <c r="E1275" s="145" t="s">
        <v>115</v>
      </c>
      <c r="F1275" s="145" t="s">
        <v>379</v>
      </c>
      <c r="G1275" s="145" t="s">
        <v>379</v>
      </c>
      <c r="H1275" s="145" t="s">
        <v>379</v>
      </c>
      <c r="I1275" s="196" t="s">
        <v>1159</v>
      </c>
      <c r="J1275" s="196" t="s">
        <v>1163</v>
      </c>
      <c r="K1275" s="145" t="s">
        <v>1163</v>
      </c>
      <c r="L1275" s="145" t="s">
        <v>379</v>
      </c>
      <c r="M1275" s="145" t="s">
        <v>46</v>
      </c>
      <c r="N1275" s="205">
        <v>0</v>
      </c>
      <c r="O1275" s="205" t="s">
        <v>47</v>
      </c>
      <c r="P1275" s="205" t="s">
        <v>47</v>
      </c>
      <c r="Q1275" s="225">
        <v>0</v>
      </c>
      <c r="R1275" s="225">
        <v>0</v>
      </c>
      <c r="S1275" s="225">
        <v>20000</v>
      </c>
      <c r="T1275" s="225">
        <v>0</v>
      </c>
      <c r="U1275" s="225">
        <v>20000</v>
      </c>
      <c r="V1275" s="225">
        <v>20000</v>
      </c>
      <c r="W1275" s="225">
        <v>0</v>
      </c>
      <c r="X1275" s="225">
        <v>0</v>
      </c>
      <c r="Y1275" s="225">
        <v>0</v>
      </c>
      <c r="Z1275" s="225">
        <v>20000</v>
      </c>
      <c r="AA1275" s="225">
        <v>0</v>
      </c>
      <c r="AB1275" s="229">
        <f t="shared" si="302"/>
        <v>20000</v>
      </c>
      <c r="AC1275" s="230">
        <f t="shared" si="303"/>
        <v>0</v>
      </c>
      <c r="AD1275" s="225">
        <v>16540</v>
      </c>
      <c r="AE1275" s="205">
        <v>0</v>
      </c>
      <c r="AF1275" s="226">
        <f t="shared" si="311"/>
        <v>0</v>
      </c>
      <c r="AG1275" s="225">
        <v>0</v>
      </c>
      <c r="AH1275" s="225"/>
      <c r="AI1275" s="225"/>
      <c r="AJ1275" s="145" t="s">
        <v>47</v>
      </c>
    </row>
    <row r="1276" s="145" customFormat="1" ht="14.25" hidden="1" spans="1:36">
      <c r="A1276" s="145">
        <v>2017</v>
      </c>
      <c r="B1276" s="145" t="s">
        <v>38</v>
      </c>
      <c r="C1276" s="145" t="s">
        <v>75</v>
      </c>
      <c r="D1276" s="145" t="s">
        <v>76</v>
      </c>
      <c r="E1276" s="145" t="s">
        <v>150</v>
      </c>
      <c r="F1276" s="145" t="s">
        <v>151</v>
      </c>
      <c r="G1276" s="145" t="s">
        <v>151</v>
      </c>
      <c r="H1276" s="145" t="s">
        <v>151</v>
      </c>
      <c r="I1276" s="196" t="s">
        <v>1159</v>
      </c>
      <c r="J1276" s="196" t="s">
        <v>1163</v>
      </c>
      <c r="K1276" s="145" t="s">
        <v>1163</v>
      </c>
      <c r="L1276" s="145" t="s">
        <v>151</v>
      </c>
      <c r="M1276" s="145" t="s">
        <v>46</v>
      </c>
      <c r="N1276" s="205">
        <v>0.1</v>
      </c>
      <c r="O1276" s="205" t="s">
        <v>69</v>
      </c>
      <c r="P1276" s="205" t="s">
        <v>51</v>
      </c>
      <c r="Q1276" s="225">
        <v>0</v>
      </c>
      <c r="R1276" s="225">
        <v>0</v>
      </c>
      <c r="S1276" s="225">
        <v>420000</v>
      </c>
      <c r="T1276" s="225">
        <v>42000</v>
      </c>
      <c r="U1276" s="225">
        <v>462000</v>
      </c>
      <c r="V1276" s="225">
        <v>420000</v>
      </c>
      <c r="W1276" s="225">
        <v>42000</v>
      </c>
      <c r="X1276" s="225">
        <v>38181.8181818182</v>
      </c>
      <c r="Y1276" s="225">
        <v>3818.18181818182</v>
      </c>
      <c r="Z1276" s="225">
        <v>420000</v>
      </c>
      <c r="AA1276" s="225">
        <v>0</v>
      </c>
      <c r="AB1276" s="229">
        <f t="shared" si="302"/>
        <v>381818.181818182</v>
      </c>
      <c r="AC1276" s="230">
        <f t="shared" si="303"/>
        <v>38181.8181818182</v>
      </c>
      <c r="AD1276" s="225">
        <v>347340</v>
      </c>
      <c r="AE1276" s="205">
        <v>0</v>
      </c>
      <c r="AF1276" s="226">
        <f t="shared" si="311"/>
        <v>0</v>
      </c>
      <c r="AG1276" s="225">
        <v>-38181.8181818182</v>
      </c>
      <c r="AH1276" s="225"/>
      <c r="AI1276" s="225"/>
      <c r="AJ1276" s="145" t="s">
        <v>69</v>
      </c>
    </row>
    <row r="1277" s="145" customFormat="1" ht="14.25" hidden="1" spans="1:36">
      <c r="A1277" s="145">
        <v>2017</v>
      </c>
      <c r="B1277" s="145" t="s">
        <v>38</v>
      </c>
      <c r="C1277" s="145" t="s">
        <v>54</v>
      </c>
      <c r="D1277" s="145" t="s">
        <v>55</v>
      </c>
      <c r="E1277" s="145" t="s">
        <v>64</v>
      </c>
      <c r="F1277" s="145" t="s">
        <v>534</v>
      </c>
      <c r="G1277" s="145" t="s">
        <v>534</v>
      </c>
      <c r="H1277" s="145" t="s">
        <v>534</v>
      </c>
      <c r="I1277" s="196" t="s">
        <v>1159</v>
      </c>
      <c r="J1277" s="196" t="s">
        <v>1164</v>
      </c>
      <c r="K1277" s="145" t="s">
        <v>1164</v>
      </c>
      <c r="L1277" s="145" t="s">
        <v>534</v>
      </c>
      <c r="M1277" s="225" t="s">
        <v>46</v>
      </c>
      <c r="N1277" s="205">
        <v>0</v>
      </c>
      <c r="O1277" s="205" t="s">
        <v>47</v>
      </c>
      <c r="P1277" s="205" t="s">
        <v>47</v>
      </c>
      <c r="Q1277" s="225">
        <v>0</v>
      </c>
      <c r="R1277" s="225">
        <v>0</v>
      </c>
      <c r="S1277" s="225">
        <v>10000</v>
      </c>
      <c r="T1277" s="225">
        <v>0</v>
      </c>
      <c r="U1277" s="225">
        <v>10000</v>
      </c>
      <c r="V1277" s="225">
        <v>10000</v>
      </c>
      <c r="W1277" s="225">
        <v>0</v>
      </c>
      <c r="X1277" s="225">
        <v>0</v>
      </c>
      <c r="Y1277" s="225">
        <v>0</v>
      </c>
      <c r="Z1277" s="225">
        <v>10000</v>
      </c>
      <c r="AA1277" s="225">
        <v>0</v>
      </c>
      <c r="AB1277" s="229">
        <f t="shared" si="302"/>
        <v>10000</v>
      </c>
      <c r="AC1277" s="230">
        <f t="shared" si="303"/>
        <v>0</v>
      </c>
      <c r="AD1277" s="225">
        <v>8270</v>
      </c>
      <c r="AE1277" s="205">
        <v>0</v>
      </c>
      <c r="AF1277" s="226">
        <f t="shared" si="311"/>
        <v>0</v>
      </c>
      <c r="AG1277" s="225">
        <v>1000</v>
      </c>
      <c r="AH1277" s="225"/>
      <c r="AI1277" s="225"/>
      <c r="AJ1277" s="145" t="s">
        <v>47</v>
      </c>
    </row>
    <row r="1278" s="145" customFormat="1" ht="14.25" hidden="1" spans="1:36">
      <c r="A1278" s="145">
        <v>2017</v>
      </c>
      <c r="B1278" s="145" t="s">
        <v>199</v>
      </c>
      <c r="C1278" s="145" t="s">
        <v>59</v>
      </c>
      <c r="D1278" s="145" t="s">
        <v>106</v>
      </c>
      <c r="E1278" s="145" t="s">
        <v>239</v>
      </c>
      <c r="F1278" s="145" t="s">
        <v>476</v>
      </c>
      <c r="G1278" s="145" t="s">
        <v>1165</v>
      </c>
      <c r="H1278" s="145" t="s">
        <v>1165</v>
      </c>
      <c r="I1278" s="196" t="s">
        <v>1159</v>
      </c>
      <c r="J1278" s="196" t="s">
        <v>1164</v>
      </c>
      <c r="K1278" s="145" t="s">
        <v>1164</v>
      </c>
      <c r="L1278" s="145" t="s">
        <v>476</v>
      </c>
      <c r="M1278" s="225" t="s">
        <v>160</v>
      </c>
      <c r="N1278" s="205">
        <v>0.02</v>
      </c>
      <c r="O1278" s="205" t="s">
        <v>1094</v>
      </c>
      <c r="P1278" s="205" t="s">
        <v>495</v>
      </c>
      <c r="Q1278" s="225">
        <v>0</v>
      </c>
      <c r="R1278" s="225">
        <v>0</v>
      </c>
      <c r="S1278" s="225">
        <v>3142316.63</v>
      </c>
      <c r="T1278" s="225">
        <v>62846.3326</v>
      </c>
      <c r="U1278" s="225">
        <v>3205162.9626</v>
      </c>
      <c r="V1278" s="225">
        <v>3200437.5</v>
      </c>
      <c r="W1278" s="225">
        <v>4725.46259999974</v>
      </c>
      <c r="X1278" s="225">
        <v>4632.80647058798</v>
      </c>
      <c r="Y1278" s="225">
        <v>92.65612941176</v>
      </c>
      <c r="Z1278" s="225">
        <v>3200437.5</v>
      </c>
      <c r="AA1278" s="225">
        <v>0</v>
      </c>
      <c r="AB1278" s="229">
        <f t="shared" si="302"/>
        <v>3200437.5</v>
      </c>
      <c r="AC1278" s="230">
        <f t="shared" si="303"/>
        <v>64008.75</v>
      </c>
      <c r="AD1278" s="225">
        <v>2646761.8125</v>
      </c>
      <c r="AE1278" s="205">
        <v>0</v>
      </c>
      <c r="AF1278" s="226">
        <f t="shared" si="311"/>
        <v>0</v>
      </c>
      <c r="AG1278" s="225">
        <v>97268.1985294116</v>
      </c>
      <c r="AH1278" s="225"/>
      <c r="AI1278" s="225"/>
      <c r="AJ1278" s="145" t="s">
        <v>1094</v>
      </c>
    </row>
    <row r="1279" s="145" customFormat="1" ht="14.25" hidden="1" spans="1:36">
      <c r="A1279" s="145">
        <v>2017</v>
      </c>
      <c r="B1279" s="145" t="s">
        <v>199</v>
      </c>
      <c r="C1279" s="145" t="s">
        <v>59</v>
      </c>
      <c r="D1279" s="145" t="s">
        <v>106</v>
      </c>
      <c r="E1279" s="145" t="s">
        <v>239</v>
      </c>
      <c r="F1279" s="145" t="s">
        <v>476</v>
      </c>
      <c r="G1279" s="145" t="s">
        <v>1166</v>
      </c>
      <c r="H1279" s="145" t="s">
        <v>1166</v>
      </c>
      <c r="I1279" s="196" t="s">
        <v>1159</v>
      </c>
      <c r="J1279" s="196" t="s">
        <v>1164</v>
      </c>
      <c r="K1279" s="145" t="s">
        <v>1164</v>
      </c>
      <c r="L1279" s="145" t="s">
        <v>476</v>
      </c>
      <c r="M1279" s="225" t="s">
        <v>185</v>
      </c>
      <c r="N1279" s="205">
        <v>0.02</v>
      </c>
      <c r="O1279" s="205" t="s">
        <v>1094</v>
      </c>
      <c r="P1279" s="205" t="s">
        <v>495</v>
      </c>
      <c r="Q1279" s="225">
        <v>0</v>
      </c>
      <c r="R1279" s="225">
        <v>0</v>
      </c>
      <c r="S1279" s="225">
        <v>753384.63</v>
      </c>
      <c r="T1279" s="225">
        <v>15067.6926</v>
      </c>
      <c r="U1279" s="225">
        <v>768452.3226</v>
      </c>
      <c r="V1279" s="225">
        <v>768759.84</v>
      </c>
      <c r="W1279" s="225">
        <v>-307.517400000128</v>
      </c>
      <c r="X1279" s="225">
        <v>-301.487647058949</v>
      </c>
      <c r="Y1279" s="225">
        <v>-6.02975294117897</v>
      </c>
      <c r="Z1279" s="225">
        <v>768759.84</v>
      </c>
      <c r="AA1279" s="225">
        <v>0</v>
      </c>
      <c r="AB1279" s="229">
        <f t="shared" si="302"/>
        <v>768759.84</v>
      </c>
      <c r="AC1279" s="230">
        <f t="shared" si="303"/>
        <v>15375.1968</v>
      </c>
      <c r="AD1279" s="225">
        <v>635764.38768</v>
      </c>
      <c r="AE1279" s="205">
        <v>0</v>
      </c>
      <c r="AF1279" s="226">
        <f t="shared" si="311"/>
        <v>0</v>
      </c>
      <c r="AG1279" s="225">
        <v>61802.2616470588</v>
      </c>
      <c r="AH1279" s="225"/>
      <c r="AI1279" s="225"/>
      <c r="AJ1279" s="145" t="s">
        <v>1094</v>
      </c>
    </row>
    <row r="1280" s="145" customFormat="1" ht="14.25" hidden="1" spans="1:36">
      <c r="A1280" s="145">
        <v>2017</v>
      </c>
      <c r="B1280" s="145" t="s">
        <v>199</v>
      </c>
      <c r="C1280" s="145" t="s">
        <v>59</v>
      </c>
      <c r="D1280" s="145" t="s">
        <v>106</v>
      </c>
      <c r="E1280" s="145" t="s">
        <v>239</v>
      </c>
      <c r="F1280" s="145" t="s">
        <v>476</v>
      </c>
      <c r="G1280" s="145" t="s">
        <v>1166</v>
      </c>
      <c r="H1280" s="145" t="s">
        <v>1166</v>
      </c>
      <c r="I1280" s="196" t="s">
        <v>1159</v>
      </c>
      <c r="J1280" s="196" t="s">
        <v>1164</v>
      </c>
      <c r="K1280" s="145" t="s">
        <v>1164</v>
      </c>
      <c r="L1280" s="145" t="s">
        <v>476</v>
      </c>
      <c r="M1280" s="225" t="s">
        <v>160</v>
      </c>
      <c r="N1280" s="205">
        <v>0.02</v>
      </c>
      <c r="O1280" s="205" t="s">
        <v>1094</v>
      </c>
      <c r="P1280" s="205" t="s">
        <v>495</v>
      </c>
      <c r="Q1280" s="225">
        <v>0</v>
      </c>
      <c r="R1280" s="225">
        <v>0</v>
      </c>
      <c r="S1280" s="225">
        <v>2227.93</v>
      </c>
      <c r="T1280" s="225">
        <v>44.5586</v>
      </c>
      <c r="U1280" s="225">
        <v>2272.4886</v>
      </c>
      <c r="V1280" s="225">
        <v>2273.4</v>
      </c>
      <c r="W1280" s="225">
        <v>-0.911400000000413</v>
      </c>
      <c r="X1280" s="225">
        <v>-0.89352941176511</v>
      </c>
      <c r="Y1280" s="225">
        <v>-0.0178705882353022</v>
      </c>
      <c r="Z1280" s="225">
        <v>2273.4</v>
      </c>
      <c r="AA1280" s="225">
        <v>0</v>
      </c>
      <c r="AB1280" s="229">
        <f t="shared" ref="AB1280:AB1338" si="318">IF(P1280="返货",Z1280/(1+N1280),IF(P1280="返现",Z1280,IF(P1280="折扣",Z1280*N1280,IF(P1280="无",Z1280))))</f>
        <v>2273.4</v>
      </c>
      <c r="AC1280" s="230">
        <f t="shared" ref="AC1280:AC1343" si="319">IF(P1280="返现",Z1280*N1280,Z1280-AB1280)</f>
        <v>45.468</v>
      </c>
      <c r="AD1280" s="225">
        <v>1880.1018</v>
      </c>
      <c r="AE1280" s="205">
        <v>0</v>
      </c>
      <c r="AF1280" s="226">
        <f t="shared" si="311"/>
        <v>0</v>
      </c>
      <c r="AG1280" s="225">
        <v>69.0935294117648</v>
      </c>
      <c r="AH1280" s="225"/>
      <c r="AI1280" s="225"/>
      <c r="AJ1280" s="145" t="s">
        <v>1094</v>
      </c>
    </row>
    <row r="1281" s="145" customFormat="1" ht="14.25" hidden="1" spans="1:36">
      <c r="A1281" s="145">
        <v>2017</v>
      </c>
      <c r="B1281" s="145" t="s">
        <v>199</v>
      </c>
      <c r="C1281" s="145" t="s">
        <v>59</v>
      </c>
      <c r="D1281" s="145" t="s">
        <v>106</v>
      </c>
      <c r="E1281" s="145" t="s">
        <v>239</v>
      </c>
      <c r="F1281" s="145" t="s">
        <v>476</v>
      </c>
      <c r="G1281" s="145" t="s">
        <v>1166</v>
      </c>
      <c r="H1281" s="145" t="s">
        <v>1166</v>
      </c>
      <c r="I1281" s="196" t="s">
        <v>1159</v>
      </c>
      <c r="J1281" s="196" t="s">
        <v>1164</v>
      </c>
      <c r="K1281" s="145" t="s">
        <v>1164</v>
      </c>
      <c r="L1281" s="145" t="s">
        <v>476</v>
      </c>
      <c r="M1281" s="225" t="s">
        <v>183</v>
      </c>
      <c r="N1281" s="205">
        <v>0.02</v>
      </c>
      <c r="O1281" s="205" t="s">
        <v>1094</v>
      </c>
      <c r="P1281" s="205" t="s">
        <v>495</v>
      </c>
      <c r="Q1281" s="225">
        <v>0</v>
      </c>
      <c r="R1281" s="225">
        <v>0</v>
      </c>
      <c r="S1281" s="225">
        <v>1564080</v>
      </c>
      <c r="T1281" s="225">
        <v>31281.6</v>
      </c>
      <c r="U1281" s="225">
        <v>1595361.6</v>
      </c>
      <c r="V1281" s="225">
        <v>1596000</v>
      </c>
      <c r="W1281" s="225">
        <v>-638.399999999907</v>
      </c>
      <c r="X1281" s="225">
        <v>-625.882352941085</v>
      </c>
      <c r="Y1281" s="225">
        <v>-12.5176470588217</v>
      </c>
      <c r="Z1281" s="225">
        <v>1596000</v>
      </c>
      <c r="AA1281" s="225">
        <v>0</v>
      </c>
      <c r="AB1281" s="229">
        <f t="shared" si="318"/>
        <v>1596000</v>
      </c>
      <c r="AC1281" s="230">
        <f t="shared" si="319"/>
        <v>31920</v>
      </c>
      <c r="AD1281" s="225">
        <v>1319892</v>
      </c>
      <c r="AE1281" s="205">
        <v>0</v>
      </c>
      <c r="AF1281" s="226">
        <f t="shared" si="311"/>
        <v>0</v>
      </c>
      <c r="AG1281" s="225">
        <v>208105.882352941</v>
      </c>
      <c r="AH1281" s="225"/>
      <c r="AI1281" s="225"/>
      <c r="AJ1281" s="145" t="s">
        <v>1094</v>
      </c>
    </row>
    <row r="1282" s="145" customFormat="1" ht="14.25" hidden="1" spans="1:36">
      <c r="A1282" s="145">
        <v>2017</v>
      </c>
      <c r="B1282" s="145" t="s">
        <v>38</v>
      </c>
      <c r="C1282" s="145" t="s">
        <v>137</v>
      </c>
      <c r="D1282" s="145" t="s">
        <v>270</v>
      </c>
      <c r="E1282" s="145" t="s">
        <v>270</v>
      </c>
      <c r="F1282" s="145" t="s">
        <v>1163</v>
      </c>
      <c r="G1282" s="145" t="s">
        <v>1167</v>
      </c>
      <c r="H1282" s="145" t="s">
        <v>1167</v>
      </c>
      <c r="I1282" s="196" t="s">
        <v>1159</v>
      </c>
      <c r="J1282" s="196" t="s">
        <v>1164</v>
      </c>
      <c r="K1282" s="145" t="s">
        <v>1164</v>
      </c>
      <c r="L1282" s="145" t="s">
        <v>1163</v>
      </c>
      <c r="M1282" s="225" t="s">
        <v>160</v>
      </c>
      <c r="N1282" s="205">
        <v>0.05</v>
      </c>
      <c r="O1282" s="205" t="s">
        <v>63</v>
      </c>
      <c r="P1282" s="205" t="s">
        <v>51</v>
      </c>
      <c r="Q1282" s="225">
        <v>0</v>
      </c>
      <c r="R1282" s="225">
        <v>0</v>
      </c>
      <c r="S1282" s="225">
        <v>1673360</v>
      </c>
      <c r="T1282" s="225">
        <v>83668</v>
      </c>
      <c r="U1282" s="225">
        <v>1757028</v>
      </c>
      <c r="V1282" s="225">
        <v>1673360</v>
      </c>
      <c r="W1282" s="225">
        <v>83668</v>
      </c>
      <c r="X1282" s="225">
        <v>79683.8095238095</v>
      </c>
      <c r="Y1282" s="225">
        <v>3984.19047619047</v>
      </c>
      <c r="Z1282" s="225">
        <v>1673360</v>
      </c>
      <c r="AA1282" s="225">
        <v>0</v>
      </c>
      <c r="AB1282" s="229">
        <f t="shared" si="318"/>
        <v>1593676.19047619</v>
      </c>
      <c r="AC1282" s="230">
        <f t="shared" si="319"/>
        <v>79683.8095238097</v>
      </c>
      <c r="AD1282" s="225">
        <v>1383868.72</v>
      </c>
      <c r="AE1282" s="205">
        <v>0</v>
      </c>
      <c r="AF1282" s="226">
        <f t="shared" si="311"/>
        <v>0</v>
      </c>
      <c r="AG1282" s="225">
        <v>3984.1904761903</v>
      </c>
      <c r="AH1282" s="225"/>
      <c r="AI1282" s="225"/>
      <c r="AJ1282" s="145" t="s">
        <v>63</v>
      </c>
    </row>
    <row r="1283" s="145" customFormat="1" ht="14.25" hidden="1" spans="1:36">
      <c r="A1283" s="145">
        <v>2017</v>
      </c>
      <c r="B1283" s="145" t="s">
        <v>38</v>
      </c>
      <c r="C1283" s="145" t="s">
        <v>110</v>
      </c>
      <c r="D1283" s="145" t="s">
        <v>111</v>
      </c>
      <c r="E1283" s="145" t="s">
        <v>281</v>
      </c>
      <c r="F1283" s="145" t="s">
        <v>898</v>
      </c>
      <c r="G1283" s="145" t="s">
        <v>898</v>
      </c>
      <c r="H1283" s="196" t="s">
        <v>898</v>
      </c>
      <c r="I1283" s="196" t="s">
        <v>1159</v>
      </c>
      <c r="J1283" s="196" t="s">
        <v>1164</v>
      </c>
      <c r="K1283" s="145" t="s">
        <v>1164</v>
      </c>
      <c r="L1283" s="145" t="s">
        <v>898</v>
      </c>
      <c r="M1283" s="225" t="s">
        <v>46</v>
      </c>
      <c r="N1283" s="205">
        <v>0.03</v>
      </c>
      <c r="O1283" s="205" t="s">
        <v>189</v>
      </c>
      <c r="P1283" s="205" t="s">
        <v>51</v>
      </c>
      <c r="Q1283" s="225">
        <v>0</v>
      </c>
      <c r="R1283" s="225">
        <v>0</v>
      </c>
      <c r="S1283" s="225">
        <v>48545</v>
      </c>
      <c r="T1283" s="225">
        <v>1456.35</v>
      </c>
      <c r="U1283" s="225">
        <v>50001.35</v>
      </c>
      <c r="V1283" s="236">
        <v>50000</v>
      </c>
      <c r="W1283" s="225">
        <v>1.34999999999854</v>
      </c>
      <c r="X1283" s="225">
        <v>1.31067961164907</v>
      </c>
      <c r="Y1283" s="225">
        <v>0.0393203883494722</v>
      </c>
      <c r="Z1283" s="225">
        <v>50000</v>
      </c>
      <c r="AA1283" s="225">
        <v>0</v>
      </c>
      <c r="AB1283" s="229">
        <f t="shared" si="318"/>
        <v>48543.6893203883</v>
      </c>
      <c r="AC1283" s="230">
        <f t="shared" si="319"/>
        <v>1456.31067961166</v>
      </c>
      <c r="AD1283" s="225">
        <v>41350</v>
      </c>
      <c r="AE1283" s="205">
        <v>0</v>
      </c>
      <c r="AF1283" s="226">
        <f t="shared" si="311"/>
        <v>0</v>
      </c>
      <c r="AG1283" s="225">
        <v>3543.68932038834</v>
      </c>
      <c r="AH1283" s="225"/>
      <c r="AI1283" s="225"/>
      <c r="AJ1283" s="145" t="s">
        <v>189</v>
      </c>
    </row>
    <row r="1284" s="145" customFormat="1" ht="14.25" hidden="1" spans="1:36">
      <c r="A1284" s="145">
        <v>2017</v>
      </c>
      <c r="B1284" s="145" t="s">
        <v>38</v>
      </c>
      <c r="C1284" s="145" t="s">
        <v>110</v>
      </c>
      <c r="D1284" s="145" t="s">
        <v>280</v>
      </c>
      <c r="E1284" s="145" t="s">
        <v>253</v>
      </c>
      <c r="F1284" s="145" t="s">
        <v>283</v>
      </c>
      <c r="G1284" s="145" t="s">
        <v>283</v>
      </c>
      <c r="H1284" s="145" t="s">
        <v>283</v>
      </c>
      <c r="I1284" s="196" t="s">
        <v>1159</v>
      </c>
      <c r="J1284" s="196" t="s">
        <v>1164</v>
      </c>
      <c r="K1284" s="145" t="s">
        <v>1164</v>
      </c>
      <c r="L1284" s="145" t="s">
        <v>283</v>
      </c>
      <c r="M1284" s="225" t="s">
        <v>185</v>
      </c>
      <c r="N1284" s="205">
        <v>0.02</v>
      </c>
      <c r="O1284" s="205" t="s">
        <v>173</v>
      </c>
      <c r="P1284" s="205" t="s">
        <v>51</v>
      </c>
      <c r="Q1284" s="225">
        <v>0</v>
      </c>
      <c r="R1284" s="225">
        <v>0</v>
      </c>
      <c r="S1284" s="225">
        <v>46757</v>
      </c>
      <c r="T1284" s="225">
        <v>935.14</v>
      </c>
      <c r="U1284" s="225">
        <v>47692.14</v>
      </c>
      <c r="V1284" s="225">
        <v>46757</v>
      </c>
      <c r="W1284" s="225">
        <v>935.139999999999</v>
      </c>
      <c r="X1284" s="225">
        <v>916.803921568627</v>
      </c>
      <c r="Y1284" s="225">
        <v>18.3360784313726</v>
      </c>
      <c r="Z1284" s="225">
        <v>46757</v>
      </c>
      <c r="AA1284" s="225">
        <v>0</v>
      </c>
      <c r="AB1284" s="229">
        <f t="shared" si="318"/>
        <v>45840.1960784314</v>
      </c>
      <c r="AC1284" s="230">
        <f t="shared" si="319"/>
        <v>916.803921568629</v>
      </c>
      <c r="AD1284" s="225">
        <v>38668.039</v>
      </c>
      <c r="AE1284" s="205">
        <v>0</v>
      </c>
      <c r="AF1284" s="226">
        <f t="shared" si="311"/>
        <v>0</v>
      </c>
      <c r="AG1284" s="225">
        <v>3758.89607843137</v>
      </c>
      <c r="AH1284" s="225"/>
      <c r="AI1284" s="225"/>
      <c r="AJ1284" s="145" t="s">
        <v>173</v>
      </c>
    </row>
    <row r="1285" s="145" customFormat="1" ht="14.25" hidden="1" spans="1:36">
      <c r="A1285" s="145">
        <v>2017</v>
      </c>
      <c r="B1285" s="145" t="s">
        <v>38</v>
      </c>
      <c r="C1285" s="145" t="s">
        <v>110</v>
      </c>
      <c r="D1285" s="145" t="s">
        <v>280</v>
      </c>
      <c r="E1285" s="145" t="s">
        <v>253</v>
      </c>
      <c r="F1285" s="145" t="s">
        <v>283</v>
      </c>
      <c r="G1285" s="145" t="s">
        <v>283</v>
      </c>
      <c r="H1285" s="145" t="s">
        <v>283</v>
      </c>
      <c r="I1285" s="196" t="s">
        <v>1159</v>
      </c>
      <c r="J1285" s="196" t="s">
        <v>1164</v>
      </c>
      <c r="K1285" s="145" t="s">
        <v>1164</v>
      </c>
      <c r="L1285" s="145" t="s">
        <v>283</v>
      </c>
      <c r="M1285" s="225" t="s">
        <v>160</v>
      </c>
      <c r="N1285" s="205">
        <v>0.02</v>
      </c>
      <c r="O1285" s="205" t="s">
        <v>173</v>
      </c>
      <c r="P1285" s="205" t="s">
        <v>51</v>
      </c>
      <c r="Q1285" s="225">
        <v>0</v>
      </c>
      <c r="R1285" s="225">
        <v>0</v>
      </c>
      <c r="S1285" s="225">
        <v>1797112.5</v>
      </c>
      <c r="T1285" s="225">
        <v>35942.25</v>
      </c>
      <c r="U1285" s="225">
        <v>1833054.75</v>
      </c>
      <c r="V1285" s="225">
        <v>1797114.5</v>
      </c>
      <c r="W1285" s="225">
        <v>35940.25</v>
      </c>
      <c r="X1285" s="225">
        <v>35235.5392156863</v>
      </c>
      <c r="Y1285" s="225">
        <v>704.710784313727</v>
      </c>
      <c r="Z1285" s="225">
        <v>1797114.5</v>
      </c>
      <c r="AA1285" s="225">
        <v>0</v>
      </c>
      <c r="AB1285" s="229">
        <f t="shared" si="318"/>
        <v>1761876.96078431</v>
      </c>
      <c r="AC1285" s="230">
        <f t="shared" si="319"/>
        <v>35237.5392156863</v>
      </c>
      <c r="AD1285" s="225">
        <v>1486213.6915</v>
      </c>
      <c r="AE1285" s="205">
        <v>0</v>
      </c>
      <c r="AF1285" s="226">
        <f t="shared" si="311"/>
        <v>0</v>
      </c>
      <c r="AG1285" s="225">
        <v>54618.1857843137</v>
      </c>
      <c r="AH1285" s="225"/>
      <c r="AI1285" s="225"/>
      <c r="AJ1285" s="145" t="s">
        <v>173</v>
      </c>
    </row>
    <row r="1286" s="145" customFormat="1" ht="14.25" hidden="1" spans="1:36">
      <c r="A1286" s="145">
        <v>2017</v>
      </c>
      <c r="B1286" s="145" t="s">
        <v>252</v>
      </c>
      <c r="C1286" s="145" t="s">
        <v>54</v>
      </c>
      <c r="D1286" s="145" t="s">
        <v>55</v>
      </c>
      <c r="E1286" s="145" t="s">
        <v>368</v>
      </c>
      <c r="F1286" s="145" t="s">
        <v>1168</v>
      </c>
      <c r="G1286" s="145" t="s">
        <v>1169</v>
      </c>
      <c r="H1286" s="145" t="s">
        <v>1169</v>
      </c>
      <c r="I1286" s="196" t="s">
        <v>1159</v>
      </c>
      <c r="J1286" s="196" t="s">
        <v>1164</v>
      </c>
      <c r="K1286" s="145" t="s">
        <v>1164</v>
      </c>
      <c r="L1286" s="145" t="s">
        <v>1168</v>
      </c>
      <c r="M1286" s="225" t="s">
        <v>46</v>
      </c>
      <c r="N1286" s="205">
        <v>0</v>
      </c>
      <c r="O1286" s="205" t="s">
        <v>47</v>
      </c>
      <c r="P1286" s="205" t="s">
        <v>47</v>
      </c>
      <c r="Q1286" s="225">
        <v>0</v>
      </c>
      <c r="R1286" s="225">
        <v>0</v>
      </c>
      <c r="S1286" s="225">
        <v>5000</v>
      </c>
      <c r="T1286" s="225">
        <v>0</v>
      </c>
      <c r="U1286" s="225">
        <v>5000</v>
      </c>
      <c r="V1286" s="225">
        <v>5000</v>
      </c>
      <c r="W1286" s="225">
        <v>0</v>
      </c>
      <c r="X1286" s="225">
        <v>0</v>
      </c>
      <c r="Y1286" s="225">
        <v>0</v>
      </c>
      <c r="Z1286" s="225">
        <v>5000</v>
      </c>
      <c r="AA1286" s="225">
        <v>0</v>
      </c>
      <c r="AB1286" s="229">
        <f t="shared" si="318"/>
        <v>5000</v>
      </c>
      <c r="AC1286" s="230">
        <f t="shared" si="319"/>
        <v>0</v>
      </c>
      <c r="AD1286" s="225">
        <v>4135</v>
      </c>
      <c r="AE1286" s="205">
        <v>0</v>
      </c>
      <c r="AF1286" s="226">
        <f t="shared" si="311"/>
        <v>0</v>
      </c>
      <c r="AG1286" s="225">
        <v>500</v>
      </c>
      <c r="AH1286" s="225"/>
      <c r="AI1286" s="225"/>
      <c r="AJ1286" s="145" t="s">
        <v>47</v>
      </c>
    </row>
    <row r="1287" s="145" customFormat="1" ht="14.25" hidden="1" spans="1:36">
      <c r="A1287" s="145">
        <v>2017</v>
      </c>
      <c r="B1287" s="145" t="s">
        <v>38</v>
      </c>
      <c r="C1287" s="145" t="s">
        <v>54</v>
      </c>
      <c r="D1287" s="145" t="s">
        <v>55</v>
      </c>
      <c r="E1287" s="145" t="s">
        <v>368</v>
      </c>
      <c r="F1287" s="145" t="s">
        <v>489</v>
      </c>
      <c r="G1287" s="145" t="s">
        <v>489</v>
      </c>
      <c r="H1287" s="145" t="s">
        <v>489</v>
      </c>
      <c r="I1287" s="196" t="s">
        <v>1159</v>
      </c>
      <c r="J1287" s="196" t="s">
        <v>1164</v>
      </c>
      <c r="K1287" s="145" t="s">
        <v>1164</v>
      </c>
      <c r="L1287" s="145" t="s">
        <v>489</v>
      </c>
      <c r="M1287" s="225" t="s">
        <v>46</v>
      </c>
      <c r="N1287" s="205">
        <v>0.1</v>
      </c>
      <c r="O1287" s="205" t="s">
        <v>69</v>
      </c>
      <c r="P1287" s="205" t="s">
        <v>51</v>
      </c>
      <c r="Q1287" s="225">
        <v>0</v>
      </c>
      <c r="R1287" s="225">
        <v>0</v>
      </c>
      <c r="S1287" s="225">
        <v>40000</v>
      </c>
      <c r="T1287" s="225">
        <v>4000</v>
      </c>
      <c r="U1287" s="225">
        <v>44000</v>
      </c>
      <c r="V1287" s="236">
        <v>40000</v>
      </c>
      <c r="W1287" s="225">
        <v>4000</v>
      </c>
      <c r="X1287" s="225">
        <v>3636.36363636364</v>
      </c>
      <c r="Y1287" s="225">
        <v>363.636363636364</v>
      </c>
      <c r="Z1287" s="225">
        <v>40000</v>
      </c>
      <c r="AA1287" s="225">
        <v>0</v>
      </c>
      <c r="AB1287" s="229">
        <f t="shared" si="318"/>
        <v>36363.6363636364</v>
      </c>
      <c r="AC1287" s="230">
        <f t="shared" si="319"/>
        <v>3636.36363636364</v>
      </c>
      <c r="AD1287" s="225">
        <v>33080</v>
      </c>
      <c r="AE1287" s="205">
        <v>0</v>
      </c>
      <c r="AF1287" s="226">
        <f t="shared" si="311"/>
        <v>0</v>
      </c>
      <c r="AG1287" s="225">
        <v>363.63636363636</v>
      </c>
      <c r="AH1287" s="225"/>
      <c r="AI1287" s="225"/>
      <c r="AJ1287" s="145" t="s">
        <v>69</v>
      </c>
    </row>
    <row r="1288" s="145" customFormat="1" ht="14.25" hidden="1" spans="1:36">
      <c r="A1288" s="145">
        <v>2017</v>
      </c>
      <c r="B1288" s="145" t="s">
        <v>38</v>
      </c>
      <c r="C1288" s="145" t="s">
        <v>110</v>
      </c>
      <c r="D1288" s="145" t="s">
        <v>111</v>
      </c>
      <c r="E1288" s="145" t="s">
        <v>112</v>
      </c>
      <c r="F1288" s="145" t="s">
        <v>113</v>
      </c>
      <c r="G1288" s="145" t="s">
        <v>113</v>
      </c>
      <c r="H1288" s="145" t="s">
        <v>113</v>
      </c>
      <c r="I1288" s="196" t="s">
        <v>1159</v>
      </c>
      <c r="J1288" s="196" t="s">
        <v>1164</v>
      </c>
      <c r="K1288" s="145" t="s">
        <v>1164</v>
      </c>
      <c r="L1288" s="145" t="s">
        <v>248</v>
      </c>
      <c r="M1288" s="225" t="s">
        <v>46</v>
      </c>
      <c r="N1288" s="205">
        <v>0</v>
      </c>
      <c r="O1288" s="205" t="s">
        <v>47</v>
      </c>
      <c r="P1288" s="205" t="s">
        <v>47</v>
      </c>
      <c r="Q1288" s="225">
        <v>0</v>
      </c>
      <c r="R1288" s="225">
        <v>0</v>
      </c>
      <c r="S1288" s="225">
        <v>10000</v>
      </c>
      <c r="T1288" s="225">
        <v>0</v>
      </c>
      <c r="U1288" s="225">
        <v>10000</v>
      </c>
      <c r="V1288" s="225">
        <v>10000</v>
      </c>
      <c r="W1288" s="225">
        <v>0</v>
      </c>
      <c r="X1288" s="225">
        <v>0</v>
      </c>
      <c r="Y1288" s="225">
        <v>0</v>
      </c>
      <c r="Z1288" s="225">
        <v>10000</v>
      </c>
      <c r="AA1288" s="225">
        <v>0</v>
      </c>
      <c r="AB1288" s="229">
        <f t="shared" si="318"/>
        <v>10000</v>
      </c>
      <c r="AC1288" s="230">
        <f t="shared" si="319"/>
        <v>0</v>
      </c>
      <c r="AD1288" s="225">
        <v>8270</v>
      </c>
      <c r="AE1288" s="205">
        <v>0</v>
      </c>
      <c r="AF1288" s="226">
        <f t="shared" ref="AF1288:AF1351" si="320">AD1288*AE1288</f>
        <v>0</v>
      </c>
      <c r="AG1288" s="225">
        <v>1000</v>
      </c>
      <c r="AH1288" s="225"/>
      <c r="AI1288" s="225"/>
      <c r="AJ1288" s="145" t="s">
        <v>47</v>
      </c>
    </row>
    <row r="1289" s="145" customFormat="1" ht="14.25" hidden="1" spans="1:36">
      <c r="A1289" s="145">
        <v>2017</v>
      </c>
      <c r="B1289" s="145" t="s">
        <v>199</v>
      </c>
      <c r="C1289" s="145" t="s">
        <v>75</v>
      </c>
      <c r="D1289" s="145" t="s">
        <v>76</v>
      </c>
      <c r="E1289" s="145" t="s">
        <v>315</v>
      </c>
      <c r="F1289" s="145" t="s">
        <v>547</v>
      </c>
      <c r="G1289" s="196" t="s">
        <v>548</v>
      </c>
      <c r="H1289" s="197" t="s">
        <v>549</v>
      </c>
      <c r="I1289" s="196" t="s">
        <v>1159</v>
      </c>
      <c r="J1289" s="196" t="s">
        <v>1164</v>
      </c>
      <c r="K1289" s="145" t="s">
        <v>1164</v>
      </c>
      <c r="L1289" s="145" t="s">
        <v>547</v>
      </c>
      <c r="M1289" s="225" t="s">
        <v>46</v>
      </c>
      <c r="N1289" s="205">
        <v>0</v>
      </c>
      <c r="O1289" s="205" t="s">
        <v>47</v>
      </c>
      <c r="P1289" s="205" t="s">
        <v>47</v>
      </c>
      <c r="Q1289" s="225">
        <v>0</v>
      </c>
      <c r="R1289" s="225">
        <v>0</v>
      </c>
      <c r="S1289" s="225">
        <v>100358.5</v>
      </c>
      <c r="T1289" s="225">
        <v>0</v>
      </c>
      <c r="U1289" s="225">
        <v>100358.5</v>
      </c>
      <c r="V1289" s="236">
        <v>100359</v>
      </c>
      <c r="W1289" s="225">
        <v>-0.5</v>
      </c>
      <c r="X1289" s="225">
        <v>-0.5</v>
      </c>
      <c r="Y1289" s="225">
        <v>0</v>
      </c>
      <c r="Z1289" s="225">
        <v>100359</v>
      </c>
      <c r="AA1289" s="225">
        <v>0</v>
      </c>
      <c r="AB1289" s="229">
        <f t="shared" si="318"/>
        <v>100359</v>
      </c>
      <c r="AC1289" s="230">
        <f t="shared" si="319"/>
        <v>0</v>
      </c>
      <c r="AD1289" s="225">
        <v>82996.893</v>
      </c>
      <c r="AE1289" s="205">
        <v>0</v>
      </c>
      <c r="AF1289" s="226">
        <f t="shared" si="320"/>
        <v>0</v>
      </c>
      <c r="AG1289" s="225">
        <v>10035.9</v>
      </c>
      <c r="AH1289" s="225"/>
      <c r="AI1289" s="225"/>
      <c r="AJ1289" s="145" t="s">
        <v>47</v>
      </c>
    </row>
    <row r="1290" s="145" customFormat="1" ht="14.25" hidden="1" spans="1:36">
      <c r="A1290" s="145">
        <v>2017</v>
      </c>
      <c r="B1290" s="145" t="s">
        <v>38</v>
      </c>
      <c r="C1290" s="145" t="s">
        <v>59</v>
      </c>
      <c r="D1290" s="145" t="s">
        <v>154</v>
      </c>
      <c r="E1290" s="145" t="s">
        <v>192</v>
      </c>
      <c r="F1290" s="145" t="s">
        <v>338</v>
      </c>
      <c r="G1290" s="145" t="s">
        <v>339</v>
      </c>
      <c r="H1290" s="145" t="s">
        <v>339</v>
      </c>
      <c r="I1290" s="196" t="s">
        <v>1159</v>
      </c>
      <c r="J1290" s="196" t="s">
        <v>1164</v>
      </c>
      <c r="K1290" s="145" t="s">
        <v>1164</v>
      </c>
      <c r="L1290" s="145" t="s">
        <v>338</v>
      </c>
      <c r="M1290" s="225" t="s">
        <v>46</v>
      </c>
      <c r="N1290" s="205">
        <v>0</v>
      </c>
      <c r="O1290" s="234">
        <v>0</v>
      </c>
      <c r="P1290" s="205" t="s">
        <v>47</v>
      </c>
      <c r="Q1290" s="225">
        <v>0</v>
      </c>
      <c r="R1290" s="225">
        <v>0</v>
      </c>
      <c r="S1290" s="225">
        <v>35000</v>
      </c>
      <c r="T1290" s="225">
        <v>0</v>
      </c>
      <c r="U1290" s="225">
        <v>35000</v>
      </c>
      <c r="V1290" s="225">
        <v>35000</v>
      </c>
      <c r="W1290" s="225">
        <v>0</v>
      </c>
      <c r="X1290" s="225">
        <v>0</v>
      </c>
      <c r="Y1290" s="225">
        <v>0</v>
      </c>
      <c r="Z1290" s="225">
        <v>35000</v>
      </c>
      <c r="AA1290" s="225">
        <v>0</v>
      </c>
      <c r="AB1290" s="229">
        <f t="shared" si="318"/>
        <v>35000</v>
      </c>
      <c r="AC1290" s="230">
        <f t="shared" si="319"/>
        <v>0</v>
      </c>
      <c r="AD1290" s="225">
        <v>28945</v>
      </c>
      <c r="AE1290" s="205">
        <v>0</v>
      </c>
      <c r="AF1290" s="226">
        <f t="shared" si="320"/>
        <v>0</v>
      </c>
      <c r="AG1290" s="225">
        <v>3500</v>
      </c>
      <c r="AH1290" s="225"/>
      <c r="AI1290" s="225"/>
      <c r="AJ1290" s="145" t="s">
        <v>120</v>
      </c>
    </row>
    <row r="1291" s="145" customFormat="1" ht="14.25" hidden="1" spans="1:36">
      <c r="A1291" s="145">
        <v>2017</v>
      </c>
      <c r="B1291" s="145" t="s">
        <v>199</v>
      </c>
      <c r="C1291" s="145" t="s">
        <v>200</v>
      </c>
      <c r="D1291" s="145" t="s">
        <v>201</v>
      </c>
      <c r="E1291" s="145" t="s">
        <v>814</v>
      </c>
      <c r="F1291" s="145" t="s">
        <v>202</v>
      </c>
      <c r="G1291" s="145" t="s">
        <v>203</v>
      </c>
      <c r="H1291" s="145" t="s">
        <v>203</v>
      </c>
      <c r="I1291" s="196" t="s">
        <v>1159</v>
      </c>
      <c r="J1291" s="196" t="s">
        <v>1164</v>
      </c>
      <c r="K1291" s="145" t="s">
        <v>1164</v>
      </c>
      <c r="L1291" s="145" t="s">
        <v>202</v>
      </c>
      <c r="M1291" s="225" t="s">
        <v>46</v>
      </c>
      <c r="N1291" s="205">
        <v>0.05</v>
      </c>
      <c r="O1291" s="205" t="s">
        <v>63</v>
      </c>
      <c r="P1291" s="205" t="s">
        <v>51</v>
      </c>
      <c r="Q1291" s="225">
        <v>0</v>
      </c>
      <c r="R1291" s="225">
        <v>0</v>
      </c>
      <c r="S1291" s="225">
        <v>250000</v>
      </c>
      <c r="T1291" s="225">
        <v>12500</v>
      </c>
      <c r="U1291" s="225">
        <v>262500</v>
      </c>
      <c r="V1291" s="225">
        <v>250000</v>
      </c>
      <c r="W1291" s="225">
        <v>12500</v>
      </c>
      <c r="X1291" s="225">
        <v>11904.7619047619</v>
      </c>
      <c r="Y1291" s="225">
        <v>595.238095238095</v>
      </c>
      <c r="Z1291" s="225">
        <v>250000</v>
      </c>
      <c r="AA1291" s="225">
        <v>0</v>
      </c>
      <c r="AB1291" s="229">
        <f t="shared" si="318"/>
        <v>238095.238095238</v>
      </c>
      <c r="AC1291" s="230">
        <f t="shared" si="319"/>
        <v>11904.7619047619</v>
      </c>
      <c r="AD1291" s="225">
        <v>206750</v>
      </c>
      <c r="AE1291" s="205">
        <v>0</v>
      </c>
      <c r="AF1291" s="226">
        <f t="shared" si="320"/>
        <v>0</v>
      </c>
      <c r="AG1291" s="225">
        <v>13095.2380952381</v>
      </c>
      <c r="AH1291" s="225"/>
      <c r="AI1291" s="225"/>
      <c r="AJ1291" s="145" t="s">
        <v>63</v>
      </c>
    </row>
    <row r="1292" s="145" customFormat="1" ht="14.25" hidden="1" spans="1:36">
      <c r="A1292" s="145">
        <v>2017</v>
      </c>
      <c r="B1292" s="145" t="s">
        <v>252</v>
      </c>
      <c r="C1292" s="145" t="s">
        <v>54</v>
      </c>
      <c r="D1292" s="145" t="s">
        <v>55</v>
      </c>
      <c r="E1292" s="145" t="s">
        <v>370</v>
      </c>
      <c r="F1292" s="145" t="s">
        <v>242</v>
      </c>
      <c r="G1292" s="196" t="s">
        <v>371</v>
      </c>
      <c r="H1292" s="197" t="s">
        <v>372</v>
      </c>
      <c r="I1292" s="196" t="s">
        <v>1159</v>
      </c>
      <c r="J1292" s="196" t="s">
        <v>1164</v>
      </c>
      <c r="K1292" s="145" t="s">
        <v>1164</v>
      </c>
      <c r="L1292" s="145" t="s">
        <v>1170</v>
      </c>
      <c r="M1292" s="225" t="s">
        <v>160</v>
      </c>
      <c r="N1292" s="235">
        <v>0.784</v>
      </c>
      <c r="O1292" s="205" t="s">
        <v>1171</v>
      </c>
      <c r="P1292" s="205" t="s">
        <v>259</v>
      </c>
      <c r="Q1292" s="225">
        <v>0</v>
      </c>
      <c r="R1292" s="225">
        <v>0</v>
      </c>
      <c r="S1292" s="225">
        <v>1702089.66</v>
      </c>
      <c r="T1292" s="225">
        <v>0</v>
      </c>
      <c r="U1292" s="225">
        <v>1702089.66</v>
      </c>
      <c r="V1292" s="225">
        <f>1678867+45424</f>
        <v>1724291</v>
      </c>
      <c r="W1292" s="225">
        <v>23222.6599999999</v>
      </c>
      <c r="X1292" s="225">
        <v>23222.6599999999</v>
      </c>
      <c r="Y1292" s="225">
        <v>0</v>
      </c>
      <c r="Z1292" s="225">
        <f>1678867+45424</f>
        <v>1724291</v>
      </c>
      <c r="AA1292" s="225">
        <v>0</v>
      </c>
      <c r="AB1292" s="229">
        <f t="shared" si="318"/>
        <v>1351844.144</v>
      </c>
      <c r="AC1292" s="230">
        <f t="shared" si="319"/>
        <v>372446.856</v>
      </c>
      <c r="AD1292" s="225">
        <v>1425988.657</v>
      </c>
      <c r="AE1292" s="205">
        <v>0</v>
      </c>
      <c r="AF1292" s="226">
        <f t="shared" si="320"/>
        <v>0</v>
      </c>
      <c r="AG1292" s="225">
        <v>83943.35</v>
      </c>
      <c r="AH1292" s="225"/>
      <c r="AI1292" s="225"/>
      <c r="AJ1292" s="145" t="s">
        <v>1171</v>
      </c>
    </row>
    <row r="1293" s="145" customFormat="1" ht="14.25" hidden="1" spans="1:36">
      <c r="A1293" s="145">
        <v>2017</v>
      </c>
      <c r="B1293" s="145" t="s">
        <v>38</v>
      </c>
      <c r="C1293" s="145" t="s">
        <v>54</v>
      </c>
      <c r="D1293" s="145" t="s">
        <v>55</v>
      </c>
      <c r="E1293" s="145" t="s">
        <v>368</v>
      </c>
      <c r="F1293" s="145" t="s">
        <v>1172</v>
      </c>
      <c r="G1293" s="145" t="s">
        <v>1172</v>
      </c>
      <c r="H1293" s="145" t="s">
        <v>1172</v>
      </c>
      <c r="I1293" s="196" t="s">
        <v>1159</v>
      </c>
      <c r="J1293" s="196" t="s">
        <v>1164</v>
      </c>
      <c r="K1293" s="145" t="s">
        <v>1164</v>
      </c>
      <c r="L1293" s="145" t="s">
        <v>1172</v>
      </c>
      <c r="M1293" s="225" t="s">
        <v>46</v>
      </c>
      <c r="N1293" s="205">
        <v>0.02</v>
      </c>
      <c r="O1293" s="205" t="s">
        <v>173</v>
      </c>
      <c r="P1293" s="205" t="s">
        <v>51</v>
      </c>
      <c r="Q1293" s="225">
        <v>0</v>
      </c>
      <c r="R1293" s="225">
        <v>0</v>
      </c>
      <c r="S1293" s="225">
        <v>10000</v>
      </c>
      <c r="T1293" s="225">
        <v>200</v>
      </c>
      <c r="U1293" s="225">
        <v>10200</v>
      </c>
      <c r="V1293" s="225">
        <v>10000</v>
      </c>
      <c r="W1293" s="225">
        <v>200</v>
      </c>
      <c r="X1293" s="225">
        <v>196.078431372549</v>
      </c>
      <c r="Y1293" s="225">
        <v>3.92156862745099</v>
      </c>
      <c r="Z1293" s="225">
        <v>10000</v>
      </c>
      <c r="AA1293" s="225">
        <v>0</v>
      </c>
      <c r="AB1293" s="229">
        <f t="shared" si="318"/>
        <v>9803.92156862745</v>
      </c>
      <c r="AC1293" s="230">
        <f t="shared" si="319"/>
        <v>196.078431372549</v>
      </c>
      <c r="AD1293" s="225">
        <v>8270</v>
      </c>
      <c r="AE1293" s="205">
        <v>0</v>
      </c>
      <c r="AF1293" s="226">
        <f t="shared" si="320"/>
        <v>0</v>
      </c>
      <c r="AG1293" s="225">
        <v>803.921568627451</v>
      </c>
      <c r="AH1293" s="225"/>
      <c r="AI1293" s="225"/>
      <c r="AJ1293" s="145" t="s">
        <v>173</v>
      </c>
    </row>
    <row r="1294" s="145" customFormat="1" ht="14.25" hidden="1" spans="1:36">
      <c r="A1294" s="145">
        <v>2017</v>
      </c>
      <c r="B1294" s="145" t="s">
        <v>38</v>
      </c>
      <c r="C1294" s="145" t="s">
        <v>54</v>
      </c>
      <c r="D1294" s="145" t="s">
        <v>55</v>
      </c>
      <c r="E1294" s="145" t="s">
        <v>368</v>
      </c>
      <c r="F1294" s="145" t="s">
        <v>1173</v>
      </c>
      <c r="G1294" s="145" t="s">
        <v>1173</v>
      </c>
      <c r="H1294" s="145" t="s">
        <v>1173</v>
      </c>
      <c r="I1294" s="196" t="s">
        <v>1159</v>
      </c>
      <c r="J1294" s="196" t="s">
        <v>1164</v>
      </c>
      <c r="K1294" s="145" t="s">
        <v>1164</v>
      </c>
      <c r="L1294" s="145" t="s">
        <v>1173</v>
      </c>
      <c r="M1294" s="225" t="s">
        <v>46</v>
      </c>
      <c r="N1294" s="205">
        <v>0</v>
      </c>
      <c r="O1294" s="205" t="s">
        <v>47</v>
      </c>
      <c r="P1294" s="205" t="s">
        <v>47</v>
      </c>
      <c r="Q1294" s="225">
        <v>0</v>
      </c>
      <c r="R1294" s="225">
        <v>0</v>
      </c>
      <c r="S1294" s="225">
        <v>20000</v>
      </c>
      <c r="T1294" s="225">
        <v>0</v>
      </c>
      <c r="U1294" s="225">
        <v>20000</v>
      </c>
      <c r="V1294" s="225">
        <v>20000</v>
      </c>
      <c r="W1294" s="225">
        <v>0</v>
      </c>
      <c r="X1294" s="225">
        <v>0</v>
      </c>
      <c r="Y1294" s="225">
        <v>0</v>
      </c>
      <c r="Z1294" s="225">
        <v>20000</v>
      </c>
      <c r="AA1294" s="225">
        <v>0</v>
      </c>
      <c r="AB1294" s="229">
        <f t="shared" si="318"/>
        <v>20000</v>
      </c>
      <c r="AC1294" s="230">
        <f t="shared" si="319"/>
        <v>0</v>
      </c>
      <c r="AD1294" s="225">
        <v>16540</v>
      </c>
      <c r="AE1294" s="205">
        <v>0</v>
      </c>
      <c r="AF1294" s="226">
        <f t="shared" si="320"/>
        <v>0</v>
      </c>
      <c r="AG1294" s="225">
        <v>2000</v>
      </c>
      <c r="AH1294" s="225"/>
      <c r="AI1294" s="225"/>
      <c r="AJ1294" s="145" t="s">
        <v>120</v>
      </c>
    </row>
    <row r="1295" s="145" customFormat="1" ht="14.25" hidden="1" spans="1:36">
      <c r="A1295" s="145">
        <v>2017</v>
      </c>
      <c r="B1295" s="145" t="s">
        <v>252</v>
      </c>
      <c r="C1295" s="145" t="s">
        <v>110</v>
      </c>
      <c r="D1295" s="145" t="s">
        <v>111</v>
      </c>
      <c r="E1295" s="145" t="s">
        <v>112</v>
      </c>
      <c r="F1295" s="145" t="s">
        <v>284</v>
      </c>
      <c r="G1295" s="145" t="s">
        <v>285</v>
      </c>
      <c r="H1295" s="145" t="s">
        <v>285</v>
      </c>
      <c r="I1295" s="196" t="s">
        <v>1159</v>
      </c>
      <c r="J1295" s="196" t="s">
        <v>1164</v>
      </c>
      <c r="K1295" s="145" t="s">
        <v>1164</v>
      </c>
      <c r="L1295" s="145" t="s">
        <v>284</v>
      </c>
      <c r="M1295" s="225" t="s">
        <v>46</v>
      </c>
      <c r="N1295" s="205">
        <v>0</v>
      </c>
      <c r="O1295" s="205" t="s">
        <v>47</v>
      </c>
      <c r="P1295" s="205" t="s">
        <v>47</v>
      </c>
      <c r="Q1295" s="225">
        <v>0</v>
      </c>
      <c r="R1295" s="225">
        <v>0</v>
      </c>
      <c r="S1295" s="225">
        <v>120000</v>
      </c>
      <c r="T1295" s="225">
        <v>0</v>
      </c>
      <c r="U1295" s="225">
        <v>120000</v>
      </c>
      <c r="V1295" s="225">
        <v>120000</v>
      </c>
      <c r="W1295" s="225">
        <v>0</v>
      </c>
      <c r="X1295" s="225">
        <v>0</v>
      </c>
      <c r="Y1295" s="225">
        <v>0</v>
      </c>
      <c r="Z1295" s="225">
        <v>120000</v>
      </c>
      <c r="AA1295" s="225">
        <v>0</v>
      </c>
      <c r="AB1295" s="229">
        <f t="shared" si="318"/>
        <v>120000</v>
      </c>
      <c r="AC1295" s="230">
        <f t="shared" si="319"/>
        <v>0</v>
      </c>
      <c r="AD1295" s="225">
        <v>99240</v>
      </c>
      <c r="AE1295" s="205">
        <v>0</v>
      </c>
      <c r="AF1295" s="226">
        <f t="shared" si="320"/>
        <v>0</v>
      </c>
      <c r="AG1295" s="225">
        <v>12000</v>
      </c>
      <c r="AH1295" s="225"/>
      <c r="AI1295" s="225"/>
      <c r="AJ1295" s="145" t="s">
        <v>47</v>
      </c>
    </row>
    <row r="1296" s="145" customFormat="1" ht="14.25" hidden="1" spans="1:36">
      <c r="A1296" s="145">
        <v>2017</v>
      </c>
      <c r="B1296" s="145" t="s">
        <v>38</v>
      </c>
      <c r="C1296" s="145" t="s">
        <v>54</v>
      </c>
      <c r="D1296" s="145" t="s">
        <v>55</v>
      </c>
      <c r="E1296" s="145" t="s">
        <v>368</v>
      </c>
      <c r="F1296" s="145" t="s">
        <v>430</v>
      </c>
      <c r="G1296" s="145" t="s">
        <v>430</v>
      </c>
      <c r="H1296" s="145" t="s">
        <v>430</v>
      </c>
      <c r="I1296" s="196" t="s">
        <v>1159</v>
      </c>
      <c r="J1296" s="196" t="s">
        <v>1164</v>
      </c>
      <c r="K1296" s="145" t="s">
        <v>1164</v>
      </c>
      <c r="L1296" s="145" t="s">
        <v>430</v>
      </c>
      <c r="M1296" s="225" t="s">
        <v>46</v>
      </c>
      <c r="N1296" s="205">
        <v>0.02</v>
      </c>
      <c r="O1296" s="205" t="s">
        <v>173</v>
      </c>
      <c r="P1296" s="205" t="s">
        <v>51</v>
      </c>
      <c r="Q1296" s="225">
        <v>0</v>
      </c>
      <c r="R1296" s="225">
        <v>0</v>
      </c>
      <c r="S1296" s="225">
        <v>5000</v>
      </c>
      <c r="T1296" s="225">
        <v>100</v>
      </c>
      <c r="U1296" s="225">
        <v>5100</v>
      </c>
      <c r="V1296" s="225">
        <v>5000</v>
      </c>
      <c r="W1296" s="225">
        <v>100</v>
      </c>
      <c r="X1296" s="225">
        <v>98.0392156862745</v>
      </c>
      <c r="Y1296" s="225">
        <v>1.9607843137255</v>
      </c>
      <c r="Z1296" s="225">
        <v>5000</v>
      </c>
      <c r="AA1296" s="225">
        <v>0</v>
      </c>
      <c r="AB1296" s="229">
        <f t="shared" si="318"/>
        <v>4901.96078431373</v>
      </c>
      <c r="AC1296" s="230">
        <f t="shared" si="319"/>
        <v>98.0392156862745</v>
      </c>
      <c r="AD1296" s="225">
        <v>4135</v>
      </c>
      <c r="AE1296" s="205">
        <v>0</v>
      </c>
      <c r="AF1296" s="226">
        <f t="shared" si="320"/>
        <v>0</v>
      </c>
      <c r="AG1296" s="225">
        <v>401.960784313726</v>
      </c>
      <c r="AH1296" s="225"/>
      <c r="AI1296" s="225"/>
      <c r="AJ1296" s="145" t="s">
        <v>173</v>
      </c>
    </row>
    <row r="1297" s="145" customFormat="1" ht="14.25" hidden="1" spans="1:36">
      <c r="A1297" s="145">
        <v>2017</v>
      </c>
      <c r="B1297" s="145" t="s">
        <v>199</v>
      </c>
      <c r="C1297" s="145" t="s">
        <v>59</v>
      </c>
      <c r="D1297" s="145" t="s">
        <v>106</v>
      </c>
      <c r="E1297" s="145" t="s">
        <v>239</v>
      </c>
      <c r="F1297" s="145" t="s">
        <v>1174</v>
      </c>
      <c r="G1297" s="145" t="s">
        <v>1175</v>
      </c>
      <c r="H1297" s="145" t="s">
        <v>1175</v>
      </c>
      <c r="I1297" s="196" t="s">
        <v>1159</v>
      </c>
      <c r="J1297" s="196" t="s">
        <v>1164</v>
      </c>
      <c r="K1297" s="145" t="s">
        <v>1164</v>
      </c>
      <c r="L1297" s="145" t="s">
        <v>1174</v>
      </c>
      <c r="M1297" s="225" t="s">
        <v>46</v>
      </c>
      <c r="N1297" s="205">
        <v>0.02</v>
      </c>
      <c r="O1297" s="205" t="s">
        <v>1094</v>
      </c>
      <c r="P1297" s="205" t="s">
        <v>495</v>
      </c>
      <c r="Q1297" s="225">
        <v>0</v>
      </c>
      <c r="R1297" s="225">
        <v>0</v>
      </c>
      <c r="S1297" s="225">
        <v>200000</v>
      </c>
      <c r="T1297" s="225">
        <v>4000</v>
      </c>
      <c r="U1297" s="225">
        <v>204000</v>
      </c>
      <c r="V1297" s="225">
        <v>200000</v>
      </c>
      <c r="W1297" s="225">
        <v>4000</v>
      </c>
      <c r="X1297" s="225">
        <v>3921.56862745098</v>
      </c>
      <c r="Y1297" s="225">
        <v>78.4313725490197</v>
      </c>
      <c r="Z1297" s="225">
        <v>200000</v>
      </c>
      <c r="AA1297" s="225">
        <v>0</v>
      </c>
      <c r="AB1297" s="229">
        <f t="shared" si="318"/>
        <v>200000</v>
      </c>
      <c r="AC1297" s="230">
        <f t="shared" si="319"/>
        <v>4000</v>
      </c>
      <c r="AD1297" s="225">
        <v>165400</v>
      </c>
      <c r="AE1297" s="205">
        <v>0</v>
      </c>
      <c r="AF1297" s="226">
        <f t="shared" si="320"/>
        <v>0</v>
      </c>
      <c r="AG1297" s="225">
        <v>16078.431372549</v>
      </c>
      <c r="AH1297" s="225"/>
      <c r="AI1297" s="225"/>
      <c r="AJ1297" s="145" t="s">
        <v>1094</v>
      </c>
    </row>
    <row r="1298" s="145" customFormat="1" ht="14.25" hidden="1" spans="1:36">
      <c r="A1298" s="145">
        <v>2017</v>
      </c>
      <c r="B1298" s="145" t="s">
        <v>199</v>
      </c>
      <c r="C1298" s="145" t="s">
        <v>59</v>
      </c>
      <c r="D1298" s="145" t="s">
        <v>106</v>
      </c>
      <c r="E1298" s="145" t="s">
        <v>239</v>
      </c>
      <c r="F1298" s="145" t="s">
        <v>1174</v>
      </c>
      <c r="G1298" s="145" t="s">
        <v>1175</v>
      </c>
      <c r="H1298" s="145" t="s">
        <v>1175</v>
      </c>
      <c r="I1298" s="196" t="s">
        <v>1159</v>
      </c>
      <c r="J1298" s="196" t="s">
        <v>1164</v>
      </c>
      <c r="K1298" s="145" t="s">
        <v>1164</v>
      </c>
      <c r="L1298" s="145" t="s">
        <v>1174</v>
      </c>
      <c r="M1298" s="225" t="s">
        <v>160</v>
      </c>
      <c r="N1298" s="205">
        <v>0.02</v>
      </c>
      <c r="O1298" s="205" t="s">
        <v>1094</v>
      </c>
      <c r="P1298" s="205" t="s">
        <v>495</v>
      </c>
      <c r="Q1298" s="225">
        <v>0</v>
      </c>
      <c r="R1298" s="225">
        <v>0</v>
      </c>
      <c r="S1298" s="225">
        <v>9000</v>
      </c>
      <c r="T1298" s="225">
        <v>180</v>
      </c>
      <c r="U1298" s="225">
        <v>9180</v>
      </c>
      <c r="V1298" s="225">
        <v>9000</v>
      </c>
      <c r="W1298" s="225">
        <v>180</v>
      </c>
      <c r="X1298" s="225">
        <v>176.470588235294</v>
      </c>
      <c r="Y1298" s="225">
        <v>3.52941176470588</v>
      </c>
      <c r="Z1298" s="225">
        <v>9000</v>
      </c>
      <c r="AA1298" s="225">
        <v>0</v>
      </c>
      <c r="AB1298" s="229">
        <f t="shared" si="318"/>
        <v>9000</v>
      </c>
      <c r="AC1298" s="230">
        <f t="shared" si="319"/>
        <v>180</v>
      </c>
      <c r="AD1298" s="225">
        <v>7443</v>
      </c>
      <c r="AE1298" s="205">
        <v>0</v>
      </c>
      <c r="AF1298" s="226">
        <f t="shared" si="320"/>
        <v>0</v>
      </c>
      <c r="AG1298" s="225">
        <v>273.529411764706</v>
      </c>
      <c r="AH1298" s="225"/>
      <c r="AI1298" s="225"/>
      <c r="AJ1298" s="145" t="s">
        <v>1094</v>
      </c>
    </row>
    <row r="1299" s="146" customFormat="1" ht="14.25" hidden="1" spans="1:38">
      <c r="A1299" s="145">
        <v>2017</v>
      </c>
      <c r="B1299" s="145" t="s">
        <v>38</v>
      </c>
      <c r="C1299" s="145" t="s">
        <v>59</v>
      </c>
      <c r="D1299" s="145" t="s">
        <v>60</v>
      </c>
      <c r="E1299" s="145" t="s">
        <v>468</v>
      </c>
      <c r="F1299" s="145" t="s">
        <v>1176</v>
      </c>
      <c r="G1299" s="145" t="s">
        <v>1176</v>
      </c>
      <c r="H1299" s="145" t="s">
        <v>1176</v>
      </c>
      <c r="I1299" s="196" t="s">
        <v>1177</v>
      </c>
      <c r="J1299" s="197" t="s">
        <v>44</v>
      </c>
      <c r="K1299" s="145" t="s">
        <v>1178</v>
      </c>
      <c r="L1299" s="145" t="s">
        <v>1179</v>
      </c>
      <c r="M1299" s="145" t="s">
        <v>46</v>
      </c>
      <c r="N1299" s="205">
        <v>0</v>
      </c>
      <c r="O1299" s="205" t="s">
        <v>47</v>
      </c>
      <c r="P1299" s="205" t="s">
        <v>47</v>
      </c>
      <c r="Q1299" s="225">
        <v>0</v>
      </c>
      <c r="R1299" s="225">
        <v>0</v>
      </c>
      <c r="S1299" s="225">
        <v>10000</v>
      </c>
      <c r="T1299" s="225">
        <v>0</v>
      </c>
      <c r="U1299" s="225">
        <v>10000</v>
      </c>
      <c r="V1299" s="225">
        <v>10000</v>
      </c>
      <c r="W1299" s="225">
        <v>0</v>
      </c>
      <c r="X1299" s="225">
        <v>0</v>
      </c>
      <c r="Y1299" s="225">
        <v>0</v>
      </c>
      <c r="Z1299" s="225">
        <v>10000</v>
      </c>
      <c r="AA1299" s="225">
        <v>0</v>
      </c>
      <c r="AB1299" s="229">
        <f t="shared" si="318"/>
        <v>10000</v>
      </c>
      <c r="AC1299" s="230">
        <f t="shared" si="319"/>
        <v>0</v>
      </c>
      <c r="AD1299" s="237">
        <v>10000</v>
      </c>
      <c r="AE1299" s="238">
        <v>0</v>
      </c>
      <c r="AF1299" s="225">
        <f t="shared" si="320"/>
        <v>0</v>
      </c>
      <c r="AG1299" s="225"/>
      <c r="AH1299" s="225"/>
      <c r="AI1299" s="225"/>
      <c r="AJ1299" s="241" t="s">
        <v>47</v>
      </c>
      <c r="AK1299" s="145"/>
      <c r="AL1299" s="145"/>
    </row>
    <row r="1300" s="146" customFormat="1" ht="14.25" hidden="1" spans="1:38">
      <c r="A1300" s="145">
        <v>2017</v>
      </c>
      <c r="B1300" s="145" t="s">
        <v>38</v>
      </c>
      <c r="C1300" s="145" t="s">
        <v>39</v>
      </c>
      <c r="D1300" s="145" t="s">
        <v>40</v>
      </c>
      <c r="E1300" s="145" t="s">
        <v>41</v>
      </c>
      <c r="F1300" s="145" t="s">
        <v>42</v>
      </c>
      <c r="G1300" s="145" t="s">
        <v>42</v>
      </c>
      <c r="H1300" s="145" t="s">
        <v>42</v>
      </c>
      <c r="I1300" s="196" t="s">
        <v>1177</v>
      </c>
      <c r="J1300" s="197" t="s">
        <v>44</v>
      </c>
      <c r="K1300" s="145" t="s">
        <v>1178</v>
      </c>
      <c r="L1300" s="145" t="s">
        <v>1180</v>
      </c>
      <c r="M1300" s="145" t="s">
        <v>185</v>
      </c>
      <c r="N1300" s="205">
        <v>0</v>
      </c>
      <c r="O1300" s="205" t="s">
        <v>47</v>
      </c>
      <c r="P1300" s="205" t="s">
        <v>47</v>
      </c>
      <c r="Q1300" s="225">
        <v>0</v>
      </c>
      <c r="R1300" s="225">
        <v>0</v>
      </c>
      <c r="S1300" s="225">
        <v>20000</v>
      </c>
      <c r="T1300" s="225">
        <v>0</v>
      </c>
      <c r="U1300" s="225">
        <v>20000</v>
      </c>
      <c r="V1300" s="225">
        <v>20000</v>
      </c>
      <c r="W1300" s="225">
        <v>0</v>
      </c>
      <c r="X1300" s="225">
        <v>0</v>
      </c>
      <c r="Y1300" s="225">
        <v>0</v>
      </c>
      <c r="Z1300" s="225">
        <v>20000</v>
      </c>
      <c r="AA1300" s="225">
        <v>0</v>
      </c>
      <c r="AB1300" s="229">
        <f t="shared" si="318"/>
        <v>20000</v>
      </c>
      <c r="AC1300" s="230">
        <f t="shared" si="319"/>
        <v>0</v>
      </c>
      <c r="AD1300" s="237">
        <v>20000</v>
      </c>
      <c r="AE1300" s="238">
        <v>0</v>
      </c>
      <c r="AF1300" s="225">
        <f t="shared" si="320"/>
        <v>0</v>
      </c>
      <c r="AG1300" s="225"/>
      <c r="AH1300" s="225"/>
      <c r="AI1300" s="225"/>
      <c r="AJ1300" s="241" t="s">
        <v>47</v>
      </c>
      <c r="AK1300" s="145"/>
      <c r="AL1300" s="145"/>
    </row>
    <row r="1301" s="146" customFormat="1" ht="14.25" hidden="1" spans="1:38">
      <c r="A1301" s="145">
        <v>2017</v>
      </c>
      <c r="B1301" s="233" t="s">
        <v>38</v>
      </c>
      <c r="C1301" s="233" t="s">
        <v>54</v>
      </c>
      <c r="D1301" s="233" t="s">
        <v>55</v>
      </c>
      <c r="E1301" s="233" t="s">
        <v>64</v>
      </c>
      <c r="F1301" s="233" t="s">
        <v>1181</v>
      </c>
      <c r="G1301" s="233" t="s">
        <v>1181</v>
      </c>
      <c r="H1301" s="233" t="s">
        <v>1181</v>
      </c>
      <c r="I1301" s="196" t="s">
        <v>1177</v>
      </c>
      <c r="J1301" s="197" t="s">
        <v>44</v>
      </c>
      <c r="K1301" s="233" t="s">
        <v>1178</v>
      </c>
      <c r="L1301" s="233" t="s">
        <v>1182</v>
      </c>
      <c r="M1301" s="233" t="s">
        <v>46</v>
      </c>
      <c r="N1301" s="205">
        <v>0.02</v>
      </c>
      <c r="O1301" s="205" t="s">
        <v>173</v>
      </c>
      <c r="P1301" s="205" t="s">
        <v>51</v>
      </c>
      <c r="Q1301" s="231">
        <v>0</v>
      </c>
      <c r="R1301" s="231">
        <v>0</v>
      </c>
      <c r="S1301" s="231">
        <v>10000</v>
      </c>
      <c r="T1301" s="231">
        <v>200</v>
      </c>
      <c r="U1301" s="231">
        <v>10200</v>
      </c>
      <c r="V1301" s="231">
        <v>10000</v>
      </c>
      <c r="W1301" s="231">
        <v>200</v>
      </c>
      <c r="X1301" s="231">
        <v>196.078431372549</v>
      </c>
      <c r="Y1301" s="231">
        <v>3.92156862745099</v>
      </c>
      <c r="Z1301" s="231">
        <v>7252.2</v>
      </c>
      <c r="AA1301" s="231">
        <v>2747.8</v>
      </c>
      <c r="AB1301" s="229">
        <f t="shared" si="318"/>
        <v>7110</v>
      </c>
      <c r="AC1301" s="230">
        <f t="shared" si="319"/>
        <v>142.2</v>
      </c>
      <c r="AD1301" s="239">
        <v>7110</v>
      </c>
      <c r="AE1301" s="238">
        <v>0</v>
      </c>
      <c r="AF1301" s="225">
        <f t="shared" si="320"/>
        <v>0</v>
      </c>
      <c r="AG1301" s="225"/>
      <c r="AH1301" s="231"/>
      <c r="AI1301" s="231"/>
      <c r="AJ1301" s="242" t="s">
        <v>173</v>
      </c>
      <c r="AK1301" s="233"/>
      <c r="AL1301" s="233"/>
    </row>
    <row r="1302" s="146" customFormat="1" ht="14.25" hidden="1" spans="1:38">
      <c r="A1302" s="145">
        <v>2017</v>
      </c>
      <c r="B1302" s="145" t="s">
        <v>38</v>
      </c>
      <c r="C1302" s="145" t="s">
        <v>59</v>
      </c>
      <c r="D1302" s="145" t="s">
        <v>154</v>
      </c>
      <c r="E1302" s="145" t="s">
        <v>107</v>
      </c>
      <c r="F1302" s="145" t="s">
        <v>1183</v>
      </c>
      <c r="G1302" s="145" t="s">
        <v>1183</v>
      </c>
      <c r="H1302" s="145" t="s">
        <v>1183</v>
      </c>
      <c r="I1302" s="196" t="s">
        <v>1177</v>
      </c>
      <c r="J1302" s="197" t="s">
        <v>44</v>
      </c>
      <c r="K1302" s="145" t="s">
        <v>1178</v>
      </c>
      <c r="L1302" s="145" t="s">
        <v>1184</v>
      </c>
      <c r="M1302" s="145" t="s">
        <v>46</v>
      </c>
      <c r="N1302" s="205">
        <v>0.02</v>
      </c>
      <c r="O1302" s="205" t="s">
        <v>173</v>
      </c>
      <c r="P1302" s="205" t="s">
        <v>51</v>
      </c>
      <c r="Q1302" s="225">
        <v>0</v>
      </c>
      <c r="R1302" s="225">
        <v>0</v>
      </c>
      <c r="S1302" s="225">
        <v>50000</v>
      </c>
      <c r="T1302" s="225">
        <v>1000</v>
      </c>
      <c r="U1302" s="225">
        <v>51000</v>
      </c>
      <c r="V1302" s="225">
        <v>51000</v>
      </c>
      <c r="W1302" s="225">
        <v>1000</v>
      </c>
      <c r="X1302" s="225">
        <v>980.392156862745</v>
      </c>
      <c r="Y1302" s="225">
        <v>19.6078431372549</v>
      </c>
      <c r="Z1302" s="225">
        <v>39296</v>
      </c>
      <c r="AA1302" s="225">
        <v>9278.72</v>
      </c>
      <c r="AB1302" s="229">
        <f t="shared" si="318"/>
        <v>38525.4901960784</v>
      </c>
      <c r="AC1302" s="230">
        <f t="shared" si="319"/>
        <v>770.509803921566</v>
      </c>
      <c r="AD1302" s="237">
        <v>38525.4901960784</v>
      </c>
      <c r="AE1302" s="238">
        <v>0</v>
      </c>
      <c r="AF1302" s="225">
        <f t="shared" si="320"/>
        <v>0</v>
      </c>
      <c r="AG1302" s="225"/>
      <c r="AH1302" s="225"/>
      <c r="AI1302" s="225"/>
      <c r="AJ1302" s="241" t="s">
        <v>173</v>
      </c>
      <c r="AK1302" s="145"/>
      <c r="AL1302" s="145"/>
    </row>
    <row r="1303" s="146" customFormat="1" ht="14.25" hidden="1" spans="1:38">
      <c r="A1303" s="145">
        <v>2017</v>
      </c>
      <c r="B1303" s="145" t="s">
        <v>38</v>
      </c>
      <c r="C1303" s="145" t="s">
        <v>59</v>
      </c>
      <c r="D1303" s="145" t="s">
        <v>154</v>
      </c>
      <c r="E1303" s="145" t="s">
        <v>107</v>
      </c>
      <c r="F1303" s="145" t="s">
        <v>1183</v>
      </c>
      <c r="G1303" s="145" t="s">
        <v>1183</v>
      </c>
      <c r="H1303" s="145" t="s">
        <v>1183</v>
      </c>
      <c r="I1303" s="196" t="s">
        <v>1177</v>
      </c>
      <c r="J1303" s="197" t="s">
        <v>44</v>
      </c>
      <c r="K1303" s="145" t="s">
        <v>1178</v>
      </c>
      <c r="L1303" s="145" t="s">
        <v>1184</v>
      </c>
      <c r="M1303" s="145" t="s">
        <v>185</v>
      </c>
      <c r="N1303" s="204">
        <v>0.04</v>
      </c>
      <c r="O1303" s="204">
        <v>0.04</v>
      </c>
      <c r="P1303" s="205" t="s">
        <v>51</v>
      </c>
      <c r="Q1303" s="225">
        <v>0</v>
      </c>
      <c r="R1303" s="225">
        <v>0</v>
      </c>
      <c r="S1303" s="225"/>
      <c r="T1303" s="225"/>
      <c r="U1303" s="225"/>
      <c r="V1303" s="225">
        <v>0</v>
      </c>
      <c r="W1303" s="225"/>
      <c r="X1303" s="225"/>
      <c r="Y1303" s="225"/>
      <c r="Z1303" s="225">
        <v>1504</v>
      </c>
      <c r="AA1303" s="225"/>
      <c r="AB1303" s="229">
        <f t="shared" si="318"/>
        <v>1446.15384615385</v>
      </c>
      <c r="AC1303" s="230">
        <f t="shared" si="319"/>
        <v>57.8461538461538</v>
      </c>
      <c r="AD1303" s="237">
        <v>1446.15384615385</v>
      </c>
      <c r="AE1303" s="238">
        <v>0</v>
      </c>
      <c r="AF1303" s="225">
        <f t="shared" si="320"/>
        <v>0</v>
      </c>
      <c r="AG1303" s="225"/>
      <c r="AH1303" s="225"/>
      <c r="AI1303" s="225"/>
      <c r="AJ1303" s="241"/>
      <c r="AK1303" s="145"/>
      <c r="AL1303" s="145"/>
    </row>
    <row r="1304" s="146" customFormat="1" ht="14.25" hidden="1" spans="1:38">
      <c r="A1304" s="145">
        <v>2017</v>
      </c>
      <c r="B1304" s="145" t="s">
        <v>38</v>
      </c>
      <c r="C1304" s="145" t="s">
        <v>59</v>
      </c>
      <c r="D1304" s="145" t="s">
        <v>60</v>
      </c>
      <c r="E1304" s="145" t="s">
        <v>107</v>
      </c>
      <c r="F1304" s="145" t="s">
        <v>984</v>
      </c>
      <c r="G1304" s="145" t="s">
        <v>984</v>
      </c>
      <c r="H1304" s="145" t="s">
        <v>984</v>
      </c>
      <c r="I1304" s="196" t="s">
        <v>1177</v>
      </c>
      <c r="J1304" s="197" t="s">
        <v>44</v>
      </c>
      <c r="K1304" s="145" t="s">
        <v>1178</v>
      </c>
      <c r="L1304" s="145" t="s">
        <v>1185</v>
      </c>
      <c r="M1304" s="145" t="s">
        <v>185</v>
      </c>
      <c r="N1304" s="205">
        <v>0.04</v>
      </c>
      <c r="O1304" s="205" t="s">
        <v>186</v>
      </c>
      <c r="P1304" s="205" t="s">
        <v>51</v>
      </c>
      <c r="Q1304" s="225">
        <v>0</v>
      </c>
      <c r="R1304" s="225">
        <v>0</v>
      </c>
      <c r="S1304" s="225">
        <v>40000</v>
      </c>
      <c r="T1304" s="225">
        <v>1600</v>
      </c>
      <c r="U1304" s="225">
        <v>41600</v>
      </c>
      <c r="V1304" s="225">
        <v>41600</v>
      </c>
      <c r="W1304" s="225">
        <v>1600</v>
      </c>
      <c r="X1304" s="225">
        <v>1538.46153846154</v>
      </c>
      <c r="Y1304" s="225">
        <v>61.5384615384617</v>
      </c>
      <c r="Z1304" s="225">
        <v>11191.57</v>
      </c>
      <c r="AA1304" s="225">
        <v>28808.43</v>
      </c>
      <c r="AB1304" s="229">
        <f t="shared" si="318"/>
        <v>10761.125</v>
      </c>
      <c r="AC1304" s="230">
        <f t="shared" si="319"/>
        <v>430.445</v>
      </c>
      <c r="AD1304" s="237">
        <v>10761.125</v>
      </c>
      <c r="AE1304" s="238">
        <v>0</v>
      </c>
      <c r="AF1304" s="225">
        <f t="shared" si="320"/>
        <v>0</v>
      </c>
      <c r="AG1304" s="225"/>
      <c r="AH1304" s="225"/>
      <c r="AI1304" s="225"/>
      <c r="AJ1304" s="241" t="s">
        <v>186</v>
      </c>
      <c r="AK1304" s="145"/>
      <c r="AL1304" s="145"/>
    </row>
    <row r="1305" s="146" customFormat="1" ht="14.25" hidden="1" spans="1:38">
      <c r="A1305" s="145">
        <v>2017</v>
      </c>
      <c r="B1305" s="233" t="s">
        <v>38</v>
      </c>
      <c r="C1305" s="233" t="s">
        <v>54</v>
      </c>
      <c r="D1305" s="233" t="s">
        <v>55</v>
      </c>
      <c r="E1305" s="233" t="s">
        <v>56</v>
      </c>
      <c r="F1305" s="233" t="s">
        <v>57</v>
      </c>
      <c r="G1305" s="233" t="s">
        <v>57</v>
      </c>
      <c r="H1305" s="233" t="s">
        <v>57</v>
      </c>
      <c r="I1305" s="196" t="s">
        <v>1177</v>
      </c>
      <c r="J1305" s="197" t="s">
        <v>44</v>
      </c>
      <c r="K1305" s="233" t="s">
        <v>1178</v>
      </c>
      <c r="L1305" s="233" t="s">
        <v>1186</v>
      </c>
      <c r="M1305" s="233" t="s">
        <v>46</v>
      </c>
      <c r="N1305" s="205">
        <v>0.02</v>
      </c>
      <c r="O1305" s="205" t="s">
        <v>173</v>
      </c>
      <c r="P1305" s="205" t="s">
        <v>51</v>
      </c>
      <c r="Q1305" s="231">
        <v>0</v>
      </c>
      <c r="R1305" s="231">
        <v>0</v>
      </c>
      <c r="S1305" s="231">
        <v>170000</v>
      </c>
      <c r="T1305" s="231">
        <v>3400</v>
      </c>
      <c r="U1305" s="231">
        <v>173400</v>
      </c>
      <c r="V1305" s="225">
        <v>330000</v>
      </c>
      <c r="W1305" s="231">
        <v>3400</v>
      </c>
      <c r="X1305" s="231">
        <v>3333.33333333333</v>
      </c>
      <c r="Y1305" s="231">
        <v>66.6666666666665</v>
      </c>
      <c r="Z1305" s="228">
        <v>260617.6</v>
      </c>
      <c r="AA1305" s="228">
        <v>62525</v>
      </c>
      <c r="AB1305" s="229">
        <f t="shared" si="318"/>
        <v>255507.450980392</v>
      </c>
      <c r="AC1305" s="230">
        <f t="shared" si="319"/>
        <v>5110.14901960784</v>
      </c>
      <c r="AD1305" s="239">
        <v>255507.450980392</v>
      </c>
      <c r="AE1305" s="238">
        <v>0</v>
      </c>
      <c r="AF1305" s="225">
        <f t="shared" si="320"/>
        <v>0</v>
      </c>
      <c r="AG1305" s="225"/>
      <c r="AH1305" s="231"/>
      <c r="AI1305" s="231"/>
      <c r="AJ1305" s="242" t="s">
        <v>173</v>
      </c>
      <c r="AK1305" s="233"/>
      <c r="AL1305" s="233"/>
    </row>
    <row r="1306" s="146" customFormat="1" ht="14.25" hidden="1" spans="1:38">
      <c r="A1306" s="145">
        <v>2017</v>
      </c>
      <c r="B1306" s="233" t="s">
        <v>38</v>
      </c>
      <c r="C1306" s="233" t="s">
        <v>54</v>
      </c>
      <c r="D1306" s="233" t="s">
        <v>55</v>
      </c>
      <c r="E1306" s="233" t="s">
        <v>368</v>
      </c>
      <c r="F1306" s="233" t="s">
        <v>1187</v>
      </c>
      <c r="G1306" s="233" t="s">
        <v>1187</v>
      </c>
      <c r="H1306" s="233" t="s">
        <v>1187</v>
      </c>
      <c r="I1306" s="196" t="s">
        <v>1177</v>
      </c>
      <c r="J1306" s="197" t="s">
        <v>44</v>
      </c>
      <c r="K1306" s="233" t="s">
        <v>1178</v>
      </c>
      <c r="L1306" s="145" t="s">
        <v>1188</v>
      </c>
      <c r="M1306" s="233" t="s">
        <v>46</v>
      </c>
      <c r="N1306" s="205">
        <v>0.06</v>
      </c>
      <c r="O1306" s="205" t="s">
        <v>193</v>
      </c>
      <c r="P1306" s="205" t="s">
        <v>51</v>
      </c>
      <c r="Q1306" s="231">
        <v>0</v>
      </c>
      <c r="R1306" s="231">
        <v>0</v>
      </c>
      <c r="S1306" s="231">
        <v>430000</v>
      </c>
      <c r="T1306" s="231">
        <v>25800</v>
      </c>
      <c r="U1306" s="231">
        <v>455800</v>
      </c>
      <c r="V1306" s="225">
        <v>468800.0192</v>
      </c>
      <c r="W1306" s="231">
        <v>25800</v>
      </c>
      <c r="X1306" s="231">
        <v>24339.6226415094</v>
      </c>
      <c r="Y1306" s="231">
        <v>1460.37735849057</v>
      </c>
      <c r="Z1306" s="228">
        <v>430502.6</v>
      </c>
      <c r="AA1306" s="228">
        <v>-502.599999999977</v>
      </c>
      <c r="AB1306" s="229">
        <f t="shared" si="318"/>
        <v>406134.528301887</v>
      </c>
      <c r="AC1306" s="230">
        <f t="shared" si="319"/>
        <v>24368.0716981132</v>
      </c>
      <c r="AD1306" s="239">
        <v>406134.528301887</v>
      </c>
      <c r="AE1306" s="238">
        <v>0</v>
      </c>
      <c r="AF1306" s="225">
        <f t="shared" si="320"/>
        <v>0</v>
      </c>
      <c r="AG1306" s="225"/>
      <c r="AH1306" s="231"/>
      <c r="AI1306" s="231"/>
      <c r="AJ1306" s="242" t="s">
        <v>193</v>
      </c>
      <c r="AK1306" s="233"/>
      <c r="AL1306" s="233"/>
    </row>
    <row r="1307" s="146" customFormat="1" ht="14.25" hidden="1" spans="1:38">
      <c r="A1307" s="145">
        <v>2017</v>
      </c>
      <c r="B1307" s="145" t="s">
        <v>38</v>
      </c>
      <c r="C1307" s="145" t="s">
        <v>75</v>
      </c>
      <c r="D1307" s="145" t="s">
        <v>256</v>
      </c>
      <c r="E1307" s="145" t="s">
        <v>257</v>
      </c>
      <c r="F1307" s="145" t="s">
        <v>936</v>
      </c>
      <c r="G1307" s="145" t="s">
        <v>936</v>
      </c>
      <c r="H1307" s="145" t="s">
        <v>936</v>
      </c>
      <c r="I1307" s="196" t="s">
        <v>1177</v>
      </c>
      <c r="J1307" s="197" t="s">
        <v>44</v>
      </c>
      <c r="K1307" s="145" t="s">
        <v>1178</v>
      </c>
      <c r="L1307" s="145" t="s">
        <v>1189</v>
      </c>
      <c r="M1307" s="145" t="s">
        <v>46</v>
      </c>
      <c r="N1307" s="205">
        <v>0.02</v>
      </c>
      <c r="O1307" s="205" t="s">
        <v>173</v>
      </c>
      <c r="P1307" s="205" t="s">
        <v>51</v>
      </c>
      <c r="Q1307" s="225">
        <v>0</v>
      </c>
      <c r="R1307" s="225">
        <v>0</v>
      </c>
      <c r="S1307" s="225">
        <v>100000</v>
      </c>
      <c r="T1307" s="225">
        <v>2000</v>
      </c>
      <c r="U1307" s="225">
        <v>102000</v>
      </c>
      <c r="V1307" s="225">
        <v>604000</v>
      </c>
      <c r="W1307" s="225">
        <v>2000</v>
      </c>
      <c r="X1307" s="225">
        <v>1960.78431372549</v>
      </c>
      <c r="Y1307" s="225">
        <v>39.2156862745098</v>
      </c>
      <c r="Z1307" s="226">
        <v>499323.3</v>
      </c>
      <c r="AA1307" s="226">
        <v>100000</v>
      </c>
      <c r="AB1307" s="229">
        <f t="shared" si="318"/>
        <v>489532.647058823</v>
      </c>
      <c r="AC1307" s="230">
        <f t="shared" si="319"/>
        <v>9790.65294117649</v>
      </c>
      <c r="AD1307" s="237">
        <v>489532.647058823</v>
      </c>
      <c r="AE1307" s="238">
        <v>0</v>
      </c>
      <c r="AF1307" s="225">
        <f t="shared" si="320"/>
        <v>0</v>
      </c>
      <c r="AG1307" s="225"/>
      <c r="AH1307" s="225"/>
      <c r="AI1307" s="225"/>
      <c r="AJ1307" s="241" t="s">
        <v>173</v>
      </c>
      <c r="AK1307" s="145"/>
      <c r="AL1307" s="145"/>
    </row>
    <row r="1308" s="146" customFormat="1" ht="14.25" hidden="1" spans="1:38">
      <c r="A1308" s="145">
        <v>2017</v>
      </c>
      <c r="B1308" s="145" t="s">
        <v>38</v>
      </c>
      <c r="C1308" s="145" t="s">
        <v>59</v>
      </c>
      <c r="D1308" s="145" t="s">
        <v>181</v>
      </c>
      <c r="E1308" s="145" t="s">
        <v>131</v>
      </c>
      <c r="F1308" s="145" t="s">
        <v>1190</v>
      </c>
      <c r="G1308" s="145" t="s">
        <v>1190</v>
      </c>
      <c r="H1308" s="145" t="s">
        <v>1190</v>
      </c>
      <c r="I1308" s="196" t="s">
        <v>1177</v>
      </c>
      <c r="J1308" s="197" t="s">
        <v>44</v>
      </c>
      <c r="K1308" s="145" t="s">
        <v>1178</v>
      </c>
      <c r="L1308" s="145" t="s">
        <v>1191</v>
      </c>
      <c r="M1308" s="145" t="s">
        <v>46</v>
      </c>
      <c r="N1308" s="205">
        <v>0.04</v>
      </c>
      <c r="O1308" s="205" t="s">
        <v>186</v>
      </c>
      <c r="P1308" s="205" t="s">
        <v>51</v>
      </c>
      <c r="Q1308" s="225">
        <v>0</v>
      </c>
      <c r="R1308" s="225">
        <v>0</v>
      </c>
      <c r="S1308" s="225">
        <v>40000</v>
      </c>
      <c r="T1308" s="225">
        <v>1600</v>
      </c>
      <c r="U1308" s="225">
        <v>41600</v>
      </c>
      <c r="V1308" s="225">
        <v>40800</v>
      </c>
      <c r="W1308" s="225">
        <v>1600</v>
      </c>
      <c r="X1308" s="225">
        <v>1538.46153846154</v>
      </c>
      <c r="Y1308" s="225">
        <v>61.5384615384617</v>
      </c>
      <c r="Z1308" s="225">
        <v>40800</v>
      </c>
      <c r="AA1308" s="225">
        <v>-800</v>
      </c>
      <c r="AB1308" s="229">
        <f t="shared" si="318"/>
        <v>39230.7692307692</v>
      </c>
      <c r="AC1308" s="230">
        <f t="shared" si="319"/>
        <v>1569.23076923077</v>
      </c>
      <c r="AD1308" s="237">
        <v>39230.7692307692</v>
      </c>
      <c r="AE1308" s="238">
        <v>0</v>
      </c>
      <c r="AF1308" s="225">
        <f t="shared" si="320"/>
        <v>0</v>
      </c>
      <c r="AG1308" s="225"/>
      <c r="AH1308" s="225"/>
      <c r="AI1308" s="225"/>
      <c r="AJ1308" s="241" t="s">
        <v>186</v>
      </c>
      <c r="AK1308" s="145"/>
      <c r="AL1308" s="145"/>
    </row>
    <row r="1309" s="146" customFormat="1" ht="14.25" hidden="1" spans="1:38">
      <c r="A1309" s="145">
        <v>2017</v>
      </c>
      <c r="B1309" s="145" t="s">
        <v>38</v>
      </c>
      <c r="C1309" s="145" t="s">
        <v>75</v>
      </c>
      <c r="D1309" s="145" t="s">
        <v>76</v>
      </c>
      <c r="E1309" s="145" t="s">
        <v>175</v>
      </c>
      <c r="F1309" s="145" t="s">
        <v>177</v>
      </c>
      <c r="G1309" s="145" t="s">
        <v>177</v>
      </c>
      <c r="H1309" s="145" t="s">
        <v>177</v>
      </c>
      <c r="I1309" s="196" t="s">
        <v>1177</v>
      </c>
      <c r="J1309" s="197" t="s">
        <v>44</v>
      </c>
      <c r="K1309" s="145" t="s">
        <v>1178</v>
      </c>
      <c r="L1309" s="145" t="s">
        <v>1192</v>
      </c>
      <c r="M1309" s="145" t="s">
        <v>46</v>
      </c>
      <c r="N1309" s="205">
        <v>0.06</v>
      </c>
      <c r="O1309" s="205" t="s">
        <v>193</v>
      </c>
      <c r="P1309" s="205" t="s">
        <v>51</v>
      </c>
      <c r="Q1309" s="225">
        <v>0</v>
      </c>
      <c r="R1309" s="225">
        <v>0</v>
      </c>
      <c r="S1309" s="225">
        <v>100000</v>
      </c>
      <c r="T1309" s="225">
        <v>6000</v>
      </c>
      <c r="U1309" s="225">
        <v>106000</v>
      </c>
      <c r="V1309" s="225">
        <v>5800000</v>
      </c>
      <c r="W1309" s="225">
        <v>6000</v>
      </c>
      <c r="X1309" s="225">
        <v>5660.37735849057</v>
      </c>
      <c r="Y1309" s="225">
        <v>339.622641509434</v>
      </c>
      <c r="Z1309" s="225">
        <v>5799884.1</v>
      </c>
      <c r="AA1309" s="225">
        <v>100000</v>
      </c>
      <c r="AB1309" s="229">
        <f t="shared" si="318"/>
        <v>5471588.77358491</v>
      </c>
      <c r="AC1309" s="230">
        <f t="shared" si="319"/>
        <v>328295.326415095</v>
      </c>
      <c r="AD1309" s="237">
        <v>5471588.77358491</v>
      </c>
      <c r="AE1309" s="238">
        <v>0</v>
      </c>
      <c r="AF1309" s="225">
        <f t="shared" si="320"/>
        <v>0</v>
      </c>
      <c r="AG1309" s="225"/>
      <c r="AH1309" s="225"/>
      <c r="AI1309" s="225"/>
      <c r="AJ1309" s="241" t="s">
        <v>193</v>
      </c>
      <c r="AK1309" s="145"/>
      <c r="AL1309" s="145"/>
    </row>
    <row r="1310" s="146" customFormat="1" ht="14.25" hidden="1" spans="1:38">
      <c r="A1310" s="145">
        <v>2017</v>
      </c>
      <c r="B1310" s="145" t="s">
        <v>38</v>
      </c>
      <c r="C1310" s="145" t="s">
        <v>110</v>
      </c>
      <c r="D1310" s="145" t="s">
        <v>111</v>
      </c>
      <c r="E1310" s="145" t="s">
        <v>112</v>
      </c>
      <c r="F1310" s="145" t="s">
        <v>1012</v>
      </c>
      <c r="G1310" s="145" t="s">
        <v>1012</v>
      </c>
      <c r="H1310" s="145" t="s">
        <v>1012</v>
      </c>
      <c r="I1310" s="196" t="s">
        <v>1177</v>
      </c>
      <c r="J1310" s="197" t="s">
        <v>44</v>
      </c>
      <c r="K1310" s="145" t="s">
        <v>1178</v>
      </c>
      <c r="L1310" s="145" t="s">
        <v>1193</v>
      </c>
      <c r="M1310" s="145" t="s">
        <v>46</v>
      </c>
      <c r="N1310" s="205">
        <v>0.04</v>
      </c>
      <c r="O1310" s="205" t="s">
        <v>186</v>
      </c>
      <c r="P1310" s="205" t="s">
        <v>51</v>
      </c>
      <c r="Q1310" s="225">
        <v>0</v>
      </c>
      <c r="R1310" s="225">
        <v>0</v>
      </c>
      <c r="S1310" s="225">
        <v>8949.8</v>
      </c>
      <c r="T1310" s="225">
        <v>357.992</v>
      </c>
      <c r="U1310" s="225">
        <v>9307.792</v>
      </c>
      <c r="V1310" s="225">
        <v>10800</v>
      </c>
      <c r="W1310" s="225">
        <v>357.992</v>
      </c>
      <c r="X1310" s="225">
        <v>344.223076923077</v>
      </c>
      <c r="Y1310" s="225">
        <v>13.7689230769231</v>
      </c>
      <c r="Z1310" s="225">
        <v>697.42</v>
      </c>
      <c r="AA1310" s="225">
        <v>-357.990000000002</v>
      </c>
      <c r="AB1310" s="229">
        <f t="shared" si="318"/>
        <v>670.596153846154</v>
      </c>
      <c r="AC1310" s="230">
        <f t="shared" si="319"/>
        <v>26.8238461538461</v>
      </c>
      <c r="AD1310" s="237">
        <v>670.596153846154</v>
      </c>
      <c r="AE1310" s="238">
        <v>0</v>
      </c>
      <c r="AF1310" s="225">
        <f t="shared" si="320"/>
        <v>0</v>
      </c>
      <c r="AG1310" s="225"/>
      <c r="AH1310" s="225"/>
      <c r="AI1310" s="225"/>
      <c r="AJ1310" s="241" t="s">
        <v>186</v>
      </c>
      <c r="AK1310" s="145"/>
      <c r="AL1310" s="145"/>
    </row>
    <row r="1311" s="146" customFormat="1" ht="14.25" hidden="1" spans="1:38">
      <c r="A1311" s="145">
        <v>2017</v>
      </c>
      <c r="B1311" s="145" t="s">
        <v>38</v>
      </c>
      <c r="C1311" s="145" t="s">
        <v>110</v>
      </c>
      <c r="D1311" s="145" t="s">
        <v>111</v>
      </c>
      <c r="E1311" s="145" t="s">
        <v>112</v>
      </c>
      <c r="F1311" s="145" t="s">
        <v>632</v>
      </c>
      <c r="G1311" s="145" t="s">
        <v>632</v>
      </c>
      <c r="H1311" s="145" t="s">
        <v>632</v>
      </c>
      <c r="I1311" s="196" t="s">
        <v>1177</v>
      </c>
      <c r="J1311" s="197" t="s">
        <v>44</v>
      </c>
      <c r="K1311" s="145" t="s">
        <v>1178</v>
      </c>
      <c r="L1311" s="145" t="s">
        <v>1194</v>
      </c>
      <c r="M1311" s="145" t="s">
        <v>46</v>
      </c>
      <c r="N1311" s="205">
        <v>0.04</v>
      </c>
      <c r="O1311" s="205" t="s">
        <v>1195</v>
      </c>
      <c r="P1311" s="205" t="s">
        <v>495</v>
      </c>
      <c r="Q1311" s="225">
        <v>0</v>
      </c>
      <c r="R1311" s="225">
        <v>0</v>
      </c>
      <c r="S1311" s="225">
        <v>123859.69</v>
      </c>
      <c r="T1311" s="225">
        <v>4954.3876</v>
      </c>
      <c r="U1311" s="225">
        <v>128814.0776</v>
      </c>
      <c r="V1311" s="225">
        <v>10000.0056</v>
      </c>
      <c r="W1311" s="225">
        <v>4954.3876</v>
      </c>
      <c r="X1311" s="225">
        <v>4763.83423076923</v>
      </c>
      <c r="Y1311" s="225">
        <v>190.553369230769</v>
      </c>
      <c r="Z1311" s="225">
        <v>10000</v>
      </c>
      <c r="AA1311" s="225">
        <v>-4954.31</v>
      </c>
      <c r="AB1311" s="229">
        <f t="shared" si="318"/>
        <v>10000</v>
      </c>
      <c r="AC1311" s="230">
        <f t="shared" si="319"/>
        <v>400</v>
      </c>
      <c r="AD1311" s="237">
        <v>10000</v>
      </c>
      <c r="AE1311" s="238">
        <v>0</v>
      </c>
      <c r="AF1311" s="225">
        <f t="shared" si="320"/>
        <v>0</v>
      </c>
      <c r="AG1311" s="225"/>
      <c r="AH1311" s="225"/>
      <c r="AI1311" s="225"/>
      <c r="AJ1311" s="241" t="s">
        <v>1195</v>
      </c>
      <c r="AK1311" s="145"/>
      <c r="AL1311" s="145"/>
    </row>
    <row r="1312" s="146" customFormat="1" ht="14.25" hidden="1" spans="1:38">
      <c r="A1312" s="145">
        <v>2017</v>
      </c>
      <c r="B1312" s="145" t="s">
        <v>38</v>
      </c>
      <c r="C1312" s="145" t="s">
        <v>110</v>
      </c>
      <c r="D1312" s="145" t="s">
        <v>111</v>
      </c>
      <c r="E1312" s="145" t="s">
        <v>253</v>
      </c>
      <c r="F1312" s="145" t="s">
        <v>632</v>
      </c>
      <c r="G1312" s="145" t="s">
        <v>632</v>
      </c>
      <c r="H1312" s="145" t="s">
        <v>632</v>
      </c>
      <c r="I1312" s="196" t="s">
        <v>1177</v>
      </c>
      <c r="J1312" s="197" t="s">
        <v>44</v>
      </c>
      <c r="K1312" s="145" t="s">
        <v>1178</v>
      </c>
      <c r="L1312" s="145" t="s">
        <v>1194</v>
      </c>
      <c r="M1312" s="145" t="s">
        <v>185</v>
      </c>
      <c r="N1312" s="205">
        <v>0.08</v>
      </c>
      <c r="O1312" s="205" t="s">
        <v>53</v>
      </c>
      <c r="P1312" s="205" t="s">
        <v>51</v>
      </c>
      <c r="Q1312" s="225">
        <v>0</v>
      </c>
      <c r="R1312" s="225">
        <v>0</v>
      </c>
      <c r="S1312" s="225">
        <v>13888.89</v>
      </c>
      <c r="T1312" s="225">
        <v>1111.1112</v>
      </c>
      <c r="U1312" s="225">
        <v>15000.0012</v>
      </c>
      <c r="V1312" s="225">
        <v>0</v>
      </c>
      <c r="W1312" s="225">
        <v>1111.1112</v>
      </c>
      <c r="X1312" s="225">
        <v>1028.80666666667</v>
      </c>
      <c r="Y1312" s="225">
        <v>82.3045333333334</v>
      </c>
      <c r="Z1312" s="225">
        <v>0</v>
      </c>
      <c r="AA1312" s="225">
        <v>7177.03</v>
      </c>
      <c r="AB1312" s="229">
        <f t="shared" si="318"/>
        <v>0</v>
      </c>
      <c r="AC1312" s="230">
        <f t="shared" si="319"/>
        <v>0</v>
      </c>
      <c r="AD1312" s="237">
        <v>0</v>
      </c>
      <c r="AE1312" s="238">
        <v>0</v>
      </c>
      <c r="AF1312" s="225">
        <f t="shared" si="320"/>
        <v>0</v>
      </c>
      <c r="AG1312" s="225"/>
      <c r="AH1312" s="225"/>
      <c r="AI1312" s="225"/>
      <c r="AJ1312" s="241" t="s">
        <v>53</v>
      </c>
      <c r="AK1312" s="145"/>
      <c r="AL1312" s="145"/>
    </row>
    <row r="1313" s="146" customFormat="1" ht="14.25" hidden="1" spans="1:38">
      <c r="A1313" s="145">
        <v>2017</v>
      </c>
      <c r="B1313" s="145" t="s">
        <v>38</v>
      </c>
      <c r="C1313" s="145" t="s">
        <v>433</v>
      </c>
      <c r="D1313" s="145" t="s">
        <v>1196</v>
      </c>
      <c r="E1313" s="145" t="s">
        <v>435</v>
      </c>
      <c r="F1313" s="145" t="s">
        <v>1197</v>
      </c>
      <c r="G1313" s="145" t="s">
        <v>1197</v>
      </c>
      <c r="H1313" s="145" t="s">
        <v>1197</v>
      </c>
      <c r="I1313" s="196" t="s">
        <v>1177</v>
      </c>
      <c r="J1313" s="197" t="s">
        <v>44</v>
      </c>
      <c r="K1313" s="145" t="s">
        <v>1178</v>
      </c>
      <c r="L1313" s="145" t="s">
        <v>1198</v>
      </c>
      <c r="M1313" s="145" t="s">
        <v>185</v>
      </c>
      <c r="N1313" s="205">
        <v>0.12</v>
      </c>
      <c r="O1313" s="205" t="s">
        <v>117</v>
      </c>
      <c r="P1313" s="205" t="s">
        <v>51</v>
      </c>
      <c r="Q1313" s="225">
        <v>0</v>
      </c>
      <c r="R1313" s="225">
        <v>0</v>
      </c>
      <c r="S1313" s="225">
        <v>1672.71</v>
      </c>
      <c r="T1313" s="225">
        <v>200.7252</v>
      </c>
      <c r="U1313" s="225">
        <v>1873.4352</v>
      </c>
      <c r="V1313" s="225">
        <v>1873.4352</v>
      </c>
      <c r="W1313" s="225">
        <v>200.7252</v>
      </c>
      <c r="X1313" s="225">
        <v>179.218928571429</v>
      </c>
      <c r="Y1313" s="225">
        <v>21.5062714285715</v>
      </c>
      <c r="Z1313" s="225">
        <v>1873</v>
      </c>
      <c r="AA1313" s="225">
        <v>-200.29</v>
      </c>
      <c r="AB1313" s="229">
        <f t="shared" si="318"/>
        <v>1672.32142857143</v>
      </c>
      <c r="AC1313" s="230">
        <f t="shared" si="319"/>
        <v>200.678571428572</v>
      </c>
      <c r="AD1313" s="237">
        <v>1672.32142857143</v>
      </c>
      <c r="AE1313" s="238">
        <v>0</v>
      </c>
      <c r="AF1313" s="225">
        <f t="shared" si="320"/>
        <v>0</v>
      </c>
      <c r="AG1313" s="225"/>
      <c r="AH1313" s="225"/>
      <c r="AI1313" s="225"/>
      <c r="AJ1313" s="241" t="s">
        <v>117</v>
      </c>
      <c r="AK1313" s="145"/>
      <c r="AL1313" s="145"/>
    </row>
    <row r="1314" s="146" customFormat="1" ht="14.25" hidden="1" spans="1:38">
      <c r="A1314" s="145">
        <v>2017</v>
      </c>
      <c r="B1314" s="145" t="s">
        <v>38</v>
      </c>
      <c r="C1314" s="145" t="s">
        <v>39</v>
      </c>
      <c r="D1314" s="145" t="s">
        <v>40</v>
      </c>
      <c r="E1314" s="145" t="s">
        <v>71</v>
      </c>
      <c r="F1314" s="145" t="s">
        <v>1199</v>
      </c>
      <c r="G1314" s="145" t="s">
        <v>1199</v>
      </c>
      <c r="H1314" s="145" t="s">
        <v>1199</v>
      </c>
      <c r="I1314" s="196" t="s">
        <v>1177</v>
      </c>
      <c r="J1314" s="197" t="s">
        <v>44</v>
      </c>
      <c r="K1314" s="145" t="s">
        <v>1178</v>
      </c>
      <c r="L1314" s="145" t="s">
        <v>1200</v>
      </c>
      <c r="M1314" s="145" t="s">
        <v>185</v>
      </c>
      <c r="N1314" s="205">
        <v>0.11</v>
      </c>
      <c r="O1314" s="205" t="s">
        <v>94</v>
      </c>
      <c r="P1314" s="205" t="s">
        <v>51</v>
      </c>
      <c r="Q1314" s="225">
        <v>0</v>
      </c>
      <c r="R1314" s="225">
        <v>0</v>
      </c>
      <c r="S1314" s="225">
        <v>4505</v>
      </c>
      <c r="T1314" s="225">
        <v>495.55</v>
      </c>
      <c r="U1314" s="225">
        <v>5000.55</v>
      </c>
      <c r="V1314" s="225">
        <v>5000.55</v>
      </c>
      <c r="W1314" s="225">
        <v>495.55</v>
      </c>
      <c r="X1314" s="225">
        <v>446.441441441442</v>
      </c>
      <c r="Y1314" s="225">
        <v>49.1085585585586</v>
      </c>
      <c r="Z1314" s="225">
        <v>5000</v>
      </c>
      <c r="AA1314" s="225">
        <v>-495</v>
      </c>
      <c r="AB1314" s="229">
        <f t="shared" si="318"/>
        <v>4504.5045045045</v>
      </c>
      <c r="AC1314" s="230">
        <f t="shared" si="319"/>
        <v>495.495495495496</v>
      </c>
      <c r="AD1314" s="237">
        <v>4504.5045045045</v>
      </c>
      <c r="AE1314" s="238">
        <v>0</v>
      </c>
      <c r="AF1314" s="225">
        <f t="shared" si="320"/>
        <v>0</v>
      </c>
      <c r="AG1314" s="225"/>
      <c r="AH1314" s="225"/>
      <c r="AI1314" s="225"/>
      <c r="AJ1314" s="241" t="s">
        <v>94</v>
      </c>
      <c r="AK1314" s="145"/>
      <c r="AL1314" s="145"/>
    </row>
    <row r="1315" s="146" customFormat="1" ht="14.25" hidden="1" spans="1:38">
      <c r="A1315" s="145">
        <v>2017</v>
      </c>
      <c r="B1315" s="145" t="s">
        <v>38</v>
      </c>
      <c r="C1315" s="145" t="s">
        <v>110</v>
      </c>
      <c r="D1315" s="145" t="s">
        <v>280</v>
      </c>
      <c r="E1315" s="145" t="s">
        <v>281</v>
      </c>
      <c r="F1315" s="145" t="s">
        <v>1201</v>
      </c>
      <c r="G1315" s="145" t="s">
        <v>1201</v>
      </c>
      <c r="H1315" s="145" t="s">
        <v>1201</v>
      </c>
      <c r="I1315" s="196" t="s">
        <v>1177</v>
      </c>
      <c r="J1315" s="197" t="s">
        <v>44</v>
      </c>
      <c r="K1315" s="145" t="s">
        <v>1178</v>
      </c>
      <c r="L1315" s="145" t="s">
        <v>1202</v>
      </c>
      <c r="M1315" s="145" t="s">
        <v>185</v>
      </c>
      <c r="N1315" s="205">
        <v>0.13</v>
      </c>
      <c r="O1315" s="205" t="s">
        <v>1203</v>
      </c>
      <c r="P1315" s="205" t="s">
        <v>51</v>
      </c>
      <c r="Q1315" s="225">
        <v>0</v>
      </c>
      <c r="R1315" s="225">
        <v>0</v>
      </c>
      <c r="S1315" s="225">
        <v>571710</v>
      </c>
      <c r="T1315" s="225">
        <v>74322.3</v>
      </c>
      <c r="U1315" s="225">
        <v>646032.3</v>
      </c>
      <c r="V1315" s="225">
        <v>30001.5</v>
      </c>
      <c r="W1315" s="225">
        <v>74322.3</v>
      </c>
      <c r="X1315" s="225">
        <v>65771.9469026549</v>
      </c>
      <c r="Y1315" s="225">
        <v>8550.35309734513</v>
      </c>
      <c r="Z1315" s="225">
        <v>15760.44</v>
      </c>
      <c r="AA1315" s="225">
        <v>42639.78</v>
      </c>
      <c r="AB1315" s="229">
        <f t="shared" si="318"/>
        <v>13947.2920353982</v>
      </c>
      <c r="AC1315" s="230">
        <f t="shared" si="319"/>
        <v>1813.14796460177</v>
      </c>
      <c r="AD1315" s="237">
        <v>13947.2920353982</v>
      </c>
      <c r="AE1315" s="238">
        <v>0</v>
      </c>
      <c r="AF1315" s="225">
        <f t="shared" si="320"/>
        <v>0</v>
      </c>
      <c r="AG1315" s="225"/>
      <c r="AH1315" s="225"/>
      <c r="AI1315" s="225"/>
      <c r="AJ1315" s="241" t="s">
        <v>1203</v>
      </c>
      <c r="AK1315" s="145"/>
      <c r="AL1315" s="145"/>
    </row>
    <row r="1316" s="146" customFormat="1" ht="14.25" hidden="1" spans="1:38">
      <c r="A1316" s="145">
        <v>2017</v>
      </c>
      <c r="B1316" s="145" t="s">
        <v>38</v>
      </c>
      <c r="C1316" s="145" t="s">
        <v>39</v>
      </c>
      <c r="D1316" s="145" t="s">
        <v>40</v>
      </c>
      <c r="E1316" s="145" t="s">
        <v>48</v>
      </c>
      <c r="F1316" s="145" t="s">
        <v>87</v>
      </c>
      <c r="G1316" s="145" t="s">
        <v>87</v>
      </c>
      <c r="H1316" s="145" t="s">
        <v>87</v>
      </c>
      <c r="I1316" s="196" t="s">
        <v>1177</v>
      </c>
      <c r="J1316" s="197" t="s">
        <v>44</v>
      </c>
      <c r="K1316" s="145" t="s">
        <v>1178</v>
      </c>
      <c r="L1316" s="145" t="s">
        <v>1204</v>
      </c>
      <c r="M1316" s="145" t="s">
        <v>185</v>
      </c>
      <c r="N1316" s="205">
        <v>0.08</v>
      </c>
      <c r="O1316" s="205" t="s">
        <v>53</v>
      </c>
      <c r="P1316" s="205" t="s">
        <v>51</v>
      </c>
      <c r="Q1316" s="225">
        <v>0</v>
      </c>
      <c r="R1316" s="225">
        <v>0</v>
      </c>
      <c r="S1316" s="225">
        <v>50000</v>
      </c>
      <c r="T1316" s="225">
        <v>4000</v>
      </c>
      <c r="U1316" s="225">
        <v>54000</v>
      </c>
      <c r="V1316" s="225">
        <v>54000</v>
      </c>
      <c r="W1316" s="225">
        <v>4000</v>
      </c>
      <c r="X1316" s="225">
        <v>3703.7037037037</v>
      </c>
      <c r="Y1316" s="225">
        <v>296.296296296297</v>
      </c>
      <c r="Z1316" s="225">
        <v>38854.62</v>
      </c>
      <c r="AA1316" s="225">
        <v>11145.38</v>
      </c>
      <c r="AB1316" s="229">
        <f t="shared" si="318"/>
        <v>35976.5</v>
      </c>
      <c r="AC1316" s="230">
        <f t="shared" si="319"/>
        <v>2878.12</v>
      </c>
      <c r="AD1316" s="237">
        <v>35976.5</v>
      </c>
      <c r="AE1316" s="238">
        <v>0</v>
      </c>
      <c r="AF1316" s="225">
        <f t="shared" si="320"/>
        <v>0</v>
      </c>
      <c r="AG1316" s="225"/>
      <c r="AH1316" s="225"/>
      <c r="AI1316" s="225"/>
      <c r="AJ1316" s="241" t="s">
        <v>53</v>
      </c>
      <c r="AK1316" s="145"/>
      <c r="AL1316" s="145"/>
    </row>
    <row r="1317" s="146" customFormat="1" ht="14.25" hidden="1" spans="1:38">
      <c r="A1317" s="145">
        <v>2017</v>
      </c>
      <c r="B1317" s="145" t="s">
        <v>38</v>
      </c>
      <c r="C1317" s="145" t="s">
        <v>59</v>
      </c>
      <c r="D1317" s="145" t="s">
        <v>106</v>
      </c>
      <c r="E1317" s="145" t="s">
        <v>1205</v>
      </c>
      <c r="F1317" s="145" t="s">
        <v>1206</v>
      </c>
      <c r="G1317" s="145" t="s">
        <v>1206</v>
      </c>
      <c r="H1317" s="145" t="s">
        <v>1206</v>
      </c>
      <c r="I1317" s="196" t="s">
        <v>1177</v>
      </c>
      <c r="J1317" s="197" t="s">
        <v>44</v>
      </c>
      <c r="K1317" s="145" t="s">
        <v>1178</v>
      </c>
      <c r="L1317" s="145" t="s">
        <v>1207</v>
      </c>
      <c r="M1317" s="145" t="s">
        <v>46</v>
      </c>
      <c r="N1317" s="205">
        <v>0.06</v>
      </c>
      <c r="O1317" s="205" t="s">
        <v>193</v>
      </c>
      <c r="P1317" s="205" t="s">
        <v>51</v>
      </c>
      <c r="Q1317" s="225">
        <v>0</v>
      </c>
      <c r="R1317" s="225">
        <v>0</v>
      </c>
      <c r="S1317" s="225">
        <v>24915.42</v>
      </c>
      <c r="T1317" s="225">
        <v>1494.9252</v>
      </c>
      <c r="U1317" s="225">
        <v>26410.3452</v>
      </c>
      <c r="V1317" s="225">
        <v>26410.3452</v>
      </c>
      <c r="W1317" s="225">
        <v>1494.9252</v>
      </c>
      <c r="X1317" s="225">
        <v>1410.30679245283</v>
      </c>
      <c r="Y1317" s="225">
        <v>84.6184075471699</v>
      </c>
      <c r="Z1317" s="225">
        <v>18547</v>
      </c>
      <c r="AA1317" s="225">
        <v>6368.42</v>
      </c>
      <c r="AB1317" s="229">
        <f t="shared" si="318"/>
        <v>17497.1698113208</v>
      </c>
      <c r="AC1317" s="230">
        <f t="shared" si="319"/>
        <v>1049.83018867925</v>
      </c>
      <c r="AD1317" s="237">
        <v>17497.1698113208</v>
      </c>
      <c r="AE1317" s="238">
        <v>0</v>
      </c>
      <c r="AF1317" s="225">
        <f t="shared" si="320"/>
        <v>0</v>
      </c>
      <c r="AG1317" s="225"/>
      <c r="AH1317" s="225"/>
      <c r="AI1317" s="225"/>
      <c r="AJ1317" s="241" t="s">
        <v>193</v>
      </c>
      <c r="AK1317" s="145"/>
      <c r="AL1317" s="145"/>
    </row>
    <row r="1318" s="146" customFormat="1" ht="14.25" hidden="1" spans="1:38">
      <c r="A1318" s="145">
        <v>2017</v>
      </c>
      <c r="B1318" s="145" t="s">
        <v>38</v>
      </c>
      <c r="C1318" s="145" t="s">
        <v>88</v>
      </c>
      <c r="D1318" s="145" t="s">
        <v>89</v>
      </c>
      <c r="E1318" s="145" t="s">
        <v>277</v>
      </c>
      <c r="F1318" s="145" t="s">
        <v>91</v>
      </c>
      <c r="G1318" s="145" t="s">
        <v>91</v>
      </c>
      <c r="H1318" s="145" t="s">
        <v>91</v>
      </c>
      <c r="I1318" s="196" t="s">
        <v>1177</v>
      </c>
      <c r="J1318" s="197" t="s">
        <v>44</v>
      </c>
      <c r="K1318" s="145" t="s">
        <v>1178</v>
      </c>
      <c r="L1318" s="145" t="s">
        <v>1208</v>
      </c>
      <c r="M1318" s="145" t="s">
        <v>46</v>
      </c>
      <c r="N1318" s="204">
        <v>0</v>
      </c>
      <c r="O1318" s="205" t="s">
        <v>47</v>
      </c>
      <c r="P1318" s="205" t="s">
        <v>47</v>
      </c>
      <c r="Q1318" s="225">
        <v>0</v>
      </c>
      <c r="R1318" s="225">
        <v>0</v>
      </c>
      <c r="S1318" s="225">
        <v>20000</v>
      </c>
      <c r="T1318" s="225">
        <v>400</v>
      </c>
      <c r="U1318" s="225">
        <v>20400</v>
      </c>
      <c r="V1318" s="225">
        <v>20000</v>
      </c>
      <c r="W1318" s="225">
        <v>400</v>
      </c>
      <c r="X1318" s="225">
        <v>392.156862745098</v>
      </c>
      <c r="Y1318" s="225">
        <v>7.84313725490199</v>
      </c>
      <c r="Z1318" s="225">
        <v>13988.5</v>
      </c>
      <c r="AA1318" s="225">
        <v>6011.5</v>
      </c>
      <c r="AB1318" s="229">
        <f t="shared" si="318"/>
        <v>13988.5</v>
      </c>
      <c r="AC1318" s="230">
        <f t="shared" si="319"/>
        <v>0</v>
      </c>
      <c r="AD1318" s="237">
        <v>13988.5</v>
      </c>
      <c r="AE1318" s="238">
        <v>0</v>
      </c>
      <c r="AF1318" s="225">
        <f t="shared" si="320"/>
        <v>0</v>
      </c>
      <c r="AG1318" s="225"/>
      <c r="AH1318" s="225"/>
      <c r="AI1318" s="225"/>
      <c r="AJ1318" s="241" t="s">
        <v>47</v>
      </c>
      <c r="AK1318" s="145"/>
      <c r="AL1318" s="145"/>
    </row>
    <row r="1319" s="146" customFormat="1" ht="14.25" hidden="1" spans="1:38">
      <c r="A1319" s="145">
        <v>2017</v>
      </c>
      <c r="B1319" s="145" t="s">
        <v>38</v>
      </c>
      <c r="C1319" s="145" t="s">
        <v>88</v>
      </c>
      <c r="D1319" s="145" t="s">
        <v>89</v>
      </c>
      <c r="E1319" s="145" t="s">
        <v>124</v>
      </c>
      <c r="F1319" s="145" t="s">
        <v>1209</v>
      </c>
      <c r="G1319" s="145" t="s">
        <v>1209</v>
      </c>
      <c r="H1319" s="145" t="s">
        <v>1209</v>
      </c>
      <c r="I1319" s="196" t="s">
        <v>1177</v>
      </c>
      <c r="J1319" s="197" t="s">
        <v>44</v>
      </c>
      <c r="K1319" s="145" t="s">
        <v>1178</v>
      </c>
      <c r="L1319" s="145" t="s">
        <v>1210</v>
      </c>
      <c r="M1319" s="145" t="s">
        <v>46</v>
      </c>
      <c r="N1319" s="205">
        <v>0.04</v>
      </c>
      <c r="O1319" s="205" t="s">
        <v>186</v>
      </c>
      <c r="P1319" s="205" t="s">
        <v>51</v>
      </c>
      <c r="Q1319" s="225">
        <v>0</v>
      </c>
      <c r="R1319" s="225">
        <v>0</v>
      </c>
      <c r="S1319" s="225">
        <v>10000</v>
      </c>
      <c r="T1319" s="225">
        <v>400</v>
      </c>
      <c r="U1319" s="225">
        <v>10400</v>
      </c>
      <c r="V1319" s="225">
        <v>10200</v>
      </c>
      <c r="W1319" s="225">
        <v>400</v>
      </c>
      <c r="X1319" s="225">
        <v>384.615384615385</v>
      </c>
      <c r="Y1319" s="225">
        <v>15.3846153846154</v>
      </c>
      <c r="Z1319" s="225">
        <v>10200</v>
      </c>
      <c r="AA1319" s="225">
        <v>-200</v>
      </c>
      <c r="AB1319" s="229">
        <f t="shared" si="318"/>
        <v>9807.69230769231</v>
      </c>
      <c r="AC1319" s="230">
        <f t="shared" si="319"/>
        <v>392.307692307693</v>
      </c>
      <c r="AD1319" s="237">
        <v>9807.69230769231</v>
      </c>
      <c r="AE1319" s="238">
        <v>0</v>
      </c>
      <c r="AF1319" s="225">
        <f t="shared" si="320"/>
        <v>0</v>
      </c>
      <c r="AG1319" s="225"/>
      <c r="AH1319" s="225"/>
      <c r="AI1319" s="225"/>
      <c r="AJ1319" s="241" t="s">
        <v>186</v>
      </c>
      <c r="AK1319" s="145"/>
      <c r="AL1319" s="145"/>
    </row>
    <row r="1320" s="146" customFormat="1" ht="14.25" hidden="1" spans="1:38">
      <c r="A1320" s="145">
        <v>2017</v>
      </c>
      <c r="B1320" s="145" t="s">
        <v>38</v>
      </c>
      <c r="C1320" s="145" t="s">
        <v>88</v>
      </c>
      <c r="D1320" s="145" t="s">
        <v>95</v>
      </c>
      <c r="E1320" s="145" t="s">
        <v>98</v>
      </c>
      <c r="F1320" s="145" t="s">
        <v>97</v>
      </c>
      <c r="G1320" s="145" t="s">
        <v>97</v>
      </c>
      <c r="H1320" s="145" t="s">
        <v>97</v>
      </c>
      <c r="I1320" s="196" t="s">
        <v>1177</v>
      </c>
      <c r="J1320" s="197" t="s">
        <v>44</v>
      </c>
      <c r="K1320" s="145" t="s">
        <v>1178</v>
      </c>
      <c r="L1320" s="145" t="s">
        <v>1211</v>
      </c>
      <c r="M1320" s="145" t="s">
        <v>46</v>
      </c>
      <c r="N1320" s="205">
        <v>0.02</v>
      </c>
      <c r="O1320" s="205" t="s">
        <v>615</v>
      </c>
      <c r="P1320" s="205" t="s">
        <v>51</v>
      </c>
      <c r="Q1320" s="225">
        <v>0</v>
      </c>
      <c r="R1320" s="225">
        <v>0</v>
      </c>
      <c r="S1320" s="225">
        <v>30000</v>
      </c>
      <c r="T1320" s="225">
        <v>600</v>
      </c>
      <c r="U1320" s="225">
        <v>30600</v>
      </c>
      <c r="V1320" s="225">
        <v>30600</v>
      </c>
      <c r="W1320" s="225">
        <v>600</v>
      </c>
      <c r="X1320" s="225">
        <v>588.235294117647</v>
      </c>
      <c r="Y1320" s="225">
        <v>11.7647058823529</v>
      </c>
      <c r="Z1320" s="225">
        <v>15355.55</v>
      </c>
      <c r="AA1320" s="225">
        <v>14644.45</v>
      </c>
      <c r="AB1320" s="229">
        <f t="shared" si="318"/>
        <v>15054.4607843137</v>
      </c>
      <c r="AC1320" s="230">
        <f t="shared" si="319"/>
        <v>301.089215686276</v>
      </c>
      <c r="AD1320" s="237">
        <v>15054.4607843137</v>
      </c>
      <c r="AE1320" s="238">
        <v>0</v>
      </c>
      <c r="AF1320" s="225">
        <f t="shared" si="320"/>
        <v>0</v>
      </c>
      <c r="AG1320" s="225"/>
      <c r="AH1320" s="225"/>
      <c r="AI1320" s="225"/>
      <c r="AJ1320" s="241" t="s">
        <v>615</v>
      </c>
      <c r="AK1320" s="145"/>
      <c r="AL1320" s="145"/>
    </row>
    <row r="1321" s="146" customFormat="1" ht="14.25" hidden="1" spans="1:38">
      <c r="A1321" s="145">
        <v>2017</v>
      </c>
      <c r="B1321" s="145" t="s">
        <v>38</v>
      </c>
      <c r="C1321" s="145" t="s">
        <v>88</v>
      </c>
      <c r="D1321" s="145" t="s">
        <v>95</v>
      </c>
      <c r="E1321" s="145" t="s">
        <v>98</v>
      </c>
      <c r="F1321" s="145" t="s">
        <v>99</v>
      </c>
      <c r="G1321" s="145" t="s">
        <v>99</v>
      </c>
      <c r="H1321" s="145" t="s">
        <v>99</v>
      </c>
      <c r="I1321" s="196" t="s">
        <v>1177</v>
      </c>
      <c r="J1321" s="197" t="s">
        <v>44</v>
      </c>
      <c r="K1321" s="145" t="s">
        <v>1178</v>
      </c>
      <c r="L1321" s="145" t="s">
        <v>1212</v>
      </c>
      <c r="M1321" s="145" t="s">
        <v>46</v>
      </c>
      <c r="N1321" s="205">
        <v>0.05</v>
      </c>
      <c r="O1321" s="205" t="s">
        <v>1213</v>
      </c>
      <c r="P1321" s="205" t="s">
        <v>51</v>
      </c>
      <c r="Q1321" s="225">
        <v>0</v>
      </c>
      <c r="R1321" s="225">
        <v>0</v>
      </c>
      <c r="S1321" s="225">
        <v>300000</v>
      </c>
      <c r="T1321" s="225">
        <v>15000</v>
      </c>
      <c r="U1321" s="225">
        <v>315000</v>
      </c>
      <c r="V1321" s="225">
        <v>306000</v>
      </c>
      <c r="W1321" s="225">
        <v>15000</v>
      </c>
      <c r="X1321" s="225">
        <v>14285.7142857143</v>
      </c>
      <c r="Y1321" s="225">
        <v>714.285714285716</v>
      </c>
      <c r="Z1321" s="225">
        <v>243578.9</v>
      </c>
      <c r="AA1321" s="225">
        <v>56421.1</v>
      </c>
      <c r="AB1321" s="229">
        <f t="shared" si="318"/>
        <v>231979.904761905</v>
      </c>
      <c r="AC1321" s="230">
        <f t="shared" si="319"/>
        <v>11598.9952380953</v>
      </c>
      <c r="AD1321" s="237">
        <v>231979.904761905</v>
      </c>
      <c r="AE1321" s="238">
        <v>0</v>
      </c>
      <c r="AF1321" s="225">
        <f t="shared" si="320"/>
        <v>0</v>
      </c>
      <c r="AG1321" s="225"/>
      <c r="AH1321" s="225"/>
      <c r="AI1321" s="225"/>
      <c r="AJ1321" s="241" t="s">
        <v>1213</v>
      </c>
      <c r="AK1321" s="145"/>
      <c r="AL1321" s="145"/>
    </row>
    <row r="1322" s="146" customFormat="1" ht="14.25" hidden="1" spans="1:38">
      <c r="A1322" s="145">
        <v>2017</v>
      </c>
      <c r="B1322" s="145" t="s">
        <v>38</v>
      </c>
      <c r="C1322" s="145" t="s">
        <v>59</v>
      </c>
      <c r="D1322" s="145" t="s">
        <v>154</v>
      </c>
      <c r="E1322" s="145" t="s">
        <v>468</v>
      </c>
      <c r="F1322" s="145" t="s">
        <v>1214</v>
      </c>
      <c r="G1322" s="145" t="s">
        <v>1214</v>
      </c>
      <c r="H1322" s="145" t="s">
        <v>1214</v>
      </c>
      <c r="I1322" s="196" t="s">
        <v>1177</v>
      </c>
      <c r="J1322" s="197" t="s">
        <v>44</v>
      </c>
      <c r="K1322" s="145" t="s">
        <v>1178</v>
      </c>
      <c r="L1322" s="145" t="s">
        <v>1215</v>
      </c>
      <c r="M1322" s="145" t="s">
        <v>46</v>
      </c>
      <c r="N1322" s="205">
        <v>0.02</v>
      </c>
      <c r="O1322" s="205" t="s">
        <v>173</v>
      </c>
      <c r="P1322" s="205" t="s">
        <v>51</v>
      </c>
      <c r="Q1322" s="225">
        <v>0</v>
      </c>
      <c r="R1322" s="225">
        <v>0</v>
      </c>
      <c r="S1322" s="225">
        <v>10000</v>
      </c>
      <c r="T1322" s="225">
        <v>200</v>
      </c>
      <c r="U1322" s="225">
        <v>10200</v>
      </c>
      <c r="V1322" s="225">
        <v>10200</v>
      </c>
      <c r="W1322" s="225">
        <v>200</v>
      </c>
      <c r="X1322" s="225">
        <v>196.078431372549</v>
      </c>
      <c r="Y1322" s="225">
        <v>3.92156862745099</v>
      </c>
      <c r="Z1322" s="225">
        <v>18.6</v>
      </c>
      <c r="AA1322" s="225">
        <v>9981.4</v>
      </c>
      <c r="AB1322" s="229">
        <f t="shared" si="318"/>
        <v>18.2352941176471</v>
      </c>
      <c r="AC1322" s="230">
        <f t="shared" si="319"/>
        <v>0.36470588235294</v>
      </c>
      <c r="AD1322" s="237">
        <v>18.2352941176471</v>
      </c>
      <c r="AE1322" s="238">
        <v>0</v>
      </c>
      <c r="AF1322" s="225">
        <f t="shared" si="320"/>
        <v>0</v>
      </c>
      <c r="AG1322" s="225"/>
      <c r="AH1322" s="225"/>
      <c r="AI1322" s="225"/>
      <c r="AJ1322" s="241" t="s">
        <v>173</v>
      </c>
      <c r="AK1322" s="145"/>
      <c r="AL1322" s="145"/>
    </row>
    <row r="1323" s="146" customFormat="1" ht="14.25" hidden="1" spans="1:38">
      <c r="A1323" s="145">
        <v>2017</v>
      </c>
      <c r="B1323" s="233" t="s">
        <v>38</v>
      </c>
      <c r="C1323" s="233" t="s">
        <v>54</v>
      </c>
      <c r="D1323" s="233" t="s">
        <v>102</v>
      </c>
      <c r="E1323" s="233" t="s">
        <v>115</v>
      </c>
      <c r="F1323" s="233" t="s">
        <v>502</v>
      </c>
      <c r="G1323" s="233" t="s">
        <v>502</v>
      </c>
      <c r="H1323" s="233" t="s">
        <v>502</v>
      </c>
      <c r="I1323" s="196" t="s">
        <v>1177</v>
      </c>
      <c r="J1323" s="197" t="s">
        <v>44</v>
      </c>
      <c r="K1323" s="233" t="s">
        <v>1178</v>
      </c>
      <c r="L1323" s="233" t="s">
        <v>1216</v>
      </c>
      <c r="M1323" s="233" t="s">
        <v>46</v>
      </c>
      <c r="N1323" s="205">
        <v>0.06</v>
      </c>
      <c r="O1323" s="205" t="s">
        <v>193</v>
      </c>
      <c r="P1323" s="205" t="s">
        <v>51</v>
      </c>
      <c r="Q1323" s="231">
        <v>0</v>
      </c>
      <c r="R1323" s="231">
        <v>0</v>
      </c>
      <c r="S1323" s="231">
        <v>20000</v>
      </c>
      <c r="T1323" s="231">
        <v>1200</v>
      </c>
      <c r="U1323" s="231">
        <v>21200</v>
      </c>
      <c r="V1323" s="225">
        <v>20400</v>
      </c>
      <c r="W1323" s="231">
        <v>1200</v>
      </c>
      <c r="X1323" s="231">
        <v>1132.07547169811</v>
      </c>
      <c r="Y1323" s="231">
        <v>67.9245283018868</v>
      </c>
      <c r="Z1323" s="231">
        <v>12143.8</v>
      </c>
      <c r="AA1323" s="231">
        <v>7856.2</v>
      </c>
      <c r="AB1323" s="229">
        <f t="shared" si="318"/>
        <v>11456.4150943396</v>
      </c>
      <c r="AC1323" s="230">
        <f t="shared" si="319"/>
        <v>687.384905660378</v>
      </c>
      <c r="AD1323" s="239">
        <v>11456.4150943396</v>
      </c>
      <c r="AE1323" s="238">
        <v>0</v>
      </c>
      <c r="AF1323" s="225">
        <f t="shared" si="320"/>
        <v>0</v>
      </c>
      <c r="AG1323" s="225"/>
      <c r="AH1323" s="231"/>
      <c r="AI1323" s="231"/>
      <c r="AJ1323" s="242" t="s">
        <v>193</v>
      </c>
      <c r="AK1323" s="233"/>
      <c r="AL1323" s="233"/>
    </row>
    <row r="1324" s="146" customFormat="1" ht="14.25" hidden="1" spans="1:38">
      <c r="A1324" s="145">
        <v>2017</v>
      </c>
      <c r="B1324" s="145" t="s">
        <v>38</v>
      </c>
      <c r="C1324" s="145" t="s">
        <v>88</v>
      </c>
      <c r="D1324" s="145" t="s">
        <v>89</v>
      </c>
      <c r="E1324" s="145" t="s">
        <v>124</v>
      </c>
      <c r="F1324" s="145" t="s">
        <v>125</v>
      </c>
      <c r="G1324" s="145" t="s">
        <v>125</v>
      </c>
      <c r="H1324" s="145" t="s">
        <v>125</v>
      </c>
      <c r="I1324" s="196" t="s">
        <v>1177</v>
      </c>
      <c r="J1324" s="197" t="s">
        <v>44</v>
      </c>
      <c r="K1324" s="145" t="s">
        <v>1178</v>
      </c>
      <c r="L1324" s="145" t="s">
        <v>1217</v>
      </c>
      <c r="M1324" s="145" t="s">
        <v>46</v>
      </c>
      <c r="N1324" s="204">
        <v>0.04</v>
      </c>
      <c r="O1324" s="204">
        <v>0.04</v>
      </c>
      <c r="P1324" s="205" t="s">
        <v>51</v>
      </c>
      <c r="Q1324" s="225">
        <v>0</v>
      </c>
      <c r="R1324" s="225">
        <v>0</v>
      </c>
      <c r="S1324" s="225">
        <v>50000</v>
      </c>
      <c r="T1324" s="225">
        <v>0</v>
      </c>
      <c r="U1324" s="225">
        <v>50000</v>
      </c>
      <c r="V1324" s="225">
        <v>51000</v>
      </c>
      <c r="W1324" s="225">
        <v>0</v>
      </c>
      <c r="X1324" s="225">
        <v>0</v>
      </c>
      <c r="Y1324" s="225">
        <v>0</v>
      </c>
      <c r="Z1324" s="225">
        <v>5595</v>
      </c>
      <c r="AA1324" s="225">
        <v>44405</v>
      </c>
      <c r="AB1324" s="229">
        <f t="shared" si="318"/>
        <v>5379.80769230769</v>
      </c>
      <c r="AC1324" s="230">
        <f t="shared" si="319"/>
        <v>215.192307692308</v>
      </c>
      <c r="AD1324" s="237">
        <v>5379.80769230769</v>
      </c>
      <c r="AE1324" s="238">
        <v>0</v>
      </c>
      <c r="AF1324" s="225">
        <f t="shared" si="320"/>
        <v>0</v>
      </c>
      <c r="AG1324" s="225"/>
      <c r="AH1324" s="225"/>
      <c r="AI1324" s="225"/>
      <c r="AJ1324" s="241" t="s">
        <v>1218</v>
      </c>
      <c r="AK1324" s="145"/>
      <c r="AL1324" s="145"/>
    </row>
    <row r="1325" s="146" customFormat="1" ht="14.25" hidden="1" spans="1:38">
      <c r="A1325" s="145">
        <v>2017</v>
      </c>
      <c r="B1325" s="145" t="s">
        <v>38</v>
      </c>
      <c r="C1325" s="145" t="s">
        <v>137</v>
      </c>
      <c r="D1325" s="145" t="s">
        <v>138</v>
      </c>
      <c r="E1325" s="145" t="s">
        <v>139</v>
      </c>
      <c r="F1325" s="145" t="s">
        <v>1219</v>
      </c>
      <c r="G1325" s="145" t="s">
        <v>1219</v>
      </c>
      <c r="H1325" s="145" t="s">
        <v>1219</v>
      </c>
      <c r="I1325" s="196" t="s">
        <v>1177</v>
      </c>
      <c r="J1325" s="197" t="s">
        <v>44</v>
      </c>
      <c r="K1325" s="145" t="s">
        <v>1178</v>
      </c>
      <c r="L1325" s="145" t="s">
        <v>1220</v>
      </c>
      <c r="M1325" s="145" t="s">
        <v>46</v>
      </c>
      <c r="N1325" s="205">
        <v>0.04</v>
      </c>
      <c r="O1325" s="205" t="s">
        <v>1221</v>
      </c>
      <c r="P1325" s="205" t="s">
        <v>51</v>
      </c>
      <c r="Q1325" s="225">
        <v>0</v>
      </c>
      <c r="R1325" s="225">
        <v>800</v>
      </c>
      <c r="S1325" s="225">
        <v>704500</v>
      </c>
      <c r="T1325" s="225">
        <v>28180</v>
      </c>
      <c r="U1325" s="225">
        <v>733480</v>
      </c>
      <c r="V1325" s="225">
        <v>704500</v>
      </c>
      <c r="W1325" s="225">
        <v>28980</v>
      </c>
      <c r="X1325" s="225">
        <v>27865.3846153846</v>
      </c>
      <c r="Y1325" s="225">
        <v>1114.61538461539</v>
      </c>
      <c r="Z1325" s="225">
        <v>901490.2</v>
      </c>
      <c r="AA1325" s="225">
        <v>39131.4</v>
      </c>
      <c r="AB1325" s="229">
        <f t="shared" si="318"/>
        <v>866817.5</v>
      </c>
      <c r="AC1325" s="230">
        <f t="shared" si="319"/>
        <v>34672.7000000001</v>
      </c>
      <c r="AD1325" s="237">
        <v>866817.5</v>
      </c>
      <c r="AE1325" s="238">
        <v>0</v>
      </c>
      <c r="AF1325" s="225">
        <f t="shared" si="320"/>
        <v>0</v>
      </c>
      <c r="AG1325" s="225"/>
      <c r="AH1325" s="225"/>
      <c r="AI1325" s="225"/>
      <c r="AJ1325" s="241" t="s">
        <v>1221</v>
      </c>
      <c r="AK1325" s="145"/>
      <c r="AL1325" s="145"/>
    </row>
    <row r="1326" s="146" customFormat="1" ht="14.25" hidden="1" spans="1:38">
      <c r="A1326" s="145">
        <v>2017</v>
      </c>
      <c r="B1326" s="145" t="s">
        <v>38</v>
      </c>
      <c r="C1326" s="145" t="s">
        <v>59</v>
      </c>
      <c r="D1326" s="145" t="s">
        <v>60</v>
      </c>
      <c r="E1326" s="145" t="s">
        <v>107</v>
      </c>
      <c r="F1326" s="145" t="s">
        <v>1222</v>
      </c>
      <c r="G1326" s="145" t="s">
        <v>1222</v>
      </c>
      <c r="H1326" s="145" t="s">
        <v>1222</v>
      </c>
      <c r="I1326" s="196" t="s">
        <v>1177</v>
      </c>
      <c r="J1326" s="197" t="s">
        <v>44</v>
      </c>
      <c r="K1326" s="145" t="s">
        <v>1178</v>
      </c>
      <c r="L1326" s="145" t="s">
        <v>1223</v>
      </c>
      <c r="M1326" s="145" t="s">
        <v>185</v>
      </c>
      <c r="N1326" s="205">
        <v>0.08</v>
      </c>
      <c r="O1326" s="205" t="s">
        <v>53</v>
      </c>
      <c r="P1326" s="205" t="s">
        <v>51</v>
      </c>
      <c r="Q1326" s="225">
        <v>0</v>
      </c>
      <c r="R1326" s="225">
        <v>0</v>
      </c>
      <c r="S1326" s="225">
        <v>10000</v>
      </c>
      <c r="T1326" s="225">
        <v>800</v>
      </c>
      <c r="U1326" s="225">
        <v>10800</v>
      </c>
      <c r="V1326" s="225">
        <v>10800</v>
      </c>
      <c r="W1326" s="225">
        <v>800</v>
      </c>
      <c r="X1326" s="225">
        <v>740.740740740741</v>
      </c>
      <c r="Y1326" s="225">
        <v>59.2592592592594</v>
      </c>
      <c r="Z1326" s="225">
        <v>2328.88</v>
      </c>
      <c r="AA1326" s="225">
        <v>7671.12</v>
      </c>
      <c r="AB1326" s="229">
        <f t="shared" si="318"/>
        <v>2156.37037037037</v>
      </c>
      <c r="AC1326" s="230">
        <f t="shared" si="319"/>
        <v>172.50962962963</v>
      </c>
      <c r="AD1326" s="237">
        <v>2156.37037037037</v>
      </c>
      <c r="AE1326" s="238">
        <v>0</v>
      </c>
      <c r="AF1326" s="225">
        <f t="shared" si="320"/>
        <v>0</v>
      </c>
      <c r="AG1326" s="225"/>
      <c r="AH1326" s="225"/>
      <c r="AI1326" s="225"/>
      <c r="AJ1326" s="241" t="s">
        <v>53</v>
      </c>
      <c r="AK1326" s="145"/>
      <c r="AL1326" s="145"/>
    </row>
    <row r="1327" s="146" customFormat="1" ht="14.25" hidden="1" spans="1:38">
      <c r="A1327" s="145">
        <v>2017</v>
      </c>
      <c r="B1327" s="145" t="s">
        <v>38</v>
      </c>
      <c r="C1327" s="145" t="s">
        <v>59</v>
      </c>
      <c r="D1327" s="145" t="s">
        <v>60</v>
      </c>
      <c r="E1327" s="145" t="s">
        <v>468</v>
      </c>
      <c r="F1327" s="145" t="s">
        <v>1062</v>
      </c>
      <c r="G1327" s="145" t="s">
        <v>1062</v>
      </c>
      <c r="H1327" s="145" t="s">
        <v>1062</v>
      </c>
      <c r="I1327" s="196" t="s">
        <v>1177</v>
      </c>
      <c r="J1327" s="197" t="s">
        <v>44</v>
      </c>
      <c r="K1327" s="145" t="s">
        <v>1178</v>
      </c>
      <c r="L1327" s="145" t="s">
        <v>1224</v>
      </c>
      <c r="M1327" s="145" t="s">
        <v>185</v>
      </c>
      <c r="N1327" s="205">
        <v>0.04</v>
      </c>
      <c r="O1327" s="205" t="s">
        <v>186</v>
      </c>
      <c r="P1327" s="205" t="s">
        <v>51</v>
      </c>
      <c r="Q1327" s="225">
        <v>0</v>
      </c>
      <c r="R1327" s="225">
        <v>0</v>
      </c>
      <c r="S1327" s="225">
        <v>10000</v>
      </c>
      <c r="T1327" s="225">
        <v>400</v>
      </c>
      <c r="U1327" s="225">
        <v>10400</v>
      </c>
      <c r="V1327" s="225">
        <v>0</v>
      </c>
      <c r="W1327" s="225">
        <v>400</v>
      </c>
      <c r="X1327" s="225">
        <v>384.615384615385</v>
      </c>
      <c r="Y1327" s="225">
        <v>15.3846153846154</v>
      </c>
      <c r="Z1327" s="225">
        <v>0</v>
      </c>
      <c r="AA1327" s="225">
        <v>10000</v>
      </c>
      <c r="AB1327" s="229">
        <f t="shared" si="318"/>
        <v>0</v>
      </c>
      <c r="AC1327" s="230">
        <f t="shared" si="319"/>
        <v>0</v>
      </c>
      <c r="AD1327" s="237">
        <v>0</v>
      </c>
      <c r="AE1327" s="238">
        <v>0</v>
      </c>
      <c r="AF1327" s="225">
        <f t="shared" si="320"/>
        <v>0</v>
      </c>
      <c r="AG1327" s="225"/>
      <c r="AH1327" s="225"/>
      <c r="AI1327" s="225"/>
      <c r="AJ1327" s="241" t="s">
        <v>186</v>
      </c>
      <c r="AK1327" s="145"/>
      <c r="AL1327" s="145"/>
    </row>
    <row r="1328" s="146" customFormat="1" ht="14.25" hidden="1" spans="1:38">
      <c r="A1328" s="145">
        <v>2017</v>
      </c>
      <c r="B1328" s="145" t="s">
        <v>38</v>
      </c>
      <c r="C1328" s="145" t="s">
        <v>88</v>
      </c>
      <c r="D1328" s="145" t="s">
        <v>89</v>
      </c>
      <c r="E1328" s="145" t="s">
        <v>124</v>
      </c>
      <c r="F1328" s="145" t="s">
        <v>1225</v>
      </c>
      <c r="G1328" s="145" t="s">
        <v>1225</v>
      </c>
      <c r="H1328" s="145" t="s">
        <v>1225</v>
      </c>
      <c r="I1328" s="196" t="s">
        <v>1177</v>
      </c>
      <c r="J1328" s="197" t="s">
        <v>44</v>
      </c>
      <c r="K1328" s="145" t="s">
        <v>1178</v>
      </c>
      <c r="L1328" s="145" t="s">
        <v>1226</v>
      </c>
      <c r="M1328" s="145" t="s">
        <v>46</v>
      </c>
      <c r="N1328" s="205">
        <v>0.02</v>
      </c>
      <c r="O1328" s="205" t="s">
        <v>173</v>
      </c>
      <c r="P1328" s="205" t="s">
        <v>51</v>
      </c>
      <c r="Q1328" s="225">
        <v>0</v>
      </c>
      <c r="R1328" s="225">
        <v>0</v>
      </c>
      <c r="S1328" s="225">
        <v>42175.2</v>
      </c>
      <c r="T1328" s="225">
        <v>843.504</v>
      </c>
      <c r="U1328" s="225">
        <v>43018.704</v>
      </c>
      <c r="V1328" s="225">
        <v>43018.704</v>
      </c>
      <c r="W1328" s="225">
        <v>843.504000000001</v>
      </c>
      <c r="X1328" s="225">
        <v>826.964705882354</v>
      </c>
      <c r="Y1328" s="225">
        <v>16.539294117647</v>
      </c>
      <c r="Z1328" s="225">
        <v>43018.7</v>
      </c>
      <c r="AA1328" s="225">
        <v>-843.5</v>
      </c>
      <c r="AB1328" s="229">
        <f t="shared" si="318"/>
        <v>42175.1960784314</v>
      </c>
      <c r="AC1328" s="230">
        <f t="shared" si="319"/>
        <v>843.503921568627</v>
      </c>
      <c r="AD1328" s="237">
        <v>42175.1960784314</v>
      </c>
      <c r="AE1328" s="238">
        <v>0</v>
      </c>
      <c r="AF1328" s="225">
        <f t="shared" si="320"/>
        <v>0</v>
      </c>
      <c r="AG1328" s="225"/>
      <c r="AH1328" s="225"/>
      <c r="AI1328" s="225"/>
      <c r="AJ1328" s="241" t="s">
        <v>173</v>
      </c>
      <c r="AK1328" s="145"/>
      <c r="AL1328" s="145"/>
    </row>
    <row r="1329" s="146" customFormat="1" ht="14.25" hidden="1" spans="1:38">
      <c r="A1329" s="145">
        <v>2017</v>
      </c>
      <c r="B1329" s="145" t="s">
        <v>38</v>
      </c>
      <c r="C1329" s="145" t="s">
        <v>59</v>
      </c>
      <c r="D1329" s="145" t="s">
        <v>106</v>
      </c>
      <c r="E1329" s="145" t="s">
        <v>131</v>
      </c>
      <c r="F1329" s="145" t="s">
        <v>132</v>
      </c>
      <c r="G1329" s="145" t="s">
        <v>132</v>
      </c>
      <c r="H1329" s="145" t="s">
        <v>132</v>
      </c>
      <c r="I1329" s="196" t="s">
        <v>1177</v>
      </c>
      <c r="J1329" s="197" t="s">
        <v>44</v>
      </c>
      <c r="K1329" s="145" t="s">
        <v>1178</v>
      </c>
      <c r="L1329" s="145" t="s">
        <v>1227</v>
      </c>
      <c r="M1329" s="145" t="s">
        <v>46</v>
      </c>
      <c r="N1329" s="205">
        <v>0.04</v>
      </c>
      <c r="O1329" s="205" t="s">
        <v>186</v>
      </c>
      <c r="P1329" s="205" t="s">
        <v>51</v>
      </c>
      <c r="Q1329" s="225">
        <v>0</v>
      </c>
      <c r="R1329" s="225">
        <v>0</v>
      </c>
      <c r="S1329" s="225">
        <v>2500000</v>
      </c>
      <c r="T1329" s="225">
        <v>100000</v>
      </c>
      <c r="U1329" s="225">
        <v>2600000</v>
      </c>
      <c r="V1329" s="225">
        <v>12445000</v>
      </c>
      <c r="W1329" s="225">
        <v>100000</v>
      </c>
      <c r="X1329" s="225">
        <v>96153.8461538462</v>
      </c>
      <c r="Y1329" s="225">
        <v>3846.15384615384</v>
      </c>
      <c r="Z1329" s="225">
        <v>12454971.21</v>
      </c>
      <c r="AA1329" s="225">
        <v>253975.85</v>
      </c>
      <c r="AB1329" s="229">
        <f t="shared" si="318"/>
        <v>11975933.8557692</v>
      </c>
      <c r="AC1329" s="230">
        <f t="shared" si="319"/>
        <v>479037.354230769</v>
      </c>
      <c r="AD1329" s="237">
        <v>11975933.8557692</v>
      </c>
      <c r="AE1329" s="238">
        <v>0</v>
      </c>
      <c r="AF1329" s="225">
        <f t="shared" si="320"/>
        <v>0</v>
      </c>
      <c r="AG1329" s="225"/>
      <c r="AH1329" s="225"/>
      <c r="AI1329" s="225"/>
      <c r="AJ1329" s="241" t="s">
        <v>186</v>
      </c>
      <c r="AK1329" s="145"/>
      <c r="AL1329" s="145"/>
    </row>
    <row r="1330" s="146" customFormat="1" ht="14.25" hidden="1" spans="1:38">
      <c r="A1330" s="145">
        <v>2017</v>
      </c>
      <c r="B1330" s="145" t="s">
        <v>38</v>
      </c>
      <c r="C1330" s="145" t="s">
        <v>88</v>
      </c>
      <c r="D1330" s="145" t="s">
        <v>128</v>
      </c>
      <c r="E1330" s="145" t="s">
        <v>90</v>
      </c>
      <c r="F1330" s="145" t="s">
        <v>276</v>
      </c>
      <c r="G1330" s="145" t="s">
        <v>276</v>
      </c>
      <c r="H1330" s="145" t="s">
        <v>276</v>
      </c>
      <c r="I1330" s="196" t="s">
        <v>1177</v>
      </c>
      <c r="J1330" s="197" t="s">
        <v>44</v>
      </c>
      <c r="K1330" s="145" t="s">
        <v>1178</v>
      </c>
      <c r="L1330" s="145" t="s">
        <v>1228</v>
      </c>
      <c r="M1330" s="145" t="s">
        <v>46</v>
      </c>
      <c r="N1330" s="205">
        <v>0.05</v>
      </c>
      <c r="O1330" s="205" t="s">
        <v>1229</v>
      </c>
      <c r="P1330" s="205" t="s">
        <v>51</v>
      </c>
      <c r="Q1330" s="225">
        <v>0</v>
      </c>
      <c r="R1330" s="225">
        <v>0</v>
      </c>
      <c r="S1330" s="225">
        <v>250000</v>
      </c>
      <c r="T1330" s="225">
        <v>12500</v>
      </c>
      <c r="U1330" s="225">
        <v>262500</v>
      </c>
      <c r="V1330" s="225">
        <v>255000</v>
      </c>
      <c r="W1330" s="225">
        <v>12500</v>
      </c>
      <c r="X1330" s="225">
        <v>11904.7619047619</v>
      </c>
      <c r="Y1330" s="225">
        <v>595.238095238095</v>
      </c>
      <c r="Z1330" s="225">
        <v>161675.8</v>
      </c>
      <c r="AA1330" s="225">
        <v>88324.2</v>
      </c>
      <c r="AB1330" s="229">
        <f t="shared" si="318"/>
        <v>153976.952380952</v>
      </c>
      <c r="AC1330" s="230">
        <f t="shared" si="319"/>
        <v>7698.84761904762</v>
      </c>
      <c r="AD1330" s="237">
        <v>153976.952380952</v>
      </c>
      <c r="AE1330" s="238">
        <v>0</v>
      </c>
      <c r="AF1330" s="225">
        <f t="shared" si="320"/>
        <v>0</v>
      </c>
      <c r="AG1330" s="225"/>
      <c r="AH1330" s="225"/>
      <c r="AI1330" s="225"/>
      <c r="AJ1330" s="241" t="s">
        <v>1229</v>
      </c>
      <c r="AK1330" s="145"/>
      <c r="AL1330" s="145"/>
    </row>
    <row r="1331" s="146" customFormat="1" ht="14.25" hidden="1" spans="1:38">
      <c r="A1331" s="145">
        <v>2017</v>
      </c>
      <c r="B1331" s="145" t="s">
        <v>38</v>
      </c>
      <c r="C1331" s="145" t="s">
        <v>88</v>
      </c>
      <c r="D1331" s="145" t="s">
        <v>89</v>
      </c>
      <c r="E1331" s="145" t="s">
        <v>124</v>
      </c>
      <c r="F1331" s="145" t="s">
        <v>913</v>
      </c>
      <c r="G1331" s="145" t="s">
        <v>913</v>
      </c>
      <c r="H1331" s="145" t="s">
        <v>913</v>
      </c>
      <c r="I1331" s="196" t="s">
        <v>1177</v>
      </c>
      <c r="J1331" s="197" t="s">
        <v>44</v>
      </c>
      <c r="K1331" s="145" t="s">
        <v>1178</v>
      </c>
      <c r="L1331" s="145" t="s">
        <v>1230</v>
      </c>
      <c r="M1331" s="145" t="s">
        <v>46</v>
      </c>
      <c r="N1331" s="205">
        <v>0.02</v>
      </c>
      <c r="O1331" s="205" t="s">
        <v>173</v>
      </c>
      <c r="P1331" s="205" t="s">
        <v>51</v>
      </c>
      <c r="Q1331" s="225">
        <v>0</v>
      </c>
      <c r="R1331" s="225">
        <v>0</v>
      </c>
      <c r="S1331" s="225">
        <v>20000</v>
      </c>
      <c r="T1331" s="225">
        <v>400</v>
      </c>
      <c r="U1331" s="225">
        <v>20400</v>
      </c>
      <c r="V1331" s="225">
        <v>20400</v>
      </c>
      <c r="W1331" s="225">
        <v>400</v>
      </c>
      <c r="X1331" s="225">
        <v>392.156862745098</v>
      </c>
      <c r="Y1331" s="225">
        <v>7.84313725490199</v>
      </c>
      <c r="Z1331" s="225">
        <v>18404.25</v>
      </c>
      <c r="AA1331" s="225">
        <v>1595.75</v>
      </c>
      <c r="AB1331" s="229">
        <f t="shared" si="318"/>
        <v>18043.3823529412</v>
      </c>
      <c r="AC1331" s="230">
        <f t="shared" si="319"/>
        <v>360.867647058825</v>
      </c>
      <c r="AD1331" s="237">
        <v>18043.3823529412</v>
      </c>
      <c r="AE1331" s="238">
        <v>0</v>
      </c>
      <c r="AF1331" s="225">
        <f t="shared" si="320"/>
        <v>0</v>
      </c>
      <c r="AG1331" s="225"/>
      <c r="AH1331" s="225"/>
      <c r="AI1331" s="225"/>
      <c r="AJ1331" s="241" t="s">
        <v>173</v>
      </c>
      <c r="AK1331" s="145"/>
      <c r="AL1331" s="145"/>
    </row>
    <row r="1332" s="146" customFormat="1" ht="14.25" hidden="1" spans="1:38">
      <c r="A1332" s="145">
        <v>2017</v>
      </c>
      <c r="B1332" s="145" t="s">
        <v>38</v>
      </c>
      <c r="C1332" s="145" t="s">
        <v>137</v>
      </c>
      <c r="D1332" s="145" t="s">
        <v>138</v>
      </c>
      <c r="E1332" s="145" t="s">
        <v>139</v>
      </c>
      <c r="F1332" s="145" t="s">
        <v>140</v>
      </c>
      <c r="G1332" s="145" t="s">
        <v>141</v>
      </c>
      <c r="H1332" s="145" t="s">
        <v>141</v>
      </c>
      <c r="I1332" s="196" t="s">
        <v>1177</v>
      </c>
      <c r="J1332" s="197" t="s">
        <v>44</v>
      </c>
      <c r="K1332" s="145" t="s">
        <v>1178</v>
      </c>
      <c r="L1332" s="145" t="s">
        <v>1231</v>
      </c>
      <c r="M1332" s="145" t="s">
        <v>185</v>
      </c>
      <c r="N1332" s="205">
        <v>0.1</v>
      </c>
      <c r="O1332" s="205" t="s">
        <v>69</v>
      </c>
      <c r="P1332" s="205" t="s">
        <v>51</v>
      </c>
      <c r="Q1332" s="225">
        <v>0</v>
      </c>
      <c r="R1332" s="225">
        <v>0</v>
      </c>
      <c r="S1332" s="225">
        <v>49111.82</v>
      </c>
      <c r="T1332" s="225">
        <v>4911.182</v>
      </c>
      <c r="U1332" s="225">
        <v>54023.002</v>
      </c>
      <c r="V1332" s="225">
        <v>132000</v>
      </c>
      <c r="W1332" s="225">
        <v>4911.182</v>
      </c>
      <c r="X1332" s="225">
        <v>4464.71090909091</v>
      </c>
      <c r="Y1332" s="225">
        <v>446.471090909091</v>
      </c>
      <c r="Z1332" s="225">
        <v>29909</v>
      </c>
      <c r="AA1332" s="225">
        <v>-4911.18</v>
      </c>
      <c r="AB1332" s="229">
        <f t="shared" si="318"/>
        <v>27190</v>
      </c>
      <c r="AC1332" s="230">
        <f t="shared" si="319"/>
        <v>2719</v>
      </c>
      <c r="AD1332" s="237">
        <v>27190</v>
      </c>
      <c r="AE1332" s="238">
        <v>0</v>
      </c>
      <c r="AF1332" s="225">
        <f t="shared" si="320"/>
        <v>0</v>
      </c>
      <c r="AG1332" s="225"/>
      <c r="AH1332" s="225"/>
      <c r="AI1332" s="225"/>
      <c r="AJ1332" s="241" t="s">
        <v>69</v>
      </c>
      <c r="AK1332" s="145"/>
      <c r="AL1332" s="145"/>
    </row>
    <row r="1333" s="146" customFormat="1" ht="14.25" hidden="1" spans="1:38">
      <c r="A1333" s="145">
        <v>2017</v>
      </c>
      <c r="B1333" s="145" t="s">
        <v>38</v>
      </c>
      <c r="C1333" s="145" t="s">
        <v>137</v>
      </c>
      <c r="D1333" s="145" t="s">
        <v>138</v>
      </c>
      <c r="E1333" s="145" t="s">
        <v>139</v>
      </c>
      <c r="F1333" s="145" t="s">
        <v>140</v>
      </c>
      <c r="G1333" s="145" t="s">
        <v>141</v>
      </c>
      <c r="H1333" s="145" t="s">
        <v>141</v>
      </c>
      <c r="I1333" s="196" t="s">
        <v>1177</v>
      </c>
      <c r="J1333" s="197" t="s">
        <v>44</v>
      </c>
      <c r="K1333" s="145" t="s">
        <v>1178</v>
      </c>
      <c r="L1333" s="145" t="s">
        <v>1232</v>
      </c>
      <c r="M1333" s="145" t="s">
        <v>46</v>
      </c>
      <c r="N1333" s="205">
        <v>0.06</v>
      </c>
      <c r="O1333" s="205" t="s">
        <v>193</v>
      </c>
      <c r="P1333" s="205" t="s">
        <v>51</v>
      </c>
      <c r="Q1333" s="225">
        <v>0</v>
      </c>
      <c r="R1333" s="225">
        <v>0</v>
      </c>
      <c r="S1333" s="225">
        <v>5200888.18</v>
      </c>
      <c r="T1333" s="225">
        <v>312053.2908</v>
      </c>
      <c r="U1333" s="225">
        <v>5512941.4708</v>
      </c>
      <c r="V1333" s="225">
        <v>5225800</v>
      </c>
      <c r="W1333" s="225">
        <v>312053.2908</v>
      </c>
      <c r="X1333" s="225">
        <v>294389.896981132</v>
      </c>
      <c r="Y1333" s="225">
        <v>17663.3938188679</v>
      </c>
      <c r="Z1333" s="225">
        <v>4973661.1</v>
      </c>
      <c r="AA1333" s="225">
        <v>124672.779999999</v>
      </c>
      <c r="AB1333" s="229">
        <f t="shared" si="318"/>
        <v>4692133.11320755</v>
      </c>
      <c r="AC1333" s="230">
        <f t="shared" si="319"/>
        <v>281527.986792453</v>
      </c>
      <c r="AD1333" s="237">
        <v>4692133.11320755</v>
      </c>
      <c r="AE1333" s="238">
        <v>0</v>
      </c>
      <c r="AF1333" s="225">
        <f t="shared" si="320"/>
        <v>0</v>
      </c>
      <c r="AG1333" s="225"/>
      <c r="AH1333" s="225"/>
      <c r="AI1333" s="225"/>
      <c r="AJ1333" s="241" t="s">
        <v>193</v>
      </c>
      <c r="AK1333" s="145"/>
      <c r="AL1333" s="145"/>
    </row>
    <row r="1334" s="146" customFormat="1" ht="14.25" hidden="1" spans="1:38">
      <c r="A1334" s="145">
        <v>2017</v>
      </c>
      <c r="B1334" s="145" t="s">
        <v>38</v>
      </c>
      <c r="C1334" s="145" t="s">
        <v>88</v>
      </c>
      <c r="D1334" s="145" t="s">
        <v>95</v>
      </c>
      <c r="E1334" s="145" t="s">
        <v>194</v>
      </c>
      <c r="F1334" s="145" t="s">
        <v>143</v>
      </c>
      <c r="G1334" s="145" t="s">
        <v>143</v>
      </c>
      <c r="H1334" s="145" t="s">
        <v>143</v>
      </c>
      <c r="I1334" s="196" t="s">
        <v>1177</v>
      </c>
      <c r="J1334" s="197" t="s">
        <v>44</v>
      </c>
      <c r="K1334" s="145" t="s">
        <v>1178</v>
      </c>
      <c r="L1334" s="145" t="s">
        <v>1233</v>
      </c>
      <c r="M1334" s="145" t="s">
        <v>46</v>
      </c>
      <c r="N1334" s="205">
        <v>0.02</v>
      </c>
      <c r="O1334" s="205" t="s">
        <v>891</v>
      </c>
      <c r="P1334" s="205" t="s">
        <v>51</v>
      </c>
      <c r="Q1334" s="225">
        <v>0</v>
      </c>
      <c r="R1334" s="225">
        <v>0</v>
      </c>
      <c r="S1334" s="225">
        <v>90000</v>
      </c>
      <c r="T1334" s="225">
        <v>1800</v>
      </c>
      <c r="U1334" s="225">
        <v>91800</v>
      </c>
      <c r="V1334" s="225">
        <v>91800</v>
      </c>
      <c r="W1334" s="225">
        <v>1800</v>
      </c>
      <c r="X1334" s="225">
        <v>1764.70588235294</v>
      </c>
      <c r="Y1334" s="225">
        <v>35.2941176470588</v>
      </c>
      <c r="Z1334" s="225">
        <v>79345.6</v>
      </c>
      <c r="AA1334" s="225">
        <v>10654.4</v>
      </c>
      <c r="AB1334" s="229">
        <f t="shared" si="318"/>
        <v>77789.8039215686</v>
      </c>
      <c r="AC1334" s="230">
        <f t="shared" si="319"/>
        <v>1555.79607843138</v>
      </c>
      <c r="AD1334" s="237">
        <v>77789.8039215686</v>
      </c>
      <c r="AE1334" s="238">
        <v>0</v>
      </c>
      <c r="AF1334" s="225">
        <f t="shared" si="320"/>
        <v>0</v>
      </c>
      <c r="AG1334" s="225"/>
      <c r="AH1334" s="225"/>
      <c r="AI1334" s="225"/>
      <c r="AJ1334" s="241" t="s">
        <v>891</v>
      </c>
      <c r="AK1334" s="145"/>
      <c r="AL1334" s="145"/>
    </row>
    <row r="1335" s="146" customFormat="1" ht="14.25" hidden="1" spans="1:38">
      <c r="A1335" s="145">
        <v>2017</v>
      </c>
      <c r="B1335" s="145" t="s">
        <v>38</v>
      </c>
      <c r="C1335" s="145" t="s">
        <v>75</v>
      </c>
      <c r="D1335" s="145" t="s">
        <v>76</v>
      </c>
      <c r="E1335" s="145" t="s">
        <v>150</v>
      </c>
      <c r="F1335" s="145" t="s">
        <v>1234</v>
      </c>
      <c r="G1335" s="145" t="s">
        <v>1234</v>
      </c>
      <c r="H1335" s="145" t="s">
        <v>1234</v>
      </c>
      <c r="I1335" s="196" t="s">
        <v>1177</v>
      </c>
      <c r="J1335" s="197" t="s">
        <v>44</v>
      </c>
      <c r="K1335" s="145" t="s">
        <v>1178</v>
      </c>
      <c r="L1335" s="145" t="s">
        <v>1235</v>
      </c>
      <c r="M1335" s="145" t="s">
        <v>185</v>
      </c>
      <c r="N1335" s="205">
        <v>0.12</v>
      </c>
      <c r="O1335" s="205" t="s">
        <v>117</v>
      </c>
      <c r="P1335" s="205" t="s">
        <v>51</v>
      </c>
      <c r="Q1335" s="225">
        <v>0</v>
      </c>
      <c r="R1335" s="225">
        <v>0</v>
      </c>
      <c r="S1335" s="225">
        <v>30000</v>
      </c>
      <c r="T1335" s="225">
        <v>3600</v>
      </c>
      <c r="U1335" s="225">
        <v>33600</v>
      </c>
      <c r="V1335" s="225">
        <v>32400</v>
      </c>
      <c r="W1335" s="225">
        <v>3600</v>
      </c>
      <c r="X1335" s="225">
        <v>3214.28571428571</v>
      </c>
      <c r="Y1335" s="225">
        <v>385.714285714286</v>
      </c>
      <c r="Z1335" s="225">
        <v>16848.2</v>
      </c>
      <c r="AA1335" s="225">
        <v>13151.8</v>
      </c>
      <c r="AB1335" s="229">
        <f t="shared" si="318"/>
        <v>15043.0357142857</v>
      </c>
      <c r="AC1335" s="230">
        <f t="shared" si="319"/>
        <v>1805.16428571429</v>
      </c>
      <c r="AD1335" s="237">
        <v>15043.0357142857</v>
      </c>
      <c r="AE1335" s="238">
        <v>0</v>
      </c>
      <c r="AF1335" s="225">
        <f t="shared" si="320"/>
        <v>0</v>
      </c>
      <c r="AG1335" s="225"/>
      <c r="AH1335" s="225"/>
      <c r="AI1335" s="225"/>
      <c r="AJ1335" s="241" t="s">
        <v>117</v>
      </c>
      <c r="AK1335" s="145"/>
      <c r="AL1335" s="145"/>
    </row>
    <row r="1336" s="146" customFormat="1" ht="14.25" hidden="1" spans="1:38">
      <c r="A1336" s="145">
        <v>2017</v>
      </c>
      <c r="B1336" s="145" t="s">
        <v>38</v>
      </c>
      <c r="C1336" s="145" t="s">
        <v>433</v>
      </c>
      <c r="D1336" s="145" t="s">
        <v>1196</v>
      </c>
      <c r="E1336" s="145" t="s">
        <v>435</v>
      </c>
      <c r="F1336" s="145" t="s">
        <v>1236</v>
      </c>
      <c r="G1336" s="145" t="s">
        <v>1236</v>
      </c>
      <c r="H1336" s="145" t="s">
        <v>1236</v>
      </c>
      <c r="I1336" s="196" t="s">
        <v>1177</v>
      </c>
      <c r="J1336" s="197" t="s">
        <v>44</v>
      </c>
      <c r="K1336" s="145" t="s">
        <v>1178</v>
      </c>
      <c r="L1336" s="145" t="s">
        <v>1237</v>
      </c>
      <c r="M1336" s="145" t="s">
        <v>185</v>
      </c>
      <c r="N1336" s="205">
        <v>0.12</v>
      </c>
      <c r="O1336" s="205" t="s">
        <v>117</v>
      </c>
      <c r="P1336" s="205" t="s">
        <v>51</v>
      </c>
      <c r="Q1336" s="225">
        <v>0</v>
      </c>
      <c r="R1336" s="225">
        <v>0</v>
      </c>
      <c r="S1336" s="225">
        <v>4464.28</v>
      </c>
      <c r="T1336" s="225">
        <v>535.7136</v>
      </c>
      <c r="U1336" s="225">
        <v>4999.9936</v>
      </c>
      <c r="V1336" s="225">
        <v>4999.9936</v>
      </c>
      <c r="W1336" s="225">
        <v>535.7136</v>
      </c>
      <c r="X1336" s="225">
        <v>478.315714285714</v>
      </c>
      <c r="Y1336" s="225">
        <v>57.3978857142858</v>
      </c>
      <c r="Z1336" s="225">
        <v>3693.59</v>
      </c>
      <c r="AA1336" s="225">
        <v>770.69</v>
      </c>
      <c r="AB1336" s="229">
        <f t="shared" si="318"/>
        <v>3297.84821428571</v>
      </c>
      <c r="AC1336" s="230">
        <f t="shared" si="319"/>
        <v>395.741785714286</v>
      </c>
      <c r="AD1336" s="237">
        <v>3297.84821428571</v>
      </c>
      <c r="AE1336" s="238">
        <v>0</v>
      </c>
      <c r="AF1336" s="225">
        <f t="shared" si="320"/>
        <v>0</v>
      </c>
      <c r="AG1336" s="225"/>
      <c r="AH1336" s="225"/>
      <c r="AI1336" s="225"/>
      <c r="AJ1336" s="241" t="s">
        <v>117</v>
      </c>
      <c r="AK1336" s="145"/>
      <c r="AL1336" s="145"/>
    </row>
    <row r="1337" s="146" customFormat="1" ht="14.25" hidden="1" spans="1:38">
      <c r="A1337" s="145">
        <v>2017</v>
      </c>
      <c r="B1337" s="145" t="s">
        <v>38</v>
      </c>
      <c r="C1337" s="145" t="s">
        <v>75</v>
      </c>
      <c r="D1337" s="145" t="s">
        <v>76</v>
      </c>
      <c r="E1337" s="145" t="s">
        <v>150</v>
      </c>
      <c r="F1337" s="145" t="s">
        <v>151</v>
      </c>
      <c r="G1337" s="145" t="s">
        <v>1238</v>
      </c>
      <c r="H1337" s="145" t="s">
        <v>1238</v>
      </c>
      <c r="I1337" s="196" t="s">
        <v>1177</v>
      </c>
      <c r="J1337" s="197" t="s">
        <v>44</v>
      </c>
      <c r="K1337" s="145" t="s">
        <v>1178</v>
      </c>
      <c r="L1337" s="145" t="s">
        <v>1239</v>
      </c>
      <c r="M1337" s="145" t="s">
        <v>46</v>
      </c>
      <c r="N1337" s="205">
        <v>0.04</v>
      </c>
      <c r="O1337" s="205" t="s">
        <v>186</v>
      </c>
      <c r="P1337" s="205" t="s">
        <v>51</v>
      </c>
      <c r="Q1337" s="225">
        <v>0</v>
      </c>
      <c r="R1337" s="225">
        <v>0</v>
      </c>
      <c r="S1337" s="225">
        <v>221153.83</v>
      </c>
      <c r="T1337" s="225">
        <v>8846.1532</v>
      </c>
      <c r="U1337" s="225">
        <v>229999.9832</v>
      </c>
      <c r="V1337" s="225">
        <v>360599.9862</v>
      </c>
      <c r="W1337" s="225">
        <v>8846.1532</v>
      </c>
      <c r="X1337" s="225">
        <v>8505.91653846154</v>
      </c>
      <c r="Y1337" s="225">
        <v>340.236661538462</v>
      </c>
      <c r="Z1337" s="225">
        <v>334906.1</v>
      </c>
      <c r="AA1337" s="225">
        <v>-8846.17000000001</v>
      </c>
      <c r="AB1337" s="229">
        <f t="shared" si="318"/>
        <v>322025.096153846</v>
      </c>
      <c r="AC1337" s="230">
        <f t="shared" si="319"/>
        <v>12881.0038461538</v>
      </c>
      <c r="AD1337" s="237">
        <v>322025.096153846</v>
      </c>
      <c r="AE1337" s="238">
        <v>0</v>
      </c>
      <c r="AF1337" s="225">
        <f t="shared" si="320"/>
        <v>0</v>
      </c>
      <c r="AG1337" s="225"/>
      <c r="AH1337" s="225"/>
      <c r="AI1337" s="225"/>
      <c r="AJ1337" s="241" t="s">
        <v>186</v>
      </c>
      <c r="AK1337" s="145"/>
      <c r="AL1337" s="145"/>
    </row>
    <row r="1338" s="146" customFormat="1" ht="14.25" hidden="1" spans="1:38">
      <c r="A1338" s="145">
        <v>2017</v>
      </c>
      <c r="B1338" s="145" t="s">
        <v>38</v>
      </c>
      <c r="C1338" s="145" t="s">
        <v>75</v>
      </c>
      <c r="D1338" s="145" t="s">
        <v>76</v>
      </c>
      <c r="E1338" s="145" t="s">
        <v>150</v>
      </c>
      <c r="F1338" s="145" t="s">
        <v>151</v>
      </c>
      <c r="G1338" s="145" t="s">
        <v>151</v>
      </c>
      <c r="H1338" s="145" t="s">
        <v>151</v>
      </c>
      <c r="I1338" s="196" t="s">
        <v>1177</v>
      </c>
      <c r="J1338" s="197" t="s">
        <v>44</v>
      </c>
      <c r="K1338" s="145" t="s">
        <v>1178</v>
      </c>
      <c r="L1338" s="145" t="s">
        <v>1240</v>
      </c>
      <c r="M1338" s="145" t="s">
        <v>46</v>
      </c>
      <c r="N1338" s="205">
        <v>0.06</v>
      </c>
      <c r="O1338" s="205" t="s">
        <v>193</v>
      </c>
      <c r="P1338" s="205" t="s">
        <v>51</v>
      </c>
      <c r="Q1338" s="225">
        <v>0</v>
      </c>
      <c r="R1338" s="225">
        <v>0</v>
      </c>
      <c r="S1338" s="225">
        <v>123207.55</v>
      </c>
      <c r="T1338" s="225">
        <v>7392.453</v>
      </c>
      <c r="U1338" s="225">
        <v>130600.003</v>
      </c>
      <c r="V1338" s="225">
        <v>0</v>
      </c>
      <c r="W1338" s="225">
        <v>7392.45299999999</v>
      </c>
      <c r="X1338" s="225">
        <v>6974.01226415094</v>
      </c>
      <c r="Y1338" s="225">
        <v>418.440735849056</v>
      </c>
      <c r="Z1338" s="240">
        <v>0</v>
      </c>
      <c r="AA1338" s="240">
        <v>53001.15</v>
      </c>
      <c r="AB1338" s="229">
        <f t="shared" si="318"/>
        <v>0</v>
      </c>
      <c r="AC1338" s="230">
        <f t="shared" si="319"/>
        <v>0</v>
      </c>
      <c r="AD1338" s="237">
        <v>0</v>
      </c>
      <c r="AE1338" s="238">
        <v>0</v>
      </c>
      <c r="AF1338" s="225">
        <f t="shared" si="320"/>
        <v>0</v>
      </c>
      <c r="AG1338" s="225"/>
      <c r="AH1338" s="225"/>
      <c r="AI1338" s="225"/>
      <c r="AJ1338" s="241" t="s">
        <v>193</v>
      </c>
      <c r="AK1338" s="145"/>
      <c r="AL1338" s="145"/>
    </row>
    <row r="1339" s="146" customFormat="1" ht="14.25" hidden="1" spans="1:38">
      <c r="A1339" s="145">
        <v>2017</v>
      </c>
      <c r="B1339" s="145" t="s">
        <v>38</v>
      </c>
      <c r="C1339" s="145" t="s">
        <v>39</v>
      </c>
      <c r="D1339" s="145" t="s">
        <v>81</v>
      </c>
      <c r="E1339" s="145" t="s">
        <v>48</v>
      </c>
      <c r="F1339" s="145" t="s">
        <v>947</v>
      </c>
      <c r="G1339" s="145" t="s">
        <v>947</v>
      </c>
      <c r="H1339" s="145" t="s">
        <v>947</v>
      </c>
      <c r="I1339" s="196" t="s">
        <v>1177</v>
      </c>
      <c r="J1339" s="197" t="s">
        <v>44</v>
      </c>
      <c r="K1339" s="145" t="s">
        <v>1178</v>
      </c>
      <c r="L1339" s="145" t="s">
        <v>1241</v>
      </c>
      <c r="M1339" s="145" t="s">
        <v>46</v>
      </c>
      <c r="N1339" s="205">
        <v>0.04</v>
      </c>
      <c r="O1339" s="205" t="s">
        <v>186</v>
      </c>
      <c r="P1339" s="205" t="s">
        <v>51</v>
      </c>
      <c r="Q1339" s="225">
        <v>12866.7</v>
      </c>
      <c r="R1339" s="225">
        <v>0</v>
      </c>
      <c r="S1339" s="225">
        <v>588000</v>
      </c>
      <c r="T1339" s="225">
        <v>23520</v>
      </c>
      <c r="U1339" s="225">
        <v>611520</v>
      </c>
      <c r="V1339" s="225">
        <v>539920</v>
      </c>
      <c r="W1339" s="225">
        <v>23520</v>
      </c>
      <c r="X1339" s="225">
        <v>22615.3846153846</v>
      </c>
      <c r="Y1339" s="225">
        <v>904.615384615387</v>
      </c>
      <c r="Z1339" s="225">
        <v>387319.4</v>
      </c>
      <c r="AA1339" s="225">
        <v>213547.3</v>
      </c>
      <c r="AB1339" s="229">
        <f>IF(P1339="返货",(Z1339-Q1339)/(1+N1339),IF(P1339="返现",Z1339,IF(P1339="折扣",Z1339*N1339,IF(P1339="无",Z1339))))</f>
        <v>360050.673076923</v>
      </c>
      <c r="AC1339" s="230">
        <f t="shared" si="319"/>
        <v>27268.726923077</v>
      </c>
      <c r="AD1339" s="237">
        <v>360050.673076923</v>
      </c>
      <c r="AE1339" s="238">
        <v>0</v>
      </c>
      <c r="AF1339" s="225">
        <f t="shared" si="320"/>
        <v>0</v>
      </c>
      <c r="AG1339" s="225"/>
      <c r="AH1339" s="225"/>
      <c r="AI1339" s="225"/>
      <c r="AJ1339" s="241" t="s">
        <v>186</v>
      </c>
      <c r="AK1339" s="145"/>
      <c r="AL1339" s="145"/>
    </row>
    <row r="1340" s="146" customFormat="1" ht="14.25" hidden="1" spans="1:38">
      <c r="A1340" s="145">
        <v>2017</v>
      </c>
      <c r="B1340" s="145" t="s">
        <v>38</v>
      </c>
      <c r="C1340" s="145" t="s">
        <v>39</v>
      </c>
      <c r="D1340" s="145" t="s">
        <v>81</v>
      </c>
      <c r="E1340" s="145" t="s">
        <v>48</v>
      </c>
      <c r="F1340" s="145" t="s">
        <v>947</v>
      </c>
      <c r="G1340" s="145" t="s">
        <v>947</v>
      </c>
      <c r="H1340" s="145" t="s">
        <v>947</v>
      </c>
      <c r="I1340" s="196" t="s">
        <v>1177</v>
      </c>
      <c r="J1340" s="197" t="s">
        <v>44</v>
      </c>
      <c r="K1340" s="145" t="s">
        <v>1178</v>
      </c>
      <c r="L1340" s="145" t="s">
        <v>1241</v>
      </c>
      <c r="M1340" s="145" t="s">
        <v>185</v>
      </c>
      <c r="N1340" s="205">
        <v>0.04</v>
      </c>
      <c r="O1340" s="205">
        <v>0.04</v>
      </c>
      <c r="P1340" s="205" t="s">
        <v>51</v>
      </c>
      <c r="Q1340" s="225">
        <v>0</v>
      </c>
      <c r="R1340" s="225">
        <v>0</v>
      </c>
      <c r="S1340" s="225"/>
      <c r="T1340" s="225"/>
      <c r="U1340" s="225"/>
      <c r="V1340" s="225">
        <v>0</v>
      </c>
      <c r="W1340" s="225"/>
      <c r="X1340" s="225"/>
      <c r="Y1340" s="225"/>
      <c r="Z1340" s="225">
        <v>211566.58</v>
      </c>
      <c r="AA1340" s="225"/>
      <c r="AB1340" s="229">
        <f t="shared" ref="AB1340:AB1353" si="321">IF(P1340="返货",Z1340/(1+N1340),IF(P1340="返现",Z1340,IF(P1340="折扣",Z1340*N1340,IF(P1340="无",Z1340))))</f>
        <v>203429.403846154</v>
      </c>
      <c r="AC1340" s="230">
        <f t="shared" si="319"/>
        <v>8137.17615384617</v>
      </c>
      <c r="AD1340" s="237">
        <v>203429.403846154</v>
      </c>
      <c r="AE1340" s="238">
        <v>0</v>
      </c>
      <c r="AF1340" s="225">
        <f t="shared" si="320"/>
        <v>0</v>
      </c>
      <c r="AG1340" s="225"/>
      <c r="AH1340" s="225"/>
      <c r="AI1340" s="225"/>
      <c r="AJ1340" s="241"/>
      <c r="AK1340" s="145"/>
      <c r="AL1340" s="145"/>
    </row>
    <row r="1341" s="146" customFormat="1" ht="14.25" hidden="1" spans="1:38">
      <c r="A1341" s="145">
        <v>2017</v>
      </c>
      <c r="B1341" s="233" t="s">
        <v>38</v>
      </c>
      <c r="C1341" s="233" t="s">
        <v>54</v>
      </c>
      <c r="D1341" s="233" t="s">
        <v>102</v>
      </c>
      <c r="E1341" s="233" t="s">
        <v>187</v>
      </c>
      <c r="F1341" s="233" t="s">
        <v>1242</v>
      </c>
      <c r="G1341" s="233" t="s">
        <v>1242</v>
      </c>
      <c r="H1341" s="233" t="s">
        <v>1242</v>
      </c>
      <c r="I1341" s="196" t="s">
        <v>1177</v>
      </c>
      <c r="J1341" s="197" t="s">
        <v>44</v>
      </c>
      <c r="K1341" s="233" t="s">
        <v>1178</v>
      </c>
      <c r="L1341" s="233" t="s">
        <v>1243</v>
      </c>
      <c r="M1341" s="233" t="s">
        <v>46</v>
      </c>
      <c r="N1341" s="205">
        <v>0</v>
      </c>
      <c r="O1341" s="205" t="s">
        <v>47</v>
      </c>
      <c r="P1341" s="205" t="s">
        <v>47</v>
      </c>
      <c r="Q1341" s="231">
        <v>0</v>
      </c>
      <c r="R1341" s="231">
        <v>0</v>
      </c>
      <c r="S1341" s="231">
        <v>20000</v>
      </c>
      <c r="T1341" s="231">
        <v>0</v>
      </c>
      <c r="U1341" s="231">
        <v>20000</v>
      </c>
      <c r="V1341" s="225">
        <v>20000</v>
      </c>
      <c r="W1341" s="231">
        <v>0</v>
      </c>
      <c r="X1341" s="231">
        <v>0</v>
      </c>
      <c r="Y1341" s="231">
        <v>0</v>
      </c>
      <c r="Z1341" s="231">
        <v>5282.5</v>
      </c>
      <c r="AA1341" s="231">
        <v>14717.5</v>
      </c>
      <c r="AB1341" s="229">
        <f t="shared" si="321"/>
        <v>5282.5</v>
      </c>
      <c r="AC1341" s="230">
        <f t="shared" si="319"/>
        <v>0</v>
      </c>
      <c r="AD1341" s="239">
        <v>5282.5</v>
      </c>
      <c r="AE1341" s="238">
        <v>0</v>
      </c>
      <c r="AF1341" s="225">
        <f t="shared" si="320"/>
        <v>0</v>
      </c>
      <c r="AG1341" s="225"/>
      <c r="AH1341" s="231"/>
      <c r="AI1341" s="231"/>
      <c r="AJ1341" s="242" t="s">
        <v>47</v>
      </c>
      <c r="AK1341" s="233" t="s">
        <v>1244</v>
      </c>
      <c r="AL1341" s="233"/>
    </row>
    <row r="1342" s="146" customFormat="1" ht="14.25" hidden="1" spans="1:38">
      <c r="A1342" s="145">
        <v>2017</v>
      </c>
      <c r="B1342" s="233" t="s">
        <v>38</v>
      </c>
      <c r="C1342" s="233" t="s">
        <v>54</v>
      </c>
      <c r="D1342" s="233" t="s">
        <v>102</v>
      </c>
      <c r="E1342" s="233" t="s">
        <v>115</v>
      </c>
      <c r="F1342" s="233" t="s">
        <v>1245</v>
      </c>
      <c r="G1342" s="233" t="s">
        <v>1245</v>
      </c>
      <c r="H1342" s="233" t="s">
        <v>1245</v>
      </c>
      <c r="I1342" s="196" t="s">
        <v>1177</v>
      </c>
      <c r="J1342" s="197" t="s">
        <v>44</v>
      </c>
      <c r="K1342" s="233" t="s">
        <v>1178</v>
      </c>
      <c r="L1342" s="145" t="s">
        <v>1246</v>
      </c>
      <c r="M1342" s="233" t="s">
        <v>185</v>
      </c>
      <c r="N1342" s="205">
        <v>0.1</v>
      </c>
      <c r="O1342" s="205" t="s">
        <v>69</v>
      </c>
      <c r="P1342" s="205" t="s">
        <v>51</v>
      </c>
      <c r="Q1342" s="231">
        <v>0</v>
      </c>
      <c r="R1342" s="231">
        <v>0</v>
      </c>
      <c r="S1342" s="231">
        <v>9090.91</v>
      </c>
      <c r="T1342" s="231">
        <v>909.091</v>
      </c>
      <c r="U1342" s="231">
        <v>10000.001</v>
      </c>
      <c r="V1342" s="225">
        <v>10000</v>
      </c>
      <c r="W1342" s="231">
        <v>909.091</v>
      </c>
      <c r="X1342" s="231">
        <v>826.446363636364</v>
      </c>
      <c r="Y1342" s="231">
        <v>82.6446363636364</v>
      </c>
      <c r="Z1342" s="231">
        <v>27.3</v>
      </c>
      <c r="AA1342" s="231">
        <v>9063.61</v>
      </c>
      <c r="AB1342" s="229">
        <f t="shared" si="321"/>
        <v>24.8181818181818</v>
      </c>
      <c r="AC1342" s="230">
        <f t="shared" si="319"/>
        <v>2.48181818181818</v>
      </c>
      <c r="AD1342" s="239">
        <v>24.8181818181818</v>
      </c>
      <c r="AE1342" s="238">
        <v>0</v>
      </c>
      <c r="AF1342" s="225">
        <f t="shared" si="320"/>
        <v>0</v>
      </c>
      <c r="AG1342" s="225"/>
      <c r="AH1342" s="231"/>
      <c r="AI1342" s="231"/>
      <c r="AJ1342" s="242" t="s">
        <v>69</v>
      </c>
      <c r="AK1342" s="233"/>
      <c r="AL1342" s="233"/>
    </row>
    <row r="1343" s="146" customFormat="1" ht="14.25" hidden="1" spans="1:38">
      <c r="A1343" s="145">
        <v>2017</v>
      </c>
      <c r="B1343" s="145" t="s">
        <v>38</v>
      </c>
      <c r="C1343" s="145" t="s">
        <v>59</v>
      </c>
      <c r="D1343" s="145" t="s">
        <v>106</v>
      </c>
      <c r="E1343" s="145" t="s">
        <v>107</v>
      </c>
      <c r="F1343" s="145" t="s">
        <v>1247</v>
      </c>
      <c r="G1343" s="145" t="s">
        <v>1247</v>
      </c>
      <c r="H1343" s="145" t="s">
        <v>1247</v>
      </c>
      <c r="I1343" s="196" t="s">
        <v>1177</v>
      </c>
      <c r="J1343" s="197" t="s">
        <v>44</v>
      </c>
      <c r="K1343" s="145" t="s">
        <v>1178</v>
      </c>
      <c r="L1343" s="145" t="s">
        <v>1248</v>
      </c>
      <c r="M1343" s="145" t="s">
        <v>46</v>
      </c>
      <c r="N1343" s="205">
        <v>0.02</v>
      </c>
      <c r="O1343" s="205" t="s">
        <v>173</v>
      </c>
      <c r="P1343" s="205" t="s">
        <v>51</v>
      </c>
      <c r="Q1343" s="225">
        <v>0</v>
      </c>
      <c r="R1343" s="225">
        <v>0</v>
      </c>
      <c r="S1343" s="225">
        <v>60000</v>
      </c>
      <c r="T1343" s="225">
        <v>1200</v>
      </c>
      <c r="U1343" s="225">
        <v>61200</v>
      </c>
      <c r="V1343" s="225">
        <v>61200</v>
      </c>
      <c r="W1343" s="225">
        <v>1200</v>
      </c>
      <c r="X1343" s="225">
        <v>1176.47058823529</v>
      </c>
      <c r="Y1343" s="225">
        <v>23.5294117647059</v>
      </c>
      <c r="Z1343" s="225">
        <v>61200</v>
      </c>
      <c r="AA1343" s="225">
        <v>-1200</v>
      </c>
      <c r="AB1343" s="229">
        <f t="shared" si="321"/>
        <v>60000</v>
      </c>
      <c r="AC1343" s="230">
        <f t="shared" si="319"/>
        <v>1200</v>
      </c>
      <c r="AD1343" s="237">
        <v>60000</v>
      </c>
      <c r="AE1343" s="238">
        <v>0</v>
      </c>
      <c r="AF1343" s="225">
        <f t="shared" si="320"/>
        <v>0</v>
      </c>
      <c r="AG1343" s="225"/>
      <c r="AH1343" s="225"/>
      <c r="AI1343" s="225"/>
      <c r="AJ1343" s="241" t="s">
        <v>173</v>
      </c>
      <c r="AK1343" s="145"/>
      <c r="AL1343" s="145"/>
    </row>
    <row r="1344" s="146" customFormat="1" ht="14.25" hidden="1" spans="1:38">
      <c r="A1344" s="145">
        <v>2017</v>
      </c>
      <c r="B1344" s="145" t="s">
        <v>38</v>
      </c>
      <c r="C1344" s="145" t="s">
        <v>88</v>
      </c>
      <c r="D1344" s="145" t="s">
        <v>95</v>
      </c>
      <c r="E1344" s="145" t="s">
        <v>98</v>
      </c>
      <c r="F1344" s="145" t="s">
        <v>1249</v>
      </c>
      <c r="G1344" s="145" t="s">
        <v>1249</v>
      </c>
      <c r="H1344" s="145" t="s">
        <v>1249</v>
      </c>
      <c r="I1344" s="196" t="s">
        <v>1177</v>
      </c>
      <c r="J1344" s="197" t="s">
        <v>44</v>
      </c>
      <c r="K1344" s="145" t="s">
        <v>1178</v>
      </c>
      <c r="L1344" s="145" t="s">
        <v>1250</v>
      </c>
      <c r="M1344" s="145" t="s">
        <v>46</v>
      </c>
      <c r="N1344" s="205">
        <v>0.02</v>
      </c>
      <c r="O1344" s="205" t="s">
        <v>615</v>
      </c>
      <c r="P1344" s="205" t="s">
        <v>51</v>
      </c>
      <c r="Q1344" s="225">
        <v>0</v>
      </c>
      <c r="R1344" s="225">
        <v>0</v>
      </c>
      <c r="S1344" s="225">
        <v>70000</v>
      </c>
      <c r="T1344" s="225">
        <v>1400</v>
      </c>
      <c r="U1344" s="225">
        <v>71400</v>
      </c>
      <c r="V1344" s="225">
        <v>71400</v>
      </c>
      <c r="W1344" s="225">
        <v>1400</v>
      </c>
      <c r="X1344" s="225">
        <v>1372.54901960784</v>
      </c>
      <c r="Y1344" s="225">
        <v>27.4509803921569</v>
      </c>
      <c r="Z1344" s="225">
        <v>32081.05</v>
      </c>
      <c r="AA1344" s="225">
        <v>37918.95</v>
      </c>
      <c r="AB1344" s="229">
        <f t="shared" si="321"/>
        <v>31452.0098039216</v>
      </c>
      <c r="AC1344" s="230">
        <f t="shared" ref="AC1344:AC1356" si="322">IF(P1344="返现",Z1344*N1344,Z1344-AB1344)</f>
        <v>629.040196078433</v>
      </c>
      <c r="AD1344" s="237">
        <v>31452.0098039216</v>
      </c>
      <c r="AE1344" s="238">
        <v>0</v>
      </c>
      <c r="AF1344" s="225">
        <f t="shared" si="320"/>
        <v>0</v>
      </c>
      <c r="AG1344" s="225"/>
      <c r="AH1344" s="225"/>
      <c r="AI1344" s="225"/>
      <c r="AJ1344" s="241" t="s">
        <v>615</v>
      </c>
      <c r="AK1344" s="145"/>
      <c r="AL1344" s="145"/>
    </row>
    <row r="1345" s="146" customFormat="1" ht="14.25" hidden="1" spans="1:38">
      <c r="A1345" s="145">
        <v>2017</v>
      </c>
      <c r="B1345" s="145" t="s">
        <v>38</v>
      </c>
      <c r="C1345" s="145" t="s">
        <v>59</v>
      </c>
      <c r="D1345" s="145" t="s">
        <v>181</v>
      </c>
      <c r="E1345" s="145" t="s">
        <v>107</v>
      </c>
      <c r="F1345" s="145" t="s">
        <v>1251</v>
      </c>
      <c r="G1345" s="145" t="s">
        <v>1251</v>
      </c>
      <c r="H1345" s="145" t="s">
        <v>1251</v>
      </c>
      <c r="I1345" s="196" t="s">
        <v>1177</v>
      </c>
      <c r="J1345" s="197" t="s">
        <v>44</v>
      </c>
      <c r="K1345" s="145" t="s">
        <v>1178</v>
      </c>
      <c r="L1345" s="145" t="s">
        <v>1252</v>
      </c>
      <c r="M1345" s="145" t="s">
        <v>46</v>
      </c>
      <c r="N1345" s="205">
        <v>0.04</v>
      </c>
      <c r="O1345" s="205" t="s">
        <v>1253</v>
      </c>
      <c r="P1345" s="205" t="s">
        <v>51</v>
      </c>
      <c r="Q1345" s="225">
        <v>0</v>
      </c>
      <c r="R1345" s="225">
        <v>0</v>
      </c>
      <c r="S1345" s="225">
        <v>100000</v>
      </c>
      <c r="T1345" s="225">
        <v>4000</v>
      </c>
      <c r="U1345" s="225">
        <v>104000</v>
      </c>
      <c r="V1345" s="225">
        <v>102000</v>
      </c>
      <c r="W1345" s="225">
        <v>4000</v>
      </c>
      <c r="X1345" s="225">
        <v>3846.15384615385</v>
      </c>
      <c r="Y1345" s="225">
        <v>153.846153846154</v>
      </c>
      <c r="Z1345" s="225">
        <v>102000</v>
      </c>
      <c r="AA1345" s="225">
        <v>-2000</v>
      </c>
      <c r="AB1345" s="229">
        <f t="shared" si="321"/>
        <v>98076.9230769231</v>
      </c>
      <c r="AC1345" s="230">
        <f t="shared" si="322"/>
        <v>3923.07692307692</v>
      </c>
      <c r="AD1345" s="237">
        <v>98076.9230769231</v>
      </c>
      <c r="AE1345" s="238">
        <v>0</v>
      </c>
      <c r="AF1345" s="225">
        <f t="shared" si="320"/>
        <v>0</v>
      </c>
      <c r="AG1345" s="225"/>
      <c r="AH1345" s="225"/>
      <c r="AI1345" s="225"/>
      <c r="AJ1345" s="241" t="s">
        <v>1253</v>
      </c>
      <c r="AK1345" s="145"/>
      <c r="AL1345" s="145"/>
    </row>
    <row r="1346" s="146" customFormat="1" ht="14.25" hidden="1" spans="1:38">
      <c r="A1346" s="145">
        <v>2017</v>
      </c>
      <c r="B1346" s="145" t="s">
        <v>38</v>
      </c>
      <c r="C1346" s="145" t="s">
        <v>137</v>
      </c>
      <c r="D1346" s="145" t="s">
        <v>138</v>
      </c>
      <c r="E1346" s="145"/>
      <c r="F1346" s="145" t="s">
        <v>1219</v>
      </c>
      <c r="G1346" s="145" t="s">
        <v>1219</v>
      </c>
      <c r="H1346" s="145" t="s">
        <v>1219</v>
      </c>
      <c r="I1346" s="196" t="s">
        <v>1177</v>
      </c>
      <c r="J1346" s="197" t="s">
        <v>44</v>
      </c>
      <c r="K1346" s="145" t="s">
        <v>1178</v>
      </c>
      <c r="L1346" s="145" t="s">
        <v>1220</v>
      </c>
      <c r="M1346" s="145" t="s">
        <v>185</v>
      </c>
      <c r="N1346" s="205">
        <v>0.08</v>
      </c>
      <c r="O1346" s="205" t="s">
        <v>1221</v>
      </c>
      <c r="P1346" s="205" t="s">
        <v>51</v>
      </c>
      <c r="Q1346" s="225"/>
      <c r="R1346" s="225"/>
      <c r="S1346" s="225"/>
      <c r="T1346" s="225"/>
      <c r="U1346" s="225"/>
      <c r="V1346" s="225">
        <v>0</v>
      </c>
      <c r="W1346" s="225"/>
      <c r="X1346" s="225"/>
      <c r="Y1346" s="225"/>
      <c r="Z1346" s="225">
        <v>227227.73</v>
      </c>
      <c r="AA1346" s="225"/>
      <c r="AB1346" s="229">
        <f t="shared" si="321"/>
        <v>210396.046296296</v>
      </c>
      <c r="AC1346" s="230">
        <f t="shared" si="322"/>
        <v>16831.6837037037</v>
      </c>
      <c r="AD1346" s="237">
        <v>210396.046296296</v>
      </c>
      <c r="AE1346" s="238">
        <v>0</v>
      </c>
      <c r="AF1346" s="225">
        <f t="shared" si="320"/>
        <v>0</v>
      </c>
      <c r="AG1346" s="225"/>
      <c r="AH1346" s="225"/>
      <c r="AI1346" s="225"/>
      <c r="AJ1346" s="225"/>
      <c r="AK1346" s="241"/>
      <c r="AL1346" s="145"/>
    </row>
    <row r="1347" s="146" customFormat="1" ht="14.25" hidden="1" spans="1:38">
      <c r="A1347" s="145">
        <v>2017</v>
      </c>
      <c r="B1347" s="145" t="s">
        <v>38</v>
      </c>
      <c r="C1347" s="145" t="s">
        <v>75</v>
      </c>
      <c r="D1347" s="145" t="s">
        <v>76</v>
      </c>
      <c r="E1347" s="145" t="s">
        <v>167</v>
      </c>
      <c r="F1347" s="145" t="s">
        <v>216</v>
      </c>
      <c r="G1347" s="145" t="s">
        <v>216</v>
      </c>
      <c r="H1347" s="145" t="s">
        <v>216</v>
      </c>
      <c r="I1347" s="196" t="s">
        <v>1177</v>
      </c>
      <c r="J1347" s="197" t="s">
        <v>44</v>
      </c>
      <c r="K1347" s="145" t="s">
        <v>1254</v>
      </c>
      <c r="L1347" s="145" t="s">
        <v>1255</v>
      </c>
      <c r="M1347" s="145" t="s">
        <v>46</v>
      </c>
      <c r="N1347" s="205">
        <v>0.02</v>
      </c>
      <c r="O1347" s="205" t="s">
        <v>173</v>
      </c>
      <c r="P1347" s="205" t="s">
        <v>51</v>
      </c>
      <c r="Q1347" s="225">
        <v>0</v>
      </c>
      <c r="R1347" s="225">
        <v>0</v>
      </c>
      <c r="S1347" s="225">
        <v>467745.06</v>
      </c>
      <c r="T1347" s="225">
        <v>9354.9012</v>
      </c>
      <c r="U1347" s="225">
        <v>477099.9612</v>
      </c>
      <c r="V1347" s="225">
        <v>477099.96</v>
      </c>
      <c r="W1347" s="225">
        <v>9354.90120000002</v>
      </c>
      <c r="X1347" s="225">
        <v>9171.4717647059</v>
      </c>
      <c r="Y1347" s="225">
        <v>183.429435294118</v>
      </c>
      <c r="Z1347" s="225">
        <v>477099.9612</v>
      </c>
      <c r="AA1347" s="225">
        <v>-9354.90120000002</v>
      </c>
      <c r="AB1347" s="229">
        <f t="shared" si="321"/>
        <v>467745.06</v>
      </c>
      <c r="AC1347" s="230">
        <f t="shared" si="322"/>
        <v>9354.90120000002</v>
      </c>
      <c r="AD1347" s="237">
        <v>467745.06</v>
      </c>
      <c r="AE1347" s="238">
        <v>0</v>
      </c>
      <c r="AF1347" s="225">
        <f t="shared" si="320"/>
        <v>0</v>
      </c>
      <c r="AG1347" s="225"/>
      <c r="AH1347" s="225"/>
      <c r="AI1347" s="225"/>
      <c r="AJ1347" s="241" t="s">
        <v>173</v>
      </c>
      <c r="AK1347" s="244"/>
      <c r="AL1347" s="244"/>
    </row>
    <row r="1348" s="146" customFormat="1" ht="14.25" hidden="1" spans="1:38">
      <c r="A1348" s="145">
        <v>2017</v>
      </c>
      <c r="B1348" s="145" t="s">
        <v>38</v>
      </c>
      <c r="C1348" s="145" t="s">
        <v>39</v>
      </c>
      <c r="D1348" s="145" t="s">
        <v>40</v>
      </c>
      <c r="E1348" s="145" t="s">
        <v>41</v>
      </c>
      <c r="F1348" s="145" t="s">
        <v>42</v>
      </c>
      <c r="G1348" s="145" t="s">
        <v>42</v>
      </c>
      <c r="H1348" s="145" t="s">
        <v>42</v>
      </c>
      <c r="I1348" s="196" t="s">
        <v>1177</v>
      </c>
      <c r="J1348" s="197" t="s">
        <v>44</v>
      </c>
      <c r="K1348" s="145" t="s">
        <v>1254</v>
      </c>
      <c r="L1348" s="145" t="s">
        <v>1256</v>
      </c>
      <c r="M1348" s="145" t="s">
        <v>46</v>
      </c>
      <c r="N1348" s="205">
        <v>0</v>
      </c>
      <c r="O1348" s="205" t="s">
        <v>47</v>
      </c>
      <c r="P1348" s="205" t="s">
        <v>47</v>
      </c>
      <c r="Q1348" s="225">
        <v>0</v>
      </c>
      <c r="R1348" s="225">
        <v>0</v>
      </c>
      <c r="S1348" s="225">
        <v>70000</v>
      </c>
      <c r="T1348" s="225">
        <v>0</v>
      </c>
      <c r="U1348" s="225">
        <v>70000</v>
      </c>
      <c r="V1348" s="225">
        <v>70000</v>
      </c>
      <c r="W1348" s="225">
        <v>0</v>
      </c>
      <c r="X1348" s="225">
        <v>0</v>
      </c>
      <c r="Y1348" s="225">
        <v>0</v>
      </c>
      <c r="Z1348" s="225">
        <v>70000</v>
      </c>
      <c r="AA1348" s="225">
        <v>0</v>
      </c>
      <c r="AB1348" s="229">
        <f t="shared" si="321"/>
        <v>70000</v>
      </c>
      <c r="AC1348" s="230">
        <f t="shared" si="322"/>
        <v>0</v>
      </c>
      <c r="AD1348" s="237">
        <v>70000</v>
      </c>
      <c r="AE1348" s="238">
        <v>0</v>
      </c>
      <c r="AF1348" s="225">
        <f t="shared" si="320"/>
        <v>0</v>
      </c>
      <c r="AG1348" s="225"/>
      <c r="AH1348" s="225"/>
      <c r="AI1348" s="225"/>
      <c r="AJ1348" s="241" t="s">
        <v>1111</v>
      </c>
      <c r="AK1348" s="244"/>
      <c r="AL1348" s="244"/>
    </row>
    <row r="1349" s="146" customFormat="1" ht="14.25" hidden="1" spans="1:38">
      <c r="A1349" s="145">
        <v>2017</v>
      </c>
      <c r="B1349" s="145" t="s">
        <v>38</v>
      </c>
      <c r="C1349" s="145" t="s">
        <v>88</v>
      </c>
      <c r="D1349" s="145" t="s">
        <v>128</v>
      </c>
      <c r="E1349" s="145" t="s">
        <v>277</v>
      </c>
      <c r="F1349" s="145" t="s">
        <v>601</v>
      </c>
      <c r="G1349" s="145" t="s">
        <v>601</v>
      </c>
      <c r="H1349" s="145" t="s">
        <v>601</v>
      </c>
      <c r="I1349" s="196" t="s">
        <v>1177</v>
      </c>
      <c r="J1349" s="197" t="s">
        <v>44</v>
      </c>
      <c r="K1349" s="145" t="s">
        <v>1254</v>
      </c>
      <c r="L1349" s="145" t="s">
        <v>1257</v>
      </c>
      <c r="M1349" s="145" t="s">
        <v>46</v>
      </c>
      <c r="N1349" s="205">
        <v>0.02</v>
      </c>
      <c r="O1349" s="205" t="s">
        <v>1094</v>
      </c>
      <c r="P1349" s="205" t="s">
        <v>51</v>
      </c>
      <c r="Q1349" s="225">
        <v>0</v>
      </c>
      <c r="R1349" s="225">
        <v>0</v>
      </c>
      <c r="S1349" s="225">
        <v>90000</v>
      </c>
      <c r="T1349" s="225">
        <v>1800</v>
      </c>
      <c r="U1349" s="225">
        <v>91800</v>
      </c>
      <c r="V1349" s="225">
        <v>91800</v>
      </c>
      <c r="W1349" s="225">
        <v>1800</v>
      </c>
      <c r="X1349" s="225">
        <v>1764.70588235294</v>
      </c>
      <c r="Y1349" s="225">
        <v>35.2941176470588</v>
      </c>
      <c r="Z1349" s="225">
        <v>91800</v>
      </c>
      <c r="AA1349" s="225">
        <v>-1800</v>
      </c>
      <c r="AB1349" s="229">
        <f t="shared" si="321"/>
        <v>90000</v>
      </c>
      <c r="AC1349" s="230">
        <f t="shared" si="322"/>
        <v>1800</v>
      </c>
      <c r="AD1349" s="237">
        <v>90000</v>
      </c>
      <c r="AE1349" s="238">
        <v>0</v>
      </c>
      <c r="AF1349" s="225">
        <f t="shared" si="320"/>
        <v>0</v>
      </c>
      <c r="AG1349" s="225"/>
      <c r="AH1349" s="225"/>
      <c r="AI1349" s="225"/>
      <c r="AJ1349" s="241" t="s">
        <v>1094</v>
      </c>
      <c r="AK1349" s="244"/>
      <c r="AL1349" s="244"/>
    </row>
    <row r="1350" s="146" customFormat="1" ht="14.25" hidden="1" spans="1:38">
      <c r="A1350" s="145">
        <v>2017</v>
      </c>
      <c r="B1350" s="145" t="s">
        <v>38</v>
      </c>
      <c r="C1350" s="145" t="s">
        <v>110</v>
      </c>
      <c r="D1350" s="145" t="s">
        <v>111</v>
      </c>
      <c r="E1350" s="145" t="s">
        <v>253</v>
      </c>
      <c r="F1350" s="145" t="s">
        <v>632</v>
      </c>
      <c r="G1350" s="145" t="s">
        <v>632</v>
      </c>
      <c r="H1350" s="145" t="s">
        <v>632</v>
      </c>
      <c r="I1350" s="196" t="s">
        <v>1177</v>
      </c>
      <c r="J1350" s="196" t="s">
        <v>1258</v>
      </c>
      <c r="K1350" s="145" t="s">
        <v>1259</v>
      </c>
      <c r="L1350" s="145" t="s">
        <v>1260</v>
      </c>
      <c r="M1350" s="145" t="s">
        <v>46</v>
      </c>
      <c r="N1350" s="205">
        <v>0.04</v>
      </c>
      <c r="O1350" s="205" t="s">
        <v>186</v>
      </c>
      <c r="P1350" s="205" t="s">
        <v>51</v>
      </c>
      <c r="Q1350" s="225">
        <v>0</v>
      </c>
      <c r="R1350" s="225">
        <v>0</v>
      </c>
      <c r="S1350" s="225">
        <v>148022.31</v>
      </c>
      <c r="T1350" s="225">
        <v>5920.8924</v>
      </c>
      <c r="U1350" s="225">
        <v>153943.2024</v>
      </c>
      <c r="V1350" s="225">
        <v>239543.904</v>
      </c>
      <c r="W1350" s="225">
        <v>5920.89240000001</v>
      </c>
      <c r="X1350" s="225">
        <v>5693.16576923078</v>
      </c>
      <c r="Y1350" s="225">
        <v>227.726630769232</v>
      </c>
      <c r="Z1350" s="225">
        <v>269543.9</v>
      </c>
      <c r="AA1350" s="225">
        <v>10135.2076</v>
      </c>
      <c r="AB1350" s="229">
        <f t="shared" si="321"/>
        <v>259176.826923077</v>
      </c>
      <c r="AC1350" s="230">
        <f t="shared" si="322"/>
        <v>10367.0730769231</v>
      </c>
      <c r="AD1350" s="225">
        <v>259176.826923077</v>
      </c>
      <c r="AE1350" s="216">
        <v>0</v>
      </c>
      <c r="AF1350" s="225">
        <f t="shared" si="320"/>
        <v>0</v>
      </c>
      <c r="AG1350" s="225"/>
      <c r="AH1350" s="225"/>
      <c r="AI1350" s="225"/>
      <c r="AJ1350" s="241" t="s">
        <v>186</v>
      </c>
      <c r="AK1350" s="145"/>
      <c r="AL1350" s="145"/>
    </row>
    <row r="1351" s="146" customFormat="1" ht="14.25" hidden="1" spans="1:38">
      <c r="A1351" s="145">
        <v>2017</v>
      </c>
      <c r="B1351" s="233" t="s">
        <v>38</v>
      </c>
      <c r="C1351" s="233" t="s">
        <v>54</v>
      </c>
      <c r="D1351" s="233" t="s">
        <v>55</v>
      </c>
      <c r="E1351" s="233" t="s">
        <v>1261</v>
      </c>
      <c r="F1351" s="233" t="s">
        <v>1001</v>
      </c>
      <c r="G1351" s="233" t="s">
        <v>1001</v>
      </c>
      <c r="H1351" s="233" t="s">
        <v>1001</v>
      </c>
      <c r="I1351" s="196" t="s">
        <v>1177</v>
      </c>
      <c r="J1351" s="196" t="s">
        <v>1258</v>
      </c>
      <c r="K1351" s="233" t="s">
        <v>1259</v>
      </c>
      <c r="L1351" s="233" t="s">
        <v>1262</v>
      </c>
      <c r="M1351" s="233" t="s">
        <v>46</v>
      </c>
      <c r="N1351" s="205">
        <v>0</v>
      </c>
      <c r="O1351" s="205" t="s">
        <v>47</v>
      </c>
      <c r="P1351" s="205" t="s">
        <v>47</v>
      </c>
      <c r="Q1351" s="231">
        <v>0</v>
      </c>
      <c r="R1351" s="231">
        <v>0</v>
      </c>
      <c r="S1351" s="231">
        <v>20000</v>
      </c>
      <c r="T1351" s="231">
        <v>0</v>
      </c>
      <c r="U1351" s="231">
        <v>20000</v>
      </c>
      <c r="V1351" s="231">
        <v>10000</v>
      </c>
      <c r="W1351" s="231">
        <v>0</v>
      </c>
      <c r="X1351" s="231">
        <v>0</v>
      </c>
      <c r="Y1351" s="231">
        <v>0</v>
      </c>
      <c r="Z1351" s="231">
        <v>10000</v>
      </c>
      <c r="AA1351" s="231">
        <v>10000</v>
      </c>
      <c r="AB1351" s="229">
        <f t="shared" si="321"/>
        <v>10000</v>
      </c>
      <c r="AC1351" s="230">
        <f t="shared" si="322"/>
        <v>0</v>
      </c>
      <c r="AD1351" s="231">
        <v>10000</v>
      </c>
      <c r="AE1351" s="216">
        <v>0</v>
      </c>
      <c r="AF1351" s="225">
        <f t="shared" si="320"/>
        <v>0</v>
      </c>
      <c r="AG1351" s="225"/>
      <c r="AH1351" s="231"/>
      <c r="AI1351" s="231"/>
      <c r="AJ1351" s="242" t="s">
        <v>47</v>
      </c>
      <c r="AK1351" s="145"/>
      <c r="AL1351" s="145"/>
    </row>
    <row r="1352" s="146" customFormat="1" ht="14.25" hidden="1" spans="1:38">
      <c r="A1352" s="145">
        <v>2017</v>
      </c>
      <c r="B1352" s="233" t="s">
        <v>38</v>
      </c>
      <c r="C1352" s="233" t="s">
        <v>54</v>
      </c>
      <c r="D1352" s="233" t="s">
        <v>102</v>
      </c>
      <c r="E1352" s="233" t="s">
        <v>505</v>
      </c>
      <c r="F1352" s="233" t="s">
        <v>1263</v>
      </c>
      <c r="G1352" s="233" t="s">
        <v>1263</v>
      </c>
      <c r="H1352" s="233" t="s">
        <v>1263</v>
      </c>
      <c r="I1352" s="196" t="s">
        <v>1177</v>
      </c>
      <c r="J1352" s="196" t="s">
        <v>1258</v>
      </c>
      <c r="K1352" s="233" t="s">
        <v>1259</v>
      </c>
      <c r="L1352" s="233" t="s">
        <v>1264</v>
      </c>
      <c r="M1352" s="233" t="s">
        <v>46</v>
      </c>
      <c r="N1352" s="205">
        <v>0.02</v>
      </c>
      <c r="O1352" s="205" t="s">
        <v>173</v>
      </c>
      <c r="P1352" s="205" t="s">
        <v>51</v>
      </c>
      <c r="Q1352" s="231">
        <v>0</v>
      </c>
      <c r="R1352" s="231">
        <v>0</v>
      </c>
      <c r="S1352" s="231">
        <v>160356.9</v>
      </c>
      <c r="T1352" s="231">
        <v>3207.138</v>
      </c>
      <c r="U1352" s="231">
        <v>163564.038</v>
      </c>
      <c r="V1352" s="231">
        <v>260356.9</v>
      </c>
      <c r="W1352" s="231">
        <v>3207.13800000001</v>
      </c>
      <c r="X1352" s="231">
        <v>3144.25294117648</v>
      </c>
      <c r="Y1352" s="231">
        <v>62.8850588235296</v>
      </c>
      <c r="Z1352" s="231">
        <v>260356.9</v>
      </c>
      <c r="AA1352" s="231">
        <v>0</v>
      </c>
      <c r="AB1352" s="229">
        <f t="shared" si="321"/>
        <v>255251.862745098</v>
      </c>
      <c r="AC1352" s="230">
        <f t="shared" si="322"/>
        <v>5105.03725490195</v>
      </c>
      <c r="AD1352" s="231">
        <v>255251.862745098</v>
      </c>
      <c r="AE1352" s="216">
        <v>0</v>
      </c>
      <c r="AF1352" s="225">
        <f t="shared" ref="AF1352:AF1359" si="323">AD1352*AE1352</f>
        <v>0</v>
      </c>
      <c r="AG1352" s="225"/>
      <c r="AH1352" s="231"/>
      <c r="AI1352" s="231"/>
      <c r="AJ1352" s="242" t="s">
        <v>173</v>
      </c>
      <c r="AK1352" s="145"/>
      <c r="AL1352" s="145"/>
    </row>
    <row r="1353" s="146" customFormat="1" ht="14.25" hidden="1" spans="1:38">
      <c r="A1353" s="145">
        <v>2017</v>
      </c>
      <c r="B1353" s="145" t="s">
        <v>38</v>
      </c>
      <c r="C1353" s="145" t="s">
        <v>88</v>
      </c>
      <c r="D1353" s="145" t="s">
        <v>89</v>
      </c>
      <c r="E1353" s="145" t="s">
        <v>124</v>
      </c>
      <c r="F1353" s="145" t="s">
        <v>1265</v>
      </c>
      <c r="G1353" s="145" t="s">
        <v>1265</v>
      </c>
      <c r="H1353" s="145" t="s">
        <v>1265</v>
      </c>
      <c r="I1353" s="196" t="s">
        <v>1177</v>
      </c>
      <c r="J1353" s="196" t="s">
        <v>1258</v>
      </c>
      <c r="K1353" s="145" t="s">
        <v>1259</v>
      </c>
      <c r="L1353" s="145" t="s">
        <v>1266</v>
      </c>
      <c r="M1353" s="145" t="s">
        <v>46</v>
      </c>
      <c r="N1353" s="204">
        <v>0.02</v>
      </c>
      <c r="O1353" s="205" t="s">
        <v>173</v>
      </c>
      <c r="P1353" s="205" t="s">
        <v>51</v>
      </c>
      <c r="Q1353" s="225">
        <v>0</v>
      </c>
      <c r="R1353" s="225">
        <v>0</v>
      </c>
      <c r="S1353" s="225">
        <v>3690.1</v>
      </c>
      <c r="T1353" s="225">
        <v>147.604</v>
      </c>
      <c r="U1353" s="225">
        <v>3837.704</v>
      </c>
      <c r="V1353" s="225">
        <v>10200</v>
      </c>
      <c r="W1353" s="225">
        <v>147.604</v>
      </c>
      <c r="X1353" s="225">
        <v>141.926923076923</v>
      </c>
      <c r="Y1353" s="225">
        <v>5.67707692307692</v>
      </c>
      <c r="Z1353" s="225">
        <v>3763.9</v>
      </c>
      <c r="AA1353" s="225">
        <v>-73.8000000000002</v>
      </c>
      <c r="AB1353" s="229">
        <f t="shared" si="321"/>
        <v>3690.09803921569</v>
      </c>
      <c r="AC1353" s="230">
        <f t="shared" si="322"/>
        <v>73.8019607843139</v>
      </c>
      <c r="AD1353" s="225">
        <v>3619.13461538462</v>
      </c>
      <c r="AE1353" s="216">
        <v>0</v>
      </c>
      <c r="AF1353" s="225">
        <f t="shared" si="323"/>
        <v>0</v>
      </c>
      <c r="AG1353" s="225"/>
      <c r="AH1353" s="225"/>
      <c r="AI1353" s="225"/>
      <c r="AJ1353" s="241" t="s">
        <v>173</v>
      </c>
      <c r="AK1353" s="145"/>
      <c r="AL1353" s="145"/>
    </row>
    <row r="1354" s="146" customFormat="1" ht="14.25" hidden="1" spans="1:38">
      <c r="A1354" s="145">
        <v>2017</v>
      </c>
      <c r="B1354" s="145" t="s">
        <v>38</v>
      </c>
      <c r="C1354" s="145" t="s">
        <v>110</v>
      </c>
      <c r="D1354" s="145" t="s">
        <v>111</v>
      </c>
      <c r="E1354" s="145" t="s">
        <v>112</v>
      </c>
      <c r="F1354" s="145" t="s">
        <v>113</v>
      </c>
      <c r="G1354" s="145" t="s">
        <v>113</v>
      </c>
      <c r="H1354" s="145" t="s">
        <v>113</v>
      </c>
      <c r="I1354" s="196" t="s">
        <v>1177</v>
      </c>
      <c r="J1354" s="196" t="s">
        <v>1258</v>
      </c>
      <c r="K1354" s="145" t="s">
        <v>1259</v>
      </c>
      <c r="L1354" s="145" t="s">
        <v>1267</v>
      </c>
      <c r="M1354" s="145" t="s">
        <v>46</v>
      </c>
      <c r="N1354" s="205">
        <v>0.02</v>
      </c>
      <c r="O1354" s="205" t="s">
        <v>1094</v>
      </c>
      <c r="P1354" s="205" t="s">
        <v>51</v>
      </c>
      <c r="Q1354" s="225">
        <v>31469.3</v>
      </c>
      <c r="R1354" s="225">
        <v>0</v>
      </c>
      <c r="S1354" s="225">
        <v>450000</v>
      </c>
      <c r="T1354" s="225">
        <v>9000</v>
      </c>
      <c r="U1354" s="225">
        <v>459000</v>
      </c>
      <c r="V1354" s="225">
        <v>900000</v>
      </c>
      <c r="W1354" s="225">
        <v>9000</v>
      </c>
      <c r="X1354" s="225">
        <v>8823.52941176471</v>
      </c>
      <c r="Y1354" s="225">
        <v>176.470588235294</v>
      </c>
      <c r="Z1354" s="225">
        <v>935887.4</v>
      </c>
      <c r="AA1354" s="225">
        <v>97925.5</v>
      </c>
      <c r="AB1354" s="229">
        <f>IF(P1354="返货",(Z1354-Q1354)/(1+N1354),IF(P1354="返现",Z1354,IF(P1354="折扣",Z1354*N1354,IF(P1354="无",Z1354))))</f>
        <v>886684.411764706</v>
      </c>
      <c r="AC1354" s="230">
        <f t="shared" si="322"/>
        <v>49202.9882352942</v>
      </c>
      <c r="AD1354" s="243">
        <f>(Z1354-Q1354)/1.02</f>
        <v>886684.411764706</v>
      </c>
      <c r="AE1354" s="216">
        <v>0</v>
      </c>
      <c r="AF1354" s="225">
        <f t="shared" si="323"/>
        <v>0</v>
      </c>
      <c r="AG1354" s="225"/>
      <c r="AH1354" s="225"/>
      <c r="AI1354" s="225"/>
      <c r="AJ1354" s="241" t="s">
        <v>1094</v>
      </c>
      <c r="AK1354" s="145"/>
      <c r="AL1354" s="145"/>
    </row>
    <row r="1355" s="146" customFormat="1" ht="14.25" hidden="1" spans="1:38">
      <c r="A1355" s="145">
        <v>2017</v>
      </c>
      <c r="B1355" s="145" t="s">
        <v>38</v>
      </c>
      <c r="C1355" s="145" t="s">
        <v>110</v>
      </c>
      <c r="D1355" s="145" t="s">
        <v>111</v>
      </c>
      <c r="E1355" s="145" t="s">
        <v>112</v>
      </c>
      <c r="F1355" s="145" t="s">
        <v>113</v>
      </c>
      <c r="G1355" s="145" t="s">
        <v>113</v>
      </c>
      <c r="H1355" s="145" t="s">
        <v>113</v>
      </c>
      <c r="I1355" s="196" t="s">
        <v>1177</v>
      </c>
      <c r="J1355" s="196" t="s">
        <v>1258</v>
      </c>
      <c r="K1355" s="145" t="s">
        <v>1259</v>
      </c>
      <c r="L1355" s="145" t="s">
        <v>1267</v>
      </c>
      <c r="M1355" s="145" t="s">
        <v>185</v>
      </c>
      <c r="N1355" s="204">
        <v>0.04</v>
      </c>
      <c r="O1355" s="204">
        <v>0.04</v>
      </c>
      <c r="P1355" s="205" t="s">
        <v>51</v>
      </c>
      <c r="Q1355" s="225"/>
      <c r="R1355" s="225"/>
      <c r="S1355" s="225"/>
      <c r="T1355" s="225">
        <v>0</v>
      </c>
      <c r="U1355" s="225">
        <v>0</v>
      </c>
      <c r="V1355" s="225">
        <v>0</v>
      </c>
      <c r="W1355" s="225">
        <v>0</v>
      </c>
      <c r="X1355" s="225">
        <v>0</v>
      </c>
      <c r="Y1355" s="225">
        <v>0</v>
      </c>
      <c r="Z1355" s="225">
        <v>50455.4</v>
      </c>
      <c r="AA1355" s="225">
        <v>-66456.2</v>
      </c>
      <c r="AB1355" s="229">
        <f>IF(P1355="返货",Z1355/(1+N1355),IF(P1355="返现",Z1355,IF(P1355="折扣",Z1355*N1355,IF(P1355="无",Z1355))))</f>
        <v>48514.8076923077</v>
      </c>
      <c r="AC1355" s="230">
        <f t="shared" si="322"/>
        <v>1940.59230769231</v>
      </c>
      <c r="AD1355" s="225">
        <v>49466.0784313726</v>
      </c>
      <c r="AE1355" s="216">
        <v>0</v>
      </c>
      <c r="AF1355" s="225">
        <f t="shared" si="323"/>
        <v>0</v>
      </c>
      <c r="AG1355" s="225"/>
      <c r="AH1355" s="225"/>
      <c r="AI1355" s="225"/>
      <c r="AJ1355" s="241"/>
      <c r="AK1355" s="145" t="s">
        <v>1268</v>
      </c>
      <c r="AL1355" s="145"/>
    </row>
    <row r="1356" s="146" customFormat="1" ht="14.25" hidden="1" spans="1:38">
      <c r="A1356" s="145">
        <v>2017</v>
      </c>
      <c r="B1356" s="145" t="s">
        <v>38</v>
      </c>
      <c r="C1356" s="145" t="s">
        <v>88</v>
      </c>
      <c r="D1356" s="145" t="s">
        <v>89</v>
      </c>
      <c r="E1356" s="145" t="s">
        <v>124</v>
      </c>
      <c r="F1356" s="145" t="s">
        <v>914</v>
      </c>
      <c r="G1356" s="145" t="s">
        <v>914</v>
      </c>
      <c r="H1356" s="145" t="s">
        <v>914</v>
      </c>
      <c r="I1356" s="196" t="s">
        <v>1177</v>
      </c>
      <c r="J1356" s="196" t="s">
        <v>1258</v>
      </c>
      <c r="K1356" s="145" t="s">
        <v>1259</v>
      </c>
      <c r="L1356" s="145" t="s">
        <v>1269</v>
      </c>
      <c r="M1356" s="145" t="s">
        <v>46</v>
      </c>
      <c r="N1356" s="205">
        <v>0.02</v>
      </c>
      <c r="O1356" s="205" t="s">
        <v>173</v>
      </c>
      <c r="P1356" s="205" t="s">
        <v>51</v>
      </c>
      <c r="Q1356" s="225">
        <v>0</v>
      </c>
      <c r="R1356" s="225">
        <v>0</v>
      </c>
      <c r="S1356" s="225">
        <v>10000</v>
      </c>
      <c r="T1356" s="225">
        <v>200</v>
      </c>
      <c r="U1356" s="225">
        <v>10200</v>
      </c>
      <c r="V1356" s="225">
        <v>10200</v>
      </c>
      <c r="W1356" s="225">
        <v>200</v>
      </c>
      <c r="X1356" s="225">
        <v>196.078431372549</v>
      </c>
      <c r="Y1356" s="225">
        <v>3.92156862745099</v>
      </c>
      <c r="Z1356" s="225">
        <v>10200</v>
      </c>
      <c r="AA1356" s="225">
        <v>-200</v>
      </c>
      <c r="AB1356" s="229">
        <f>IF(P1356="返货",Z1356/(1+N1356),IF(P1356="返现",Z1356,IF(P1356="折扣",Z1356*N1356,IF(P1356="无",Z1356))))</f>
        <v>10000</v>
      </c>
      <c r="AC1356" s="230">
        <f t="shared" si="322"/>
        <v>200</v>
      </c>
      <c r="AD1356" s="225">
        <v>10000</v>
      </c>
      <c r="AE1356" s="216">
        <v>0</v>
      </c>
      <c r="AF1356" s="225">
        <f t="shared" si="323"/>
        <v>0</v>
      </c>
      <c r="AG1356" s="225"/>
      <c r="AH1356" s="225"/>
      <c r="AI1356" s="225"/>
      <c r="AJ1356" s="241" t="s">
        <v>173</v>
      </c>
      <c r="AK1356" s="145"/>
      <c r="AL1356" s="145"/>
    </row>
    <row r="1357" s="140" customFormat="1" ht="15" hidden="1" customHeight="1" spans="1:39">
      <c r="A1357" s="140">
        <v>2017</v>
      </c>
      <c r="B1357" s="140" t="s">
        <v>199</v>
      </c>
      <c r="C1357" s="140" t="s">
        <v>75</v>
      </c>
      <c r="D1357" s="140" t="s">
        <v>76</v>
      </c>
      <c r="E1357" s="140" t="s">
        <v>167</v>
      </c>
      <c r="F1357" s="140" t="s">
        <v>637</v>
      </c>
      <c r="G1357" s="140" t="s">
        <v>638</v>
      </c>
      <c r="H1357" s="140" t="s">
        <v>640</v>
      </c>
      <c r="I1357" s="184" t="s">
        <v>204</v>
      </c>
      <c r="J1357" s="140" t="s">
        <v>577</v>
      </c>
      <c r="K1357" s="140" t="s">
        <v>578</v>
      </c>
      <c r="L1357" s="140" t="s">
        <v>639</v>
      </c>
      <c r="M1357" s="140" t="s">
        <v>185</v>
      </c>
      <c r="N1357" s="157">
        <v>0.2354</v>
      </c>
      <c r="O1357" s="156" t="s">
        <v>495</v>
      </c>
      <c r="P1357" s="156"/>
      <c r="Q1357" s="158"/>
      <c r="R1357" s="158">
        <v>0</v>
      </c>
      <c r="S1357" s="158"/>
      <c r="T1357" s="158">
        <f>S1357*N1357</f>
        <v>0</v>
      </c>
      <c r="U1357" s="158">
        <f>R1357+S1357+T1357</f>
        <v>0</v>
      </c>
      <c r="V1357" s="158">
        <v>0</v>
      </c>
      <c r="W1357" s="158">
        <f>U1357-V1357</f>
        <v>0</v>
      </c>
      <c r="X1357" s="158">
        <f>W1357/(1+N1357)</f>
        <v>0</v>
      </c>
      <c r="Y1357" s="158">
        <f>W1357-X1357</f>
        <v>0</v>
      </c>
      <c r="Z1357" s="158">
        <v>67817564.58</v>
      </c>
      <c r="AA1357" s="158">
        <f>Q1357+V1357-Z1357</f>
        <v>-67817564.58</v>
      </c>
      <c r="AB1357" s="167">
        <f>IF(O1357="返货",(Z1357-Q1357)/(1+N1357),IF(O1357="返现",(Z1357-Q1357),IF(O1357="折扣",(Z1357-Q1357)*N1357,IF(O1357="无",(Z1357-Q1357)))))</f>
        <v>67817564.58</v>
      </c>
      <c r="AC1357" s="168">
        <v>16495795.713732</v>
      </c>
      <c r="AD1357" s="158">
        <f>Z1357*0.980277351080772</f>
        <v>66480022.5632316</v>
      </c>
      <c r="AE1357" s="159">
        <v>0.3156</v>
      </c>
      <c r="AF1357" s="158">
        <f t="shared" si="323"/>
        <v>20981095.1209559</v>
      </c>
      <c r="AG1357" s="158">
        <v>23658435.1806154</v>
      </c>
      <c r="AH1357" s="175"/>
      <c r="AI1357" s="175"/>
      <c r="AJ1357" s="156" t="s">
        <v>53</v>
      </c>
      <c r="AK1357" s="140" t="s">
        <v>53</v>
      </c>
      <c r="AM1357" s="152"/>
    </row>
    <row r="1358" s="140" customFormat="1" ht="15" hidden="1" customHeight="1" spans="1:39">
      <c r="A1358" s="140">
        <v>2017</v>
      </c>
      <c r="B1358" s="140" t="s">
        <v>199</v>
      </c>
      <c r="C1358" s="140" t="s">
        <v>75</v>
      </c>
      <c r="D1358" s="140" t="s">
        <v>76</v>
      </c>
      <c r="E1358" s="140" t="s">
        <v>167</v>
      </c>
      <c r="F1358" s="140" t="s">
        <v>637</v>
      </c>
      <c r="G1358" s="140" t="s">
        <v>638</v>
      </c>
      <c r="H1358" s="140" t="s">
        <v>640</v>
      </c>
      <c r="I1358" s="184" t="s">
        <v>204</v>
      </c>
      <c r="J1358" s="140" t="s">
        <v>577</v>
      </c>
      <c r="K1358" s="140" t="s">
        <v>578</v>
      </c>
      <c r="L1358" s="140" t="s">
        <v>639</v>
      </c>
      <c r="M1358" s="140" t="s">
        <v>46</v>
      </c>
      <c r="N1358" s="157">
        <v>0.0875</v>
      </c>
      <c r="O1358" s="156" t="s">
        <v>495</v>
      </c>
      <c r="P1358" s="156"/>
      <c r="Q1358" s="158"/>
      <c r="R1358" s="158">
        <v>0</v>
      </c>
      <c r="S1358" s="158"/>
      <c r="T1358" s="158">
        <f>S1358*N1358</f>
        <v>0</v>
      </c>
      <c r="U1358" s="158">
        <f>R1358+S1358+T1358</f>
        <v>0</v>
      </c>
      <c r="V1358" s="158"/>
      <c r="W1358" s="158">
        <f>U1358-V1358</f>
        <v>0</v>
      </c>
      <c r="X1358" s="158">
        <f>W1358/(1+N1358)</f>
        <v>0</v>
      </c>
      <c r="Y1358" s="158">
        <f>W1358-X1358</f>
        <v>0</v>
      </c>
      <c r="Z1358" s="158">
        <v>3316875.2896</v>
      </c>
      <c r="AA1358" s="158">
        <f>Q1358+V1358-Z1358</f>
        <v>-3316875.2896</v>
      </c>
      <c r="AB1358" s="167">
        <f>IF(O1358="返货",(Z1358-Q1358)/(1+N1358),IF(O1358="返现",(Z1358-Q1358),IF(O1358="折扣",(Z1358-Q1358)*N1358,IF(O1358="无",(Z1358-Q1358)))))</f>
        <v>3316875.2896</v>
      </c>
      <c r="AC1358" s="168">
        <f>IF(O1358="返现",Z1358*N1358,Z1358-AB1358)</f>
        <v>290226.58784</v>
      </c>
      <c r="AD1358" s="158">
        <f>Z1358*0.980277351080772</f>
        <v>3251457.72275436</v>
      </c>
      <c r="AE1358" s="159">
        <v>0.1077</v>
      </c>
      <c r="AF1358" s="158">
        <f t="shared" si="323"/>
        <v>350181.996740644</v>
      </c>
      <c r="AG1358" s="158">
        <v>496604.203635666</v>
      </c>
      <c r="AH1358" s="175"/>
      <c r="AI1358" s="175"/>
      <c r="AJ1358" s="156" t="s">
        <v>173</v>
      </c>
      <c r="AK1358" s="140" t="s">
        <v>173</v>
      </c>
      <c r="AL1358" s="140" t="s">
        <v>613</v>
      </c>
      <c r="AM1358" s="152"/>
    </row>
  </sheetData>
  <autoFilter ref="A1:AN1358">
    <filterColumn colId="7">
      <filters>
        <filter val="上海易鑫融资租赁有限公司1"/>
        <filter val="上海易鑫融资租赁有限公司"/>
        <filter val="上海易鑫融资租赁有限公司（淘车二手车）"/>
      </filters>
    </filterColumn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2:K47"/>
  <sheetViews>
    <sheetView workbookViewId="0">
      <selection activeCell="E25" sqref="E25"/>
    </sheetView>
  </sheetViews>
  <sheetFormatPr defaultColWidth="8.725" defaultRowHeight="14.25"/>
  <cols>
    <col min="1" max="1" width="19.9083333333333" style="1" customWidth="1"/>
    <col min="2" max="2" width="7.90833333333333" style="1" customWidth="1"/>
    <col min="3" max="3" width="47.2666666666667" style="1" customWidth="1"/>
    <col min="4" max="4" width="7.90833333333333" style="1" customWidth="1"/>
    <col min="5" max="5" width="25.3666666666667" style="1" customWidth="1"/>
    <col min="6" max="6" width="7.90833333333333" style="1" customWidth="1"/>
    <col min="7" max="7" width="11.0916666666667" style="1" customWidth="1"/>
    <col min="8" max="8" width="11.45" style="1" customWidth="1"/>
    <col min="9" max="10" width="10.9083333333333" style="1" customWidth="1"/>
    <col min="11" max="11" width="11.45" style="1" customWidth="1"/>
    <col min="12" max="16384" width="8.725" style="1"/>
  </cols>
  <sheetData>
    <row r="2" spans="1:1">
      <c r="A2" s="1" t="s">
        <v>1072</v>
      </c>
    </row>
    <row r="10" spans="1:11">
      <c r="A10" s="2" t="s">
        <v>1604</v>
      </c>
      <c r="B10" s="2"/>
      <c r="C10" s="3" t="s">
        <v>1414</v>
      </c>
      <c r="D10" s="3" t="s">
        <v>1415</v>
      </c>
      <c r="E10" s="3" t="s">
        <v>10</v>
      </c>
      <c r="F10" s="3" t="s">
        <v>1418</v>
      </c>
      <c r="G10" s="3" t="s">
        <v>1421</v>
      </c>
      <c r="H10" s="3" t="s">
        <v>1422</v>
      </c>
      <c r="I10" s="3" t="s">
        <v>1392</v>
      </c>
      <c r="J10" s="3" t="s">
        <v>1391</v>
      </c>
      <c r="K10" s="4"/>
    </row>
    <row r="11" spans="1:11">
      <c r="A11" s="4"/>
      <c r="B11" s="2"/>
      <c r="C11" s="5" t="s">
        <v>1080</v>
      </c>
      <c r="D11" s="5" t="s">
        <v>1072</v>
      </c>
      <c r="E11" s="5" t="s">
        <v>1083</v>
      </c>
      <c r="F11" s="5" t="s">
        <v>75</v>
      </c>
      <c r="G11" s="5" t="s">
        <v>1605</v>
      </c>
      <c r="H11" s="5" t="s">
        <v>1441</v>
      </c>
      <c r="I11" s="7">
        <v>100000</v>
      </c>
      <c r="J11" s="7">
        <v>100000</v>
      </c>
      <c r="K11" s="4"/>
    </row>
    <row r="12" spans="1:11">
      <c r="A12" s="4"/>
      <c r="B12" s="2"/>
      <c r="C12" s="5" t="s">
        <v>1080</v>
      </c>
      <c r="D12" s="5" t="s">
        <v>1072</v>
      </c>
      <c r="E12" s="5" t="s">
        <v>1083</v>
      </c>
      <c r="F12" s="5" t="s">
        <v>75</v>
      </c>
      <c r="G12" s="5" t="s">
        <v>1606</v>
      </c>
      <c r="H12" s="5" t="s">
        <v>1441</v>
      </c>
      <c r="I12" s="7">
        <v>100000</v>
      </c>
      <c r="J12" s="7">
        <v>100000</v>
      </c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6" t="s">
        <v>1306</v>
      </c>
      <c r="B17" s="3" t="s">
        <v>1415</v>
      </c>
      <c r="C17" s="3" t="s">
        <v>10</v>
      </c>
      <c r="D17" s="3" t="s">
        <v>12</v>
      </c>
      <c r="E17" s="3" t="s">
        <v>1414</v>
      </c>
      <c r="F17" s="3" t="s">
        <v>1418</v>
      </c>
      <c r="G17" s="3" t="s">
        <v>1419</v>
      </c>
      <c r="H17" s="3" t="s">
        <v>1420</v>
      </c>
      <c r="I17" s="3" t="s">
        <v>1421</v>
      </c>
      <c r="J17" s="3" t="s">
        <v>1422</v>
      </c>
      <c r="K17" s="3" t="s">
        <v>1392</v>
      </c>
    </row>
    <row r="18" spans="1:11">
      <c r="A18" s="4"/>
      <c r="B18" s="5" t="s">
        <v>1607</v>
      </c>
      <c r="C18" s="5" t="s">
        <v>1085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1608</v>
      </c>
      <c r="J18" s="5" t="s">
        <v>1609</v>
      </c>
      <c r="K18" s="7">
        <v>505000</v>
      </c>
    </row>
    <row r="19" spans="1:11">
      <c r="A19" s="4"/>
      <c r="B19" s="5" t="s">
        <v>1607</v>
      </c>
      <c r="C19" s="5" t="s">
        <v>1085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1610</v>
      </c>
      <c r="J19" s="5" t="s">
        <v>1611</v>
      </c>
      <c r="K19" s="7">
        <v>505000</v>
      </c>
    </row>
    <row r="20" spans="1:11">
      <c r="A20" s="4"/>
      <c r="B20" s="5" t="s">
        <v>1607</v>
      </c>
      <c r="C20" s="5" t="s">
        <v>1085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1612</v>
      </c>
      <c r="J20" s="5" t="s">
        <v>1613</v>
      </c>
      <c r="K20" s="7">
        <v>505000</v>
      </c>
    </row>
    <row r="21" spans="1:11">
      <c r="A21" s="4"/>
      <c r="B21" s="8"/>
      <c r="C21" s="9"/>
      <c r="D21" s="9"/>
      <c r="E21" s="9"/>
      <c r="F21" s="9"/>
      <c r="G21" s="10"/>
      <c r="H21" s="7">
        <f>SUM(H18:H20)</f>
        <v>2040000</v>
      </c>
      <c r="I21" s="5"/>
      <c r="J21" s="5"/>
      <c r="K21" s="7">
        <f>SUM(K18:K20)</f>
        <v>1515000</v>
      </c>
    </row>
    <row r="22" spans="1:11">
      <c r="A22" s="4"/>
      <c r="B22" s="3" t="s">
        <v>1415</v>
      </c>
      <c r="C22" s="3" t="s">
        <v>10</v>
      </c>
      <c r="D22" s="3" t="s">
        <v>12</v>
      </c>
      <c r="E22" s="3" t="s">
        <v>1414</v>
      </c>
      <c r="F22" s="3" t="s">
        <v>1418</v>
      </c>
      <c r="G22" s="3" t="s">
        <v>1419</v>
      </c>
      <c r="H22" s="3" t="s">
        <v>1420</v>
      </c>
      <c r="I22" s="3" t="s">
        <v>1421</v>
      </c>
      <c r="J22" s="3" t="s">
        <v>1422</v>
      </c>
      <c r="K22" s="3" t="s">
        <v>1392</v>
      </c>
    </row>
    <row r="23" spans="1:11">
      <c r="A23" s="6" t="s">
        <v>1291</v>
      </c>
      <c r="B23" s="5" t="s">
        <v>1607</v>
      </c>
      <c r="C23" s="5" t="s">
        <v>1084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1614</v>
      </c>
      <c r="J23" s="5" t="s">
        <v>1615</v>
      </c>
      <c r="K23" s="7">
        <v>505000</v>
      </c>
    </row>
    <row r="24" spans="1:11">
      <c r="A24" s="4"/>
      <c r="B24" s="5" t="s">
        <v>1607</v>
      </c>
      <c r="C24" s="5" t="s">
        <v>1084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1616</v>
      </c>
      <c r="J24" s="5" t="s">
        <v>1512</v>
      </c>
      <c r="K24" s="7">
        <v>505000</v>
      </c>
    </row>
    <row r="25" spans="1:11">
      <c r="A25" s="4"/>
      <c r="B25" s="5" t="s">
        <v>1607</v>
      </c>
      <c r="C25" s="5" t="s">
        <v>1084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1617</v>
      </c>
      <c r="J25" s="5" t="s">
        <v>1525</v>
      </c>
      <c r="K25" s="7">
        <v>505000</v>
      </c>
    </row>
    <row r="26" spans="1:11">
      <c r="A26" s="4"/>
      <c r="B26" s="5" t="s">
        <v>1607</v>
      </c>
      <c r="C26" s="5" t="s">
        <v>1084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1618</v>
      </c>
      <c r="J26" s="5" t="s">
        <v>1619</v>
      </c>
      <c r="K26" s="7">
        <v>505000</v>
      </c>
    </row>
    <row r="27" spans="1:11">
      <c r="A27" s="4"/>
      <c r="B27" s="5" t="s">
        <v>1607</v>
      </c>
      <c r="C27" s="5" t="s">
        <v>1084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1528</v>
      </c>
      <c r="J27" s="5" t="s">
        <v>1529</v>
      </c>
      <c r="K27" s="7">
        <v>252500</v>
      </c>
    </row>
    <row r="28" spans="1:11">
      <c r="A28" s="4"/>
      <c r="B28" s="5" t="s">
        <v>1607</v>
      </c>
      <c r="C28" s="5" t="s">
        <v>1084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1605</v>
      </c>
      <c r="J28" s="5" t="s">
        <v>1620</v>
      </c>
      <c r="K28" s="7">
        <v>252500</v>
      </c>
    </row>
    <row r="29" spans="1:11">
      <c r="A29" s="4"/>
      <c r="B29" s="5" t="s">
        <v>1607</v>
      </c>
      <c r="C29" s="5" t="s">
        <v>1084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1621</v>
      </c>
      <c r="J29" s="5" t="s">
        <v>1622</v>
      </c>
      <c r="K29" s="7">
        <v>252500</v>
      </c>
    </row>
    <row r="30" spans="1:11">
      <c r="A30" s="4"/>
      <c r="B30" s="5" t="s">
        <v>1607</v>
      </c>
      <c r="C30" s="5" t="s">
        <v>1084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1623</v>
      </c>
      <c r="J30" s="5" t="s">
        <v>1536</v>
      </c>
      <c r="K30" s="7">
        <v>505000</v>
      </c>
    </row>
    <row r="31" spans="1:11">
      <c r="A31" s="4"/>
      <c r="B31" s="5" t="s">
        <v>1607</v>
      </c>
      <c r="C31" s="5" t="s">
        <v>1084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1624</v>
      </c>
      <c r="J31" s="5" t="s">
        <v>1625</v>
      </c>
      <c r="K31" s="7">
        <v>505000</v>
      </c>
    </row>
    <row r="32" spans="1:11">
      <c r="A32" s="4"/>
      <c r="B32" s="4"/>
      <c r="C32" s="4"/>
      <c r="D32" s="4"/>
      <c r="E32" s="4"/>
      <c r="F32" s="4"/>
      <c r="G32" s="4"/>
      <c r="H32" s="11">
        <f>SUM(H23:H31)</f>
        <v>5100000</v>
      </c>
      <c r="I32" s="4"/>
      <c r="J32" s="4"/>
      <c r="K32" s="11">
        <f>SUM(K23:K31)</f>
        <v>3787500</v>
      </c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6" t="s">
        <v>1086</v>
      </c>
      <c r="B34" s="4"/>
      <c r="C34" s="3" t="s">
        <v>1414</v>
      </c>
      <c r="D34" s="3" t="s">
        <v>1415</v>
      </c>
      <c r="E34" s="3" t="s">
        <v>10</v>
      </c>
      <c r="F34" s="3" t="s">
        <v>1418</v>
      </c>
      <c r="G34" s="3" t="s">
        <v>1421</v>
      </c>
      <c r="H34" s="3" t="s">
        <v>1422</v>
      </c>
      <c r="I34" s="3" t="s">
        <v>1391</v>
      </c>
      <c r="J34" s="3" t="s">
        <v>1392</v>
      </c>
      <c r="K34" s="4"/>
    </row>
    <row r="35" spans="1:11">
      <c r="A35" s="4"/>
      <c r="B35" s="4"/>
      <c r="C35" s="5" t="s">
        <v>65</v>
      </c>
      <c r="D35" s="5" t="s">
        <v>1626</v>
      </c>
      <c r="E35" s="5" t="s">
        <v>956</v>
      </c>
      <c r="F35" s="5" t="s">
        <v>54</v>
      </c>
      <c r="G35" s="5" t="s">
        <v>1627</v>
      </c>
      <c r="H35" s="5" t="s">
        <v>1627</v>
      </c>
      <c r="I35" s="7">
        <v>8778.3</v>
      </c>
      <c r="J35" s="7">
        <v>7315.25</v>
      </c>
      <c r="K35" s="4"/>
    </row>
    <row r="38" spans="1:1">
      <c r="A38" s="12" t="s">
        <v>1628</v>
      </c>
    </row>
    <row r="39" spans="1:1">
      <c r="A39" s="12"/>
    </row>
    <row r="42" spans="1:1">
      <c r="A42" s="12" t="s">
        <v>1079</v>
      </c>
    </row>
    <row r="47" spans="1:1">
      <c r="A47" s="12" t="s">
        <v>1629</v>
      </c>
    </row>
  </sheetData>
  <mergeCells count="1">
    <mergeCell ref="B21:G21"/>
  </mergeCell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F10" sqref="F10"/>
    </sheetView>
  </sheetViews>
  <sheetFormatPr defaultColWidth="9" defaultRowHeight="13.5" outlineLevelCol="2"/>
  <cols>
    <col min="1" max="1" width="13" customWidth="1"/>
    <col min="2" max="2" width="23.0916666666667" customWidth="1"/>
    <col min="3" max="3" width="18.9083333333333" customWidth="1"/>
  </cols>
  <sheetData>
    <row r="1" spans="2:3">
      <c r="B1" t="s">
        <v>1630</v>
      </c>
      <c r="C1" t="s">
        <v>1631</v>
      </c>
    </row>
    <row r="2" spans="1:3">
      <c r="A2" t="s">
        <v>1632</v>
      </c>
      <c r="B2">
        <v>3679437.63</v>
      </c>
      <c r="C2">
        <v>3679437.63</v>
      </c>
    </row>
    <row r="3" spans="1:3">
      <c r="A3" t="s">
        <v>1633</v>
      </c>
      <c r="B3">
        <v>308739.5</v>
      </c>
      <c r="C3">
        <v>308739.5</v>
      </c>
    </row>
    <row r="4" spans="1:3">
      <c r="A4" t="s">
        <v>1634</v>
      </c>
      <c r="B4">
        <v>1403420.98</v>
      </c>
      <c r="C4">
        <v>1403420.98</v>
      </c>
    </row>
    <row r="5" spans="1:3">
      <c r="A5" t="s">
        <v>1635</v>
      </c>
      <c r="B5">
        <v>500619047.13</v>
      </c>
      <c r="C5">
        <v>500619047.13</v>
      </c>
    </row>
    <row r="6" spans="1:3">
      <c r="A6" t="s">
        <v>1636</v>
      </c>
      <c r="B6">
        <v>472565110.61</v>
      </c>
      <c r="C6">
        <v>472565110.61</v>
      </c>
    </row>
    <row r="9" spans="2:2">
      <c r="B9">
        <v>25179651.75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B14" sqref="B14"/>
    </sheetView>
  </sheetViews>
  <sheetFormatPr defaultColWidth="9" defaultRowHeight="13.5"/>
  <cols>
    <col min="1" max="1" width="18.25" customWidth="1"/>
    <col min="2" max="2" width="35.875" customWidth="1"/>
    <col min="3" max="3" width="22.625" customWidth="1"/>
    <col min="4" max="4" width="19.375" style="137" customWidth="1"/>
    <col min="5" max="5" width="20.25" style="137" customWidth="1"/>
    <col min="6" max="6" width="17.125" style="137" customWidth="1"/>
    <col min="7" max="7" width="20.25" style="137" customWidth="1"/>
    <col min="8" max="10" width="16.125" style="137" customWidth="1"/>
    <col min="11" max="11" width="17.125"/>
    <col min="12" max="12" width="12.625"/>
    <col min="13" max="13" width="11.5"/>
    <col min="15" max="15" width="11.5"/>
  </cols>
  <sheetData>
    <row r="1" spans="1:10">
      <c r="A1" t="s">
        <v>1270</v>
      </c>
      <c r="B1" t="s">
        <v>1271</v>
      </c>
      <c r="C1" t="s">
        <v>1272</v>
      </c>
      <c r="D1" s="137" t="s">
        <v>27</v>
      </c>
      <c r="E1" s="137" t="s">
        <v>1273</v>
      </c>
      <c r="F1" s="137" t="s">
        <v>1274</v>
      </c>
      <c r="G1" s="137" t="s">
        <v>1275</v>
      </c>
      <c r="H1" s="137" t="s">
        <v>1276</v>
      </c>
      <c r="I1" s="137" t="s">
        <v>1277</v>
      </c>
      <c r="J1" s="137" t="s">
        <v>1278</v>
      </c>
    </row>
    <row r="2" spans="1:11">
      <c r="A2" t="s">
        <v>1279</v>
      </c>
      <c r="B2" t="s">
        <v>44</v>
      </c>
      <c r="C2" t="s">
        <v>1280</v>
      </c>
      <c r="D2" s="137">
        <f>26914829.9265128-627745.06</f>
        <v>26287084.8665128</v>
      </c>
      <c r="E2" s="137">
        <v>26287084.8665128</v>
      </c>
      <c r="H2" s="137">
        <v>0</v>
      </c>
      <c r="I2" s="137">
        <v>0</v>
      </c>
      <c r="J2" s="137">
        <v>0</v>
      </c>
      <c r="K2" s="137">
        <f>(D2-E2+F2)/1.06+G2</f>
        <v>0</v>
      </c>
    </row>
    <row r="3" spans="1:11">
      <c r="A3" t="s">
        <v>1281</v>
      </c>
      <c r="B3" t="s">
        <v>44</v>
      </c>
      <c r="C3" t="s">
        <v>1280</v>
      </c>
      <c r="D3" s="137">
        <v>627745.06</v>
      </c>
      <c r="E3" s="137">
        <v>627745.06</v>
      </c>
      <c r="H3" s="137">
        <v>0</v>
      </c>
      <c r="I3" s="137">
        <v>0</v>
      </c>
      <c r="J3" s="137">
        <v>0</v>
      </c>
      <c r="K3" s="137">
        <f t="shared" ref="K3:K39" si="0">(D3-E3+F3)/1.06+G3</f>
        <v>0</v>
      </c>
    </row>
    <row r="4" spans="1:11">
      <c r="A4" t="s">
        <v>1282</v>
      </c>
      <c r="B4" t="s">
        <v>1133</v>
      </c>
      <c r="C4" t="s">
        <v>1280</v>
      </c>
      <c r="D4" s="137">
        <v>1473318.0071644</v>
      </c>
      <c r="E4" s="137">
        <v>1474198.31447964</v>
      </c>
      <c r="H4" s="137">
        <v>0</v>
      </c>
      <c r="I4" s="137">
        <v>0</v>
      </c>
      <c r="J4" s="137">
        <v>0</v>
      </c>
      <c r="K4" s="137">
        <f t="shared" si="0"/>
        <v>-830.478599282939</v>
      </c>
    </row>
    <row r="5" spans="1:11">
      <c r="A5" t="s">
        <v>1283</v>
      </c>
      <c r="B5" t="s">
        <v>605</v>
      </c>
      <c r="C5" t="s">
        <v>1284</v>
      </c>
      <c r="D5" s="137">
        <v>2949190.76</v>
      </c>
      <c r="E5" s="137">
        <v>3007100.4</v>
      </c>
      <c r="G5" s="137">
        <v>300710.04</v>
      </c>
      <c r="H5" s="137">
        <v>300710.04</v>
      </c>
      <c r="I5" s="137">
        <v>0</v>
      </c>
      <c r="J5" s="137">
        <v>300710.04</v>
      </c>
      <c r="K5" s="137">
        <f t="shared" si="0"/>
        <v>246078.304150943</v>
      </c>
    </row>
    <row r="6" spans="1:11">
      <c r="A6" t="s">
        <v>1283</v>
      </c>
      <c r="B6" t="s">
        <v>868</v>
      </c>
      <c r="C6" t="s">
        <v>1285</v>
      </c>
      <c r="D6" s="137">
        <v>5657044.97</v>
      </c>
      <c r="E6" s="137">
        <v>5596583.84</v>
      </c>
      <c r="G6" s="137">
        <v>437195.351</v>
      </c>
      <c r="H6" s="137">
        <v>607148.351</v>
      </c>
      <c r="I6" s="137">
        <v>169953</v>
      </c>
      <c r="J6" s="137">
        <v>437195.351</v>
      </c>
      <c r="K6" s="137">
        <f t="shared" si="0"/>
        <v>494234.152886792</v>
      </c>
    </row>
    <row r="7" spans="1:11">
      <c r="A7" t="s">
        <v>1286</v>
      </c>
      <c r="B7" t="s">
        <v>605</v>
      </c>
      <c r="C7" t="s">
        <v>1287</v>
      </c>
      <c r="D7" s="137">
        <v>13139844.58</v>
      </c>
      <c r="E7" s="137">
        <v>13538103.54</v>
      </c>
      <c r="G7" s="137">
        <v>812467.242</v>
      </c>
      <c r="H7" s="137">
        <v>812467.242</v>
      </c>
      <c r="I7" s="137">
        <v>0</v>
      </c>
      <c r="J7" s="137">
        <v>812467.242</v>
      </c>
      <c r="K7" s="137">
        <f t="shared" si="0"/>
        <v>436751.242000001</v>
      </c>
    </row>
    <row r="8" spans="1:11">
      <c r="A8" t="s">
        <v>1286</v>
      </c>
      <c r="B8" t="s">
        <v>575</v>
      </c>
      <c r="C8" t="s">
        <v>1285</v>
      </c>
      <c r="D8" s="137">
        <v>7647752.17932244</v>
      </c>
      <c r="E8" s="137">
        <v>7732779.66610275</v>
      </c>
      <c r="G8" s="137">
        <v>163762.5448</v>
      </c>
      <c r="H8" s="137">
        <v>315772.3748</v>
      </c>
      <c r="I8" s="137">
        <v>152009.83</v>
      </c>
      <c r="J8" s="137">
        <v>163762.5448</v>
      </c>
      <c r="K8" s="137">
        <f t="shared" si="0"/>
        <v>83547.9346298962</v>
      </c>
    </row>
    <row r="9" spans="1:11">
      <c r="A9" t="s">
        <v>1288</v>
      </c>
      <c r="B9" t="s">
        <v>171</v>
      </c>
      <c r="C9" t="s">
        <v>1280</v>
      </c>
      <c r="D9" s="137">
        <v>415506277.88</v>
      </c>
      <c r="E9" s="137">
        <v>381853294.078057</v>
      </c>
      <c r="G9" s="137">
        <v>1627777.67328355</v>
      </c>
      <c r="H9" s="137">
        <v>45282613.5402836</v>
      </c>
      <c r="I9" s="137">
        <v>43654835.867</v>
      </c>
      <c r="J9" s="137">
        <v>1627777.67328355</v>
      </c>
      <c r="K9" s="137">
        <f t="shared" si="0"/>
        <v>33375875.5996449</v>
      </c>
    </row>
    <row r="10" spans="1:11">
      <c r="A10" t="s">
        <v>1289</v>
      </c>
      <c r="B10" t="s">
        <v>1083</v>
      </c>
      <c r="C10" t="s">
        <v>1280</v>
      </c>
      <c r="D10" s="137">
        <v>200000</v>
      </c>
      <c r="E10" s="137">
        <v>200000</v>
      </c>
      <c r="H10" s="137">
        <v>0</v>
      </c>
      <c r="I10" s="137">
        <v>0</v>
      </c>
      <c r="J10" s="137">
        <v>0</v>
      </c>
      <c r="K10" s="137">
        <f t="shared" si="0"/>
        <v>0</v>
      </c>
    </row>
    <row r="11" spans="1:11">
      <c r="A11" t="s">
        <v>1290</v>
      </c>
      <c r="B11" t="s">
        <v>1140</v>
      </c>
      <c r="C11" t="s">
        <v>1280</v>
      </c>
      <c r="D11" s="137">
        <v>600000</v>
      </c>
      <c r="E11" s="137">
        <v>600000</v>
      </c>
      <c r="H11" s="137">
        <v>0</v>
      </c>
      <c r="I11" s="137">
        <v>0</v>
      </c>
      <c r="J11" s="137">
        <v>0</v>
      </c>
      <c r="K11" s="137">
        <f t="shared" si="0"/>
        <v>0</v>
      </c>
    </row>
    <row r="12" spans="1:11">
      <c r="A12" t="s">
        <v>1291</v>
      </c>
      <c r="B12" t="s">
        <v>1084</v>
      </c>
      <c r="C12" t="s">
        <v>1280</v>
      </c>
      <c r="D12" s="137">
        <v>5100000</v>
      </c>
      <c r="E12" s="137">
        <v>3787500</v>
      </c>
      <c r="H12" s="137">
        <v>0</v>
      </c>
      <c r="I12" s="137">
        <v>0</v>
      </c>
      <c r="J12" s="137">
        <v>0</v>
      </c>
      <c r="K12" s="137">
        <f t="shared" si="0"/>
        <v>1238207.54716981</v>
      </c>
    </row>
    <row r="13" spans="1:11">
      <c r="A13" t="s">
        <v>1122</v>
      </c>
      <c r="B13" t="s">
        <v>1123</v>
      </c>
      <c r="C13" t="s">
        <v>1280</v>
      </c>
      <c r="D13" s="137">
        <v>260863.4</v>
      </c>
      <c r="E13" s="137">
        <v>236647.8</v>
      </c>
      <c r="H13" s="137">
        <v>0</v>
      </c>
      <c r="I13" s="137">
        <v>0</v>
      </c>
      <c r="J13" s="137">
        <v>0</v>
      </c>
      <c r="K13" s="137">
        <f t="shared" si="0"/>
        <v>22844.9056603774</v>
      </c>
    </row>
    <row r="14" spans="1:11">
      <c r="A14" t="s">
        <v>158</v>
      </c>
      <c r="B14" t="s">
        <v>159</v>
      </c>
      <c r="C14" t="s">
        <v>1280</v>
      </c>
      <c r="D14" s="137">
        <v>5771750</v>
      </c>
      <c r="E14" s="137">
        <v>4897000</v>
      </c>
      <c r="H14" s="137">
        <v>0</v>
      </c>
      <c r="I14" s="137">
        <v>0</v>
      </c>
      <c r="J14" s="137">
        <v>0</v>
      </c>
      <c r="K14" s="137">
        <f t="shared" si="0"/>
        <v>825235.849056604</v>
      </c>
    </row>
    <row r="15" spans="1:11">
      <c r="A15" t="s">
        <v>1072</v>
      </c>
      <c r="B15" t="s">
        <v>1073</v>
      </c>
      <c r="C15" t="s">
        <v>1280</v>
      </c>
      <c r="D15" s="137">
        <v>20000</v>
      </c>
      <c r="E15" s="137">
        <v>20000</v>
      </c>
      <c r="H15" s="137">
        <v>0</v>
      </c>
      <c r="I15" s="137">
        <v>0</v>
      </c>
      <c r="J15" s="137">
        <v>0</v>
      </c>
      <c r="K15" s="137">
        <f t="shared" si="0"/>
        <v>0</v>
      </c>
    </row>
    <row r="16" spans="1:11">
      <c r="A16" t="s">
        <v>1144</v>
      </c>
      <c r="B16" t="s">
        <v>1292</v>
      </c>
      <c r="C16" t="s">
        <v>1280</v>
      </c>
      <c r="D16" s="137">
        <v>5683644.79313726</v>
      </c>
      <c r="E16" s="137">
        <v>5527409.78</v>
      </c>
      <c r="H16" s="137">
        <v>530867.9</v>
      </c>
      <c r="I16" s="137">
        <v>530867.9</v>
      </c>
      <c r="J16" s="137">
        <v>0</v>
      </c>
      <c r="K16" s="137">
        <f t="shared" si="0"/>
        <v>147391.521827603</v>
      </c>
    </row>
    <row r="17" spans="1:11">
      <c r="A17" t="s">
        <v>1159</v>
      </c>
      <c r="B17" t="s">
        <v>1160</v>
      </c>
      <c r="C17" t="s">
        <v>1280</v>
      </c>
      <c r="D17" s="137">
        <v>104607.843137255</v>
      </c>
      <c r="E17" s="137">
        <v>86835</v>
      </c>
      <c r="K17" s="137">
        <f t="shared" si="0"/>
        <v>16766.8331483538</v>
      </c>
    </row>
    <row r="18" spans="1:11">
      <c r="A18" t="s">
        <v>1159</v>
      </c>
      <c r="B18" t="s">
        <v>1163</v>
      </c>
      <c r="C18" t="s">
        <v>1280</v>
      </c>
      <c r="D18" s="137">
        <v>401818.181818182</v>
      </c>
      <c r="E18" s="137">
        <v>363880</v>
      </c>
      <c r="K18" s="137">
        <f t="shared" si="0"/>
        <v>35790.7375643226</v>
      </c>
    </row>
    <row r="19" spans="1:11">
      <c r="A19" t="s">
        <v>1159</v>
      </c>
      <c r="B19" t="s">
        <v>1164</v>
      </c>
      <c r="C19" t="s">
        <v>1280</v>
      </c>
      <c r="D19" s="137">
        <v>11167775.6774711</v>
      </c>
      <c r="E19" s="137">
        <v>9653862.29948</v>
      </c>
      <c r="H19" s="137">
        <v>2112465.688</v>
      </c>
      <c r="I19" s="137">
        <v>2112465.688</v>
      </c>
      <c r="J19" s="137">
        <v>0</v>
      </c>
      <c r="K19" s="137">
        <f t="shared" si="0"/>
        <v>1428220.16791613</v>
      </c>
    </row>
    <row r="20" spans="1:11">
      <c r="A20" t="s">
        <v>1293</v>
      </c>
      <c r="B20" t="s">
        <v>1133</v>
      </c>
      <c r="C20" t="s">
        <v>1280</v>
      </c>
      <c r="D20" s="137">
        <v>50000</v>
      </c>
      <c r="E20" s="137">
        <v>44000</v>
      </c>
      <c r="J20" s="137">
        <v>0</v>
      </c>
      <c r="K20" s="137">
        <f t="shared" si="0"/>
        <v>5660.37735849057</v>
      </c>
    </row>
    <row r="21" spans="1:11">
      <c r="A21" t="s">
        <v>243</v>
      </c>
      <c r="B21" t="s">
        <v>244</v>
      </c>
      <c r="C21" t="s">
        <v>1294</v>
      </c>
      <c r="D21" s="137">
        <v>32853417.7405714</v>
      </c>
      <c r="E21" s="137">
        <f>20825273.34+5734458</f>
        <v>26559731.34</v>
      </c>
      <c r="H21" s="137">
        <v>3533685.64058823</v>
      </c>
      <c r="I21" s="137">
        <v>3533685.64</v>
      </c>
      <c r="J21" s="137">
        <v>0.000588229857385159</v>
      </c>
      <c r="K21" s="137">
        <f t="shared" si="0"/>
        <v>5937440.00053906</v>
      </c>
    </row>
    <row r="22" spans="1:11">
      <c r="A22" t="s">
        <v>1295</v>
      </c>
      <c r="B22" t="s">
        <v>1155</v>
      </c>
      <c r="C22" t="s">
        <v>1280</v>
      </c>
      <c r="D22" s="137">
        <v>1529073</v>
      </c>
      <c r="E22" s="137">
        <v>1524882.53</v>
      </c>
      <c r="H22" s="137">
        <v>0</v>
      </c>
      <c r="J22" s="137">
        <v>0</v>
      </c>
      <c r="K22" s="137">
        <f t="shared" si="0"/>
        <v>3953.27358490563</v>
      </c>
    </row>
    <row r="23" spans="1:11">
      <c r="A23" t="s">
        <v>227</v>
      </c>
      <c r="B23" t="s">
        <v>228</v>
      </c>
      <c r="C23" t="s">
        <v>1280</v>
      </c>
      <c r="D23" s="137">
        <v>38784976.1408486</v>
      </c>
      <c r="E23" s="137">
        <v>40519408.73</v>
      </c>
      <c r="F23" s="137">
        <v>3657301.16</v>
      </c>
      <c r="H23" s="137">
        <v>3657301.16</v>
      </c>
      <c r="J23" s="137">
        <v>3657301.16</v>
      </c>
      <c r="K23" s="137">
        <f t="shared" si="0"/>
        <v>1814026.95363076</v>
      </c>
    </row>
    <row r="24" spans="1:11">
      <c r="A24" t="s">
        <v>1296</v>
      </c>
      <c r="B24" t="s">
        <v>205</v>
      </c>
      <c r="C24" t="s">
        <v>1280</v>
      </c>
      <c r="D24" s="137">
        <v>2897875.32651184</v>
      </c>
      <c r="E24" s="137">
        <v>2970770.99</v>
      </c>
      <c r="F24" s="137">
        <v>320213.0162</v>
      </c>
      <c r="H24" s="137">
        <v>320213.0162</v>
      </c>
      <c r="I24" s="137">
        <v>0</v>
      </c>
      <c r="J24" s="137">
        <v>320213.0162</v>
      </c>
      <c r="K24" s="137">
        <f t="shared" si="0"/>
        <v>233318.25727532</v>
      </c>
    </row>
    <row r="25" spans="1:11">
      <c r="A25" t="s">
        <v>1297</v>
      </c>
      <c r="B25" t="s">
        <v>626</v>
      </c>
      <c r="C25" t="s">
        <v>1280</v>
      </c>
      <c r="D25" s="137">
        <v>863632.377333587</v>
      </c>
      <c r="E25" s="137">
        <v>780369.57</v>
      </c>
      <c r="G25" s="137">
        <v>-26623.9822</v>
      </c>
      <c r="H25" s="137">
        <v>78068.2178</v>
      </c>
      <c r="I25" s="137">
        <v>104692.2</v>
      </c>
      <c r="J25" s="137">
        <v>-26623.9822</v>
      </c>
      <c r="K25" s="137">
        <f t="shared" si="0"/>
        <v>51925.8360392331</v>
      </c>
    </row>
    <row r="26" spans="1:11">
      <c r="A26" t="s">
        <v>1298</v>
      </c>
      <c r="B26" t="s">
        <v>605</v>
      </c>
      <c r="C26" t="s">
        <v>1284</v>
      </c>
      <c r="D26" s="137">
        <v>1483745.51505694</v>
      </c>
      <c r="E26" s="137">
        <v>1516701.75</v>
      </c>
      <c r="G26" s="137">
        <v>161417.0313</v>
      </c>
      <c r="H26" s="137">
        <v>161417.0313</v>
      </c>
      <c r="I26" s="137">
        <v>0</v>
      </c>
      <c r="J26" s="137">
        <v>161417.0313</v>
      </c>
      <c r="K26" s="137">
        <f t="shared" si="0"/>
        <v>130326.243617868</v>
      </c>
    </row>
    <row r="27" spans="1:11">
      <c r="A27" t="s">
        <v>1297</v>
      </c>
      <c r="B27" t="s">
        <v>1078</v>
      </c>
      <c r="C27" t="s">
        <v>1280</v>
      </c>
      <c r="D27" s="137">
        <v>6535</v>
      </c>
      <c r="E27" s="137">
        <v>6535.19607843137</v>
      </c>
      <c r="H27" s="137">
        <v>0</v>
      </c>
      <c r="I27" s="137">
        <v>0</v>
      </c>
      <c r="J27" s="137">
        <v>0</v>
      </c>
      <c r="K27" s="137">
        <f t="shared" si="0"/>
        <v>-0.184979652235511</v>
      </c>
    </row>
    <row r="28" spans="1:11">
      <c r="A28" t="s">
        <v>1299</v>
      </c>
      <c r="B28" t="s">
        <v>577</v>
      </c>
      <c r="C28" t="s">
        <v>1280</v>
      </c>
      <c r="D28" s="137">
        <v>493462078.5048</v>
      </c>
      <c r="E28" s="137">
        <v>515428555.730001</v>
      </c>
      <c r="F28" s="137">
        <v>113537810.380934</v>
      </c>
      <c r="H28" s="137">
        <v>113537810.380934</v>
      </c>
      <c r="I28" s="137">
        <v>12515509.2159</v>
      </c>
      <c r="J28" s="137">
        <v>101022301.165034</v>
      </c>
      <c r="K28" s="137">
        <f t="shared" si="0"/>
        <v>86388050.146918</v>
      </c>
    </row>
    <row r="29" spans="1:11">
      <c r="A29" t="s">
        <v>1300</v>
      </c>
      <c r="B29" t="s">
        <v>721</v>
      </c>
      <c r="C29" t="s">
        <v>1280</v>
      </c>
      <c r="D29" s="137">
        <v>224000</v>
      </c>
      <c r="E29" s="137">
        <v>84000</v>
      </c>
      <c r="H29" s="137">
        <v>0</v>
      </c>
      <c r="I29" s="137">
        <v>0</v>
      </c>
      <c r="J29" s="137">
        <v>0</v>
      </c>
      <c r="K29" s="137">
        <f t="shared" si="0"/>
        <v>132075.471698113</v>
      </c>
    </row>
    <row r="30" spans="1:11">
      <c r="A30" t="s">
        <v>1301</v>
      </c>
      <c r="B30" t="s">
        <v>956</v>
      </c>
      <c r="C30" t="s">
        <v>1280</v>
      </c>
      <c r="D30" s="137">
        <v>7315.25</v>
      </c>
      <c r="E30" s="137">
        <v>7315.25</v>
      </c>
      <c r="H30" s="137">
        <v>0</v>
      </c>
      <c r="I30" s="137">
        <v>0</v>
      </c>
      <c r="J30" s="137">
        <v>0</v>
      </c>
      <c r="K30" s="137">
        <f t="shared" si="0"/>
        <v>0</v>
      </c>
    </row>
    <row r="31" spans="1:11">
      <c r="A31" t="s">
        <v>1076</v>
      </c>
      <c r="B31" t="s">
        <v>605</v>
      </c>
      <c r="C31" t="s">
        <v>1284</v>
      </c>
      <c r="D31" s="137">
        <v>3080982.2812189</v>
      </c>
      <c r="E31" s="137">
        <v>2005558.49</v>
      </c>
      <c r="G31" s="137">
        <v>317428.808</v>
      </c>
      <c r="H31" s="137">
        <v>387671.2408</v>
      </c>
      <c r="I31" s="137">
        <v>70242.4328</v>
      </c>
      <c r="J31" s="137">
        <v>317428.808</v>
      </c>
      <c r="K31" s="137">
        <f t="shared" si="0"/>
        <v>1331979.55443292</v>
      </c>
    </row>
    <row r="32" spans="1:11">
      <c r="A32" t="s">
        <v>1076</v>
      </c>
      <c r="B32" t="s">
        <v>332</v>
      </c>
      <c r="C32" t="s">
        <v>1280</v>
      </c>
      <c r="D32" s="137">
        <v>100000</v>
      </c>
      <c r="E32" s="137">
        <v>100000</v>
      </c>
      <c r="H32" s="137">
        <v>0</v>
      </c>
      <c r="I32" s="137">
        <v>0</v>
      </c>
      <c r="J32" s="137">
        <v>0</v>
      </c>
      <c r="K32" s="137">
        <f t="shared" si="0"/>
        <v>0</v>
      </c>
    </row>
    <row r="33" spans="1:11">
      <c r="A33" t="s">
        <v>1076</v>
      </c>
      <c r="B33" t="s">
        <v>205</v>
      </c>
      <c r="C33" t="s">
        <v>1285</v>
      </c>
      <c r="D33" s="137">
        <v>9848877.78796639</v>
      </c>
      <c r="E33" s="137">
        <v>7273934.08651005</v>
      </c>
      <c r="H33" s="137">
        <v>585137.6192</v>
      </c>
      <c r="I33" s="137">
        <v>585137.6192</v>
      </c>
      <c r="J33" s="137">
        <v>0</v>
      </c>
      <c r="K33" s="137">
        <f t="shared" si="0"/>
        <v>2429192.17118523</v>
      </c>
    </row>
    <row r="34" spans="1:11">
      <c r="A34" t="s">
        <v>1136</v>
      </c>
      <c r="B34" t="s">
        <v>679</v>
      </c>
      <c r="C34" t="s">
        <v>1280</v>
      </c>
      <c r="D34" s="137">
        <v>27778</v>
      </c>
      <c r="E34" s="137">
        <v>24600</v>
      </c>
      <c r="J34" s="137">
        <v>0</v>
      </c>
      <c r="K34" s="137">
        <f t="shared" si="0"/>
        <v>2998.11320754717</v>
      </c>
    </row>
    <row r="35" s="136" customFormat="1" spans="1:11">
      <c r="A35" s="136" t="s">
        <v>1302</v>
      </c>
      <c r="B35" s="136" t="s">
        <v>44</v>
      </c>
      <c r="C35" s="136" t="s">
        <v>1280</v>
      </c>
      <c r="D35" s="138">
        <v>11082955.751234</v>
      </c>
      <c r="E35" s="138">
        <v>9756164.55123395</v>
      </c>
      <c r="F35" s="138"/>
      <c r="G35" s="138"/>
      <c r="H35" s="138">
        <v>0</v>
      </c>
      <c r="I35" s="138">
        <v>0</v>
      </c>
      <c r="J35" s="138">
        <v>0</v>
      </c>
      <c r="K35" s="137">
        <f t="shared" si="0"/>
        <v>1251689.8113208</v>
      </c>
    </row>
    <row r="36" spans="1:11">
      <c r="A36" t="s">
        <v>1303</v>
      </c>
      <c r="B36" t="s">
        <v>44</v>
      </c>
      <c r="C36" t="s">
        <v>1280</v>
      </c>
      <c r="D36" s="137">
        <v>295638.065</v>
      </c>
      <c r="E36" s="137">
        <v>265305.8</v>
      </c>
      <c r="J36" s="137">
        <v>0</v>
      </c>
      <c r="K36" s="137">
        <f t="shared" si="0"/>
        <v>28615.3443396227</v>
      </c>
    </row>
    <row r="37" s="136" customFormat="1" spans="1:11">
      <c r="A37" s="136" t="s">
        <v>1304</v>
      </c>
      <c r="B37" s="136" t="s">
        <v>44</v>
      </c>
      <c r="C37" s="136" t="s">
        <v>1280</v>
      </c>
      <c r="D37" s="138">
        <v>3445300.9</v>
      </c>
      <c r="E37" s="138">
        <v>3444266.59</v>
      </c>
      <c r="F37" s="138"/>
      <c r="G37" s="138"/>
      <c r="H37" s="138">
        <v>0</v>
      </c>
      <c r="I37" s="138">
        <v>0</v>
      </c>
      <c r="J37" s="138">
        <v>0</v>
      </c>
      <c r="K37" s="137">
        <f t="shared" si="0"/>
        <v>975.764150943449</v>
      </c>
    </row>
    <row r="38" spans="1:11">
      <c r="A38" t="s">
        <v>1305</v>
      </c>
      <c r="B38" t="s">
        <v>44</v>
      </c>
      <c r="C38" t="s">
        <v>1280</v>
      </c>
      <c r="D38" s="137">
        <v>5278621.92579867</v>
      </c>
      <c r="E38" s="137">
        <v>5278621.93</v>
      </c>
      <c r="H38" s="137">
        <v>0</v>
      </c>
      <c r="I38" s="137">
        <v>0</v>
      </c>
      <c r="J38" s="137">
        <v>0</v>
      </c>
      <c r="K38" s="137">
        <f t="shared" si="0"/>
        <v>-0.00396351822001754</v>
      </c>
    </row>
    <row r="39" spans="1:11">
      <c r="A39" t="s">
        <v>1306</v>
      </c>
      <c r="B39" t="s">
        <v>605</v>
      </c>
      <c r="C39" t="s">
        <v>1280</v>
      </c>
      <c r="D39" s="137">
        <v>2040000</v>
      </c>
      <c r="E39" s="137">
        <v>1515000</v>
      </c>
      <c r="H39" s="137">
        <v>0</v>
      </c>
      <c r="I39" s="137">
        <v>0</v>
      </c>
      <c r="J39" s="137">
        <v>0</v>
      </c>
      <c r="K39" s="137">
        <f t="shared" si="0"/>
        <v>495283.018867925</v>
      </c>
    </row>
    <row r="40" customFormat="1" spans="4:11">
      <c r="D40" s="137">
        <f t="shared" ref="D40:K40" si="1">SUM(D2:D39)</f>
        <v>1109961521.7649</v>
      </c>
      <c r="E40" s="137">
        <f t="shared" si="1"/>
        <v>1084595747.17846</v>
      </c>
      <c r="F40" s="137">
        <f t="shared" si="1"/>
        <v>117515324.557134</v>
      </c>
      <c r="G40" s="137">
        <f t="shared" si="1"/>
        <v>3794134.70818355</v>
      </c>
      <c r="H40" s="137">
        <f t="shared" si="1"/>
        <v>172223349.442906</v>
      </c>
      <c r="I40" s="137">
        <f t="shared" si="1"/>
        <v>63429399.3929</v>
      </c>
      <c r="J40" s="137">
        <f t="shared" si="1"/>
        <v>108793950.050006</v>
      </c>
      <c r="K40" s="137">
        <f t="shared" si="1"/>
        <v>138587624.46628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1100"/>
  <sheetViews>
    <sheetView workbookViewId="0">
      <selection activeCell="F43" sqref="F43"/>
    </sheetView>
  </sheetViews>
  <sheetFormatPr defaultColWidth="8.725" defaultRowHeight="12"/>
  <cols>
    <col min="1" max="1" width="14.3666666666667" style="77" customWidth="1"/>
    <col min="2" max="3" width="33.0916666666667" style="77" customWidth="1"/>
    <col min="4" max="4" width="16.0916666666667" style="83" customWidth="1"/>
    <col min="5" max="5" width="8" style="77" customWidth="1"/>
    <col min="6" max="6" width="14.45" style="77" customWidth="1"/>
    <col min="7" max="7" width="14.0916666666667" style="77" customWidth="1"/>
    <col min="8" max="8" width="19.9083333333333" style="83" customWidth="1"/>
    <col min="9" max="9" width="11.45" style="84" customWidth="1"/>
    <col min="10" max="10" width="13" style="84" customWidth="1"/>
    <col min="11" max="11" width="11.45" style="84" customWidth="1"/>
    <col min="12" max="12" width="57.0916666666667" style="83" customWidth="1"/>
    <col min="13" max="16384" width="8.725" style="77"/>
  </cols>
  <sheetData>
    <row r="1" ht="14.25" spans="1:12">
      <c r="A1" s="85" t="s">
        <v>1270</v>
      </c>
      <c r="B1" s="85" t="s">
        <v>1271</v>
      </c>
      <c r="C1" s="85" t="s">
        <v>1307</v>
      </c>
      <c r="D1" s="85" t="s">
        <v>1272</v>
      </c>
      <c r="E1" s="85" t="s">
        <v>12</v>
      </c>
      <c r="F1" s="86" t="s">
        <v>29</v>
      </c>
      <c r="G1" s="86" t="s">
        <v>1308</v>
      </c>
      <c r="H1" s="87" t="s">
        <v>1309</v>
      </c>
      <c r="I1" s="115" t="s">
        <v>1310</v>
      </c>
      <c r="J1" s="115" t="s">
        <v>1311</v>
      </c>
      <c r="K1" s="115" t="s">
        <v>1312</v>
      </c>
      <c r="L1" s="85" t="s">
        <v>36</v>
      </c>
    </row>
    <row r="2" ht="14.25" hidden="1" spans="1:12">
      <c r="A2" s="88" t="s">
        <v>1313</v>
      </c>
      <c r="B2" s="89" t="s">
        <v>44</v>
      </c>
      <c r="C2" s="89" t="s">
        <v>1314</v>
      </c>
      <c r="D2" s="90" t="s">
        <v>1280</v>
      </c>
      <c r="E2" s="90" t="s">
        <v>46</v>
      </c>
      <c r="F2" s="91">
        <v>5278621.93</v>
      </c>
      <c r="G2" s="91">
        <v>5278621.93</v>
      </c>
      <c r="H2" s="92">
        <v>0</v>
      </c>
      <c r="I2" s="113">
        <f t="shared" ref="I2:I13" si="0">G2*H2</f>
        <v>0</v>
      </c>
      <c r="J2" s="113">
        <v>0</v>
      </c>
      <c r="K2" s="113">
        <f t="shared" ref="K2:K48" si="1">I2-J2</f>
        <v>0</v>
      </c>
      <c r="L2" s="116" t="s">
        <v>1315</v>
      </c>
    </row>
    <row r="3" ht="14.25" hidden="1" spans="1:12">
      <c r="A3" s="88" t="s">
        <v>158</v>
      </c>
      <c r="B3" s="89" t="s">
        <v>159</v>
      </c>
      <c r="C3" s="89" t="s">
        <v>159</v>
      </c>
      <c r="D3" s="90" t="s">
        <v>1280</v>
      </c>
      <c r="E3" s="90" t="s">
        <v>160</v>
      </c>
      <c r="F3" s="93">
        <v>4897000</v>
      </c>
      <c r="G3" s="93">
        <v>4897000</v>
      </c>
      <c r="H3" s="94">
        <v>0</v>
      </c>
      <c r="I3" s="117">
        <f t="shared" si="0"/>
        <v>0</v>
      </c>
      <c r="J3" s="117">
        <v>0</v>
      </c>
      <c r="K3" s="117">
        <f t="shared" si="1"/>
        <v>0</v>
      </c>
      <c r="L3" s="118"/>
    </row>
    <row r="4" ht="14.25" hidden="1" spans="1:12">
      <c r="A4" s="88" t="s">
        <v>227</v>
      </c>
      <c r="B4" s="89" t="s">
        <v>228</v>
      </c>
      <c r="C4" s="89" t="s">
        <v>228</v>
      </c>
      <c r="D4" s="90" t="s">
        <v>1280</v>
      </c>
      <c r="E4" s="90" t="s">
        <v>185</v>
      </c>
      <c r="F4" s="93">
        <v>34608063.39</v>
      </c>
      <c r="G4" s="93">
        <v>34608063.39</v>
      </c>
      <c r="H4" s="94">
        <v>0.09</v>
      </c>
      <c r="I4" s="117">
        <v>3114725.72</v>
      </c>
      <c r="J4" s="117"/>
      <c r="K4" s="117">
        <f t="shared" si="1"/>
        <v>3114725.72</v>
      </c>
      <c r="L4" s="118"/>
    </row>
    <row r="5" ht="14.25" hidden="1" spans="1:12">
      <c r="A5" s="88" t="s">
        <v>227</v>
      </c>
      <c r="B5" s="89" t="s">
        <v>228</v>
      </c>
      <c r="C5" s="89" t="s">
        <v>228</v>
      </c>
      <c r="D5" s="90" t="s">
        <v>1280</v>
      </c>
      <c r="E5" s="90" t="s">
        <v>185</v>
      </c>
      <c r="F5" s="93">
        <v>179025.68</v>
      </c>
      <c r="G5" s="93">
        <v>179025.68</v>
      </c>
      <c r="H5" s="94">
        <v>0.13</v>
      </c>
      <c r="I5" s="117">
        <v>13749.2249074074</v>
      </c>
      <c r="J5" s="117"/>
      <c r="K5" s="117">
        <f t="shared" si="1"/>
        <v>13749.2249074074</v>
      </c>
      <c r="L5" s="118"/>
    </row>
    <row r="6" ht="14.25" hidden="1" spans="1:12">
      <c r="A6" s="88" t="s">
        <v>227</v>
      </c>
      <c r="B6" s="89" t="s">
        <v>228</v>
      </c>
      <c r="C6" s="89" t="s">
        <v>228</v>
      </c>
      <c r="D6" s="90" t="s">
        <v>1280</v>
      </c>
      <c r="E6" s="88" t="s">
        <v>1316</v>
      </c>
      <c r="F6" s="93">
        <v>5647486.33</v>
      </c>
      <c r="G6" s="93">
        <v>5647486.33</v>
      </c>
      <c r="H6" s="94">
        <v>0.09</v>
      </c>
      <c r="I6" s="117">
        <v>508273.7697</v>
      </c>
      <c r="J6" s="117"/>
      <c r="K6" s="117">
        <f t="shared" si="1"/>
        <v>508273.7697</v>
      </c>
      <c r="L6" s="118"/>
    </row>
    <row r="7" ht="14.25" hidden="1" spans="1:12">
      <c r="A7" s="88" t="s">
        <v>227</v>
      </c>
      <c r="B7" s="89" t="s">
        <v>228</v>
      </c>
      <c r="C7" s="89" t="s">
        <v>228</v>
      </c>
      <c r="D7" s="90" t="s">
        <v>1280</v>
      </c>
      <c r="E7" s="88" t="s">
        <v>1316</v>
      </c>
      <c r="F7" s="93">
        <v>84833.33</v>
      </c>
      <c r="G7" s="93">
        <v>84833.33</v>
      </c>
      <c r="H7" s="94">
        <v>0.13</v>
      </c>
      <c r="I7" s="117">
        <v>20552.4463925926</v>
      </c>
      <c r="J7" s="117">
        <v>0</v>
      </c>
      <c r="K7" s="117">
        <f t="shared" si="1"/>
        <v>20552.4463925926</v>
      </c>
      <c r="L7" s="118"/>
    </row>
    <row r="8" ht="14.25" hidden="1" spans="1:12">
      <c r="A8" s="88" t="s">
        <v>1072</v>
      </c>
      <c r="B8" s="89" t="s">
        <v>1073</v>
      </c>
      <c r="C8" s="89" t="s">
        <v>1317</v>
      </c>
      <c r="D8" s="90" t="s">
        <v>1280</v>
      </c>
      <c r="E8" s="88" t="s">
        <v>183</v>
      </c>
      <c r="F8" s="95">
        <v>20000</v>
      </c>
      <c r="G8" s="95">
        <v>20000</v>
      </c>
      <c r="H8" s="96">
        <v>0</v>
      </c>
      <c r="I8" s="117">
        <f t="shared" si="0"/>
        <v>0</v>
      </c>
      <c r="J8" s="117">
        <v>0</v>
      </c>
      <c r="K8" s="117">
        <f t="shared" si="1"/>
        <v>0</v>
      </c>
      <c r="L8" s="118"/>
    </row>
    <row r="9" ht="14.25" hidden="1" spans="1:12">
      <c r="A9" s="88" t="s">
        <v>1318</v>
      </c>
      <c r="B9" s="89" t="s">
        <v>44</v>
      </c>
      <c r="C9" s="89" t="s">
        <v>1319</v>
      </c>
      <c r="D9" s="90" t="s">
        <v>1280</v>
      </c>
      <c r="E9" s="90" t="s">
        <v>46</v>
      </c>
      <c r="F9" s="93">
        <v>3444266.59</v>
      </c>
      <c r="G9" s="93">
        <v>3444266.59</v>
      </c>
      <c r="H9" s="94">
        <v>0</v>
      </c>
      <c r="I9" s="117">
        <f t="shared" si="0"/>
        <v>0</v>
      </c>
      <c r="J9" s="117">
        <v>0</v>
      </c>
      <c r="K9" s="117">
        <f t="shared" si="1"/>
        <v>0</v>
      </c>
      <c r="L9" s="118"/>
    </row>
    <row r="10" ht="14.25" hidden="1" spans="1:12">
      <c r="A10" s="88" t="s">
        <v>1320</v>
      </c>
      <c r="B10" s="89" t="s">
        <v>44</v>
      </c>
      <c r="C10" s="88" t="s">
        <v>1321</v>
      </c>
      <c r="D10" s="90" t="s">
        <v>1280</v>
      </c>
      <c r="E10" s="95" t="s">
        <v>185</v>
      </c>
      <c r="F10" s="95">
        <v>3213516.95403581</v>
      </c>
      <c r="G10" s="95">
        <v>3213516.95403581</v>
      </c>
      <c r="H10" s="94">
        <v>0</v>
      </c>
      <c r="I10" s="117">
        <f t="shared" si="0"/>
        <v>0</v>
      </c>
      <c r="J10" s="117">
        <v>0</v>
      </c>
      <c r="K10" s="117">
        <f t="shared" si="1"/>
        <v>0</v>
      </c>
      <c r="L10" s="118"/>
    </row>
    <row r="11" ht="14.25" hidden="1" spans="1:12">
      <c r="A11" s="88" t="s">
        <v>1320</v>
      </c>
      <c r="B11" s="89" t="s">
        <v>44</v>
      </c>
      <c r="C11" s="88" t="s">
        <v>1321</v>
      </c>
      <c r="D11" s="90" t="s">
        <v>1280</v>
      </c>
      <c r="E11" s="95" t="s">
        <v>46</v>
      </c>
      <c r="F11" s="95">
        <v>522615.247198139</v>
      </c>
      <c r="G11" s="95">
        <v>522615.247198139</v>
      </c>
      <c r="H11" s="94">
        <v>0</v>
      </c>
      <c r="I11" s="117">
        <f t="shared" si="0"/>
        <v>0</v>
      </c>
      <c r="J11" s="117">
        <v>0</v>
      </c>
      <c r="K11" s="117">
        <f t="shared" si="1"/>
        <v>0</v>
      </c>
      <c r="L11" s="118"/>
    </row>
    <row r="12" ht="14.25" hidden="1" spans="1:12">
      <c r="A12" s="88" t="s">
        <v>1320</v>
      </c>
      <c r="B12" s="89" t="s">
        <v>44</v>
      </c>
      <c r="C12" s="88" t="s">
        <v>1321</v>
      </c>
      <c r="D12" s="90" t="s">
        <v>1280</v>
      </c>
      <c r="E12" s="97" t="s">
        <v>183</v>
      </c>
      <c r="F12" s="95">
        <v>26351.35</v>
      </c>
      <c r="G12" s="95">
        <v>26351.35</v>
      </c>
      <c r="H12" s="94">
        <v>0</v>
      </c>
      <c r="I12" s="117">
        <f t="shared" si="0"/>
        <v>0</v>
      </c>
      <c r="J12" s="117">
        <v>0</v>
      </c>
      <c r="K12" s="117">
        <f t="shared" si="1"/>
        <v>0</v>
      </c>
      <c r="L12" s="119"/>
    </row>
    <row r="13" ht="14.25" hidden="1" spans="1:12">
      <c r="A13" s="88" t="s">
        <v>1320</v>
      </c>
      <c r="B13" s="89" t="s">
        <v>44</v>
      </c>
      <c r="C13" s="88" t="s">
        <v>1321</v>
      </c>
      <c r="D13" s="90" t="s">
        <v>1280</v>
      </c>
      <c r="E13" s="97" t="s">
        <v>178</v>
      </c>
      <c r="F13" s="95">
        <v>5993681</v>
      </c>
      <c r="G13" s="95">
        <v>5993681</v>
      </c>
      <c r="H13" s="94">
        <v>0</v>
      </c>
      <c r="I13" s="111">
        <f t="shared" si="0"/>
        <v>0</v>
      </c>
      <c r="J13" s="117">
        <v>0</v>
      </c>
      <c r="K13" s="117">
        <f t="shared" si="1"/>
        <v>0</v>
      </c>
      <c r="L13" s="90"/>
    </row>
    <row r="14" s="77" customFormat="1" ht="14.25" hidden="1" spans="1:12">
      <c r="A14" s="88" t="s">
        <v>1322</v>
      </c>
      <c r="B14" s="89" t="s">
        <v>577</v>
      </c>
      <c r="C14" s="89" t="s">
        <v>577</v>
      </c>
      <c r="D14" s="90" t="s">
        <v>1280</v>
      </c>
      <c r="E14" s="90" t="s">
        <v>46</v>
      </c>
      <c r="F14" s="95">
        <v>242516775.009261</v>
      </c>
      <c r="G14" s="95">
        <v>247223320.2872</v>
      </c>
      <c r="H14" s="98">
        <v>0.100650209412708</v>
      </c>
      <c r="I14" s="111">
        <v>24883078.9586116</v>
      </c>
      <c r="J14" s="113">
        <v>3839008.14675</v>
      </c>
      <c r="K14" s="117">
        <f t="shared" si="1"/>
        <v>21044070.8118616</v>
      </c>
      <c r="L14" s="88" t="s">
        <v>1323</v>
      </c>
    </row>
    <row r="15" s="77" customFormat="1" ht="14.25" hidden="1" spans="1:12">
      <c r="A15" s="88" t="s">
        <v>1322</v>
      </c>
      <c r="B15" s="89" t="s">
        <v>577</v>
      </c>
      <c r="C15" s="89" t="s">
        <v>577</v>
      </c>
      <c r="D15" s="90" t="s">
        <v>1280</v>
      </c>
      <c r="E15" s="90" t="s">
        <v>185</v>
      </c>
      <c r="F15" s="95">
        <v>248466839.585375</v>
      </c>
      <c r="G15" s="95">
        <v>253423518.08622</v>
      </c>
      <c r="H15" s="98">
        <v>0.322080670120665</v>
      </c>
      <c r="I15" s="111">
        <v>81622816.5295461</v>
      </c>
      <c r="J15" s="113">
        <v>8302232.68957105</v>
      </c>
      <c r="K15" s="117">
        <f t="shared" si="1"/>
        <v>73320583.839975</v>
      </c>
      <c r="L15" s="120"/>
    </row>
    <row r="16" s="77" customFormat="1" ht="14.25" hidden="1" spans="1:12">
      <c r="A16" s="88" t="s">
        <v>1322</v>
      </c>
      <c r="B16" s="89" t="s">
        <v>577</v>
      </c>
      <c r="C16" s="89" t="s">
        <v>577</v>
      </c>
      <c r="D16" s="90" t="s">
        <v>1280</v>
      </c>
      <c r="E16" s="90" t="s">
        <v>160</v>
      </c>
      <c r="F16" s="95">
        <v>7413164.78306119</v>
      </c>
      <c r="G16" s="95">
        <v>7656713.64</v>
      </c>
      <c r="H16" s="98">
        <v>0.100650209412708</v>
      </c>
      <c r="I16" s="111">
        <v>770649.831279135</v>
      </c>
      <c r="J16" s="113">
        <v>61929.67725</v>
      </c>
      <c r="K16" s="117">
        <f t="shared" si="1"/>
        <v>708720.154029135</v>
      </c>
      <c r="L16" s="120"/>
    </row>
    <row r="17" s="77" customFormat="1" ht="14.25" hidden="1" spans="1:12">
      <c r="A17" s="88" t="s">
        <v>1322</v>
      </c>
      <c r="B17" s="89" t="s">
        <v>577</v>
      </c>
      <c r="C17" s="89" t="s">
        <v>577</v>
      </c>
      <c r="D17" s="90" t="s">
        <v>1280</v>
      </c>
      <c r="E17" s="90" t="s">
        <v>597</v>
      </c>
      <c r="F17" s="95">
        <v>17031776.3523035</v>
      </c>
      <c r="G17" s="95">
        <v>17280046.46</v>
      </c>
      <c r="H17" s="98">
        <v>0.362340753885748</v>
      </c>
      <c r="I17" s="111">
        <v>6261265.06149715</v>
      </c>
      <c r="J17" s="113">
        <v>312338.702328956</v>
      </c>
      <c r="K17" s="117">
        <f t="shared" si="1"/>
        <v>5948926.35916819</v>
      </c>
      <c r="L17" s="90"/>
    </row>
    <row r="18" s="77" customFormat="1" ht="14.25" hidden="1" spans="1:12">
      <c r="A18" s="99" t="s">
        <v>1324</v>
      </c>
      <c r="B18" s="100" t="s">
        <v>1133</v>
      </c>
      <c r="C18" s="100" t="s">
        <v>1133</v>
      </c>
      <c r="D18" s="101" t="s">
        <v>1325</v>
      </c>
      <c r="E18" s="101" t="s">
        <v>1326</v>
      </c>
      <c r="F18" s="91">
        <f>9693932.05+676211.09</f>
        <v>10370143.14</v>
      </c>
      <c r="G18" s="91">
        <v>0</v>
      </c>
      <c r="H18" s="102"/>
      <c r="I18" s="91"/>
      <c r="J18" s="91"/>
      <c r="K18" s="93">
        <f t="shared" si="1"/>
        <v>0</v>
      </c>
      <c r="L18" s="90"/>
    </row>
    <row r="19" s="77" customFormat="1" ht="14.25" hidden="1" spans="1:12">
      <c r="A19" s="88" t="s">
        <v>1327</v>
      </c>
      <c r="B19" s="89" t="s">
        <v>626</v>
      </c>
      <c r="C19" s="89" t="s">
        <v>1328</v>
      </c>
      <c r="D19" s="90" t="s">
        <v>1280</v>
      </c>
      <c r="E19" s="90" t="s">
        <v>46</v>
      </c>
      <c r="F19" s="95">
        <v>689359.96</v>
      </c>
      <c r="G19" s="95">
        <v>689359.96</v>
      </c>
      <c r="H19" s="98">
        <v>0.07</v>
      </c>
      <c r="I19" s="111">
        <v>53277.6118</v>
      </c>
      <c r="J19" s="113">
        <v>71748.78</v>
      </c>
      <c r="K19" s="117">
        <f t="shared" si="1"/>
        <v>-18471.1682</v>
      </c>
      <c r="L19" s="90" t="s">
        <v>1329</v>
      </c>
    </row>
    <row r="20" s="77" customFormat="1" ht="14.25" hidden="1" spans="1:12">
      <c r="A20" s="88" t="s">
        <v>1327</v>
      </c>
      <c r="B20" s="89" t="s">
        <v>626</v>
      </c>
      <c r="C20" s="89" t="s">
        <v>1328</v>
      </c>
      <c r="D20" s="90" t="s">
        <v>1280</v>
      </c>
      <c r="E20" s="90" t="s">
        <v>185</v>
      </c>
      <c r="F20" s="95">
        <v>91009.61</v>
      </c>
      <c r="G20" s="95">
        <v>91009.61</v>
      </c>
      <c r="H20" s="98">
        <v>0.2</v>
      </c>
      <c r="I20" s="111">
        <v>24790.606</v>
      </c>
      <c r="J20" s="113">
        <v>32943.42</v>
      </c>
      <c r="K20" s="117">
        <f t="shared" si="1"/>
        <v>-8152.814</v>
      </c>
      <c r="L20" s="90" t="s">
        <v>1330</v>
      </c>
    </row>
    <row r="21" s="77" customFormat="1" ht="14.25" hidden="1" spans="1:12">
      <c r="A21" s="88" t="s">
        <v>1327</v>
      </c>
      <c r="B21" s="89" t="s">
        <v>605</v>
      </c>
      <c r="C21" s="89" t="s">
        <v>1331</v>
      </c>
      <c r="D21" s="90" t="s">
        <v>1284</v>
      </c>
      <c r="E21" s="90" t="s">
        <v>46</v>
      </c>
      <c r="F21" s="95">
        <v>308842.05</v>
      </c>
      <c r="G21" s="95">
        <v>308842.05</v>
      </c>
      <c r="H21" s="98">
        <v>0.07</v>
      </c>
      <c r="I21" s="111">
        <v>21618.9435</v>
      </c>
      <c r="J21" s="111">
        <v>0</v>
      </c>
      <c r="K21" s="117">
        <f t="shared" si="1"/>
        <v>21618.9435</v>
      </c>
      <c r="L21" s="90"/>
    </row>
    <row r="22" s="77" customFormat="1" ht="14.25" hidden="1" spans="1:12">
      <c r="A22" s="88" t="s">
        <v>1327</v>
      </c>
      <c r="B22" s="89" t="s">
        <v>605</v>
      </c>
      <c r="C22" s="89" t="s">
        <v>1331</v>
      </c>
      <c r="D22" s="90" t="s">
        <v>1284</v>
      </c>
      <c r="E22" s="90" t="s">
        <v>185</v>
      </c>
      <c r="F22" s="95">
        <v>190453.56</v>
      </c>
      <c r="G22" s="95">
        <v>190453.56</v>
      </c>
      <c r="H22" s="98">
        <v>0.2</v>
      </c>
      <c r="I22" s="111">
        <v>38090.712</v>
      </c>
      <c r="J22" s="111">
        <v>0</v>
      </c>
      <c r="K22" s="117">
        <f t="shared" si="1"/>
        <v>38090.712</v>
      </c>
      <c r="L22" s="90"/>
    </row>
    <row r="23" s="77" customFormat="1" ht="14.25" hidden="1" spans="1:12">
      <c r="A23" s="88" t="s">
        <v>1327</v>
      </c>
      <c r="B23" s="89" t="s">
        <v>605</v>
      </c>
      <c r="C23" s="89" t="s">
        <v>1332</v>
      </c>
      <c r="D23" s="90" t="s">
        <v>1284</v>
      </c>
      <c r="E23" s="90" t="s">
        <v>46</v>
      </c>
      <c r="F23" s="95">
        <v>264603.9</v>
      </c>
      <c r="G23" s="95">
        <v>264603.9</v>
      </c>
      <c r="H23" s="98">
        <v>0</v>
      </c>
      <c r="I23" s="111">
        <v>0</v>
      </c>
      <c r="J23" s="111">
        <v>0</v>
      </c>
      <c r="K23" s="117">
        <f t="shared" si="1"/>
        <v>0</v>
      </c>
      <c r="L23" s="90"/>
    </row>
    <row r="24" s="77" customFormat="1" ht="14.25" hidden="1" spans="1:12">
      <c r="A24" s="88" t="s">
        <v>1327</v>
      </c>
      <c r="B24" s="89" t="s">
        <v>605</v>
      </c>
      <c r="C24" s="89" t="s">
        <v>1332</v>
      </c>
      <c r="D24" s="90" t="s">
        <v>1284</v>
      </c>
      <c r="E24" s="90" t="s">
        <v>185</v>
      </c>
      <c r="F24" s="95">
        <v>44135.6</v>
      </c>
      <c r="G24" s="95">
        <v>44135.6</v>
      </c>
      <c r="H24" s="98">
        <v>0</v>
      </c>
      <c r="I24" s="111">
        <v>0</v>
      </c>
      <c r="J24" s="111">
        <v>0</v>
      </c>
      <c r="K24" s="117">
        <f t="shared" si="1"/>
        <v>0</v>
      </c>
      <c r="L24" s="90"/>
    </row>
    <row r="25" s="78" customFormat="1" ht="14.25" hidden="1" spans="1:12">
      <c r="A25" s="99" t="s">
        <v>1333</v>
      </c>
      <c r="B25" s="100" t="s">
        <v>1133</v>
      </c>
      <c r="C25" s="100" t="s">
        <v>1133</v>
      </c>
      <c r="D25" s="101" t="s">
        <v>1325</v>
      </c>
      <c r="E25" s="101" t="s">
        <v>1326</v>
      </c>
      <c r="F25" s="91">
        <v>19063.6</v>
      </c>
      <c r="G25" s="91">
        <v>0</v>
      </c>
      <c r="H25" s="102"/>
      <c r="I25" s="91"/>
      <c r="J25" s="91"/>
      <c r="K25" s="93">
        <f t="shared" si="1"/>
        <v>0</v>
      </c>
      <c r="L25" s="101"/>
    </row>
    <row r="26" s="77" customFormat="1" ht="14.25" hidden="1" spans="1:12">
      <c r="A26" s="88" t="s">
        <v>1334</v>
      </c>
      <c r="B26" s="89" t="s">
        <v>205</v>
      </c>
      <c r="C26" s="89" t="s">
        <v>1335</v>
      </c>
      <c r="D26" s="90" t="s">
        <v>1280</v>
      </c>
      <c r="E26" s="90" t="s">
        <v>46</v>
      </c>
      <c r="F26" s="95">
        <v>2107239.86</v>
      </c>
      <c r="G26" s="95">
        <v>2107239.86</v>
      </c>
      <c r="H26" s="98">
        <v>0.07</v>
      </c>
      <c r="I26" s="111">
        <v>147506.7902</v>
      </c>
      <c r="J26" s="111">
        <v>0</v>
      </c>
      <c r="K26" s="117">
        <f t="shared" si="1"/>
        <v>147506.7902</v>
      </c>
      <c r="L26" s="90"/>
    </row>
    <row r="27" s="77" customFormat="1" ht="14.25" hidden="1" spans="1:12">
      <c r="A27" s="88" t="s">
        <v>1334</v>
      </c>
      <c r="B27" s="89" t="s">
        <v>205</v>
      </c>
      <c r="C27" s="89" t="s">
        <v>1335</v>
      </c>
      <c r="D27" s="90" t="s">
        <v>1280</v>
      </c>
      <c r="E27" s="90" t="s">
        <v>185</v>
      </c>
      <c r="F27" s="95">
        <v>863531.13</v>
      </c>
      <c r="G27" s="95">
        <v>863531.13</v>
      </c>
      <c r="H27" s="98">
        <v>0.2</v>
      </c>
      <c r="I27" s="111">
        <v>172706.226</v>
      </c>
      <c r="J27" s="111">
        <v>0</v>
      </c>
      <c r="K27" s="117">
        <f t="shared" si="1"/>
        <v>172706.226</v>
      </c>
      <c r="L27" s="90"/>
    </row>
    <row r="28" s="77" customFormat="1" ht="14.25" hidden="1" spans="1:12">
      <c r="A28" s="88" t="s">
        <v>1334</v>
      </c>
      <c r="B28" s="89" t="s">
        <v>605</v>
      </c>
      <c r="C28" s="89" t="s">
        <v>1336</v>
      </c>
      <c r="D28" s="90" t="s">
        <v>1284</v>
      </c>
      <c r="E28" s="90" t="s">
        <v>46</v>
      </c>
      <c r="F28" s="95">
        <v>307891.94</v>
      </c>
      <c r="G28" s="95">
        <v>307891.94</v>
      </c>
      <c r="H28" s="98">
        <v>0.07</v>
      </c>
      <c r="I28" s="111">
        <v>21552.4358</v>
      </c>
      <c r="J28" s="111">
        <v>0</v>
      </c>
      <c r="K28" s="117">
        <f t="shared" si="1"/>
        <v>21552.4358</v>
      </c>
      <c r="L28" s="90"/>
    </row>
    <row r="29" s="77" customFormat="1" ht="14.25" hidden="1" spans="1:12">
      <c r="A29" s="88" t="s">
        <v>1334</v>
      </c>
      <c r="B29" s="89" t="s">
        <v>605</v>
      </c>
      <c r="C29" s="89" t="s">
        <v>1336</v>
      </c>
      <c r="D29" s="90" t="s">
        <v>1284</v>
      </c>
      <c r="E29" s="90" t="s">
        <v>185</v>
      </c>
      <c r="F29" s="95">
        <v>400774.7</v>
      </c>
      <c r="G29" s="95">
        <v>400774.7</v>
      </c>
      <c r="H29" s="98">
        <v>0.2</v>
      </c>
      <c r="I29" s="111">
        <v>80154.94</v>
      </c>
      <c r="J29" s="111">
        <v>0</v>
      </c>
      <c r="K29" s="117">
        <f t="shared" si="1"/>
        <v>80154.94</v>
      </c>
      <c r="L29" s="90"/>
    </row>
    <row r="30" ht="14.25" hidden="1" spans="1:12">
      <c r="A30" s="88" t="s">
        <v>243</v>
      </c>
      <c r="B30" s="89" t="s">
        <v>244</v>
      </c>
      <c r="C30" s="89" t="s">
        <v>1337</v>
      </c>
      <c r="D30" s="90" t="s">
        <v>1338</v>
      </c>
      <c r="E30" s="90" t="s">
        <v>46</v>
      </c>
      <c r="F30" s="95">
        <v>5734458</v>
      </c>
      <c r="G30" s="95">
        <v>0</v>
      </c>
      <c r="H30" s="98">
        <v>0</v>
      </c>
      <c r="I30" s="111">
        <v>0</v>
      </c>
      <c r="J30" s="111">
        <v>0</v>
      </c>
      <c r="K30" s="117">
        <f t="shared" si="1"/>
        <v>0</v>
      </c>
      <c r="L30" s="90"/>
    </row>
    <row r="31" ht="14.25" hidden="1" spans="1:12">
      <c r="A31" s="88" t="s">
        <v>243</v>
      </c>
      <c r="B31" s="89" t="s">
        <v>244</v>
      </c>
      <c r="C31" s="89" t="s">
        <v>1339</v>
      </c>
      <c r="D31" s="90" t="s">
        <v>1294</v>
      </c>
      <c r="E31" s="90" t="s">
        <v>46</v>
      </c>
      <c r="F31" s="95">
        <v>18315273.34</v>
      </c>
      <c r="G31" s="95">
        <v>20024218.63</v>
      </c>
      <c r="H31" s="98">
        <v>0.176470588235294</v>
      </c>
      <c r="I31" s="111">
        <v>3533685.64058823</v>
      </c>
      <c r="J31" s="111">
        <v>3533685.64</v>
      </c>
      <c r="K31" s="117">
        <f t="shared" si="1"/>
        <v>0.000588229857385159</v>
      </c>
      <c r="L31" s="88" t="s">
        <v>1340</v>
      </c>
    </row>
    <row r="32" ht="14.25" hidden="1" spans="1:12">
      <c r="A32" s="88" t="s">
        <v>243</v>
      </c>
      <c r="B32" s="89" t="s">
        <v>244</v>
      </c>
      <c r="C32" s="89" t="s">
        <v>1339</v>
      </c>
      <c r="D32" s="90" t="s">
        <v>1294</v>
      </c>
      <c r="E32" s="90" t="s">
        <v>160</v>
      </c>
      <c r="F32" s="95">
        <v>2510000</v>
      </c>
      <c r="G32" s="95">
        <v>0</v>
      </c>
      <c r="H32" s="98">
        <v>0</v>
      </c>
      <c r="I32" s="111">
        <v>0</v>
      </c>
      <c r="J32" s="111">
        <v>0</v>
      </c>
      <c r="K32" s="117">
        <f t="shared" si="1"/>
        <v>0</v>
      </c>
      <c r="L32" s="88" t="s">
        <v>1341</v>
      </c>
    </row>
    <row r="33" s="77" customFormat="1" ht="14.25" hidden="1" spans="1:13">
      <c r="A33" s="90" t="s">
        <v>1342</v>
      </c>
      <c r="B33" s="89" t="s">
        <v>171</v>
      </c>
      <c r="C33" s="89" t="s">
        <v>171</v>
      </c>
      <c r="D33" s="90" t="s">
        <v>1280</v>
      </c>
      <c r="E33" s="90" t="s">
        <v>46</v>
      </c>
      <c r="F33" s="95">
        <v>367615644.98</v>
      </c>
      <c r="G33" s="95">
        <v>388548762.33</v>
      </c>
      <c r="H33" s="98">
        <v>0.112691732739812</v>
      </c>
      <c r="I33" s="111">
        <f>G33*H33</f>
        <v>43786233.2808771</v>
      </c>
      <c r="J33" s="113">
        <v>41721069.5550573</v>
      </c>
      <c r="K33" s="117">
        <f t="shared" si="1"/>
        <v>2065163.7258198</v>
      </c>
      <c r="L33" s="90" t="s">
        <v>1343</v>
      </c>
      <c r="M33" s="121" t="s">
        <v>1344</v>
      </c>
    </row>
    <row r="34" s="77" customFormat="1" ht="14.25" hidden="1" spans="1:13">
      <c r="A34" s="90" t="s">
        <v>1342</v>
      </c>
      <c r="B34" s="89" t="s">
        <v>171</v>
      </c>
      <c r="C34" s="89" t="s">
        <v>171</v>
      </c>
      <c r="D34" s="90" t="s">
        <v>1280</v>
      </c>
      <c r="E34" s="90" t="s">
        <v>185</v>
      </c>
      <c r="F34" s="95">
        <v>9457464.28045769</v>
      </c>
      <c r="G34" s="95">
        <v>9792223.7364</v>
      </c>
      <c r="H34" s="98">
        <v>0.112691732739812</v>
      </c>
      <c r="I34" s="111">
        <f t="shared" ref="I34:I35" si="2">G34*H34</f>
        <v>1103502.66023083</v>
      </c>
      <c r="J34" s="113">
        <v>927119.229542307</v>
      </c>
      <c r="K34" s="117">
        <f t="shared" si="1"/>
        <v>176383.430688523</v>
      </c>
      <c r="L34" s="90" t="s">
        <v>1343</v>
      </c>
      <c r="M34" s="121"/>
    </row>
    <row r="35" s="77" customFormat="1" ht="14.25" hidden="1" spans="1:13">
      <c r="A35" s="90" t="s">
        <v>1342</v>
      </c>
      <c r="B35" s="89" t="s">
        <v>171</v>
      </c>
      <c r="C35" s="89" t="s">
        <v>171</v>
      </c>
      <c r="D35" s="90" t="s">
        <v>1280</v>
      </c>
      <c r="E35" s="90" t="s">
        <v>160</v>
      </c>
      <c r="F35" s="95">
        <v>4780184.8175996</v>
      </c>
      <c r="G35" s="95">
        <v>3486303.65</v>
      </c>
      <c r="H35" s="98">
        <v>0.112691732739812</v>
      </c>
      <c r="I35" s="111">
        <f t="shared" si="2"/>
        <v>392877.599175631</v>
      </c>
      <c r="J35" s="113">
        <v>1006647.0824004</v>
      </c>
      <c r="K35" s="117">
        <f t="shared" si="1"/>
        <v>-613769.483224769</v>
      </c>
      <c r="L35" s="90" t="s">
        <v>1343</v>
      </c>
      <c r="M35" s="121">
        <v>5790132.907</v>
      </c>
    </row>
    <row r="36" s="78" customFormat="1" ht="14.25" hidden="1" spans="1:12">
      <c r="A36" s="101" t="s">
        <v>1345</v>
      </c>
      <c r="B36" s="100" t="s">
        <v>1133</v>
      </c>
      <c r="C36" s="100" t="s">
        <v>1133</v>
      </c>
      <c r="D36" s="101" t="s">
        <v>1325</v>
      </c>
      <c r="E36" s="101" t="s">
        <v>1326</v>
      </c>
      <c r="F36" s="91">
        <v>21320943.48</v>
      </c>
      <c r="G36" s="91">
        <v>0</v>
      </c>
      <c r="H36" s="102"/>
      <c r="I36" s="91"/>
      <c r="J36" s="91"/>
      <c r="K36" s="93">
        <f t="shared" si="1"/>
        <v>0</v>
      </c>
      <c r="L36" s="101"/>
    </row>
    <row r="37" s="77" customFormat="1" ht="14.25" hidden="1" spans="1:12">
      <c r="A37" s="90" t="s">
        <v>1346</v>
      </c>
      <c r="B37" s="89" t="s">
        <v>605</v>
      </c>
      <c r="C37" s="89" t="s">
        <v>1347</v>
      </c>
      <c r="D37" s="90" t="s">
        <v>1348</v>
      </c>
      <c r="E37" s="90" t="s">
        <v>46</v>
      </c>
      <c r="F37" s="95">
        <v>3345018.2</v>
      </c>
      <c r="G37" s="95">
        <v>3345018.2</v>
      </c>
      <c r="H37" s="98">
        <v>0.06</v>
      </c>
      <c r="I37" s="111">
        <v>200701.092</v>
      </c>
      <c r="J37" s="111">
        <v>0</v>
      </c>
      <c r="K37" s="117">
        <f t="shared" si="1"/>
        <v>200701.092</v>
      </c>
      <c r="L37" s="90"/>
    </row>
    <row r="38" s="77" customFormat="1" ht="14.25" hidden="1" spans="1:12">
      <c r="A38" s="90" t="s">
        <v>1346</v>
      </c>
      <c r="B38" s="89" t="s">
        <v>605</v>
      </c>
      <c r="C38" s="89" t="s">
        <v>1349</v>
      </c>
      <c r="D38" s="90" t="s">
        <v>1287</v>
      </c>
      <c r="E38" s="90" t="s">
        <v>46</v>
      </c>
      <c r="F38" s="95">
        <v>10188559.6</v>
      </c>
      <c r="G38" s="95">
        <v>10188559.6</v>
      </c>
      <c r="H38" s="98">
        <v>0.06</v>
      </c>
      <c r="I38" s="111">
        <v>611313.576</v>
      </c>
      <c r="J38" s="111">
        <v>0</v>
      </c>
      <c r="K38" s="117">
        <f t="shared" si="1"/>
        <v>611313.576</v>
      </c>
      <c r="L38" s="90"/>
    </row>
    <row r="39" s="77" customFormat="1" ht="14.25" hidden="1" spans="1:12">
      <c r="A39" s="90" t="s">
        <v>1346</v>
      </c>
      <c r="B39" s="89" t="s">
        <v>605</v>
      </c>
      <c r="C39" s="89" t="s">
        <v>1349</v>
      </c>
      <c r="D39" s="90" t="s">
        <v>1287</v>
      </c>
      <c r="E39" s="90" t="s">
        <v>185</v>
      </c>
      <c r="F39" s="95">
        <v>4525.74</v>
      </c>
      <c r="G39" s="95">
        <v>4525.74</v>
      </c>
      <c r="H39" s="98">
        <v>0.1</v>
      </c>
      <c r="I39" s="111">
        <v>452.574</v>
      </c>
      <c r="J39" s="111">
        <v>0</v>
      </c>
      <c r="K39" s="117">
        <f t="shared" si="1"/>
        <v>452.574</v>
      </c>
      <c r="L39" s="90"/>
    </row>
    <row r="40" s="78" customFormat="1" ht="14.25" hidden="1" spans="1:12">
      <c r="A40" s="101" t="s">
        <v>1350</v>
      </c>
      <c r="B40" s="100" t="s">
        <v>1133</v>
      </c>
      <c r="C40" s="100" t="s">
        <v>1133</v>
      </c>
      <c r="D40" s="101" t="s">
        <v>1325</v>
      </c>
      <c r="E40" s="101" t="s">
        <v>1326</v>
      </c>
      <c r="F40" s="91">
        <v>129529.5</v>
      </c>
      <c r="G40" s="91">
        <v>0</v>
      </c>
      <c r="H40" s="102"/>
      <c r="I40" s="91"/>
      <c r="J40" s="91"/>
      <c r="K40" s="93">
        <f t="shared" si="1"/>
        <v>0</v>
      </c>
      <c r="L40" s="101"/>
    </row>
    <row r="41" s="77" customFormat="1" ht="14.25" spans="1:12">
      <c r="A41" s="90" t="s">
        <v>1351</v>
      </c>
      <c r="B41" s="89" t="s">
        <v>868</v>
      </c>
      <c r="C41" s="89" t="s">
        <v>868</v>
      </c>
      <c r="D41" s="90" t="s">
        <v>1285</v>
      </c>
      <c r="E41" s="90" t="s">
        <v>46</v>
      </c>
      <c r="F41" s="103">
        <v>5388836.21</v>
      </c>
      <c r="G41" s="103">
        <v>5869878.3</v>
      </c>
      <c r="H41" s="98">
        <v>0.1</v>
      </c>
      <c r="I41" s="111">
        <f>G41*H41</f>
        <v>586987.83</v>
      </c>
      <c r="J41" s="113">
        <v>169953</v>
      </c>
      <c r="K41" s="117">
        <f t="shared" si="1"/>
        <v>417034.83</v>
      </c>
      <c r="L41" s="90" t="s">
        <v>1352</v>
      </c>
    </row>
    <row r="42" s="77" customFormat="1" ht="14.25" spans="1:12">
      <c r="A42" s="90" t="s">
        <v>1351</v>
      </c>
      <c r="B42" s="89" t="s">
        <v>868</v>
      </c>
      <c r="C42" s="89" t="s">
        <v>868</v>
      </c>
      <c r="D42" s="90" t="s">
        <v>1285</v>
      </c>
      <c r="E42" s="90" t="s">
        <v>185</v>
      </c>
      <c r="F42" s="103">
        <v>139089.64</v>
      </c>
      <c r="G42" s="103">
        <v>134535.99</v>
      </c>
      <c r="H42" s="98">
        <v>0.1</v>
      </c>
      <c r="I42" s="111">
        <f>G42*H42</f>
        <v>13453.599</v>
      </c>
      <c r="J42" s="111">
        <v>0</v>
      </c>
      <c r="K42" s="117">
        <f t="shared" si="1"/>
        <v>13453.599</v>
      </c>
      <c r="L42" s="90"/>
    </row>
    <row r="43" s="77" customFormat="1" ht="14.25" spans="1:12">
      <c r="A43" s="90" t="s">
        <v>1351</v>
      </c>
      <c r="B43" s="89" t="s">
        <v>868</v>
      </c>
      <c r="C43" s="89" t="s">
        <v>868</v>
      </c>
      <c r="D43" s="90" t="s">
        <v>1285</v>
      </c>
      <c r="E43" s="90" t="s">
        <v>160</v>
      </c>
      <c r="F43" s="103">
        <v>70330</v>
      </c>
      <c r="G43" s="103">
        <v>0</v>
      </c>
      <c r="H43" s="98">
        <v>0</v>
      </c>
      <c r="I43" s="111">
        <v>0</v>
      </c>
      <c r="J43" s="111">
        <v>0</v>
      </c>
      <c r="K43" s="117">
        <f t="shared" si="1"/>
        <v>0</v>
      </c>
      <c r="L43" s="90"/>
    </row>
    <row r="44" s="77" customFormat="1" ht="14.25" spans="1:12">
      <c r="A44" s="90" t="s">
        <v>1351</v>
      </c>
      <c r="B44" s="89" t="s">
        <v>605</v>
      </c>
      <c r="C44" s="89" t="s">
        <v>1353</v>
      </c>
      <c r="D44" s="90" t="s">
        <v>1284</v>
      </c>
      <c r="E44" s="90" t="s">
        <v>46</v>
      </c>
      <c r="F44" s="95">
        <v>2981700</v>
      </c>
      <c r="G44" s="95">
        <v>2981700</v>
      </c>
      <c r="H44" s="98">
        <v>0.1</v>
      </c>
      <c r="I44" s="111">
        <v>298170</v>
      </c>
      <c r="J44" s="111">
        <v>0</v>
      </c>
      <c r="K44" s="117">
        <f t="shared" si="1"/>
        <v>298170</v>
      </c>
      <c r="L44" s="90"/>
    </row>
    <row r="45" s="77" customFormat="1" ht="14.25" spans="1:12">
      <c r="A45" s="90" t="s">
        <v>1351</v>
      </c>
      <c r="B45" s="89" t="s">
        <v>605</v>
      </c>
      <c r="C45" s="89" t="s">
        <v>1353</v>
      </c>
      <c r="D45" s="90" t="s">
        <v>1284</v>
      </c>
      <c r="E45" s="90" t="s">
        <v>185</v>
      </c>
      <c r="F45" s="95">
        <v>25400.4</v>
      </c>
      <c r="G45" s="95">
        <v>25400.4</v>
      </c>
      <c r="H45" s="98">
        <v>0.1</v>
      </c>
      <c r="I45" s="111">
        <v>2540.04</v>
      </c>
      <c r="J45" s="111">
        <v>0</v>
      </c>
      <c r="K45" s="117">
        <f t="shared" si="1"/>
        <v>2540.04</v>
      </c>
      <c r="L45" s="90"/>
    </row>
    <row r="46" s="78" customFormat="1" ht="14.25" spans="1:12">
      <c r="A46" s="101" t="s">
        <v>1354</v>
      </c>
      <c r="B46" s="100" t="s">
        <v>1133</v>
      </c>
      <c r="C46" s="100" t="s">
        <v>1133</v>
      </c>
      <c r="D46" s="101" t="s">
        <v>1325</v>
      </c>
      <c r="E46" s="101" t="s">
        <v>1326</v>
      </c>
      <c r="F46" s="91">
        <v>554952.093154</v>
      </c>
      <c r="G46" s="91">
        <v>0</v>
      </c>
      <c r="H46" s="102"/>
      <c r="I46" s="91"/>
      <c r="J46" s="91"/>
      <c r="K46" s="93">
        <f t="shared" si="1"/>
        <v>0</v>
      </c>
      <c r="L46" s="101"/>
    </row>
    <row r="47" s="77" customFormat="1" ht="14.25" hidden="1" spans="1:12">
      <c r="A47" s="88" t="s">
        <v>1076</v>
      </c>
      <c r="B47" s="89" t="s">
        <v>332</v>
      </c>
      <c r="C47" s="89" t="s">
        <v>332</v>
      </c>
      <c r="D47" s="90" t="s">
        <v>1280</v>
      </c>
      <c r="E47" s="90" t="s">
        <v>160</v>
      </c>
      <c r="F47" s="95">
        <v>100000</v>
      </c>
      <c r="G47" s="95">
        <v>100000</v>
      </c>
      <c r="H47" s="98">
        <v>0</v>
      </c>
      <c r="I47" s="111">
        <v>0</v>
      </c>
      <c r="J47" s="111">
        <v>0</v>
      </c>
      <c r="K47" s="111">
        <v>0</v>
      </c>
      <c r="L47" s="90"/>
    </row>
    <row r="48" s="77" customFormat="1" ht="14.25" hidden="1" spans="1:12">
      <c r="A48" s="88" t="s">
        <v>1327</v>
      </c>
      <c r="B48" s="89" t="s">
        <v>1078</v>
      </c>
      <c r="C48" s="89" t="s">
        <v>1078</v>
      </c>
      <c r="D48" s="90" t="s">
        <v>1280</v>
      </c>
      <c r="E48" s="90" t="s">
        <v>46</v>
      </c>
      <c r="F48" s="95">
        <v>6535.19607843137</v>
      </c>
      <c r="G48" s="95">
        <v>6535.19607843137</v>
      </c>
      <c r="H48" s="98">
        <v>0</v>
      </c>
      <c r="I48" s="111">
        <v>0</v>
      </c>
      <c r="J48" s="111">
        <v>0</v>
      </c>
      <c r="K48" s="111">
        <v>0</v>
      </c>
      <c r="L48" s="90"/>
    </row>
    <row r="49" s="77" customFormat="1" ht="14.25" hidden="1" spans="1:12">
      <c r="A49" s="88" t="s">
        <v>1355</v>
      </c>
      <c r="B49" s="89" t="s">
        <v>721</v>
      </c>
      <c r="C49" s="89" t="s">
        <v>721</v>
      </c>
      <c r="D49" s="90" t="s">
        <v>1280</v>
      </c>
      <c r="E49" s="90" t="s">
        <v>160</v>
      </c>
      <c r="F49" s="95">
        <v>84000</v>
      </c>
      <c r="G49" s="95">
        <v>84000</v>
      </c>
      <c r="H49" s="98">
        <v>0</v>
      </c>
      <c r="I49" s="111">
        <v>0</v>
      </c>
      <c r="J49" s="111">
        <v>0</v>
      </c>
      <c r="K49" s="111">
        <v>0</v>
      </c>
      <c r="L49" s="90"/>
    </row>
    <row r="50" ht="14.25" hidden="1" spans="1:12">
      <c r="A50" s="104" t="s">
        <v>1356</v>
      </c>
      <c r="B50" s="104" t="s">
        <v>605</v>
      </c>
      <c r="C50" s="104" t="s">
        <v>1357</v>
      </c>
      <c r="D50" s="105" t="s">
        <v>1280</v>
      </c>
      <c r="E50" s="106" t="s">
        <v>178</v>
      </c>
      <c r="F50" s="107">
        <v>1515000</v>
      </c>
      <c r="G50" s="107">
        <v>1515000</v>
      </c>
      <c r="H50" s="108">
        <v>0</v>
      </c>
      <c r="I50" s="122">
        <f>G50*H50</f>
        <v>0</v>
      </c>
      <c r="J50" s="111">
        <v>0</v>
      </c>
      <c r="K50" s="122">
        <f>I50-J50</f>
        <v>0</v>
      </c>
      <c r="L50" s="90"/>
    </row>
    <row r="51" ht="14.25" hidden="1" spans="1:12">
      <c r="A51" s="104" t="s">
        <v>1358</v>
      </c>
      <c r="B51" s="104" t="s">
        <v>1084</v>
      </c>
      <c r="C51" s="104" t="s">
        <v>1084</v>
      </c>
      <c r="D51" s="105" t="s">
        <v>1280</v>
      </c>
      <c r="E51" s="106" t="s">
        <v>178</v>
      </c>
      <c r="F51" s="107">
        <v>3787500</v>
      </c>
      <c r="G51" s="107">
        <v>3787500</v>
      </c>
      <c r="H51" s="108">
        <v>0</v>
      </c>
      <c r="I51" s="122">
        <f t="shared" ref="I51:I59" si="3">G51*H51</f>
        <v>0</v>
      </c>
      <c r="J51" s="111">
        <v>0</v>
      </c>
      <c r="K51" s="122">
        <f t="shared" ref="K51:K57" si="4">I51-J51</f>
        <v>0</v>
      </c>
      <c r="L51" s="90"/>
    </row>
    <row r="52" ht="14.25" hidden="1" spans="1:12">
      <c r="A52" s="104" t="s">
        <v>1359</v>
      </c>
      <c r="B52" s="104" t="s">
        <v>956</v>
      </c>
      <c r="C52" s="104" t="s">
        <v>956</v>
      </c>
      <c r="D52" s="105" t="s">
        <v>1280</v>
      </c>
      <c r="E52" s="107" t="s">
        <v>185</v>
      </c>
      <c r="F52" s="107">
        <v>7315.25</v>
      </c>
      <c r="G52" s="107">
        <v>7315.25</v>
      </c>
      <c r="H52" s="108">
        <v>0</v>
      </c>
      <c r="I52" s="122">
        <f t="shared" si="3"/>
        <v>0</v>
      </c>
      <c r="J52" s="111">
        <v>0</v>
      </c>
      <c r="K52" s="122">
        <f t="shared" si="4"/>
        <v>0</v>
      </c>
      <c r="L52" s="90"/>
    </row>
    <row r="53" ht="14.25" hidden="1" spans="1:12">
      <c r="A53" s="104" t="s">
        <v>1360</v>
      </c>
      <c r="B53" s="109" t="s">
        <v>1083</v>
      </c>
      <c r="C53" s="109" t="s">
        <v>1083</v>
      </c>
      <c r="D53" s="105" t="s">
        <v>1280</v>
      </c>
      <c r="E53" s="105" t="s">
        <v>46</v>
      </c>
      <c r="F53" s="107">
        <v>200000</v>
      </c>
      <c r="G53" s="107">
        <v>200000</v>
      </c>
      <c r="H53" s="110">
        <v>0</v>
      </c>
      <c r="I53" s="122">
        <f t="shared" si="3"/>
        <v>0</v>
      </c>
      <c r="J53" s="111">
        <v>0</v>
      </c>
      <c r="K53" s="122">
        <f t="shared" si="4"/>
        <v>0</v>
      </c>
      <c r="L53" s="90"/>
    </row>
    <row r="54" s="79" customFormat="1" ht="14.25" hidden="1" spans="1:12">
      <c r="A54" s="88" t="s">
        <v>1076</v>
      </c>
      <c r="B54" s="89" t="s">
        <v>205</v>
      </c>
      <c r="C54" s="89" t="s">
        <v>1361</v>
      </c>
      <c r="D54" s="90" t="s">
        <v>1285</v>
      </c>
      <c r="E54" s="90" t="s">
        <v>46</v>
      </c>
      <c r="F54" s="111">
        <v>6536769.81346465</v>
      </c>
      <c r="G54" s="111">
        <f>7306570.24-G55+457.48</f>
        <v>6342027.72</v>
      </c>
      <c r="H54" s="112">
        <v>0.08</v>
      </c>
      <c r="I54" s="111">
        <f t="shared" si="3"/>
        <v>507362.2176</v>
      </c>
      <c r="J54" s="111">
        <f>I54</f>
        <v>507362.2176</v>
      </c>
      <c r="K54" s="111">
        <f t="shared" si="4"/>
        <v>0</v>
      </c>
      <c r="L54" s="123" t="s">
        <v>1330</v>
      </c>
    </row>
    <row r="55" s="79" customFormat="1" ht="14.25" hidden="1" spans="1:12">
      <c r="A55" s="88" t="s">
        <v>1076</v>
      </c>
      <c r="B55" s="89" t="s">
        <v>205</v>
      </c>
      <c r="C55" s="89" t="s">
        <v>1361</v>
      </c>
      <c r="D55" s="90" t="s">
        <v>1285</v>
      </c>
      <c r="E55" s="90" t="s">
        <v>160</v>
      </c>
      <c r="F55" s="111">
        <v>727576.273045395</v>
      </c>
      <c r="G55" s="111">
        <v>965000</v>
      </c>
      <c r="H55" s="112">
        <v>0.08</v>
      </c>
      <c r="I55" s="111">
        <f t="shared" si="3"/>
        <v>77200</v>
      </c>
      <c r="J55" s="111">
        <v>77200</v>
      </c>
      <c r="K55" s="111">
        <f t="shared" si="4"/>
        <v>0</v>
      </c>
      <c r="L55" s="124"/>
    </row>
    <row r="56" s="79" customFormat="1" ht="14.25" hidden="1" spans="1:12">
      <c r="A56" s="88" t="s">
        <v>1076</v>
      </c>
      <c r="B56" s="89" t="s">
        <v>205</v>
      </c>
      <c r="C56" s="89" t="s">
        <v>1361</v>
      </c>
      <c r="D56" s="90" t="s">
        <v>1285</v>
      </c>
      <c r="E56" s="90" t="s">
        <v>46</v>
      </c>
      <c r="F56" s="111">
        <v>9588</v>
      </c>
      <c r="G56" s="111">
        <v>10200</v>
      </c>
      <c r="H56" s="112">
        <v>0.06</v>
      </c>
      <c r="I56" s="111">
        <f t="shared" si="3"/>
        <v>612</v>
      </c>
      <c r="J56" s="111">
        <v>612</v>
      </c>
      <c r="K56" s="111">
        <f t="shared" si="4"/>
        <v>0</v>
      </c>
      <c r="L56" s="89" t="s">
        <v>1362</v>
      </c>
    </row>
    <row r="57" s="79" customFormat="1" ht="14.25" hidden="1" spans="1:12">
      <c r="A57" s="88" t="s">
        <v>1076</v>
      </c>
      <c r="B57" s="89" t="s">
        <v>605</v>
      </c>
      <c r="C57" s="89" t="s">
        <v>1363</v>
      </c>
      <c r="D57" s="90" t="s">
        <v>1284</v>
      </c>
      <c r="E57" s="90" t="s">
        <v>46</v>
      </c>
      <c r="F57" s="111">
        <v>2005558.49</v>
      </c>
      <c r="G57" s="111">
        <v>4845890.51</v>
      </c>
      <c r="H57" s="112">
        <v>0.08</v>
      </c>
      <c r="I57" s="111">
        <f t="shared" si="3"/>
        <v>387671.2408</v>
      </c>
      <c r="J57" s="111">
        <v>70242.4328</v>
      </c>
      <c r="K57" s="111">
        <f t="shared" si="4"/>
        <v>317428.808</v>
      </c>
      <c r="L57" s="123"/>
    </row>
    <row r="58" s="79" customFormat="1" ht="14.25" hidden="1" spans="1:12">
      <c r="A58" s="88" t="s">
        <v>1076</v>
      </c>
      <c r="B58" s="89" t="s">
        <v>1133</v>
      </c>
      <c r="C58" s="89" t="s">
        <v>1133</v>
      </c>
      <c r="D58" s="90" t="s">
        <v>1325</v>
      </c>
      <c r="E58" s="90" t="s">
        <v>46</v>
      </c>
      <c r="F58" s="113">
        <f>1281686.68+74879.72+1160217.95+1969216.1+180000</f>
        <v>4666000.45</v>
      </c>
      <c r="G58" s="111">
        <v>0</v>
      </c>
      <c r="H58" s="114">
        <v>0.08</v>
      </c>
      <c r="I58" s="111">
        <f t="shared" si="3"/>
        <v>0</v>
      </c>
      <c r="J58" s="111"/>
      <c r="K58" s="111">
        <v>0</v>
      </c>
      <c r="L58" s="123"/>
    </row>
    <row r="59" s="77" customFormat="1" ht="14.25" hidden="1" spans="1:12">
      <c r="A59" s="88" t="s">
        <v>1122</v>
      </c>
      <c r="B59" s="89" t="s">
        <v>1123</v>
      </c>
      <c r="C59" s="89" t="s">
        <v>1123</v>
      </c>
      <c r="D59" s="90" t="s">
        <v>1280</v>
      </c>
      <c r="E59" s="90" t="s">
        <v>46</v>
      </c>
      <c r="F59" s="95">
        <v>236647.8</v>
      </c>
      <c r="G59" s="95">
        <v>236647.8</v>
      </c>
      <c r="H59" s="96">
        <v>0</v>
      </c>
      <c r="I59" s="111">
        <f t="shared" si="3"/>
        <v>0</v>
      </c>
      <c r="J59" s="111">
        <v>0</v>
      </c>
      <c r="K59" s="111">
        <f t="shared" ref="K59:K68" si="5">I59-J59</f>
        <v>0</v>
      </c>
      <c r="L59" s="95"/>
    </row>
    <row r="60" s="77" customFormat="1" ht="14.25" hidden="1" spans="1:12">
      <c r="A60" s="88" t="s">
        <v>1303</v>
      </c>
      <c r="B60" s="89" t="s">
        <v>44</v>
      </c>
      <c r="C60" s="89" t="s">
        <v>44</v>
      </c>
      <c r="D60" s="90" t="s">
        <v>1280</v>
      </c>
      <c r="E60" s="90" t="s">
        <v>46</v>
      </c>
      <c r="F60" s="95">
        <f>233090.7+32215.1</f>
        <v>265305.8</v>
      </c>
      <c r="G60" s="95">
        <f>233090.7+2215.1</f>
        <v>235305.8</v>
      </c>
      <c r="H60" s="96">
        <v>0</v>
      </c>
      <c r="I60" s="111"/>
      <c r="J60" s="111"/>
      <c r="K60" s="111">
        <f t="shared" si="5"/>
        <v>0</v>
      </c>
      <c r="L60" s="95"/>
    </row>
    <row r="61" s="77" customFormat="1" ht="14.25" hidden="1" spans="1:12">
      <c r="A61" s="88" t="s">
        <v>1364</v>
      </c>
      <c r="B61" s="89" t="s">
        <v>1133</v>
      </c>
      <c r="C61" s="89" t="s">
        <v>1133</v>
      </c>
      <c r="D61" s="90" t="s">
        <v>1280</v>
      </c>
      <c r="E61" s="90" t="s">
        <v>46</v>
      </c>
      <c r="F61" s="95">
        <v>44000</v>
      </c>
      <c r="G61" s="95">
        <v>44000</v>
      </c>
      <c r="H61" s="96">
        <v>0</v>
      </c>
      <c r="I61" s="111"/>
      <c r="J61" s="111"/>
      <c r="K61" s="111">
        <f t="shared" si="5"/>
        <v>0</v>
      </c>
      <c r="L61" s="95"/>
    </row>
    <row r="62" s="77" customFormat="1" ht="14.25" hidden="1" spans="1:12">
      <c r="A62" s="88" t="s">
        <v>1136</v>
      </c>
      <c r="B62" s="89" t="s">
        <v>679</v>
      </c>
      <c r="C62" s="89" t="s">
        <v>679</v>
      </c>
      <c r="D62" s="90" t="s">
        <v>1280</v>
      </c>
      <c r="E62" s="88" t="s">
        <v>178</v>
      </c>
      <c r="F62" s="95">
        <v>24600</v>
      </c>
      <c r="G62" s="95">
        <v>24600</v>
      </c>
      <c r="H62" s="96">
        <v>0</v>
      </c>
      <c r="I62" s="111"/>
      <c r="J62" s="111"/>
      <c r="K62" s="111">
        <f t="shared" si="5"/>
        <v>0</v>
      </c>
      <c r="L62" s="95"/>
    </row>
    <row r="63" s="77" customFormat="1" ht="14.25" hidden="1" spans="1:12">
      <c r="A63" s="88" t="s">
        <v>1365</v>
      </c>
      <c r="B63" s="89" t="s">
        <v>1140</v>
      </c>
      <c r="C63" s="89" t="s">
        <v>1140</v>
      </c>
      <c r="D63" s="90" t="s">
        <v>1280</v>
      </c>
      <c r="E63" s="90" t="s">
        <v>46</v>
      </c>
      <c r="F63" s="95">
        <v>600000</v>
      </c>
      <c r="G63" s="95">
        <v>600000</v>
      </c>
      <c r="H63" s="96">
        <v>0</v>
      </c>
      <c r="I63" s="111">
        <f t="shared" ref="I63:I67" si="6">G63*H63</f>
        <v>0</v>
      </c>
      <c r="J63" s="111">
        <v>0</v>
      </c>
      <c r="K63" s="111">
        <f t="shared" si="5"/>
        <v>0</v>
      </c>
      <c r="L63" s="95"/>
    </row>
    <row r="64" s="77" customFormat="1" ht="14.25" hidden="1" spans="1:12">
      <c r="A64" s="88" t="s">
        <v>1144</v>
      </c>
      <c r="B64" s="89" t="s">
        <v>1292</v>
      </c>
      <c r="C64" s="89" t="s">
        <v>1292</v>
      </c>
      <c r="D64" s="90" t="s">
        <v>1280</v>
      </c>
      <c r="E64" s="90" t="s">
        <v>46</v>
      </c>
      <c r="F64" s="95">
        <v>218730.78</v>
      </c>
      <c r="G64" s="95">
        <v>218730.8</v>
      </c>
      <c r="H64" s="96">
        <v>0</v>
      </c>
      <c r="I64" s="111">
        <f t="shared" si="6"/>
        <v>0</v>
      </c>
      <c r="J64" s="111">
        <v>0</v>
      </c>
      <c r="K64" s="111">
        <f t="shared" si="5"/>
        <v>0</v>
      </c>
      <c r="L64" s="95"/>
    </row>
    <row r="65" s="77" customFormat="1" ht="14.25" hidden="1" spans="1:12">
      <c r="A65" s="88" t="s">
        <v>1144</v>
      </c>
      <c r="B65" s="89" t="s">
        <v>1292</v>
      </c>
      <c r="C65" s="89" t="s">
        <v>1292</v>
      </c>
      <c r="D65" s="90" t="s">
        <v>1280</v>
      </c>
      <c r="E65" s="90" t="s">
        <v>160</v>
      </c>
      <c r="F65" s="95">
        <v>5308679</v>
      </c>
      <c r="G65" s="95">
        <v>5308679</v>
      </c>
      <c r="H65" s="96">
        <v>0.1</v>
      </c>
      <c r="I65" s="111">
        <f t="shared" si="6"/>
        <v>530867.9</v>
      </c>
      <c r="J65" s="111">
        <v>530867.9</v>
      </c>
      <c r="K65" s="111">
        <f t="shared" si="5"/>
        <v>0</v>
      </c>
      <c r="L65" s="95"/>
    </row>
    <row r="66" s="77" customFormat="1" ht="14.25" hidden="1" spans="1:12">
      <c r="A66" s="88" t="s">
        <v>1295</v>
      </c>
      <c r="B66" s="89" t="s">
        <v>1155</v>
      </c>
      <c r="C66" s="89" t="s">
        <v>1155</v>
      </c>
      <c r="D66" s="90" t="s">
        <v>1280</v>
      </c>
      <c r="E66" s="90" t="s">
        <v>46</v>
      </c>
      <c r="F66" s="95">
        <v>83809.53</v>
      </c>
      <c r="G66" s="95">
        <v>83809.53</v>
      </c>
      <c r="H66" s="96">
        <v>0</v>
      </c>
      <c r="I66" s="111">
        <f t="shared" si="6"/>
        <v>0</v>
      </c>
      <c r="J66" s="111"/>
      <c r="K66" s="111">
        <f t="shared" si="5"/>
        <v>0</v>
      </c>
      <c r="L66" s="95"/>
    </row>
    <row r="67" s="77" customFormat="1" ht="14.25" hidden="1" spans="1:12">
      <c r="A67" s="88" t="s">
        <v>1295</v>
      </c>
      <c r="B67" s="89" t="s">
        <v>1155</v>
      </c>
      <c r="C67" s="89" t="s">
        <v>1155</v>
      </c>
      <c r="D67" s="90" t="s">
        <v>1280</v>
      </c>
      <c r="E67" s="90" t="s">
        <v>160</v>
      </c>
      <c r="F67" s="95">
        <v>1441073</v>
      </c>
      <c r="G67" s="95">
        <v>1441073</v>
      </c>
      <c r="H67" s="96">
        <v>0</v>
      </c>
      <c r="I67" s="111">
        <f t="shared" si="6"/>
        <v>0</v>
      </c>
      <c r="J67" s="111"/>
      <c r="K67" s="111">
        <f t="shared" si="5"/>
        <v>0</v>
      </c>
      <c r="L67" s="95"/>
    </row>
    <row r="68" s="77" customFormat="1" ht="14.25" hidden="1" spans="1:12">
      <c r="A68" s="88" t="s">
        <v>1159</v>
      </c>
      <c r="B68" s="88" t="s">
        <v>1164</v>
      </c>
      <c r="C68" s="88" t="s">
        <v>1164</v>
      </c>
      <c r="D68" s="90" t="s">
        <v>1280</v>
      </c>
      <c r="E68" s="95" t="s">
        <v>185</v>
      </c>
      <c r="F68" s="95">
        <v>674432.42668</v>
      </c>
      <c r="G68" s="95">
        <v>815516.84</v>
      </c>
      <c r="H68" s="96">
        <v>0</v>
      </c>
      <c r="I68" s="111">
        <v>2112465.688</v>
      </c>
      <c r="J68" s="111">
        <v>2112465.688</v>
      </c>
      <c r="K68" s="111">
        <f t="shared" si="5"/>
        <v>0</v>
      </c>
      <c r="L68" s="95" t="s">
        <v>1366</v>
      </c>
    </row>
    <row r="69" s="77" customFormat="1" ht="14.25" hidden="1" spans="1:12">
      <c r="A69" s="88" t="s">
        <v>1159</v>
      </c>
      <c r="B69" s="88" t="s">
        <v>1164</v>
      </c>
      <c r="C69" s="88" t="s">
        <v>1164</v>
      </c>
      <c r="D69" s="90" t="s">
        <v>1280</v>
      </c>
      <c r="E69" s="95" t="s">
        <v>46</v>
      </c>
      <c r="F69" s="95">
        <v>707381.89</v>
      </c>
      <c r="G69" s="95">
        <v>855359</v>
      </c>
      <c r="H69" s="96"/>
      <c r="I69" s="111"/>
      <c r="J69" s="111"/>
      <c r="K69" s="111"/>
      <c r="L69" s="95"/>
    </row>
    <row r="70" s="77" customFormat="1" ht="14.25" hidden="1" spans="1:12">
      <c r="A70" s="88" t="s">
        <v>1159</v>
      </c>
      <c r="B70" s="88" t="s">
        <v>1164</v>
      </c>
      <c r="C70" s="88" t="s">
        <v>1164</v>
      </c>
      <c r="D70" s="90" t="s">
        <v>1280</v>
      </c>
      <c r="E70" s="95" t="s">
        <v>160</v>
      </c>
      <c r="F70" s="95">
        <v>6952155.9828</v>
      </c>
      <c r="G70" s="95">
        <f>8361052.4+45424</f>
        <v>8406476.4</v>
      </c>
      <c r="H70" s="96"/>
      <c r="I70" s="111"/>
      <c r="J70" s="111"/>
      <c r="K70" s="111"/>
      <c r="L70" s="95"/>
    </row>
    <row r="71" s="77" customFormat="1" ht="14.25" hidden="1" spans="1:12">
      <c r="A71" s="88" t="s">
        <v>1159</v>
      </c>
      <c r="B71" s="88" t="s">
        <v>1164</v>
      </c>
      <c r="C71" s="88" t="s">
        <v>1164</v>
      </c>
      <c r="D71" s="90" t="s">
        <v>1280</v>
      </c>
      <c r="E71" s="97" t="s">
        <v>183</v>
      </c>
      <c r="F71" s="95">
        <v>1319892</v>
      </c>
      <c r="G71" s="95">
        <v>1596000</v>
      </c>
      <c r="H71" s="96"/>
      <c r="I71" s="111"/>
      <c r="J71" s="111"/>
      <c r="K71" s="111"/>
      <c r="L71" s="95"/>
    </row>
    <row r="72" s="77" customFormat="1" ht="14.25" hidden="1" spans="1:12">
      <c r="A72" s="88" t="s">
        <v>1159</v>
      </c>
      <c r="B72" s="88" t="s">
        <v>1160</v>
      </c>
      <c r="C72" s="88" t="s">
        <v>1160</v>
      </c>
      <c r="D72" s="90" t="s">
        <v>1280</v>
      </c>
      <c r="E72" s="95" t="s">
        <v>46</v>
      </c>
      <c r="F72" s="95">
        <v>86835</v>
      </c>
      <c r="G72" s="95">
        <v>105000</v>
      </c>
      <c r="H72" s="96"/>
      <c r="I72" s="111"/>
      <c r="J72" s="111"/>
      <c r="K72" s="111"/>
      <c r="L72" s="95"/>
    </row>
    <row r="73" s="77" customFormat="1" ht="14.25" hidden="1" spans="1:12">
      <c r="A73" s="88" t="s">
        <v>1159</v>
      </c>
      <c r="B73" s="88" t="s">
        <v>1163</v>
      </c>
      <c r="C73" s="88" t="s">
        <v>1163</v>
      </c>
      <c r="D73" s="90" t="s">
        <v>1280</v>
      </c>
      <c r="E73" s="95" t="s">
        <v>46</v>
      </c>
      <c r="F73" s="95">
        <v>363880</v>
      </c>
      <c r="G73" s="95">
        <v>440000</v>
      </c>
      <c r="H73" s="96"/>
      <c r="I73" s="111"/>
      <c r="J73" s="111"/>
      <c r="K73" s="111"/>
      <c r="L73" s="95"/>
    </row>
    <row r="74" s="80" customFormat="1" ht="14.25" hidden="1" spans="1:12">
      <c r="A74" s="119" t="s">
        <v>1367</v>
      </c>
      <c r="B74" s="125" t="s">
        <v>44</v>
      </c>
      <c r="C74" s="125" t="s">
        <v>1368</v>
      </c>
      <c r="D74" s="119" t="s">
        <v>1280</v>
      </c>
      <c r="E74" s="118" t="s">
        <v>185</v>
      </c>
      <c r="F74" s="93">
        <v>549845.419437838</v>
      </c>
      <c r="G74" s="93">
        <v>549845.419437838</v>
      </c>
      <c r="H74" s="126">
        <v>0</v>
      </c>
      <c r="I74" s="117">
        <f t="shared" ref="I74:I80" si="7">G74*H74</f>
        <v>0</v>
      </c>
      <c r="J74" s="117">
        <v>0</v>
      </c>
      <c r="K74" s="117">
        <f t="shared" ref="K74:K80" si="8">I74-J74</f>
        <v>0</v>
      </c>
      <c r="L74" s="133" t="s">
        <v>1369</v>
      </c>
    </row>
    <row r="75" s="80" customFormat="1" ht="14.25" hidden="1" spans="1:12">
      <c r="A75" s="119" t="s">
        <v>1367</v>
      </c>
      <c r="B75" s="125" t="s">
        <v>44</v>
      </c>
      <c r="C75" s="125" t="s">
        <v>1368</v>
      </c>
      <c r="D75" s="119" t="s">
        <v>1280</v>
      </c>
      <c r="E75" s="118" t="s">
        <v>46</v>
      </c>
      <c r="F75" s="93">
        <v>25737239.447075</v>
      </c>
      <c r="G75" s="93">
        <v>25737239.447075</v>
      </c>
      <c r="H75" s="126">
        <v>0</v>
      </c>
      <c r="I75" s="117">
        <f t="shared" si="7"/>
        <v>0</v>
      </c>
      <c r="J75" s="117">
        <v>0</v>
      </c>
      <c r="K75" s="117">
        <f t="shared" si="8"/>
        <v>0</v>
      </c>
      <c r="L75" s="133" t="s">
        <v>1369</v>
      </c>
    </row>
    <row r="76" s="80" customFormat="1" ht="14.25" hidden="1" spans="1:12">
      <c r="A76" s="119" t="s">
        <v>1370</v>
      </c>
      <c r="B76" s="125" t="s">
        <v>44</v>
      </c>
      <c r="C76" s="125" t="s">
        <v>1371</v>
      </c>
      <c r="D76" s="119" t="s">
        <v>1280</v>
      </c>
      <c r="E76" s="118" t="s">
        <v>46</v>
      </c>
      <c r="F76" s="93">
        <v>627745.06</v>
      </c>
      <c r="G76" s="93">
        <v>627745.06</v>
      </c>
      <c r="H76" s="126">
        <v>0</v>
      </c>
      <c r="I76" s="117">
        <f t="shared" si="7"/>
        <v>0</v>
      </c>
      <c r="J76" s="117">
        <v>0</v>
      </c>
      <c r="K76" s="117">
        <f t="shared" si="8"/>
        <v>0</v>
      </c>
      <c r="L76" s="133" t="s">
        <v>1369</v>
      </c>
    </row>
    <row r="77" s="80" customFormat="1" ht="14.25" hidden="1" spans="1:12">
      <c r="A77" s="119" t="s">
        <v>1372</v>
      </c>
      <c r="B77" s="125" t="s">
        <v>1133</v>
      </c>
      <c r="C77" s="125" t="s">
        <v>1373</v>
      </c>
      <c r="D77" s="119" t="s">
        <v>1280</v>
      </c>
      <c r="E77" s="118" t="s">
        <v>185</v>
      </c>
      <c r="F77" s="93">
        <v>49466.0784313726</v>
      </c>
      <c r="G77" s="93">
        <v>49466.0784313726</v>
      </c>
      <c r="H77" s="126">
        <v>0</v>
      </c>
      <c r="I77" s="117">
        <f t="shared" si="7"/>
        <v>0</v>
      </c>
      <c r="J77" s="117">
        <v>0</v>
      </c>
      <c r="K77" s="117">
        <f t="shared" si="8"/>
        <v>0</v>
      </c>
      <c r="L77" s="133" t="s">
        <v>1374</v>
      </c>
    </row>
    <row r="78" s="80" customFormat="1" ht="14.25" hidden="1" spans="1:12">
      <c r="A78" s="119" t="s">
        <v>1372</v>
      </c>
      <c r="B78" s="125" t="s">
        <v>1133</v>
      </c>
      <c r="C78" s="125" t="s">
        <v>1373</v>
      </c>
      <c r="D78" s="119" t="s">
        <v>1280</v>
      </c>
      <c r="E78" s="118" t="s">
        <v>46</v>
      </c>
      <c r="F78" s="93">
        <v>1424732.23604827</v>
      </c>
      <c r="G78" s="93">
        <v>1424732.23604827</v>
      </c>
      <c r="H78" s="126">
        <v>0</v>
      </c>
      <c r="I78" s="117">
        <f t="shared" si="7"/>
        <v>0</v>
      </c>
      <c r="J78" s="117">
        <v>0</v>
      </c>
      <c r="K78" s="117">
        <f t="shared" si="8"/>
        <v>0</v>
      </c>
      <c r="L78" s="133" t="s">
        <v>1374</v>
      </c>
    </row>
    <row r="79" s="80" customFormat="1" ht="14.25" hidden="1" spans="1:12">
      <c r="A79" s="101" t="s">
        <v>1375</v>
      </c>
      <c r="B79" s="100" t="s">
        <v>1133</v>
      </c>
      <c r="C79" s="100" t="s">
        <v>1133</v>
      </c>
      <c r="D79" s="101" t="s">
        <v>1325</v>
      </c>
      <c r="E79" s="101" t="s">
        <v>46</v>
      </c>
      <c r="F79" s="91">
        <v>12866.7</v>
      </c>
      <c r="G79" s="91">
        <v>0</v>
      </c>
      <c r="H79" s="102">
        <v>0</v>
      </c>
      <c r="I79" s="91">
        <f t="shared" si="7"/>
        <v>0</v>
      </c>
      <c r="J79" s="91">
        <v>0</v>
      </c>
      <c r="K79" s="91">
        <f t="shared" si="8"/>
        <v>0</v>
      </c>
      <c r="L79" s="101"/>
    </row>
    <row r="80" s="80" customFormat="1" ht="14.25" hidden="1" spans="1:12">
      <c r="A80" s="101" t="s">
        <v>1376</v>
      </c>
      <c r="B80" s="100" t="s">
        <v>1133</v>
      </c>
      <c r="C80" s="100" t="s">
        <v>1133</v>
      </c>
      <c r="D80" s="101" t="s">
        <v>1325</v>
      </c>
      <c r="E80" s="101" t="s">
        <v>46</v>
      </c>
      <c r="F80" s="91">
        <v>31469.3</v>
      </c>
      <c r="G80" s="91">
        <v>0</v>
      </c>
      <c r="H80" s="102">
        <v>0</v>
      </c>
      <c r="I80" s="91">
        <f t="shared" si="7"/>
        <v>0</v>
      </c>
      <c r="J80" s="91">
        <v>0</v>
      </c>
      <c r="K80" s="91">
        <f t="shared" si="8"/>
        <v>0</v>
      </c>
      <c r="L80" s="101"/>
    </row>
    <row r="81" s="81" customFormat="1" ht="13.5" hidden="1" spans="1:13">
      <c r="A81" s="127" t="s">
        <v>1286</v>
      </c>
      <c r="B81" s="128" t="s">
        <v>575</v>
      </c>
      <c r="C81" s="128" t="s">
        <v>575</v>
      </c>
      <c r="D81" s="128" t="s">
        <v>1285</v>
      </c>
      <c r="E81" s="127" t="s">
        <v>46</v>
      </c>
      <c r="F81" s="129">
        <v>996026.89253619</v>
      </c>
      <c r="G81" s="129">
        <v>1002744.09253619</v>
      </c>
      <c r="H81" s="130">
        <v>0.02</v>
      </c>
      <c r="I81" s="131">
        <f t="shared" ref="I81:I83" si="9">G81*H81</f>
        <v>20054.8818507238</v>
      </c>
      <c r="J81" s="134">
        <v>0</v>
      </c>
      <c r="K81" s="129">
        <f t="shared" ref="K81:K83" si="10">I81-J81</f>
        <v>20054.8818507238</v>
      </c>
      <c r="L81" s="135"/>
      <c r="M81" s="81" t="s">
        <v>1377</v>
      </c>
    </row>
    <row r="82" s="82" customFormat="1" ht="13.5" hidden="1" spans="1:13">
      <c r="A82" s="127" t="s">
        <v>1286</v>
      </c>
      <c r="B82" s="128" t="s">
        <v>575</v>
      </c>
      <c r="C82" s="128" t="s">
        <v>575</v>
      </c>
      <c r="D82" s="128" t="s">
        <v>1285</v>
      </c>
      <c r="E82" s="127" t="s">
        <v>46</v>
      </c>
      <c r="F82" s="131">
        <v>6705376.13746381</v>
      </c>
      <c r="G82" s="131">
        <v>9416443.76746381</v>
      </c>
      <c r="H82" s="132">
        <v>0.04</v>
      </c>
      <c r="I82" s="131">
        <f t="shared" si="9"/>
        <v>376657.750698552</v>
      </c>
      <c r="J82" s="134">
        <v>151386.27</v>
      </c>
      <c r="K82" s="129">
        <f t="shared" si="10"/>
        <v>225271.480698552</v>
      </c>
      <c r="L82" s="127" t="s">
        <v>1378</v>
      </c>
      <c r="M82" s="82" t="s">
        <v>1379</v>
      </c>
    </row>
    <row r="83" s="82" customFormat="1" ht="13.5" hidden="1" spans="1:13">
      <c r="A83" s="127" t="s">
        <v>1286</v>
      </c>
      <c r="B83" s="128" t="s">
        <v>575</v>
      </c>
      <c r="C83" s="128" t="s">
        <v>575</v>
      </c>
      <c r="D83" s="128" t="s">
        <v>1285</v>
      </c>
      <c r="E83" s="127" t="s">
        <v>185</v>
      </c>
      <c r="F83" s="131">
        <v>31376.63610275</v>
      </c>
      <c r="G83" s="131">
        <v>32000.2</v>
      </c>
      <c r="H83" s="132">
        <v>0.04</v>
      </c>
      <c r="I83" s="131">
        <f t="shared" si="9"/>
        <v>1280.008</v>
      </c>
      <c r="J83" s="134">
        <v>623.56</v>
      </c>
      <c r="K83" s="129">
        <f t="shared" si="10"/>
        <v>656.448</v>
      </c>
      <c r="L83" s="127" t="s">
        <v>1380</v>
      </c>
      <c r="M83" s="82" t="s">
        <v>1381</v>
      </c>
    </row>
    <row r="1100" spans="29:29">
      <c r="AC1100" s="77">
        <f>Y1100*Sheet2!H48-P1100</f>
        <v>0</v>
      </c>
    </row>
  </sheetData>
  <autoFilter ref="A1:AC83">
    <filterColumn colId="0">
      <customFilters>
        <customFilter operator="equal" val="vivo-金融电商"/>
        <customFilter operator="equal" val="vivo-金融电商-期初"/>
      </customFilters>
    </filterColumn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" sqref="B3"/>
    </sheetView>
  </sheetViews>
  <sheetFormatPr defaultColWidth="8.725" defaultRowHeight="16.5"/>
  <cols>
    <col min="1" max="1" width="8.725" style="75"/>
    <col min="2" max="2" width="16.0916666666667" style="75" customWidth="1"/>
    <col min="3" max="3" width="8.725" style="75"/>
    <col min="4" max="4" width="15" style="75" customWidth="1"/>
    <col min="5" max="5" width="12.3666666666667" style="75" customWidth="1"/>
    <col min="6" max="16384" width="8.725" style="75"/>
  </cols>
  <sheetData>
    <row r="1" spans="1:1">
      <c r="A1" s="76" t="s">
        <v>1382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C31" sqref="C31"/>
    </sheetView>
  </sheetViews>
  <sheetFormatPr defaultColWidth="8.725" defaultRowHeight="14.25"/>
  <cols>
    <col min="1" max="1" width="30.9083333333333" style="1" customWidth="1"/>
    <col min="2" max="2" width="28.6333333333333" style="1" customWidth="1"/>
    <col min="3" max="3" width="16.0916666666667" style="1" customWidth="1"/>
    <col min="4" max="4" width="13.9083333333333" style="1" customWidth="1"/>
    <col min="5" max="6" width="13.6333333333333" style="1" customWidth="1"/>
    <col min="7" max="7" width="9.26666666666667" style="1" customWidth="1"/>
    <col min="8" max="10" width="8.725" style="1"/>
    <col min="11" max="11" width="12.45" style="1" customWidth="1"/>
    <col min="12" max="12" width="6.09166666666667" style="1" customWidth="1"/>
    <col min="13" max="13" width="5.26666666666667" style="1" customWidth="1"/>
    <col min="14" max="14" width="12.45" style="1" customWidth="1"/>
    <col min="15" max="15" width="6.09166666666667" style="1" customWidth="1"/>
    <col min="16" max="16" width="4.45" style="1" customWidth="1"/>
    <col min="17" max="17" width="9.90833333333333" style="1" customWidth="1"/>
    <col min="18" max="16384" width="8.725" style="1"/>
  </cols>
  <sheetData>
    <row r="1" spans="1:4">
      <c r="A1" s="63" t="s">
        <v>1383</v>
      </c>
      <c r="B1" s="63" t="s">
        <v>1384</v>
      </c>
      <c r="C1" s="63" t="s">
        <v>1385</v>
      </c>
      <c r="D1" s="63" t="s">
        <v>36</v>
      </c>
    </row>
    <row r="2" spans="1:4">
      <c r="A2" s="63">
        <v>1</v>
      </c>
      <c r="B2" s="63" t="s">
        <v>1386</v>
      </c>
      <c r="C2" s="64">
        <v>560162209.98</v>
      </c>
      <c r="D2" s="63"/>
    </row>
    <row r="3" spans="1:4">
      <c r="A3" s="63">
        <v>2</v>
      </c>
      <c r="B3" s="63" t="s">
        <v>1387</v>
      </c>
      <c r="C3" s="64">
        <v>7440362.39</v>
      </c>
      <c r="D3" s="63"/>
    </row>
    <row r="4" spans="1:4">
      <c r="A4" s="63">
        <v>3</v>
      </c>
      <c r="B4" s="63" t="s">
        <v>1388</v>
      </c>
      <c r="C4" s="64">
        <v>714416.38</v>
      </c>
      <c r="D4" s="63"/>
    </row>
    <row r="5" spans="1:4">
      <c r="A5" s="63">
        <v>4</v>
      </c>
      <c r="B5" s="65" t="s">
        <v>1389</v>
      </c>
      <c r="C5" s="66">
        <v>5993681</v>
      </c>
      <c r="D5" s="63"/>
    </row>
    <row r="6" spans="4:7">
      <c r="D6" s="67"/>
      <c r="E6" s="67"/>
      <c r="F6" s="67"/>
      <c r="G6" s="67"/>
    </row>
    <row r="7" spans="3:7">
      <c r="C7" s="68"/>
      <c r="D7" s="69"/>
      <c r="E7" s="67"/>
      <c r="F7" s="67"/>
      <c r="G7" s="67"/>
    </row>
    <row r="8" spans="1:7">
      <c r="A8" s="63" t="s">
        <v>1390</v>
      </c>
      <c r="B8" s="63" t="s">
        <v>1307</v>
      </c>
      <c r="C8" s="65" t="s">
        <v>1391</v>
      </c>
      <c r="D8" s="65" t="s">
        <v>1392</v>
      </c>
      <c r="E8" s="63" t="s">
        <v>1393</v>
      </c>
      <c r="F8" s="63" t="s">
        <v>1394</v>
      </c>
      <c r="G8" s="63" t="s">
        <v>1395</v>
      </c>
    </row>
    <row r="9" spans="1:7">
      <c r="A9" s="63" t="s">
        <v>1396</v>
      </c>
      <c r="B9" s="63" t="s">
        <v>215</v>
      </c>
      <c r="C9" s="66">
        <v>7299086.2</v>
      </c>
      <c r="D9" s="70">
        <v>5975865</v>
      </c>
      <c r="E9" s="71">
        <v>42844</v>
      </c>
      <c r="F9" s="71">
        <v>43208</v>
      </c>
      <c r="G9" s="63" t="s">
        <v>1397</v>
      </c>
    </row>
    <row r="10" spans="1:7">
      <c r="A10" s="63" t="s">
        <v>1398</v>
      </c>
      <c r="B10" s="63" t="s">
        <v>1398</v>
      </c>
      <c r="C10" s="66">
        <v>21386</v>
      </c>
      <c r="D10" s="66">
        <v>17816</v>
      </c>
      <c r="E10" s="71">
        <v>43095</v>
      </c>
      <c r="F10" s="71">
        <v>43459</v>
      </c>
      <c r="G10" s="63" t="s">
        <v>1397</v>
      </c>
    </row>
    <row r="12" spans="1:17">
      <c r="A12" s="72" t="s">
        <v>1399</v>
      </c>
      <c r="B12" s="73" t="s">
        <v>1400</v>
      </c>
      <c r="C12" s="73" t="s">
        <v>1401</v>
      </c>
      <c r="D12" s="73" t="s">
        <v>1316</v>
      </c>
      <c r="E12" s="73" t="s">
        <v>1402</v>
      </c>
      <c r="F12" s="73" t="s">
        <v>1403</v>
      </c>
      <c r="G12" s="73" t="s">
        <v>1404</v>
      </c>
      <c r="H12" s="72" t="s">
        <v>1</v>
      </c>
      <c r="I12" s="72" t="s">
        <v>1405</v>
      </c>
      <c r="J12" s="72" t="s">
        <v>1406</v>
      </c>
      <c r="K12" s="73" t="s">
        <v>1407</v>
      </c>
      <c r="L12" s="72" t="s">
        <v>1408</v>
      </c>
      <c r="M12" s="72" t="s">
        <v>1406</v>
      </c>
      <c r="N12" s="73" t="s">
        <v>1407</v>
      </c>
      <c r="O12" s="72" t="s">
        <v>1409</v>
      </c>
      <c r="P12" s="72" t="s">
        <v>1406</v>
      </c>
      <c r="Q12" s="73" t="s">
        <v>1407</v>
      </c>
    </row>
    <row r="13" spans="1:17">
      <c r="A13" s="74" t="s">
        <v>177</v>
      </c>
      <c r="B13" s="64"/>
      <c r="C13" s="64"/>
      <c r="D13" s="64"/>
      <c r="E13" s="64">
        <v>219073.79</v>
      </c>
      <c r="F13" s="64"/>
      <c r="G13" s="64"/>
      <c r="H13" s="74" t="s">
        <v>1397</v>
      </c>
      <c r="I13" s="74"/>
      <c r="J13" s="74"/>
      <c r="K13" s="64">
        <f t="shared" ref="K13:K26" si="0">B13*(1+J13)/(1+I13)</f>
        <v>0</v>
      </c>
      <c r="L13" s="74">
        <v>0.1</v>
      </c>
      <c r="M13" s="74">
        <v>0.05</v>
      </c>
      <c r="N13" s="64">
        <f>E13*(1+M13)/(1+L13)</f>
        <v>209115.890454545</v>
      </c>
      <c r="O13" s="74">
        <v>0</v>
      </c>
      <c r="P13" s="74">
        <v>0</v>
      </c>
      <c r="Q13" s="64">
        <f>F13*(1+P13)/(1+O13)</f>
        <v>0</v>
      </c>
    </row>
    <row r="14" spans="1:17">
      <c r="A14" s="74" t="s">
        <v>182</v>
      </c>
      <c r="B14" s="64"/>
      <c r="C14" s="64"/>
      <c r="D14" s="64"/>
      <c r="E14" s="64">
        <v>5117.49038461538</v>
      </c>
      <c r="F14" s="64">
        <v>26351.35</v>
      </c>
      <c r="G14" s="64"/>
      <c r="H14" s="74" t="s">
        <v>1397</v>
      </c>
      <c r="I14" s="74">
        <v>0</v>
      </c>
      <c r="J14" s="74">
        <v>0</v>
      </c>
      <c r="K14" s="64">
        <f t="shared" si="0"/>
        <v>0</v>
      </c>
      <c r="L14" s="74">
        <v>0.05</v>
      </c>
      <c r="M14" s="74">
        <v>0</v>
      </c>
      <c r="N14" s="64">
        <f>E14*(1+M14)/(1+L14)</f>
        <v>4873.80036630036</v>
      </c>
      <c r="O14" s="74">
        <v>0</v>
      </c>
      <c r="P14" s="74">
        <v>0</v>
      </c>
      <c r="Q14" s="64">
        <v>26351.35</v>
      </c>
    </row>
    <row r="15" spans="1:17">
      <c r="A15" s="74" t="s">
        <v>109</v>
      </c>
      <c r="B15" s="64">
        <v>19590.92</v>
      </c>
      <c r="C15" s="64"/>
      <c r="D15" s="64"/>
      <c r="E15" s="64">
        <v>1008900.08</v>
      </c>
      <c r="F15" s="64"/>
      <c r="G15" s="64"/>
      <c r="H15" s="74" t="s">
        <v>1397</v>
      </c>
      <c r="I15" s="74">
        <v>0</v>
      </c>
      <c r="J15" s="74">
        <v>0</v>
      </c>
      <c r="K15" s="64">
        <f t="shared" si="0"/>
        <v>19590.92</v>
      </c>
      <c r="L15" s="74">
        <v>0.06</v>
      </c>
      <c r="M15" s="74">
        <v>0.02</v>
      </c>
      <c r="N15" s="64">
        <f>E15*(1+M15)/(1+L15)</f>
        <v>970828.378867924</v>
      </c>
      <c r="O15" s="74">
        <v>0</v>
      </c>
      <c r="P15" s="74">
        <v>0</v>
      </c>
      <c r="Q15" s="64">
        <v>0</v>
      </c>
    </row>
    <row r="16" spans="1:17">
      <c r="A16" s="74" t="s">
        <v>134</v>
      </c>
      <c r="B16" s="64"/>
      <c r="C16" s="64"/>
      <c r="D16" s="64"/>
      <c r="E16" s="64">
        <v>104000</v>
      </c>
      <c r="F16" s="64"/>
      <c r="G16" s="64"/>
      <c r="H16" s="74" t="s">
        <v>1397</v>
      </c>
      <c r="I16" s="74">
        <v>0</v>
      </c>
      <c r="J16" s="74">
        <v>0</v>
      </c>
      <c r="K16" s="64">
        <f t="shared" si="0"/>
        <v>0</v>
      </c>
      <c r="L16" s="74">
        <v>0.04</v>
      </c>
      <c r="M16" s="74">
        <v>0</v>
      </c>
      <c r="N16" s="64">
        <f>E16*(1+M16)/(1+L16)</f>
        <v>100000</v>
      </c>
      <c r="O16" s="74">
        <v>0</v>
      </c>
      <c r="P16" s="74">
        <v>0</v>
      </c>
      <c r="Q16" s="64">
        <v>0</v>
      </c>
    </row>
    <row r="17" spans="1:17">
      <c r="A17" s="74" t="s">
        <v>197</v>
      </c>
      <c r="B17" s="64">
        <v>2753637.92</v>
      </c>
      <c r="C17" s="64"/>
      <c r="D17" s="64"/>
      <c r="E17" s="64">
        <v>634776</v>
      </c>
      <c r="F17" s="64"/>
      <c r="G17" s="64"/>
      <c r="H17" s="74" t="s">
        <v>1397</v>
      </c>
      <c r="I17" s="74">
        <v>0.1</v>
      </c>
      <c r="J17" s="74">
        <v>0.05</v>
      </c>
      <c r="K17" s="64">
        <f t="shared" si="0"/>
        <v>2628472.56</v>
      </c>
      <c r="L17" s="74" t="s">
        <v>1410</v>
      </c>
      <c r="M17" s="74">
        <v>0.05</v>
      </c>
      <c r="N17" s="64">
        <f>E17*0.96</f>
        <v>609384.96</v>
      </c>
      <c r="O17" s="74">
        <v>0</v>
      </c>
      <c r="P17" s="74">
        <v>0</v>
      </c>
      <c r="Q17" s="64">
        <v>0</v>
      </c>
    </row>
    <row r="18" spans="1:17">
      <c r="A18" s="74" t="s">
        <v>212</v>
      </c>
      <c r="B18" s="64"/>
      <c r="C18" s="64"/>
      <c r="D18" s="64"/>
      <c r="E18" s="64">
        <v>106740</v>
      </c>
      <c r="F18" s="64"/>
      <c r="G18" s="64"/>
      <c r="H18" s="74" t="s">
        <v>1397</v>
      </c>
      <c r="I18" s="74">
        <v>0</v>
      </c>
      <c r="J18" s="74">
        <v>0</v>
      </c>
      <c r="K18" s="64">
        <f t="shared" si="0"/>
        <v>0</v>
      </c>
      <c r="L18" s="74">
        <v>0</v>
      </c>
      <c r="M18" s="74">
        <v>0</v>
      </c>
      <c r="N18" s="64">
        <f>E18*(1+M18)/(1+L18)</f>
        <v>106740</v>
      </c>
      <c r="O18" s="74">
        <v>0</v>
      </c>
      <c r="P18" s="74">
        <v>0</v>
      </c>
      <c r="Q18" s="64">
        <v>0</v>
      </c>
    </row>
    <row r="19" spans="1:17">
      <c r="A19" s="74" t="s">
        <v>213</v>
      </c>
      <c r="B19" s="64"/>
      <c r="C19" s="64"/>
      <c r="D19" s="64"/>
      <c r="E19" s="64">
        <v>223443.137254902</v>
      </c>
      <c r="F19" s="64"/>
      <c r="G19" s="64"/>
      <c r="H19" s="74" t="s">
        <v>1397</v>
      </c>
      <c r="I19" s="74">
        <v>0</v>
      </c>
      <c r="J19" s="74">
        <v>0</v>
      </c>
      <c r="K19" s="64">
        <f t="shared" si="0"/>
        <v>0</v>
      </c>
      <c r="L19" s="74">
        <v>0.02</v>
      </c>
      <c r="M19" s="74">
        <v>0</v>
      </c>
      <c r="N19" s="64">
        <f>E19*(1+M19)/(1+L19)</f>
        <v>219061.899269512</v>
      </c>
      <c r="O19" s="74">
        <v>0</v>
      </c>
      <c r="P19" s="74">
        <v>0</v>
      </c>
      <c r="Q19" s="64">
        <v>0</v>
      </c>
    </row>
    <row r="20" spans="1:17">
      <c r="A20" s="74" t="s">
        <v>215</v>
      </c>
      <c r="B20" s="64"/>
      <c r="C20" s="64"/>
      <c r="D20" s="64"/>
      <c r="E20" s="64">
        <v>2055683.64</v>
      </c>
      <c r="F20" s="64"/>
      <c r="G20" s="64"/>
      <c r="H20" s="74" t="s">
        <v>1397</v>
      </c>
      <c r="I20" s="74">
        <v>0</v>
      </c>
      <c r="J20" s="74">
        <v>0</v>
      </c>
      <c r="K20" s="64">
        <f t="shared" si="0"/>
        <v>0</v>
      </c>
      <c r="L20" s="74">
        <v>0.96</v>
      </c>
      <c r="M20" s="74"/>
      <c r="N20" s="64">
        <f>E20*L20</f>
        <v>1973456.2944</v>
      </c>
      <c r="O20" s="74">
        <v>0</v>
      </c>
      <c r="P20" s="74">
        <v>0</v>
      </c>
      <c r="Q20" s="64">
        <v>0</v>
      </c>
    </row>
    <row r="21" spans="1:17">
      <c r="A21" s="74" t="s">
        <v>42</v>
      </c>
      <c r="B21" s="64">
        <v>40000</v>
      </c>
      <c r="C21" s="64"/>
      <c r="D21" s="64"/>
      <c r="E21" s="64"/>
      <c r="F21" s="64"/>
      <c r="G21" s="64"/>
      <c r="H21" s="74" t="s">
        <v>1397</v>
      </c>
      <c r="I21" s="74">
        <v>0</v>
      </c>
      <c r="J21" s="74">
        <v>0</v>
      </c>
      <c r="K21" s="64">
        <f t="shared" si="0"/>
        <v>40000</v>
      </c>
      <c r="L21" s="74"/>
      <c r="M21" s="74"/>
      <c r="N21" s="64">
        <f t="shared" ref="N21:N26" si="1">E21*(1+M21)/(1+L21)</f>
        <v>0</v>
      </c>
      <c r="O21" s="74">
        <v>0</v>
      </c>
      <c r="P21" s="74">
        <v>0</v>
      </c>
      <c r="Q21" s="64">
        <f>F21*(1+P21)/(1+O21)</f>
        <v>0</v>
      </c>
    </row>
    <row r="22" spans="1:17">
      <c r="A22" s="74" t="s">
        <v>168</v>
      </c>
      <c r="B22" s="64">
        <v>25484.21</v>
      </c>
      <c r="C22" s="64"/>
      <c r="D22" s="64"/>
      <c r="E22" s="64"/>
      <c r="F22" s="64"/>
      <c r="G22" s="64"/>
      <c r="H22" s="74" t="s">
        <v>1397</v>
      </c>
      <c r="I22" s="74">
        <v>0.07</v>
      </c>
      <c r="J22" s="74">
        <v>0</v>
      </c>
      <c r="K22" s="64">
        <f t="shared" si="0"/>
        <v>23817.0186915888</v>
      </c>
      <c r="L22" s="74"/>
      <c r="M22" s="74"/>
      <c r="N22" s="64">
        <f t="shared" si="1"/>
        <v>0</v>
      </c>
      <c r="O22" s="74">
        <v>0</v>
      </c>
      <c r="P22" s="74">
        <v>0</v>
      </c>
      <c r="Q22" s="64">
        <v>0</v>
      </c>
    </row>
    <row r="23" spans="1:17">
      <c r="A23" s="74" t="s">
        <v>188</v>
      </c>
      <c r="B23" s="64">
        <v>25038.76</v>
      </c>
      <c r="C23" s="64"/>
      <c r="D23" s="64"/>
      <c r="E23" s="64"/>
      <c r="F23" s="64"/>
      <c r="G23" s="64"/>
      <c r="H23" s="74" t="s">
        <v>1397</v>
      </c>
      <c r="I23" s="74">
        <v>0.03</v>
      </c>
      <c r="J23" s="74"/>
      <c r="K23" s="64">
        <f t="shared" si="0"/>
        <v>24309.4757281553</v>
      </c>
      <c r="L23" s="74"/>
      <c r="M23" s="74"/>
      <c r="N23" s="64">
        <f t="shared" si="1"/>
        <v>0</v>
      </c>
      <c r="O23" s="74">
        <v>0</v>
      </c>
      <c r="P23" s="74">
        <v>0</v>
      </c>
      <c r="Q23" s="64">
        <v>0</v>
      </c>
    </row>
    <row r="24" spans="1:17">
      <c r="A24" s="74" t="s">
        <v>195</v>
      </c>
      <c r="B24" s="64">
        <v>0</v>
      </c>
      <c r="C24" s="64"/>
      <c r="D24" s="64"/>
      <c r="E24" s="64"/>
      <c r="F24" s="64"/>
      <c r="G24" s="64"/>
      <c r="H24" s="74" t="s">
        <v>1397</v>
      </c>
      <c r="I24" s="74"/>
      <c r="J24" s="74"/>
      <c r="K24" s="64">
        <f t="shared" si="0"/>
        <v>0</v>
      </c>
      <c r="L24" s="74"/>
      <c r="M24" s="74"/>
      <c r="N24" s="64">
        <f t="shared" si="1"/>
        <v>0</v>
      </c>
      <c r="O24" s="74">
        <v>0</v>
      </c>
      <c r="P24" s="74">
        <v>0</v>
      </c>
      <c r="Q24" s="64">
        <v>0</v>
      </c>
    </row>
    <row r="25" spans="1:17">
      <c r="A25" s="74" t="s">
        <v>209</v>
      </c>
      <c r="B25" s="64">
        <v>176678.35</v>
      </c>
      <c r="C25" s="64"/>
      <c r="D25" s="64"/>
      <c r="E25" s="64"/>
      <c r="F25" s="64"/>
      <c r="G25" s="64"/>
      <c r="H25" s="74" t="s">
        <v>1397</v>
      </c>
      <c r="I25" s="74">
        <v>0.02</v>
      </c>
      <c r="J25" s="74">
        <v>0</v>
      </c>
      <c r="K25" s="64">
        <f t="shared" si="0"/>
        <v>173214.068627451</v>
      </c>
      <c r="L25" s="74"/>
      <c r="M25" s="74"/>
      <c r="N25" s="64">
        <f t="shared" si="1"/>
        <v>0</v>
      </c>
      <c r="O25" s="74">
        <v>0</v>
      </c>
      <c r="P25" s="74">
        <v>0</v>
      </c>
      <c r="Q25" s="64">
        <v>0</v>
      </c>
    </row>
    <row r="26" spans="1:17">
      <c r="A26" s="74" t="s">
        <v>145</v>
      </c>
      <c r="B26" s="64">
        <v>15846.75</v>
      </c>
      <c r="C26" s="64"/>
      <c r="D26" s="64"/>
      <c r="E26" s="64"/>
      <c r="F26" s="64"/>
      <c r="G26" s="64"/>
      <c r="H26" s="74" t="s">
        <v>1397</v>
      </c>
      <c r="I26" s="74">
        <v>0.06</v>
      </c>
      <c r="J26" s="74">
        <v>0</v>
      </c>
      <c r="K26" s="64">
        <f t="shared" si="0"/>
        <v>14949.7641509434</v>
      </c>
      <c r="L26" s="74"/>
      <c r="M26" s="74"/>
      <c r="N26" s="64">
        <f t="shared" si="1"/>
        <v>0</v>
      </c>
      <c r="O26" s="74">
        <v>0</v>
      </c>
      <c r="P26" s="74">
        <v>0</v>
      </c>
      <c r="Q26" s="64">
        <v>0</v>
      </c>
    </row>
  </sheetData>
  <conditionalFormatting sqref="A13:A20">
    <cfRule type="duplicateValues" dxfId="0" priority="1"/>
  </conditionalFormatting>
  <conditionalFormatting sqref="A13:A26">
    <cfRule type="duplicateValues" dxfId="0" priority="6"/>
  </conditionalFormatting>
  <conditionalFormatting sqref="A21:A26">
    <cfRule type="duplicateValues" dxfId="0" priority="5"/>
  </conditionalFormatting>
  <conditionalFormatting sqref="A12 A21:A26">
    <cfRule type="duplicateValues" dxfId="0" priority="2"/>
  </conditionalFormatting>
  <conditionalFormatting sqref="B12:B14 B16 B18:B20">
    <cfRule type="duplicateValues" dxfId="0" priority="4"/>
  </conditionalFormatting>
  <conditionalFormatting sqref="E12 E21:E26">
    <cfRule type="duplicateValues" dxfId="0" priority="3"/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127"/>
  <sheetViews>
    <sheetView workbookViewId="0">
      <selection activeCell="Q17" sqref="Q17"/>
    </sheetView>
  </sheetViews>
  <sheetFormatPr defaultColWidth="8.725" defaultRowHeight="14.25"/>
  <cols>
    <col min="1" max="15" width="8.725" style="1"/>
    <col min="16" max="16" width="9.26666666666667" style="1"/>
    <col min="17" max="16384" width="8.725" style="1"/>
  </cols>
  <sheetData>
    <row r="3" spans="2:15">
      <c r="B3" s="61" t="s">
        <v>1411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5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5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5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2:16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1">
        <v>1238861.44</v>
      </c>
    </row>
    <row r="8" spans="2:16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1">
        <v>45960.35</v>
      </c>
    </row>
    <row r="9" spans="2:16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1">
        <v>619837.69</v>
      </c>
    </row>
    <row r="10" spans="2:16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1">
        <v>1584166</v>
      </c>
    </row>
    <row r="11" spans="2:16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1">
        <v>34477</v>
      </c>
    </row>
    <row r="12" spans="2:15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2:15"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33" spans="16:16">
      <c r="P33" s="1">
        <v>838861.44</v>
      </c>
    </row>
    <row r="56" spans="16:16">
      <c r="P56" s="1">
        <v>25960.5</v>
      </c>
    </row>
    <row r="78" spans="16:16">
      <c r="P78" s="1">
        <v>40801.8</v>
      </c>
    </row>
    <row r="101" spans="16:16">
      <c r="P101" s="1">
        <v>234166</v>
      </c>
    </row>
    <row r="127" spans="16:16">
      <c r="P127" s="1">
        <v>34477</v>
      </c>
    </row>
  </sheetData>
  <mergeCells count="1">
    <mergeCell ref="B3:O13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1"/>
  <sheetViews>
    <sheetView topLeftCell="G1" workbookViewId="0">
      <selection activeCell="L15" sqref="L15"/>
    </sheetView>
  </sheetViews>
  <sheetFormatPr defaultColWidth="17.45" defaultRowHeight="10.5"/>
  <cols>
    <col min="1" max="1" width="19.45" style="57" customWidth="1"/>
    <col min="2" max="2" width="7.09166666666667" style="57" customWidth="1"/>
    <col min="3" max="3" width="21" style="57" customWidth="1"/>
    <col min="4" max="5" width="7.09166666666667" style="57" customWidth="1"/>
    <col min="6" max="6" width="22.45" style="57" customWidth="1"/>
    <col min="7" max="7" width="7.09166666666667" style="57" customWidth="1"/>
    <col min="8" max="8" width="10" style="57" customWidth="1"/>
    <col min="9" max="9" width="7.09166666666667" style="57" customWidth="1"/>
    <col min="10" max="10" width="10" style="57" customWidth="1"/>
    <col min="11" max="11" width="8.45" style="57" customWidth="1"/>
    <col min="12" max="13" width="9.45" style="57" customWidth="1"/>
    <col min="14" max="14" width="10" style="57" customWidth="1"/>
    <col min="15" max="15" width="7.09166666666667" style="57" customWidth="1"/>
    <col min="16" max="16" width="8.45" style="57" customWidth="1"/>
    <col min="17" max="18" width="7.09166666666667" style="57" customWidth="1"/>
    <col min="19" max="19" width="10" style="57" customWidth="1"/>
    <col min="20" max="21" width="7.09166666666667" style="57" customWidth="1"/>
    <col min="22" max="23" width="8.45" style="57" customWidth="1"/>
    <col min="24" max="24" width="7.09166666666667" style="57" customWidth="1"/>
    <col min="25" max="27" width="10" style="57" customWidth="1"/>
    <col min="28" max="28" width="8.45" style="57" customWidth="1"/>
    <col min="29" max="29" width="9.09166666666667" style="57" customWidth="1"/>
    <col min="30" max="16384" width="17.45" style="57"/>
  </cols>
  <sheetData>
    <row r="1" ht="11.25" spans="1:29">
      <c r="A1" s="58" t="s">
        <v>1412</v>
      </c>
      <c r="B1" s="58" t="s">
        <v>1413</v>
      </c>
      <c r="C1" s="58" t="s">
        <v>1414</v>
      </c>
      <c r="D1" s="58" t="s">
        <v>1415</v>
      </c>
      <c r="E1" s="58" t="s">
        <v>1416</v>
      </c>
      <c r="F1" s="58" t="s">
        <v>10</v>
      </c>
      <c r="G1" s="58" t="s">
        <v>12</v>
      </c>
      <c r="H1" s="58" t="s">
        <v>1417</v>
      </c>
      <c r="I1" s="58" t="s">
        <v>1418</v>
      </c>
      <c r="J1" s="58" t="s">
        <v>1419</v>
      </c>
      <c r="K1" s="58" t="s">
        <v>1420</v>
      </c>
      <c r="L1" s="58" t="s">
        <v>1421</v>
      </c>
      <c r="M1" s="58" t="s">
        <v>1422</v>
      </c>
      <c r="N1" s="58" t="s">
        <v>1423</v>
      </c>
      <c r="O1" s="58" t="s">
        <v>1424</v>
      </c>
      <c r="P1" s="58" t="s">
        <v>1425</v>
      </c>
      <c r="Q1" s="58" t="s">
        <v>35</v>
      </c>
      <c r="R1" s="58" t="s">
        <v>14</v>
      </c>
      <c r="S1" s="58" t="s">
        <v>1426</v>
      </c>
      <c r="T1" s="58" t="s">
        <v>1427</v>
      </c>
      <c r="U1" s="58" t="s">
        <v>1428</v>
      </c>
      <c r="V1" s="58" t="s">
        <v>1429</v>
      </c>
      <c r="W1" s="58" t="s">
        <v>1392</v>
      </c>
      <c r="X1" s="58" t="s">
        <v>1430</v>
      </c>
      <c r="Y1" s="58" t="s">
        <v>31</v>
      </c>
      <c r="Z1" s="58" t="s">
        <v>1431</v>
      </c>
      <c r="AA1" s="58" t="s">
        <v>1432</v>
      </c>
      <c r="AB1" s="58" t="s">
        <v>1433</v>
      </c>
      <c r="AC1" s="58" t="s">
        <v>1434</v>
      </c>
    </row>
    <row r="2" ht="11.25" spans="1:29">
      <c r="A2" s="59" t="s">
        <v>1435</v>
      </c>
      <c r="B2" s="59" t="s">
        <v>1436</v>
      </c>
      <c r="C2" s="59" t="s">
        <v>164</v>
      </c>
      <c r="D2" s="59" t="s">
        <v>1437</v>
      </c>
      <c r="E2" s="59" t="s">
        <v>1438</v>
      </c>
      <c r="F2" s="59" t="s">
        <v>159</v>
      </c>
      <c r="G2" s="59" t="s">
        <v>160</v>
      </c>
      <c r="H2" s="59" t="s">
        <v>194</v>
      </c>
      <c r="I2" s="59" t="s">
        <v>88</v>
      </c>
      <c r="J2" s="59" t="s">
        <v>1439</v>
      </c>
      <c r="K2" s="60">
        <v>8700</v>
      </c>
      <c r="L2" s="59" t="s">
        <v>1440</v>
      </c>
      <c r="M2" s="59" t="s">
        <v>1441</v>
      </c>
      <c r="N2" s="59" t="s">
        <v>1442</v>
      </c>
      <c r="O2" s="59" t="s">
        <v>1443</v>
      </c>
      <c r="P2" s="59" t="s">
        <v>1444</v>
      </c>
      <c r="Q2" s="59" t="s">
        <v>120</v>
      </c>
      <c r="R2" s="59" t="s">
        <v>47</v>
      </c>
      <c r="S2" s="60">
        <v>0</v>
      </c>
      <c r="T2" s="59" t="s">
        <v>47</v>
      </c>
      <c r="U2" s="59" t="s">
        <v>1445</v>
      </c>
      <c r="V2" s="60">
        <v>0</v>
      </c>
      <c r="W2" s="60">
        <v>7830</v>
      </c>
      <c r="X2" s="59" t="s">
        <v>1446</v>
      </c>
      <c r="Y2" s="60">
        <v>0</v>
      </c>
      <c r="Z2" s="59" t="s">
        <v>1447</v>
      </c>
      <c r="AA2" s="59" t="s">
        <v>1448</v>
      </c>
      <c r="AB2" s="60">
        <v>870</v>
      </c>
      <c r="AC2" s="60">
        <v>10</v>
      </c>
    </row>
    <row r="3" ht="11.25" spans="1:29">
      <c r="A3" s="59" t="s">
        <v>1449</v>
      </c>
      <c r="B3" s="59" t="s">
        <v>1436</v>
      </c>
      <c r="C3" s="59" t="s">
        <v>164</v>
      </c>
      <c r="D3" s="59" t="s">
        <v>1437</v>
      </c>
      <c r="E3" s="59" t="s">
        <v>1438</v>
      </c>
      <c r="F3" s="59" t="s">
        <v>159</v>
      </c>
      <c r="G3" s="59" t="s">
        <v>160</v>
      </c>
      <c r="H3" s="59" t="s">
        <v>194</v>
      </c>
      <c r="I3" s="59" t="s">
        <v>88</v>
      </c>
      <c r="J3" s="59" t="s">
        <v>1439</v>
      </c>
      <c r="K3" s="60">
        <v>8700</v>
      </c>
      <c r="L3" s="59" t="s">
        <v>1440</v>
      </c>
      <c r="M3" s="59" t="s">
        <v>1441</v>
      </c>
      <c r="N3" s="59" t="s">
        <v>1442</v>
      </c>
      <c r="O3" s="59" t="s">
        <v>1443</v>
      </c>
      <c r="P3" s="59" t="s">
        <v>1444</v>
      </c>
      <c r="Q3" s="59" t="s">
        <v>120</v>
      </c>
      <c r="R3" s="59" t="s">
        <v>47</v>
      </c>
      <c r="S3" s="60">
        <v>0</v>
      </c>
      <c r="T3" s="59" t="s">
        <v>47</v>
      </c>
      <c r="U3" s="59" t="s">
        <v>1445</v>
      </c>
      <c r="V3" s="60">
        <v>0</v>
      </c>
      <c r="W3" s="60">
        <v>7830</v>
      </c>
      <c r="X3" s="59" t="s">
        <v>1446</v>
      </c>
      <c r="Y3" s="60">
        <v>0</v>
      </c>
      <c r="Z3" s="59" t="s">
        <v>1447</v>
      </c>
      <c r="AA3" s="59" t="s">
        <v>1450</v>
      </c>
      <c r="AB3" s="60">
        <v>870</v>
      </c>
      <c r="AC3" s="60">
        <v>10</v>
      </c>
    </row>
    <row r="4" ht="11.25" spans="1:29">
      <c r="A4" s="59" t="s">
        <v>1451</v>
      </c>
      <c r="B4" s="59" t="s">
        <v>1436</v>
      </c>
      <c r="C4" s="59" t="s">
        <v>164</v>
      </c>
      <c r="D4" s="59" t="s">
        <v>1437</v>
      </c>
      <c r="E4" s="59" t="s">
        <v>1438</v>
      </c>
      <c r="F4" s="59" t="s">
        <v>159</v>
      </c>
      <c r="G4" s="59" t="s">
        <v>160</v>
      </c>
      <c r="H4" s="59" t="s">
        <v>194</v>
      </c>
      <c r="I4" s="59" t="s">
        <v>88</v>
      </c>
      <c r="J4" s="59" t="s">
        <v>1439</v>
      </c>
      <c r="K4" s="60">
        <v>8700</v>
      </c>
      <c r="L4" s="59" t="s">
        <v>1440</v>
      </c>
      <c r="M4" s="59" t="s">
        <v>1441</v>
      </c>
      <c r="N4" s="59" t="s">
        <v>1442</v>
      </c>
      <c r="O4" s="59" t="s">
        <v>1443</v>
      </c>
      <c r="P4" s="59" t="s">
        <v>1444</v>
      </c>
      <c r="Q4" s="59" t="s">
        <v>120</v>
      </c>
      <c r="R4" s="59" t="s">
        <v>47</v>
      </c>
      <c r="S4" s="60">
        <v>0</v>
      </c>
      <c r="T4" s="59" t="s">
        <v>47</v>
      </c>
      <c r="U4" s="59" t="s">
        <v>1445</v>
      </c>
      <c r="V4" s="60">
        <v>0</v>
      </c>
      <c r="W4" s="60">
        <v>7830</v>
      </c>
      <c r="X4" s="59" t="s">
        <v>1446</v>
      </c>
      <c r="Y4" s="60">
        <v>0</v>
      </c>
      <c r="Z4" s="59" t="s">
        <v>1447</v>
      </c>
      <c r="AA4" s="59" t="s">
        <v>1450</v>
      </c>
      <c r="AB4" s="60">
        <v>870</v>
      </c>
      <c r="AC4" s="60">
        <v>10</v>
      </c>
    </row>
    <row r="5" ht="11.25" spans="1:29">
      <c r="A5" s="59" t="s">
        <v>1452</v>
      </c>
      <c r="B5" s="59" t="s">
        <v>1436</v>
      </c>
      <c r="C5" s="59" t="s">
        <v>164</v>
      </c>
      <c r="D5" s="59" t="s">
        <v>1437</v>
      </c>
      <c r="E5" s="59" t="s">
        <v>1438</v>
      </c>
      <c r="F5" s="59" t="s">
        <v>159</v>
      </c>
      <c r="G5" s="59" t="s">
        <v>160</v>
      </c>
      <c r="H5" s="59" t="s">
        <v>194</v>
      </c>
      <c r="I5" s="59" t="s">
        <v>88</v>
      </c>
      <c r="J5" s="59" t="s">
        <v>1439</v>
      </c>
      <c r="K5" s="60">
        <v>17400</v>
      </c>
      <c r="L5" s="59" t="s">
        <v>1440</v>
      </c>
      <c r="M5" s="59" t="s">
        <v>1441</v>
      </c>
      <c r="N5" s="59" t="s">
        <v>1442</v>
      </c>
      <c r="O5" s="59" t="s">
        <v>1443</v>
      </c>
      <c r="P5" s="59" t="s">
        <v>1444</v>
      </c>
      <c r="Q5" s="59" t="s">
        <v>120</v>
      </c>
      <c r="R5" s="59" t="s">
        <v>47</v>
      </c>
      <c r="S5" s="60">
        <v>0</v>
      </c>
      <c r="T5" s="59" t="s">
        <v>47</v>
      </c>
      <c r="U5" s="59" t="s">
        <v>1445</v>
      </c>
      <c r="V5" s="60">
        <v>0</v>
      </c>
      <c r="W5" s="60">
        <v>15660</v>
      </c>
      <c r="X5" s="59" t="s">
        <v>1446</v>
      </c>
      <c r="Y5" s="60">
        <v>0</v>
      </c>
      <c r="Z5" s="59" t="s">
        <v>1447</v>
      </c>
      <c r="AA5" s="59" t="s">
        <v>1453</v>
      </c>
      <c r="AB5" s="60">
        <v>1740</v>
      </c>
      <c r="AC5" s="60">
        <v>10</v>
      </c>
    </row>
    <row r="6" ht="11.25" spans="1:29">
      <c r="A6" s="59" t="s">
        <v>1454</v>
      </c>
      <c r="B6" s="59" t="s">
        <v>1436</v>
      </c>
      <c r="C6" s="59" t="s">
        <v>164</v>
      </c>
      <c r="D6" s="59" t="s">
        <v>1437</v>
      </c>
      <c r="E6" s="59" t="s">
        <v>1438</v>
      </c>
      <c r="F6" s="59" t="s">
        <v>159</v>
      </c>
      <c r="G6" s="59" t="s">
        <v>160</v>
      </c>
      <c r="H6" s="59" t="s">
        <v>194</v>
      </c>
      <c r="I6" s="59" t="s">
        <v>88</v>
      </c>
      <c r="J6" s="59" t="s">
        <v>1439</v>
      </c>
      <c r="K6" s="60">
        <v>8700</v>
      </c>
      <c r="L6" s="59" t="s">
        <v>1440</v>
      </c>
      <c r="M6" s="59" t="s">
        <v>1441</v>
      </c>
      <c r="N6" s="59" t="s">
        <v>1442</v>
      </c>
      <c r="O6" s="59" t="s">
        <v>1443</v>
      </c>
      <c r="P6" s="59" t="s">
        <v>1444</v>
      </c>
      <c r="Q6" s="59" t="s">
        <v>120</v>
      </c>
      <c r="R6" s="59" t="s">
        <v>47</v>
      </c>
      <c r="S6" s="60">
        <v>0</v>
      </c>
      <c r="T6" s="59" t="s">
        <v>47</v>
      </c>
      <c r="U6" s="59" t="s">
        <v>1445</v>
      </c>
      <c r="V6" s="60">
        <v>0</v>
      </c>
      <c r="W6" s="60">
        <v>7830</v>
      </c>
      <c r="X6" s="59" t="s">
        <v>1446</v>
      </c>
      <c r="Y6" s="60">
        <v>0</v>
      </c>
      <c r="Z6" s="59" t="s">
        <v>1447</v>
      </c>
      <c r="AA6" s="59" t="s">
        <v>1448</v>
      </c>
      <c r="AB6" s="60">
        <v>870</v>
      </c>
      <c r="AC6" s="60">
        <v>10</v>
      </c>
    </row>
    <row r="7" ht="11.25" spans="1:29">
      <c r="A7" s="59" t="s">
        <v>1455</v>
      </c>
      <c r="B7" s="59" t="s">
        <v>1436</v>
      </c>
      <c r="C7" s="59" t="s">
        <v>164</v>
      </c>
      <c r="D7" s="59" t="s">
        <v>1437</v>
      </c>
      <c r="E7" s="59" t="s">
        <v>1438</v>
      </c>
      <c r="F7" s="59" t="s">
        <v>159</v>
      </c>
      <c r="G7" s="59" t="s">
        <v>160</v>
      </c>
      <c r="H7" s="59" t="s">
        <v>194</v>
      </c>
      <c r="I7" s="59" t="s">
        <v>88</v>
      </c>
      <c r="J7" s="59" t="s">
        <v>1439</v>
      </c>
      <c r="K7" s="60">
        <v>34800</v>
      </c>
      <c r="L7" s="59" t="s">
        <v>1440</v>
      </c>
      <c r="M7" s="59" t="s">
        <v>1441</v>
      </c>
      <c r="N7" s="59" t="s">
        <v>1442</v>
      </c>
      <c r="O7" s="59" t="s">
        <v>1443</v>
      </c>
      <c r="P7" s="59" t="s">
        <v>1444</v>
      </c>
      <c r="Q7" s="59" t="s">
        <v>120</v>
      </c>
      <c r="R7" s="59" t="s">
        <v>47</v>
      </c>
      <c r="S7" s="60">
        <v>0</v>
      </c>
      <c r="T7" s="59" t="s">
        <v>47</v>
      </c>
      <c r="U7" s="59" t="s">
        <v>1445</v>
      </c>
      <c r="V7" s="60">
        <v>0</v>
      </c>
      <c r="W7" s="60">
        <v>31320</v>
      </c>
      <c r="X7" s="59" t="s">
        <v>1446</v>
      </c>
      <c r="Y7" s="60">
        <v>0</v>
      </c>
      <c r="Z7" s="59" t="s">
        <v>1447</v>
      </c>
      <c r="AA7" s="59" t="s">
        <v>1448</v>
      </c>
      <c r="AB7" s="60">
        <v>3480</v>
      </c>
      <c r="AC7" s="60">
        <v>10</v>
      </c>
    </row>
    <row r="8" ht="11.25" spans="1:29">
      <c r="A8" s="59" t="s">
        <v>1456</v>
      </c>
      <c r="B8" s="59" t="s">
        <v>1436</v>
      </c>
      <c r="C8" s="59" t="s">
        <v>164</v>
      </c>
      <c r="D8" s="59" t="s">
        <v>1437</v>
      </c>
      <c r="E8" s="59" t="s">
        <v>1438</v>
      </c>
      <c r="F8" s="59" t="s">
        <v>159</v>
      </c>
      <c r="G8" s="59" t="s">
        <v>160</v>
      </c>
      <c r="H8" s="59" t="s">
        <v>194</v>
      </c>
      <c r="I8" s="59" t="s">
        <v>88</v>
      </c>
      <c r="J8" s="59" t="s">
        <v>1439</v>
      </c>
      <c r="K8" s="60">
        <v>8700</v>
      </c>
      <c r="L8" s="59" t="s">
        <v>1440</v>
      </c>
      <c r="M8" s="59" t="s">
        <v>1441</v>
      </c>
      <c r="N8" s="59" t="s">
        <v>1442</v>
      </c>
      <c r="O8" s="59" t="s">
        <v>1443</v>
      </c>
      <c r="P8" s="59" t="s">
        <v>1444</v>
      </c>
      <c r="Q8" s="59" t="s">
        <v>120</v>
      </c>
      <c r="R8" s="59" t="s">
        <v>47</v>
      </c>
      <c r="S8" s="60">
        <v>0</v>
      </c>
      <c r="T8" s="59" t="s">
        <v>47</v>
      </c>
      <c r="U8" s="59" t="s">
        <v>1445</v>
      </c>
      <c r="V8" s="60">
        <v>0</v>
      </c>
      <c r="W8" s="60">
        <v>7830</v>
      </c>
      <c r="X8" s="59" t="s">
        <v>1446</v>
      </c>
      <c r="Y8" s="60">
        <v>0</v>
      </c>
      <c r="Z8" s="59" t="s">
        <v>1447</v>
      </c>
      <c r="AA8" s="59" t="s">
        <v>1457</v>
      </c>
      <c r="AB8" s="60">
        <v>870</v>
      </c>
      <c r="AC8" s="60">
        <v>10</v>
      </c>
    </row>
    <row r="9" ht="11.25" spans="1:29">
      <c r="A9" s="59" t="s">
        <v>1458</v>
      </c>
      <c r="B9" s="59" t="s">
        <v>1436</v>
      </c>
      <c r="C9" s="59" t="s">
        <v>164</v>
      </c>
      <c r="D9" s="59" t="s">
        <v>1437</v>
      </c>
      <c r="E9" s="59" t="s">
        <v>1438</v>
      </c>
      <c r="F9" s="59" t="s">
        <v>159</v>
      </c>
      <c r="G9" s="59" t="s">
        <v>160</v>
      </c>
      <c r="H9" s="59" t="s">
        <v>194</v>
      </c>
      <c r="I9" s="59" t="s">
        <v>88</v>
      </c>
      <c r="J9" s="59" t="s">
        <v>1439</v>
      </c>
      <c r="K9" s="60">
        <v>8700</v>
      </c>
      <c r="L9" s="59" t="s">
        <v>1440</v>
      </c>
      <c r="M9" s="59" t="s">
        <v>1441</v>
      </c>
      <c r="N9" s="59" t="s">
        <v>1442</v>
      </c>
      <c r="O9" s="59" t="s">
        <v>1443</v>
      </c>
      <c r="P9" s="59" t="s">
        <v>1444</v>
      </c>
      <c r="Q9" s="59" t="s">
        <v>120</v>
      </c>
      <c r="R9" s="59" t="s">
        <v>47</v>
      </c>
      <c r="S9" s="60">
        <v>0</v>
      </c>
      <c r="T9" s="59" t="s">
        <v>47</v>
      </c>
      <c r="U9" s="59" t="s">
        <v>1445</v>
      </c>
      <c r="V9" s="60">
        <v>0</v>
      </c>
      <c r="W9" s="60">
        <v>7830</v>
      </c>
      <c r="X9" s="59" t="s">
        <v>1446</v>
      </c>
      <c r="Y9" s="60">
        <v>0</v>
      </c>
      <c r="Z9" s="59" t="s">
        <v>1447</v>
      </c>
      <c r="AA9" s="59" t="s">
        <v>1448</v>
      </c>
      <c r="AB9" s="60">
        <v>870</v>
      </c>
      <c r="AC9" s="60">
        <v>10</v>
      </c>
    </row>
    <row r="10" ht="11.25" spans="1:29">
      <c r="A10" s="59" t="s">
        <v>1459</v>
      </c>
      <c r="B10" s="59" t="s">
        <v>1436</v>
      </c>
      <c r="C10" s="59" t="s">
        <v>164</v>
      </c>
      <c r="D10" s="59" t="s">
        <v>1437</v>
      </c>
      <c r="E10" s="59" t="s">
        <v>1438</v>
      </c>
      <c r="F10" s="59" t="s">
        <v>159</v>
      </c>
      <c r="G10" s="59" t="s">
        <v>160</v>
      </c>
      <c r="H10" s="59" t="s">
        <v>194</v>
      </c>
      <c r="I10" s="59" t="s">
        <v>88</v>
      </c>
      <c r="J10" s="59" t="s">
        <v>1439</v>
      </c>
      <c r="K10" s="60">
        <v>17400</v>
      </c>
      <c r="L10" s="59" t="s">
        <v>1440</v>
      </c>
      <c r="M10" s="59" t="s">
        <v>1441</v>
      </c>
      <c r="N10" s="59" t="s">
        <v>1442</v>
      </c>
      <c r="O10" s="59" t="s">
        <v>1443</v>
      </c>
      <c r="P10" s="59" t="s">
        <v>1444</v>
      </c>
      <c r="Q10" s="59" t="s">
        <v>120</v>
      </c>
      <c r="R10" s="59" t="s">
        <v>47</v>
      </c>
      <c r="S10" s="60">
        <v>0</v>
      </c>
      <c r="T10" s="59" t="s">
        <v>47</v>
      </c>
      <c r="U10" s="59" t="s">
        <v>1445</v>
      </c>
      <c r="V10" s="60">
        <v>0</v>
      </c>
      <c r="W10" s="60">
        <v>15660</v>
      </c>
      <c r="X10" s="59" t="s">
        <v>1446</v>
      </c>
      <c r="Y10" s="60">
        <v>0</v>
      </c>
      <c r="Z10" s="59" t="s">
        <v>1447</v>
      </c>
      <c r="AA10" s="59" t="s">
        <v>1450</v>
      </c>
      <c r="AB10" s="60">
        <v>1740</v>
      </c>
      <c r="AC10" s="60">
        <v>10</v>
      </c>
    </row>
    <row r="11" ht="11.25" spans="1:29">
      <c r="A11" s="59" t="s">
        <v>1460</v>
      </c>
      <c r="B11" s="59" t="s">
        <v>1436</v>
      </c>
      <c r="C11" s="59" t="s">
        <v>164</v>
      </c>
      <c r="D11" s="59" t="s">
        <v>1437</v>
      </c>
      <c r="E11" s="59" t="s">
        <v>1438</v>
      </c>
      <c r="F11" s="59" t="s">
        <v>159</v>
      </c>
      <c r="G11" s="59" t="s">
        <v>160</v>
      </c>
      <c r="H11" s="59" t="s">
        <v>194</v>
      </c>
      <c r="I11" s="59" t="s">
        <v>88</v>
      </c>
      <c r="J11" s="59" t="s">
        <v>1439</v>
      </c>
      <c r="K11" s="60">
        <v>78300</v>
      </c>
      <c r="L11" s="59" t="s">
        <v>1440</v>
      </c>
      <c r="M11" s="59" t="s">
        <v>1441</v>
      </c>
      <c r="N11" s="59" t="s">
        <v>1442</v>
      </c>
      <c r="O11" s="59" t="s">
        <v>1443</v>
      </c>
      <c r="P11" s="59" t="s">
        <v>1444</v>
      </c>
      <c r="Q11" s="59" t="s">
        <v>120</v>
      </c>
      <c r="R11" s="59" t="s">
        <v>47</v>
      </c>
      <c r="S11" s="60">
        <v>0</v>
      </c>
      <c r="T11" s="59" t="s">
        <v>47</v>
      </c>
      <c r="U11" s="59" t="s">
        <v>1445</v>
      </c>
      <c r="V11" s="60">
        <v>0</v>
      </c>
      <c r="W11" s="60">
        <v>70470</v>
      </c>
      <c r="X11" s="59" t="s">
        <v>1446</v>
      </c>
      <c r="Y11" s="60">
        <v>0</v>
      </c>
      <c r="Z11" s="59" t="s">
        <v>1447</v>
      </c>
      <c r="AA11" s="59" t="s">
        <v>1448</v>
      </c>
      <c r="AB11" s="60">
        <v>7830</v>
      </c>
      <c r="AC11" s="60">
        <v>10</v>
      </c>
    </row>
    <row r="12" ht="11.25" spans="1:29">
      <c r="A12" s="59" t="s">
        <v>1461</v>
      </c>
      <c r="B12" s="59" t="s">
        <v>1436</v>
      </c>
      <c r="C12" s="59" t="s">
        <v>164</v>
      </c>
      <c r="D12" s="59" t="s">
        <v>1437</v>
      </c>
      <c r="E12" s="59" t="s">
        <v>1438</v>
      </c>
      <c r="F12" s="59" t="s">
        <v>159</v>
      </c>
      <c r="G12" s="59" t="s">
        <v>160</v>
      </c>
      <c r="H12" s="59" t="s">
        <v>194</v>
      </c>
      <c r="I12" s="59" t="s">
        <v>88</v>
      </c>
      <c r="J12" s="59" t="s">
        <v>1439</v>
      </c>
      <c r="K12" s="60">
        <v>52200</v>
      </c>
      <c r="L12" s="59" t="s">
        <v>1440</v>
      </c>
      <c r="M12" s="59" t="s">
        <v>1441</v>
      </c>
      <c r="N12" s="59" t="s">
        <v>1442</v>
      </c>
      <c r="O12" s="59" t="s">
        <v>1443</v>
      </c>
      <c r="P12" s="59" t="s">
        <v>1444</v>
      </c>
      <c r="Q12" s="59" t="s">
        <v>120</v>
      </c>
      <c r="R12" s="59" t="s">
        <v>47</v>
      </c>
      <c r="S12" s="60">
        <v>0</v>
      </c>
      <c r="T12" s="59" t="s">
        <v>47</v>
      </c>
      <c r="U12" s="59" t="s">
        <v>1445</v>
      </c>
      <c r="V12" s="60">
        <v>0</v>
      </c>
      <c r="W12" s="60">
        <v>46980</v>
      </c>
      <c r="X12" s="59" t="s">
        <v>1446</v>
      </c>
      <c r="Y12" s="60">
        <v>0</v>
      </c>
      <c r="Z12" s="59" t="s">
        <v>1447</v>
      </c>
      <c r="AA12" s="59" t="s">
        <v>1462</v>
      </c>
      <c r="AB12" s="60">
        <v>5220</v>
      </c>
      <c r="AC12" s="60">
        <v>10</v>
      </c>
    </row>
    <row r="13" ht="11.25" spans="1:29">
      <c r="A13" s="59" t="s">
        <v>1463</v>
      </c>
      <c r="B13" s="59" t="s">
        <v>1436</v>
      </c>
      <c r="C13" s="59" t="s">
        <v>164</v>
      </c>
      <c r="D13" s="59" t="s">
        <v>1437</v>
      </c>
      <c r="E13" s="59" t="s">
        <v>1438</v>
      </c>
      <c r="F13" s="59" t="s">
        <v>159</v>
      </c>
      <c r="G13" s="59" t="s">
        <v>160</v>
      </c>
      <c r="H13" s="59" t="s">
        <v>194</v>
      </c>
      <c r="I13" s="59" t="s">
        <v>88</v>
      </c>
      <c r="J13" s="59" t="s">
        <v>1439</v>
      </c>
      <c r="K13" s="60">
        <v>8700</v>
      </c>
      <c r="L13" s="59" t="s">
        <v>1440</v>
      </c>
      <c r="M13" s="59" t="s">
        <v>1441</v>
      </c>
      <c r="N13" s="59" t="s">
        <v>1442</v>
      </c>
      <c r="O13" s="59" t="s">
        <v>1443</v>
      </c>
      <c r="P13" s="59" t="s">
        <v>1444</v>
      </c>
      <c r="Q13" s="59" t="s">
        <v>120</v>
      </c>
      <c r="R13" s="59" t="s">
        <v>47</v>
      </c>
      <c r="S13" s="60">
        <v>0</v>
      </c>
      <c r="T13" s="59" t="s">
        <v>47</v>
      </c>
      <c r="U13" s="59" t="s">
        <v>1445</v>
      </c>
      <c r="V13" s="60">
        <v>0</v>
      </c>
      <c r="W13" s="60">
        <v>7830</v>
      </c>
      <c r="X13" s="59" t="s">
        <v>1446</v>
      </c>
      <c r="Y13" s="60">
        <v>0</v>
      </c>
      <c r="Z13" s="59" t="s">
        <v>1447</v>
      </c>
      <c r="AA13" s="59" t="s">
        <v>1448</v>
      </c>
      <c r="AB13" s="60">
        <v>870</v>
      </c>
      <c r="AC13" s="60">
        <v>10</v>
      </c>
    </row>
    <row r="14" ht="11.25" spans="1:29">
      <c r="A14" s="59" t="s">
        <v>1464</v>
      </c>
      <c r="B14" s="59" t="s">
        <v>1436</v>
      </c>
      <c r="C14" s="59" t="s">
        <v>164</v>
      </c>
      <c r="D14" s="59" t="s">
        <v>1437</v>
      </c>
      <c r="E14" s="59" t="s">
        <v>1438</v>
      </c>
      <c r="F14" s="59" t="s">
        <v>159</v>
      </c>
      <c r="G14" s="59" t="s">
        <v>160</v>
      </c>
      <c r="H14" s="59" t="s">
        <v>194</v>
      </c>
      <c r="I14" s="59" t="s">
        <v>88</v>
      </c>
      <c r="J14" s="59" t="s">
        <v>1439</v>
      </c>
      <c r="K14" s="60">
        <v>43500</v>
      </c>
      <c r="L14" s="59" t="s">
        <v>1440</v>
      </c>
      <c r="M14" s="59" t="s">
        <v>1441</v>
      </c>
      <c r="N14" s="59" t="s">
        <v>1442</v>
      </c>
      <c r="O14" s="59" t="s">
        <v>1443</v>
      </c>
      <c r="P14" s="59" t="s">
        <v>1444</v>
      </c>
      <c r="Q14" s="59" t="s">
        <v>120</v>
      </c>
      <c r="R14" s="59" t="s">
        <v>47</v>
      </c>
      <c r="S14" s="60">
        <v>0</v>
      </c>
      <c r="T14" s="59" t="s">
        <v>47</v>
      </c>
      <c r="U14" s="59" t="s">
        <v>1445</v>
      </c>
      <c r="V14" s="60">
        <v>0</v>
      </c>
      <c r="W14" s="60">
        <v>39150</v>
      </c>
      <c r="X14" s="59" t="s">
        <v>1446</v>
      </c>
      <c r="Y14" s="60">
        <v>0</v>
      </c>
      <c r="Z14" s="59" t="s">
        <v>1447</v>
      </c>
      <c r="AA14" s="59" t="s">
        <v>1450</v>
      </c>
      <c r="AB14" s="60">
        <v>4350</v>
      </c>
      <c r="AC14" s="60">
        <v>10</v>
      </c>
    </row>
    <row r="15" ht="11.25" spans="1:29">
      <c r="A15" s="59" t="s">
        <v>1465</v>
      </c>
      <c r="B15" s="59" t="s">
        <v>1436</v>
      </c>
      <c r="C15" s="59" t="s">
        <v>164</v>
      </c>
      <c r="D15" s="59" t="s">
        <v>1437</v>
      </c>
      <c r="E15" s="59" t="s">
        <v>1438</v>
      </c>
      <c r="F15" s="59" t="s">
        <v>159</v>
      </c>
      <c r="G15" s="59" t="s">
        <v>160</v>
      </c>
      <c r="H15" s="59" t="s">
        <v>194</v>
      </c>
      <c r="I15" s="59" t="s">
        <v>88</v>
      </c>
      <c r="J15" s="59" t="s">
        <v>1439</v>
      </c>
      <c r="K15" s="60">
        <v>26100</v>
      </c>
      <c r="L15" s="59" t="s">
        <v>1440</v>
      </c>
      <c r="M15" s="59" t="s">
        <v>1441</v>
      </c>
      <c r="N15" s="59" t="s">
        <v>1442</v>
      </c>
      <c r="O15" s="59" t="s">
        <v>1443</v>
      </c>
      <c r="P15" s="59" t="s">
        <v>1444</v>
      </c>
      <c r="Q15" s="59" t="s">
        <v>120</v>
      </c>
      <c r="R15" s="59" t="s">
        <v>47</v>
      </c>
      <c r="S15" s="60">
        <v>0</v>
      </c>
      <c r="T15" s="59" t="s">
        <v>47</v>
      </c>
      <c r="U15" s="59" t="s">
        <v>1445</v>
      </c>
      <c r="V15" s="60">
        <v>0</v>
      </c>
      <c r="W15" s="60">
        <v>23490</v>
      </c>
      <c r="X15" s="59" t="s">
        <v>1446</v>
      </c>
      <c r="Y15" s="60">
        <v>0</v>
      </c>
      <c r="Z15" s="59" t="s">
        <v>1447</v>
      </c>
      <c r="AA15" s="59" t="s">
        <v>1462</v>
      </c>
      <c r="AB15" s="60">
        <v>2610</v>
      </c>
      <c r="AC15" s="60">
        <v>10</v>
      </c>
    </row>
    <row r="16" ht="11.25" spans="1:29">
      <c r="A16" s="59" t="s">
        <v>1466</v>
      </c>
      <c r="B16" s="59" t="s">
        <v>1436</v>
      </c>
      <c r="C16" s="59" t="s">
        <v>164</v>
      </c>
      <c r="D16" s="59" t="s">
        <v>1437</v>
      </c>
      <c r="E16" s="59" t="s">
        <v>1438</v>
      </c>
      <c r="F16" s="59" t="s">
        <v>159</v>
      </c>
      <c r="G16" s="59" t="s">
        <v>160</v>
      </c>
      <c r="H16" s="59" t="s">
        <v>194</v>
      </c>
      <c r="I16" s="59" t="s">
        <v>88</v>
      </c>
      <c r="J16" s="59" t="s">
        <v>1439</v>
      </c>
      <c r="K16" s="60">
        <v>26100</v>
      </c>
      <c r="L16" s="59" t="s">
        <v>1440</v>
      </c>
      <c r="M16" s="59" t="s">
        <v>1441</v>
      </c>
      <c r="N16" s="59" t="s">
        <v>1442</v>
      </c>
      <c r="O16" s="59" t="s">
        <v>1443</v>
      </c>
      <c r="P16" s="59" t="s">
        <v>1444</v>
      </c>
      <c r="Q16" s="59" t="s">
        <v>120</v>
      </c>
      <c r="R16" s="59" t="s">
        <v>47</v>
      </c>
      <c r="S16" s="60">
        <v>0</v>
      </c>
      <c r="T16" s="59" t="s">
        <v>47</v>
      </c>
      <c r="U16" s="59" t="s">
        <v>1445</v>
      </c>
      <c r="V16" s="60">
        <v>0</v>
      </c>
      <c r="W16" s="60">
        <v>23490</v>
      </c>
      <c r="X16" s="59" t="s">
        <v>1446</v>
      </c>
      <c r="Y16" s="60">
        <v>0</v>
      </c>
      <c r="Z16" s="59" t="s">
        <v>1447</v>
      </c>
      <c r="AA16" s="59" t="s">
        <v>1448</v>
      </c>
      <c r="AB16" s="60">
        <v>2610</v>
      </c>
      <c r="AC16" s="60">
        <v>10</v>
      </c>
    </row>
    <row r="17" ht="11.25" spans="1:29">
      <c r="A17" s="59" t="s">
        <v>1467</v>
      </c>
      <c r="B17" s="59" t="s">
        <v>1436</v>
      </c>
      <c r="C17" s="59" t="s">
        <v>164</v>
      </c>
      <c r="D17" s="59" t="s">
        <v>1437</v>
      </c>
      <c r="E17" s="59" t="s">
        <v>1438</v>
      </c>
      <c r="F17" s="59" t="s">
        <v>159</v>
      </c>
      <c r="G17" s="59" t="s">
        <v>160</v>
      </c>
      <c r="H17" s="59" t="s">
        <v>194</v>
      </c>
      <c r="I17" s="59" t="s">
        <v>88</v>
      </c>
      <c r="J17" s="59" t="s">
        <v>1439</v>
      </c>
      <c r="K17" s="60">
        <v>34800</v>
      </c>
      <c r="L17" s="59" t="s">
        <v>1440</v>
      </c>
      <c r="M17" s="59" t="s">
        <v>1441</v>
      </c>
      <c r="N17" s="59" t="s">
        <v>1442</v>
      </c>
      <c r="O17" s="59" t="s">
        <v>1443</v>
      </c>
      <c r="P17" s="59" t="s">
        <v>1444</v>
      </c>
      <c r="Q17" s="59" t="s">
        <v>120</v>
      </c>
      <c r="R17" s="59" t="s">
        <v>47</v>
      </c>
      <c r="S17" s="60">
        <v>0</v>
      </c>
      <c r="T17" s="59" t="s">
        <v>47</v>
      </c>
      <c r="U17" s="59" t="s">
        <v>1445</v>
      </c>
      <c r="V17" s="60">
        <v>0</v>
      </c>
      <c r="W17" s="60">
        <v>31320</v>
      </c>
      <c r="X17" s="59" t="s">
        <v>1446</v>
      </c>
      <c r="Y17" s="60">
        <v>0</v>
      </c>
      <c r="Z17" s="59" t="s">
        <v>1447</v>
      </c>
      <c r="AA17" s="59" t="s">
        <v>1450</v>
      </c>
      <c r="AB17" s="60">
        <v>3480</v>
      </c>
      <c r="AC17" s="60">
        <v>10</v>
      </c>
    </row>
    <row r="18" ht="11.25" spans="1:29">
      <c r="A18" s="59" t="s">
        <v>1468</v>
      </c>
      <c r="B18" s="59" t="s">
        <v>1436</v>
      </c>
      <c r="C18" s="59" t="s">
        <v>164</v>
      </c>
      <c r="D18" s="59" t="s">
        <v>1437</v>
      </c>
      <c r="E18" s="59" t="s">
        <v>1438</v>
      </c>
      <c r="F18" s="59" t="s">
        <v>159</v>
      </c>
      <c r="G18" s="59" t="s">
        <v>160</v>
      </c>
      <c r="H18" s="59" t="s">
        <v>194</v>
      </c>
      <c r="I18" s="59" t="s">
        <v>88</v>
      </c>
      <c r="J18" s="59" t="s">
        <v>1439</v>
      </c>
      <c r="K18" s="60">
        <v>26100</v>
      </c>
      <c r="L18" s="59" t="s">
        <v>1440</v>
      </c>
      <c r="M18" s="59" t="s">
        <v>1441</v>
      </c>
      <c r="N18" s="59" t="s">
        <v>1442</v>
      </c>
      <c r="O18" s="59" t="s">
        <v>1443</v>
      </c>
      <c r="P18" s="59" t="s">
        <v>1444</v>
      </c>
      <c r="Q18" s="59" t="s">
        <v>120</v>
      </c>
      <c r="R18" s="59" t="s">
        <v>47</v>
      </c>
      <c r="S18" s="60">
        <v>0</v>
      </c>
      <c r="T18" s="59" t="s">
        <v>47</v>
      </c>
      <c r="U18" s="59" t="s">
        <v>1445</v>
      </c>
      <c r="V18" s="60">
        <v>0</v>
      </c>
      <c r="W18" s="60">
        <v>23490</v>
      </c>
      <c r="X18" s="59" t="s">
        <v>1446</v>
      </c>
      <c r="Y18" s="60">
        <v>0</v>
      </c>
      <c r="Z18" s="59" t="s">
        <v>1447</v>
      </c>
      <c r="AA18" s="59" t="s">
        <v>1440</v>
      </c>
      <c r="AB18" s="60">
        <v>2610</v>
      </c>
      <c r="AC18" s="60">
        <v>10</v>
      </c>
    </row>
    <row r="19" ht="11.25" spans="1:29">
      <c r="A19" s="59" t="s">
        <v>1469</v>
      </c>
      <c r="B19" s="59" t="s">
        <v>1436</v>
      </c>
      <c r="C19" s="59" t="s">
        <v>164</v>
      </c>
      <c r="D19" s="59" t="s">
        <v>1437</v>
      </c>
      <c r="E19" s="59" t="s">
        <v>1438</v>
      </c>
      <c r="F19" s="59" t="s">
        <v>159</v>
      </c>
      <c r="G19" s="59" t="s">
        <v>160</v>
      </c>
      <c r="H19" s="59" t="s">
        <v>194</v>
      </c>
      <c r="I19" s="59" t="s">
        <v>88</v>
      </c>
      <c r="J19" s="59" t="s">
        <v>1439</v>
      </c>
      <c r="K19" s="60">
        <v>34800</v>
      </c>
      <c r="L19" s="59" t="s">
        <v>1440</v>
      </c>
      <c r="M19" s="59" t="s">
        <v>1441</v>
      </c>
      <c r="N19" s="59" t="s">
        <v>1442</v>
      </c>
      <c r="O19" s="59" t="s">
        <v>1443</v>
      </c>
      <c r="P19" s="59" t="s">
        <v>1444</v>
      </c>
      <c r="Q19" s="59" t="s">
        <v>120</v>
      </c>
      <c r="R19" s="59" t="s">
        <v>47</v>
      </c>
      <c r="S19" s="60">
        <v>0</v>
      </c>
      <c r="T19" s="59" t="s">
        <v>47</v>
      </c>
      <c r="U19" s="59" t="s">
        <v>1445</v>
      </c>
      <c r="V19" s="60">
        <v>0</v>
      </c>
      <c r="W19" s="60">
        <v>31320</v>
      </c>
      <c r="X19" s="59" t="s">
        <v>1446</v>
      </c>
      <c r="Y19" s="60">
        <v>0</v>
      </c>
      <c r="Z19" s="59" t="s">
        <v>1447</v>
      </c>
      <c r="AA19" s="59" t="s">
        <v>1462</v>
      </c>
      <c r="AB19" s="60">
        <v>3480</v>
      </c>
      <c r="AC19" s="60">
        <v>10</v>
      </c>
    </row>
    <row r="20" ht="11.25" spans="1:29">
      <c r="A20" s="59" t="s">
        <v>1470</v>
      </c>
      <c r="B20" s="59" t="s">
        <v>1436</v>
      </c>
      <c r="C20" s="59" t="s">
        <v>164</v>
      </c>
      <c r="D20" s="59" t="s">
        <v>1437</v>
      </c>
      <c r="E20" s="59" t="s">
        <v>1438</v>
      </c>
      <c r="F20" s="59" t="s">
        <v>159</v>
      </c>
      <c r="G20" s="59" t="s">
        <v>160</v>
      </c>
      <c r="H20" s="59" t="s">
        <v>194</v>
      </c>
      <c r="I20" s="59" t="s">
        <v>88</v>
      </c>
      <c r="J20" s="59" t="s">
        <v>1439</v>
      </c>
      <c r="K20" s="60">
        <v>34800</v>
      </c>
      <c r="L20" s="59" t="s">
        <v>1440</v>
      </c>
      <c r="M20" s="59" t="s">
        <v>1441</v>
      </c>
      <c r="N20" s="59" t="s">
        <v>1442</v>
      </c>
      <c r="O20" s="59" t="s">
        <v>1443</v>
      </c>
      <c r="P20" s="59" t="s">
        <v>1444</v>
      </c>
      <c r="Q20" s="59" t="s">
        <v>120</v>
      </c>
      <c r="R20" s="59" t="s">
        <v>47</v>
      </c>
      <c r="S20" s="60">
        <v>0</v>
      </c>
      <c r="T20" s="59" t="s">
        <v>47</v>
      </c>
      <c r="U20" s="59" t="s">
        <v>1445</v>
      </c>
      <c r="V20" s="60">
        <v>0</v>
      </c>
      <c r="W20" s="60">
        <v>31320</v>
      </c>
      <c r="X20" s="59" t="s">
        <v>1446</v>
      </c>
      <c r="Y20" s="60">
        <v>0</v>
      </c>
      <c r="Z20" s="59" t="s">
        <v>1447</v>
      </c>
      <c r="AA20" s="59" t="s">
        <v>1462</v>
      </c>
      <c r="AB20" s="60">
        <v>3480</v>
      </c>
      <c r="AC20" s="60">
        <v>10</v>
      </c>
    </row>
    <row r="21" ht="11.25" spans="1:29">
      <c r="A21" s="59" t="s">
        <v>1471</v>
      </c>
      <c r="B21" s="59" t="s">
        <v>1436</v>
      </c>
      <c r="C21" s="59" t="s">
        <v>164</v>
      </c>
      <c r="D21" s="59" t="s">
        <v>1437</v>
      </c>
      <c r="E21" s="59" t="s">
        <v>1438</v>
      </c>
      <c r="F21" s="59" t="s">
        <v>159</v>
      </c>
      <c r="G21" s="59" t="s">
        <v>160</v>
      </c>
      <c r="H21" s="59" t="s">
        <v>194</v>
      </c>
      <c r="I21" s="59" t="s">
        <v>88</v>
      </c>
      <c r="J21" s="59" t="s">
        <v>1439</v>
      </c>
      <c r="K21" s="60">
        <v>104400</v>
      </c>
      <c r="L21" s="59" t="s">
        <v>1440</v>
      </c>
      <c r="M21" s="59" t="s">
        <v>1441</v>
      </c>
      <c r="N21" s="59" t="s">
        <v>1472</v>
      </c>
      <c r="O21" s="59" t="s">
        <v>1443</v>
      </c>
      <c r="P21" s="59" t="s">
        <v>1444</v>
      </c>
      <c r="Q21" s="59" t="s">
        <v>120</v>
      </c>
      <c r="R21" s="59" t="s">
        <v>47</v>
      </c>
      <c r="S21" s="60">
        <v>0</v>
      </c>
      <c r="T21" s="59" t="s">
        <v>47</v>
      </c>
      <c r="U21" s="59" t="s">
        <v>1445</v>
      </c>
      <c r="V21" s="60">
        <v>0</v>
      </c>
      <c r="W21" s="60">
        <v>93960</v>
      </c>
      <c r="X21" s="59" t="s">
        <v>1446</v>
      </c>
      <c r="Y21" s="60">
        <v>0</v>
      </c>
      <c r="Z21" s="59" t="s">
        <v>1447</v>
      </c>
      <c r="AA21" s="59" t="s">
        <v>1450</v>
      </c>
      <c r="AB21" s="60">
        <v>10440</v>
      </c>
      <c r="AC21" s="60">
        <v>10</v>
      </c>
    </row>
    <row r="22" ht="11.25" spans="1:29">
      <c r="A22" s="59" t="s">
        <v>1473</v>
      </c>
      <c r="B22" s="59" t="s">
        <v>1436</v>
      </c>
      <c r="C22" s="59" t="s">
        <v>164</v>
      </c>
      <c r="D22" s="59" t="s">
        <v>1437</v>
      </c>
      <c r="E22" s="59" t="s">
        <v>1438</v>
      </c>
      <c r="F22" s="59" t="s">
        <v>159</v>
      </c>
      <c r="G22" s="59" t="s">
        <v>160</v>
      </c>
      <c r="H22" s="59" t="s">
        <v>194</v>
      </c>
      <c r="I22" s="59" t="s">
        <v>88</v>
      </c>
      <c r="J22" s="59" t="s">
        <v>1439</v>
      </c>
      <c r="K22" s="60">
        <v>34800</v>
      </c>
      <c r="L22" s="59" t="s">
        <v>1440</v>
      </c>
      <c r="M22" s="59" t="s">
        <v>1441</v>
      </c>
      <c r="N22" s="59" t="s">
        <v>1442</v>
      </c>
      <c r="O22" s="59" t="s">
        <v>1443</v>
      </c>
      <c r="P22" s="59" t="s">
        <v>1444</v>
      </c>
      <c r="Q22" s="59" t="s">
        <v>120</v>
      </c>
      <c r="R22" s="59" t="s">
        <v>47</v>
      </c>
      <c r="S22" s="60">
        <v>0</v>
      </c>
      <c r="T22" s="59" t="s">
        <v>47</v>
      </c>
      <c r="U22" s="59" t="s">
        <v>1445</v>
      </c>
      <c r="V22" s="60">
        <v>0</v>
      </c>
      <c r="W22" s="60">
        <v>31320</v>
      </c>
      <c r="X22" s="59" t="s">
        <v>1446</v>
      </c>
      <c r="Y22" s="60">
        <v>0</v>
      </c>
      <c r="Z22" s="59" t="s">
        <v>1447</v>
      </c>
      <c r="AA22" s="59" t="s">
        <v>1448</v>
      </c>
      <c r="AB22" s="60">
        <v>3480</v>
      </c>
      <c r="AC22" s="60">
        <v>10</v>
      </c>
    </row>
    <row r="23" ht="11.25" spans="1:29">
      <c r="A23" s="59" t="s">
        <v>1474</v>
      </c>
      <c r="B23" s="59" t="s">
        <v>1436</v>
      </c>
      <c r="C23" s="59" t="s">
        <v>164</v>
      </c>
      <c r="D23" s="59" t="s">
        <v>1437</v>
      </c>
      <c r="E23" s="59" t="s">
        <v>1438</v>
      </c>
      <c r="F23" s="59" t="s">
        <v>159</v>
      </c>
      <c r="G23" s="59" t="s">
        <v>160</v>
      </c>
      <c r="H23" s="59" t="s">
        <v>194</v>
      </c>
      <c r="I23" s="59" t="s">
        <v>88</v>
      </c>
      <c r="J23" s="59" t="s">
        <v>1439</v>
      </c>
      <c r="K23" s="60">
        <v>52200</v>
      </c>
      <c r="L23" s="59" t="s">
        <v>1440</v>
      </c>
      <c r="M23" s="59" t="s">
        <v>1441</v>
      </c>
      <c r="N23" s="59" t="s">
        <v>1442</v>
      </c>
      <c r="O23" s="59" t="s">
        <v>1443</v>
      </c>
      <c r="P23" s="59" t="s">
        <v>1444</v>
      </c>
      <c r="Q23" s="59" t="s">
        <v>120</v>
      </c>
      <c r="R23" s="59" t="s">
        <v>47</v>
      </c>
      <c r="S23" s="60">
        <v>0</v>
      </c>
      <c r="T23" s="59" t="s">
        <v>47</v>
      </c>
      <c r="U23" s="59" t="s">
        <v>1445</v>
      </c>
      <c r="V23" s="60">
        <v>0</v>
      </c>
      <c r="W23" s="60">
        <v>46980</v>
      </c>
      <c r="X23" s="59" t="s">
        <v>1446</v>
      </c>
      <c r="Y23" s="60">
        <v>0</v>
      </c>
      <c r="Z23" s="59" t="s">
        <v>1447</v>
      </c>
      <c r="AA23" s="59" t="s">
        <v>1462</v>
      </c>
      <c r="AB23" s="60">
        <v>5220</v>
      </c>
      <c r="AC23" s="60">
        <v>10</v>
      </c>
    </row>
    <row r="24" ht="11.25" spans="1:29">
      <c r="A24" s="59" t="s">
        <v>1475</v>
      </c>
      <c r="B24" s="59" t="s">
        <v>1436</v>
      </c>
      <c r="C24" s="59" t="s">
        <v>164</v>
      </c>
      <c r="D24" s="59" t="s">
        <v>1437</v>
      </c>
      <c r="E24" s="59" t="s">
        <v>1438</v>
      </c>
      <c r="F24" s="59" t="s">
        <v>159</v>
      </c>
      <c r="G24" s="59" t="s">
        <v>160</v>
      </c>
      <c r="H24" s="59" t="s">
        <v>194</v>
      </c>
      <c r="I24" s="59" t="s">
        <v>88</v>
      </c>
      <c r="J24" s="59" t="s">
        <v>1439</v>
      </c>
      <c r="K24" s="60">
        <v>26100</v>
      </c>
      <c r="L24" s="59" t="s">
        <v>1440</v>
      </c>
      <c r="M24" s="59" t="s">
        <v>1441</v>
      </c>
      <c r="N24" s="59" t="s">
        <v>1442</v>
      </c>
      <c r="O24" s="59" t="s">
        <v>1443</v>
      </c>
      <c r="P24" s="59" t="s">
        <v>1444</v>
      </c>
      <c r="Q24" s="59" t="s">
        <v>120</v>
      </c>
      <c r="R24" s="59" t="s">
        <v>47</v>
      </c>
      <c r="S24" s="60">
        <v>0</v>
      </c>
      <c r="T24" s="59" t="s">
        <v>47</v>
      </c>
      <c r="U24" s="59" t="s">
        <v>1445</v>
      </c>
      <c r="V24" s="60">
        <v>0</v>
      </c>
      <c r="W24" s="60">
        <v>23490</v>
      </c>
      <c r="X24" s="59" t="s">
        <v>1446</v>
      </c>
      <c r="Y24" s="60">
        <v>0</v>
      </c>
      <c r="Z24" s="59" t="s">
        <v>1447</v>
      </c>
      <c r="AA24" s="59" t="s">
        <v>1448</v>
      </c>
      <c r="AB24" s="60">
        <v>2610</v>
      </c>
      <c r="AC24" s="60">
        <v>10</v>
      </c>
    </row>
    <row r="25" ht="11.25" spans="1:29">
      <c r="A25" s="59" t="s">
        <v>1476</v>
      </c>
      <c r="B25" s="59" t="s">
        <v>1436</v>
      </c>
      <c r="C25" s="59" t="s">
        <v>164</v>
      </c>
      <c r="D25" s="59" t="s">
        <v>1437</v>
      </c>
      <c r="E25" s="59" t="s">
        <v>1438</v>
      </c>
      <c r="F25" s="59" t="s">
        <v>159</v>
      </c>
      <c r="G25" s="59" t="s">
        <v>160</v>
      </c>
      <c r="H25" s="59" t="s">
        <v>194</v>
      </c>
      <c r="I25" s="59" t="s">
        <v>88</v>
      </c>
      <c r="J25" s="59" t="s">
        <v>1439</v>
      </c>
      <c r="K25" s="60">
        <v>34800</v>
      </c>
      <c r="L25" s="59" t="s">
        <v>1440</v>
      </c>
      <c r="M25" s="59" t="s">
        <v>1441</v>
      </c>
      <c r="N25" s="59" t="s">
        <v>1442</v>
      </c>
      <c r="O25" s="59" t="s">
        <v>1443</v>
      </c>
      <c r="P25" s="59" t="s">
        <v>1444</v>
      </c>
      <c r="Q25" s="59" t="s">
        <v>120</v>
      </c>
      <c r="R25" s="59" t="s">
        <v>47</v>
      </c>
      <c r="S25" s="60">
        <v>0</v>
      </c>
      <c r="T25" s="59" t="s">
        <v>47</v>
      </c>
      <c r="U25" s="59" t="s">
        <v>1445</v>
      </c>
      <c r="V25" s="60">
        <v>0</v>
      </c>
      <c r="W25" s="60">
        <v>31320</v>
      </c>
      <c r="X25" s="59" t="s">
        <v>1446</v>
      </c>
      <c r="Y25" s="60">
        <v>0</v>
      </c>
      <c r="Z25" s="59" t="s">
        <v>1447</v>
      </c>
      <c r="AA25" s="59" t="s">
        <v>1457</v>
      </c>
      <c r="AB25" s="60">
        <v>3480</v>
      </c>
      <c r="AC25" s="60">
        <v>10</v>
      </c>
    </row>
    <row r="26" ht="11.25" spans="1:29">
      <c r="A26" s="59" t="s">
        <v>1477</v>
      </c>
      <c r="B26" s="59" t="s">
        <v>1436</v>
      </c>
      <c r="C26" s="59" t="s">
        <v>164</v>
      </c>
      <c r="D26" s="59" t="s">
        <v>1437</v>
      </c>
      <c r="E26" s="59" t="s">
        <v>1438</v>
      </c>
      <c r="F26" s="59" t="s">
        <v>159</v>
      </c>
      <c r="G26" s="59" t="s">
        <v>160</v>
      </c>
      <c r="H26" s="59" t="s">
        <v>194</v>
      </c>
      <c r="I26" s="59" t="s">
        <v>88</v>
      </c>
      <c r="J26" s="59" t="s">
        <v>1439</v>
      </c>
      <c r="K26" s="60">
        <v>17400</v>
      </c>
      <c r="L26" s="59" t="s">
        <v>1440</v>
      </c>
      <c r="M26" s="59" t="s">
        <v>1441</v>
      </c>
      <c r="N26" s="59" t="s">
        <v>1478</v>
      </c>
      <c r="O26" s="59" t="s">
        <v>1443</v>
      </c>
      <c r="P26" s="59" t="s">
        <v>1444</v>
      </c>
      <c r="Q26" s="59" t="s">
        <v>120</v>
      </c>
      <c r="R26" s="59" t="s">
        <v>47</v>
      </c>
      <c r="S26" s="60">
        <v>0</v>
      </c>
      <c r="T26" s="59" t="s">
        <v>47</v>
      </c>
      <c r="U26" s="59" t="s">
        <v>1445</v>
      </c>
      <c r="V26" s="60">
        <v>0</v>
      </c>
      <c r="W26" s="60">
        <v>15660</v>
      </c>
      <c r="X26" s="59" t="s">
        <v>1446</v>
      </c>
      <c r="Y26" s="60">
        <v>0</v>
      </c>
      <c r="Z26" s="59" t="s">
        <v>1447</v>
      </c>
      <c r="AA26" s="59" t="s">
        <v>1462</v>
      </c>
      <c r="AB26" s="60">
        <v>1740</v>
      </c>
      <c r="AC26" s="60">
        <v>10</v>
      </c>
    </row>
    <row r="27" ht="11.25" spans="1:29">
      <c r="A27" s="59" t="s">
        <v>1479</v>
      </c>
      <c r="B27" s="59" t="s">
        <v>1436</v>
      </c>
      <c r="C27" s="59" t="s">
        <v>164</v>
      </c>
      <c r="D27" s="59" t="s">
        <v>1437</v>
      </c>
      <c r="E27" s="59" t="s">
        <v>1438</v>
      </c>
      <c r="F27" s="59" t="s">
        <v>159</v>
      </c>
      <c r="G27" s="59" t="s">
        <v>160</v>
      </c>
      <c r="H27" s="59" t="s">
        <v>194</v>
      </c>
      <c r="I27" s="59" t="s">
        <v>88</v>
      </c>
      <c r="J27" s="59" t="s">
        <v>1439</v>
      </c>
      <c r="K27" s="60">
        <v>8700</v>
      </c>
      <c r="L27" s="59" t="s">
        <v>1440</v>
      </c>
      <c r="M27" s="59" t="s">
        <v>1441</v>
      </c>
      <c r="N27" s="59" t="s">
        <v>1442</v>
      </c>
      <c r="O27" s="59" t="s">
        <v>1443</v>
      </c>
      <c r="P27" s="59" t="s">
        <v>1444</v>
      </c>
      <c r="Q27" s="59" t="s">
        <v>120</v>
      </c>
      <c r="R27" s="59" t="s">
        <v>47</v>
      </c>
      <c r="S27" s="60">
        <v>0</v>
      </c>
      <c r="T27" s="59" t="s">
        <v>47</v>
      </c>
      <c r="U27" s="59" t="s">
        <v>1445</v>
      </c>
      <c r="V27" s="60">
        <v>0</v>
      </c>
      <c r="W27" s="60">
        <v>7830</v>
      </c>
      <c r="X27" s="59" t="s">
        <v>1446</v>
      </c>
      <c r="Y27" s="60">
        <v>0</v>
      </c>
      <c r="Z27" s="59" t="s">
        <v>1447</v>
      </c>
      <c r="AA27" s="59" t="s">
        <v>1462</v>
      </c>
      <c r="AB27" s="60">
        <v>870</v>
      </c>
      <c r="AC27" s="60">
        <v>10</v>
      </c>
    </row>
    <row r="28" ht="11.25" spans="1:29">
      <c r="A28" s="59" t="s">
        <v>1480</v>
      </c>
      <c r="B28" s="59" t="s">
        <v>1436</v>
      </c>
      <c r="C28" s="59" t="s">
        <v>164</v>
      </c>
      <c r="D28" s="59" t="s">
        <v>1437</v>
      </c>
      <c r="E28" s="59" t="s">
        <v>1438</v>
      </c>
      <c r="F28" s="59" t="s">
        <v>159</v>
      </c>
      <c r="G28" s="59" t="s">
        <v>160</v>
      </c>
      <c r="H28" s="59" t="s">
        <v>194</v>
      </c>
      <c r="I28" s="59" t="s">
        <v>88</v>
      </c>
      <c r="J28" s="59" t="s">
        <v>1439</v>
      </c>
      <c r="K28" s="60">
        <v>17400</v>
      </c>
      <c r="L28" s="59" t="s">
        <v>1440</v>
      </c>
      <c r="M28" s="59" t="s">
        <v>1441</v>
      </c>
      <c r="N28" s="59" t="s">
        <v>1442</v>
      </c>
      <c r="O28" s="59" t="s">
        <v>1443</v>
      </c>
      <c r="P28" s="59" t="s">
        <v>1444</v>
      </c>
      <c r="Q28" s="59" t="s">
        <v>120</v>
      </c>
      <c r="R28" s="59" t="s">
        <v>47</v>
      </c>
      <c r="S28" s="60">
        <v>0</v>
      </c>
      <c r="T28" s="59" t="s">
        <v>47</v>
      </c>
      <c r="U28" s="59" t="s">
        <v>1445</v>
      </c>
      <c r="V28" s="60">
        <v>0</v>
      </c>
      <c r="W28" s="60">
        <v>15660</v>
      </c>
      <c r="X28" s="59" t="s">
        <v>1446</v>
      </c>
      <c r="Y28" s="60">
        <v>0</v>
      </c>
      <c r="Z28" s="59" t="s">
        <v>1447</v>
      </c>
      <c r="AA28" s="59" t="s">
        <v>1462</v>
      </c>
      <c r="AB28" s="60">
        <v>1740</v>
      </c>
      <c r="AC28" s="60">
        <v>10</v>
      </c>
    </row>
    <row r="29" ht="11.25" spans="1:29">
      <c r="A29" s="59" t="s">
        <v>1481</v>
      </c>
      <c r="B29" s="59" t="s">
        <v>1436</v>
      </c>
      <c r="C29" s="59" t="s">
        <v>164</v>
      </c>
      <c r="D29" s="59" t="s">
        <v>1437</v>
      </c>
      <c r="E29" s="59" t="s">
        <v>1438</v>
      </c>
      <c r="F29" s="59" t="s">
        <v>159</v>
      </c>
      <c r="G29" s="59" t="s">
        <v>160</v>
      </c>
      <c r="H29" s="59" t="s">
        <v>194</v>
      </c>
      <c r="I29" s="59" t="s">
        <v>88</v>
      </c>
      <c r="J29" s="59" t="s">
        <v>1439</v>
      </c>
      <c r="K29" s="60">
        <v>8700</v>
      </c>
      <c r="L29" s="59" t="s">
        <v>1440</v>
      </c>
      <c r="M29" s="59" t="s">
        <v>1441</v>
      </c>
      <c r="N29" s="59" t="s">
        <v>1442</v>
      </c>
      <c r="O29" s="59" t="s">
        <v>1443</v>
      </c>
      <c r="P29" s="59" t="s">
        <v>1444</v>
      </c>
      <c r="Q29" s="59" t="s">
        <v>120</v>
      </c>
      <c r="R29" s="59" t="s">
        <v>47</v>
      </c>
      <c r="S29" s="60">
        <v>0</v>
      </c>
      <c r="T29" s="59" t="s">
        <v>47</v>
      </c>
      <c r="U29" s="59" t="s">
        <v>1445</v>
      </c>
      <c r="V29" s="60">
        <v>0</v>
      </c>
      <c r="W29" s="60">
        <v>7830</v>
      </c>
      <c r="X29" s="59" t="s">
        <v>1446</v>
      </c>
      <c r="Y29" s="60">
        <v>0</v>
      </c>
      <c r="Z29" s="59" t="s">
        <v>1447</v>
      </c>
      <c r="AA29" s="59" t="s">
        <v>1453</v>
      </c>
      <c r="AB29" s="60">
        <v>870</v>
      </c>
      <c r="AC29" s="60">
        <v>10</v>
      </c>
    </row>
    <row r="30" ht="11.25" spans="1:29">
      <c r="A30" s="59" t="s">
        <v>1482</v>
      </c>
      <c r="B30" s="59" t="s">
        <v>1436</v>
      </c>
      <c r="C30" s="59" t="s">
        <v>164</v>
      </c>
      <c r="D30" s="59" t="s">
        <v>1437</v>
      </c>
      <c r="E30" s="59" t="s">
        <v>1438</v>
      </c>
      <c r="F30" s="59" t="s">
        <v>159</v>
      </c>
      <c r="G30" s="59" t="s">
        <v>160</v>
      </c>
      <c r="H30" s="59" t="s">
        <v>194</v>
      </c>
      <c r="I30" s="59" t="s">
        <v>88</v>
      </c>
      <c r="J30" s="59" t="s">
        <v>1439</v>
      </c>
      <c r="K30" s="60">
        <v>17400</v>
      </c>
      <c r="L30" s="59" t="s">
        <v>1440</v>
      </c>
      <c r="M30" s="59" t="s">
        <v>1441</v>
      </c>
      <c r="N30" s="59" t="s">
        <v>1442</v>
      </c>
      <c r="O30" s="59" t="s">
        <v>1443</v>
      </c>
      <c r="P30" s="59" t="s">
        <v>1444</v>
      </c>
      <c r="Q30" s="59" t="s">
        <v>120</v>
      </c>
      <c r="R30" s="59" t="s">
        <v>47</v>
      </c>
      <c r="S30" s="60">
        <v>0</v>
      </c>
      <c r="T30" s="59" t="s">
        <v>47</v>
      </c>
      <c r="U30" s="59" t="s">
        <v>1445</v>
      </c>
      <c r="V30" s="60">
        <v>0</v>
      </c>
      <c r="W30" s="60">
        <v>15660</v>
      </c>
      <c r="X30" s="59" t="s">
        <v>1446</v>
      </c>
      <c r="Y30" s="60">
        <v>0</v>
      </c>
      <c r="Z30" s="59" t="s">
        <v>1447</v>
      </c>
      <c r="AA30" s="59" t="s">
        <v>1462</v>
      </c>
      <c r="AB30" s="60">
        <v>1740</v>
      </c>
      <c r="AC30" s="60">
        <v>10</v>
      </c>
    </row>
    <row r="31" ht="11.25" spans="1:29">
      <c r="A31" s="59" t="s">
        <v>1483</v>
      </c>
      <c r="B31" s="59" t="s">
        <v>1436</v>
      </c>
      <c r="C31" s="59" t="s">
        <v>164</v>
      </c>
      <c r="D31" s="59" t="s">
        <v>1437</v>
      </c>
      <c r="E31" s="59" t="s">
        <v>1438</v>
      </c>
      <c r="F31" s="59" t="s">
        <v>159</v>
      </c>
      <c r="G31" s="59" t="s">
        <v>160</v>
      </c>
      <c r="H31" s="59" t="s">
        <v>194</v>
      </c>
      <c r="I31" s="59" t="s">
        <v>88</v>
      </c>
      <c r="J31" s="59" t="s">
        <v>1439</v>
      </c>
      <c r="K31" s="60">
        <v>17400</v>
      </c>
      <c r="L31" s="59" t="s">
        <v>1440</v>
      </c>
      <c r="M31" s="59" t="s">
        <v>1441</v>
      </c>
      <c r="N31" s="59" t="s">
        <v>1442</v>
      </c>
      <c r="O31" s="59" t="s">
        <v>1443</v>
      </c>
      <c r="P31" s="59" t="s">
        <v>1444</v>
      </c>
      <c r="Q31" s="59" t="s">
        <v>120</v>
      </c>
      <c r="R31" s="59" t="s">
        <v>47</v>
      </c>
      <c r="S31" s="60">
        <v>0</v>
      </c>
      <c r="T31" s="59" t="s">
        <v>47</v>
      </c>
      <c r="U31" s="59" t="s">
        <v>1445</v>
      </c>
      <c r="V31" s="60">
        <v>0</v>
      </c>
      <c r="W31" s="60">
        <v>15660</v>
      </c>
      <c r="X31" s="59" t="s">
        <v>1446</v>
      </c>
      <c r="Y31" s="60">
        <v>0</v>
      </c>
      <c r="Z31" s="59" t="s">
        <v>1447</v>
      </c>
      <c r="AA31" s="59" t="s">
        <v>1484</v>
      </c>
      <c r="AB31" s="60">
        <v>1740</v>
      </c>
      <c r="AC31" s="60">
        <v>10</v>
      </c>
    </row>
    <row r="32" ht="11.25" spans="1:29">
      <c r="A32" s="59" t="s">
        <v>1485</v>
      </c>
      <c r="B32" s="59" t="s">
        <v>1436</v>
      </c>
      <c r="C32" s="59" t="s">
        <v>164</v>
      </c>
      <c r="D32" s="59" t="s">
        <v>1437</v>
      </c>
      <c r="E32" s="59" t="s">
        <v>1438</v>
      </c>
      <c r="F32" s="59" t="s">
        <v>159</v>
      </c>
      <c r="G32" s="59" t="s">
        <v>160</v>
      </c>
      <c r="H32" s="59" t="s">
        <v>194</v>
      </c>
      <c r="I32" s="59" t="s">
        <v>88</v>
      </c>
      <c r="J32" s="59" t="s">
        <v>1439</v>
      </c>
      <c r="K32" s="60">
        <v>26100</v>
      </c>
      <c r="L32" s="59" t="s">
        <v>1440</v>
      </c>
      <c r="M32" s="59" t="s">
        <v>1441</v>
      </c>
      <c r="N32" s="59" t="s">
        <v>1442</v>
      </c>
      <c r="O32" s="59" t="s">
        <v>1443</v>
      </c>
      <c r="P32" s="59" t="s">
        <v>1444</v>
      </c>
      <c r="Q32" s="59" t="s">
        <v>120</v>
      </c>
      <c r="R32" s="59" t="s">
        <v>47</v>
      </c>
      <c r="S32" s="60">
        <v>0</v>
      </c>
      <c r="T32" s="59" t="s">
        <v>47</v>
      </c>
      <c r="U32" s="59" t="s">
        <v>1445</v>
      </c>
      <c r="V32" s="60">
        <v>0</v>
      </c>
      <c r="W32" s="60">
        <v>23490</v>
      </c>
      <c r="X32" s="59" t="s">
        <v>1446</v>
      </c>
      <c r="Y32" s="60">
        <v>0</v>
      </c>
      <c r="Z32" s="59" t="s">
        <v>1447</v>
      </c>
      <c r="AA32" s="59" t="s">
        <v>1440</v>
      </c>
      <c r="AB32" s="60">
        <v>2610</v>
      </c>
      <c r="AC32" s="60">
        <v>10</v>
      </c>
    </row>
    <row r="33" ht="11.25" spans="1:29">
      <c r="A33" s="59" t="s">
        <v>1486</v>
      </c>
      <c r="B33" s="59" t="s">
        <v>1436</v>
      </c>
      <c r="C33" s="59" t="s">
        <v>164</v>
      </c>
      <c r="D33" s="59" t="s">
        <v>1437</v>
      </c>
      <c r="E33" s="59" t="s">
        <v>1438</v>
      </c>
      <c r="F33" s="59" t="s">
        <v>159</v>
      </c>
      <c r="G33" s="59" t="s">
        <v>160</v>
      </c>
      <c r="H33" s="59" t="s">
        <v>194</v>
      </c>
      <c r="I33" s="59" t="s">
        <v>88</v>
      </c>
      <c r="J33" s="59" t="s">
        <v>1439</v>
      </c>
      <c r="K33" s="60">
        <v>8700</v>
      </c>
      <c r="L33" s="59" t="s">
        <v>1440</v>
      </c>
      <c r="M33" s="59" t="s">
        <v>1441</v>
      </c>
      <c r="N33" s="59" t="s">
        <v>1442</v>
      </c>
      <c r="O33" s="59" t="s">
        <v>1443</v>
      </c>
      <c r="P33" s="59" t="s">
        <v>1444</v>
      </c>
      <c r="Q33" s="59" t="s">
        <v>120</v>
      </c>
      <c r="R33" s="59" t="s">
        <v>47</v>
      </c>
      <c r="S33" s="60">
        <v>0</v>
      </c>
      <c r="T33" s="59" t="s">
        <v>47</v>
      </c>
      <c r="U33" s="59" t="s">
        <v>1445</v>
      </c>
      <c r="V33" s="60">
        <v>0</v>
      </c>
      <c r="W33" s="60">
        <v>7830</v>
      </c>
      <c r="X33" s="59" t="s">
        <v>1446</v>
      </c>
      <c r="Y33" s="60">
        <v>0</v>
      </c>
      <c r="Z33" s="59" t="s">
        <v>1447</v>
      </c>
      <c r="AA33" s="59" t="s">
        <v>1484</v>
      </c>
      <c r="AB33" s="60">
        <v>870</v>
      </c>
      <c r="AC33" s="60">
        <v>10</v>
      </c>
    </row>
    <row r="34" ht="11.25" spans="1:29">
      <c r="A34" s="59" t="s">
        <v>1487</v>
      </c>
      <c r="B34" s="59" t="s">
        <v>1436</v>
      </c>
      <c r="C34" s="59" t="s">
        <v>164</v>
      </c>
      <c r="D34" s="59" t="s">
        <v>1437</v>
      </c>
      <c r="E34" s="59" t="s">
        <v>1438</v>
      </c>
      <c r="F34" s="59" t="s">
        <v>159</v>
      </c>
      <c r="G34" s="59" t="s">
        <v>160</v>
      </c>
      <c r="H34" s="59" t="s">
        <v>194</v>
      </c>
      <c r="I34" s="59" t="s">
        <v>88</v>
      </c>
      <c r="J34" s="59" t="s">
        <v>1439</v>
      </c>
      <c r="K34" s="60">
        <v>69600</v>
      </c>
      <c r="L34" s="59" t="s">
        <v>1488</v>
      </c>
      <c r="M34" s="59" t="s">
        <v>1441</v>
      </c>
      <c r="N34" s="59" t="s">
        <v>1442</v>
      </c>
      <c r="O34" s="59" t="s">
        <v>1443</v>
      </c>
      <c r="P34" s="59" t="s">
        <v>1444</v>
      </c>
      <c r="Q34" s="59" t="s">
        <v>120</v>
      </c>
      <c r="R34" s="59" t="s">
        <v>47</v>
      </c>
      <c r="S34" s="60">
        <v>0</v>
      </c>
      <c r="T34" s="59" t="s">
        <v>47</v>
      </c>
      <c r="U34" s="59" t="s">
        <v>1445</v>
      </c>
      <c r="V34" s="60">
        <v>0</v>
      </c>
      <c r="W34" s="60">
        <v>62640</v>
      </c>
      <c r="X34" s="59" t="s">
        <v>1446</v>
      </c>
      <c r="Y34" s="60">
        <v>0</v>
      </c>
      <c r="Z34" s="59" t="s">
        <v>1447</v>
      </c>
      <c r="AA34" s="59" t="s">
        <v>1457</v>
      </c>
      <c r="AB34" s="60">
        <v>6960</v>
      </c>
      <c r="AC34" s="60">
        <v>10</v>
      </c>
    </row>
    <row r="35" ht="11.25" spans="1:29">
      <c r="A35" s="59" t="s">
        <v>1489</v>
      </c>
      <c r="B35" s="59" t="s">
        <v>1436</v>
      </c>
      <c r="C35" s="59" t="s">
        <v>164</v>
      </c>
      <c r="D35" s="59" t="s">
        <v>1437</v>
      </c>
      <c r="E35" s="59" t="s">
        <v>1438</v>
      </c>
      <c r="F35" s="59" t="s">
        <v>159</v>
      </c>
      <c r="G35" s="59" t="s">
        <v>160</v>
      </c>
      <c r="H35" s="59" t="s">
        <v>194</v>
      </c>
      <c r="I35" s="59" t="s">
        <v>88</v>
      </c>
      <c r="J35" s="59" t="s">
        <v>1439</v>
      </c>
      <c r="K35" s="60">
        <v>8700</v>
      </c>
      <c r="L35" s="59" t="s">
        <v>1488</v>
      </c>
      <c r="M35" s="59" t="s">
        <v>1441</v>
      </c>
      <c r="N35" s="59" t="s">
        <v>1442</v>
      </c>
      <c r="O35" s="59" t="s">
        <v>1443</v>
      </c>
      <c r="P35" s="59" t="s">
        <v>1444</v>
      </c>
      <c r="Q35" s="59" t="s">
        <v>120</v>
      </c>
      <c r="R35" s="59" t="s">
        <v>47</v>
      </c>
      <c r="S35" s="60">
        <v>0</v>
      </c>
      <c r="T35" s="59" t="s">
        <v>47</v>
      </c>
      <c r="U35" s="59" t="s">
        <v>1445</v>
      </c>
      <c r="V35" s="60">
        <v>0</v>
      </c>
      <c r="W35" s="60">
        <v>7830</v>
      </c>
      <c r="X35" s="59" t="s">
        <v>1446</v>
      </c>
      <c r="Y35" s="60">
        <v>0</v>
      </c>
      <c r="Z35" s="59" t="s">
        <v>1447</v>
      </c>
      <c r="AA35" s="59" t="s">
        <v>1448</v>
      </c>
      <c r="AB35" s="60">
        <v>870</v>
      </c>
      <c r="AC35" s="60">
        <v>10</v>
      </c>
    </row>
    <row r="36" ht="11.25" spans="1:29">
      <c r="A36" s="59" t="s">
        <v>1490</v>
      </c>
      <c r="B36" s="59" t="s">
        <v>1436</v>
      </c>
      <c r="C36" s="59" t="s">
        <v>164</v>
      </c>
      <c r="D36" s="59" t="s">
        <v>1437</v>
      </c>
      <c r="E36" s="59" t="s">
        <v>1438</v>
      </c>
      <c r="F36" s="59" t="s">
        <v>159</v>
      </c>
      <c r="G36" s="59" t="s">
        <v>160</v>
      </c>
      <c r="H36" s="59" t="s">
        <v>194</v>
      </c>
      <c r="I36" s="59" t="s">
        <v>88</v>
      </c>
      <c r="J36" s="59" t="s">
        <v>1439</v>
      </c>
      <c r="K36" s="60">
        <v>8700</v>
      </c>
      <c r="L36" s="59" t="s">
        <v>1440</v>
      </c>
      <c r="M36" s="59" t="s">
        <v>1441</v>
      </c>
      <c r="N36" s="59" t="s">
        <v>1491</v>
      </c>
      <c r="O36" s="59" t="s">
        <v>1443</v>
      </c>
      <c r="P36" s="59" t="s">
        <v>1444</v>
      </c>
      <c r="Q36" s="59" t="s">
        <v>120</v>
      </c>
      <c r="R36" s="59" t="s">
        <v>47</v>
      </c>
      <c r="S36" s="60">
        <v>0</v>
      </c>
      <c r="T36" s="59" t="s">
        <v>47</v>
      </c>
      <c r="U36" s="59" t="s">
        <v>1445</v>
      </c>
      <c r="V36" s="60">
        <v>0</v>
      </c>
      <c r="W36" s="60">
        <v>7830</v>
      </c>
      <c r="X36" s="59" t="s">
        <v>1446</v>
      </c>
      <c r="Y36" s="60">
        <v>0</v>
      </c>
      <c r="Z36" s="59" t="s">
        <v>1447</v>
      </c>
      <c r="AA36" s="59" t="s">
        <v>1453</v>
      </c>
      <c r="AB36" s="60">
        <v>870</v>
      </c>
      <c r="AC36" s="60">
        <v>10</v>
      </c>
    </row>
    <row r="37" ht="11.25" spans="1:29">
      <c r="A37" s="59" t="s">
        <v>1492</v>
      </c>
      <c r="B37" s="59" t="s">
        <v>1436</v>
      </c>
      <c r="C37" s="59" t="s">
        <v>164</v>
      </c>
      <c r="D37" s="59" t="s">
        <v>1437</v>
      </c>
      <c r="E37" s="59" t="s">
        <v>1438</v>
      </c>
      <c r="F37" s="59" t="s">
        <v>159</v>
      </c>
      <c r="G37" s="59" t="s">
        <v>160</v>
      </c>
      <c r="H37" s="59" t="s">
        <v>194</v>
      </c>
      <c r="I37" s="59" t="s">
        <v>88</v>
      </c>
      <c r="J37" s="59" t="s">
        <v>1439</v>
      </c>
      <c r="K37" s="60">
        <v>8700</v>
      </c>
      <c r="L37" s="59" t="s">
        <v>1440</v>
      </c>
      <c r="M37" s="59" t="s">
        <v>1441</v>
      </c>
      <c r="N37" s="59" t="s">
        <v>1442</v>
      </c>
      <c r="O37" s="59" t="s">
        <v>1443</v>
      </c>
      <c r="P37" s="59" t="s">
        <v>1444</v>
      </c>
      <c r="Q37" s="59" t="s">
        <v>120</v>
      </c>
      <c r="R37" s="59" t="s">
        <v>47</v>
      </c>
      <c r="S37" s="60">
        <v>0</v>
      </c>
      <c r="T37" s="59" t="s">
        <v>47</v>
      </c>
      <c r="U37" s="59" t="s">
        <v>1445</v>
      </c>
      <c r="V37" s="60">
        <v>0</v>
      </c>
      <c r="W37" s="60">
        <v>7830</v>
      </c>
      <c r="X37" s="59" t="s">
        <v>1446</v>
      </c>
      <c r="Y37" s="60">
        <v>0</v>
      </c>
      <c r="Z37" s="59" t="s">
        <v>1447</v>
      </c>
      <c r="AA37" s="59" t="s">
        <v>1462</v>
      </c>
      <c r="AB37" s="60">
        <v>870</v>
      </c>
      <c r="AC37" s="60">
        <v>10</v>
      </c>
    </row>
    <row r="38" ht="11.25" spans="1:29">
      <c r="A38" s="59" t="s">
        <v>1493</v>
      </c>
      <c r="B38" s="59" t="s">
        <v>1436</v>
      </c>
      <c r="C38" s="59" t="s">
        <v>164</v>
      </c>
      <c r="D38" s="59" t="s">
        <v>1437</v>
      </c>
      <c r="E38" s="59" t="s">
        <v>1438</v>
      </c>
      <c r="F38" s="59" t="s">
        <v>159</v>
      </c>
      <c r="G38" s="59" t="s">
        <v>160</v>
      </c>
      <c r="H38" s="59" t="s">
        <v>194</v>
      </c>
      <c r="I38" s="59" t="s">
        <v>88</v>
      </c>
      <c r="J38" s="59" t="s">
        <v>1439</v>
      </c>
      <c r="K38" s="60">
        <v>8700</v>
      </c>
      <c r="L38" s="59" t="s">
        <v>1440</v>
      </c>
      <c r="M38" s="59" t="s">
        <v>1441</v>
      </c>
      <c r="N38" s="59" t="s">
        <v>1442</v>
      </c>
      <c r="O38" s="59" t="s">
        <v>1443</v>
      </c>
      <c r="P38" s="59" t="s">
        <v>1444</v>
      </c>
      <c r="Q38" s="59" t="s">
        <v>120</v>
      </c>
      <c r="R38" s="59" t="s">
        <v>47</v>
      </c>
      <c r="S38" s="60">
        <v>0</v>
      </c>
      <c r="T38" s="59" t="s">
        <v>47</v>
      </c>
      <c r="U38" s="59" t="s">
        <v>1445</v>
      </c>
      <c r="V38" s="60">
        <v>0</v>
      </c>
      <c r="W38" s="60">
        <v>7830</v>
      </c>
      <c r="X38" s="59" t="s">
        <v>1446</v>
      </c>
      <c r="Y38" s="60">
        <v>0</v>
      </c>
      <c r="Z38" s="59" t="s">
        <v>1447</v>
      </c>
      <c r="AA38" s="59" t="s">
        <v>1462</v>
      </c>
      <c r="AB38" s="60">
        <v>870</v>
      </c>
      <c r="AC38" s="60">
        <v>10</v>
      </c>
    </row>
    <row r="39" ht="11.25" spans="1:29">
      <c r="A39" s="59" t="s">
        <v>1494</v>
      </c>
      <c r="B39" s="59" t="s">
        <v>1436</v>
      </c>
      <c r="C39" s="59" t="s">
        <v>164</v>
      </c>
      <c r="D39" s="59" t="s">
        <v>1437</v>
      </c>
      <c r="E39" s="59" t="s">
        <v>1438</v>
      </c>
      <c r="F39" s="59" t="s">
        <v>159</v>
      </c>
      <c r="G39" s="59" t="s">
        <v>160</v>
      </c>
      <c r="H39" s="59" t="s">
        <v>194</v>
      </c>
      <c r="I39" s="59" t="s">
        <v>88</v>
      </c>
      <c r="J39" s="59" t="s">
        <v>1439</v>
      </c>
      <c r="K39" s="60">
        <v>8700</v>
      </c>
      <c r="L39" s="59" t="s">
        <v>1440</v>
      </c>
      <c r="M39" s="59" t="s">
        <v>1441</v>
      </c>
      <c r="N39" s="59" t="s">
        <v>1442</v>
      </c>
      <c r="O39" s="59" t="s">
        <v>1443</v>
      </c>
      <c r="P39" s="59" t="s">
        <v>1444</v>
      </c>
      <c r="Q39" s="59" t="s">
        <v>120</v>
      </c>
      <c r="R39" s="59" t="s">
        <v>47</v>
      </c>
      <c r="S39" s="60">
        <v>0</v>
      </c>
      <c r="T39" s="59" t="s">
        <v>47</v>
      </c>
      <c r="U39" s="59" t="s">
        <v>1445</v>
      </c>
      <c r="V39" s="60">
        <v>0</v>
      </c>
      <c r="W39" s="60">
        <v>7830</v>
      </c>
      <c r="X39" s="59" t="s">
        <v>1446</v>
      </c>
      <c r="Y39" s="60">
        <v>0</v>
      </c>
      <c r="Z39" s="59" t="s">
        <v>1447</v>
      </c>
      <c r="AA39" s="59" t="s">
        <v>1448</v>
      </c>
      <c r="AB39" s="60">
        <v>870</v>
      </c>
      <c r="AC39" s="60">
        <v>10</v>
      </c>
    </row>
    <row r="40" ht="11.25" spans="1:29">
      <c r="A40" s="59" t="s">
        <v>1495</v>
      </c>
      <c r="B40" s="59" t="s">
        <v>1436</v>
      </c>
      <c r="C40" s="59" t="s">
        <v>164</v>
      </c>
      <c r="D40" s="59" t="s">
        <v>1437</v>
      </c>
      <c r="E40" s="59" t="s">
        <v>1438</v>
      </c>
      <c r="F40" s="59" t="s">
        <v>159</v>
      </c>
      <c r="G40" s="59" t="s">
        <v>160</v>
      </c>
      <c r="H40" s="59" t="s">
        <v>194</v>
      </c>
      <c r="I40" s="59" t="s">
        <v>88</v>
      </c>
      <c r="J40" s="59" t="s">
        <v>1439</v>
      </c>
      <c r="K40" s="60">
        <v>182700</v>
      </c>
      <c r="L40" s="59" t="s">
        <v>1440</v>
      </c>
      <c r="M40" s="59" t="s">
        <v>1441</v>
      </c>
      <c r="N40" s="59" t="s">
        <v>1442</v>
      </c>
      <c r="O40" s="59" t="s">
        <v>1443</v>
      </c>
      <c r="P40" s="59" t="s">
        <v>1444</v>
      </c>
      <c r="Q40" s="59" t="s">
        <v>120</v>
      </c>
      <c r="R40" s="59" t="s">
        <v>47</v>
      </c>
      <c r="S40" s="60">
        <v>0</v>
      </c>
      <c r="T40" s="59" t="s">
        <v>47</v>
      </c>
      <c r="U40" s="59" t="s">
        <v>1445</v>
      </c>
      <c r="V40" s="60">
        <v>0</v>
      </c>
      <c r="W40" s="60">
        <v>164430</v>
      </c>
      <c r="X40" s="59" t="s">
        <v>1446</v>
      </c>
      <c r="Y40" s="60">
        <v>0</v>
      </c>
      <c r="Z40" s="59" t="s">
        <v>1447</v>
      </c>
      <c r="AA40" s="59" t="s">
        <v>1453</v>
      </c>
      <c r="AB40" s="60">
        <v>18270</v>
      </c>
      <c r="AC40" s="60">
        <v>10</v>
      </c>
    </row>
    <row r="41" ht="11.25" spans="1:29">
      <c r="A41" s="59" t="s">
        <v>1496</v>
      </c>
      <c r="B41" s="59" t="s">
        <v>1436</v>
      </c>
      <c r="C41" s="59" t="s">
        <v>164</v>
      </c>
      <c r="D41" s="59" t="s">
        <v>1437</v>
      </c>
      <c r="E41" s="59" t="s">
        <v>1438</v>
      </c>
      <c r="F41" s="59" t="s">
        <v>159</v>
      </c>
      <c r="G41" s="59" t="s">
        <v>160</v>
      </c>
      <c r="H41" s="59" t="s">
        <v>194</v>
      </c>
      <c r="I41" s="59" t="s">
        <v>88</v>
      </c>
      <c r="J41" s="59" t="s">
        <v>1439</v>
      </c>
      <c r="K41" s="60">
        <v>17400</v>
      </c>
      <c r="L41" s="59" t="s">
        <v>1440</v>
      </c>
      <c r="M41" s="59" t="s">
        <v>1441</v>
      </c>
      <c r="N41" s="59" t="s">
        <v>1442</v>
      </c>
      <c r="O41" s="59" t="s">
        <v>1443</v>
      </c>
      <c r="P41" s="59" t="s">
        <v>1444</v>
      </c>
      <c r="Q41" s="59" t="s">
        <v>120</v>
      </c>
      <c r="R41" s="59" t="s">
        <v>47</v>
      </c>
      <c r="S41" s="60">
        <v>0</v>
      </c>
      <c r="T41" s="59" t="s">
        <v>47</v>
      </c>
      <c r="U41" s="59" t="s">
        <v>1445</v>
      </c>
      <c r="V41" s="60">
        <v>0</v>
      </c>
      <c r="W41" s="60">
        <v>15660</v>
      </c>
      <c r="X41" s="59" t="s">
        <v>1446</v>
      </c>
      <c r="Y41" s="60">
        <v>0</v>
      </c>
      <c r="Z41" s="59" t="s">
        <v>1447</v>
      </c>
      <c r="AA41" s="59" t="s">
        <v>1450</v>
      </c>
      <c r="AB41" s="60">
        <v>1740</v>
      </c>
      <c r="AC41" s="60">
        <v>10</v>
      </c>
    </row>
    <row r="42" ht="11.25" spans="1:29">
      <c r="A42" s="59" t="s">
        <v>1497</v>
      </c>
      <c r="B42" s="59" t="s">
        <v>1436</v>
      </c>
      <c r="C42" s="59" t="s">
        <v>164</v>
      </c>
      <c r="D42" s="59" t="s">
        <v>1437</v>
      </c>
      <c r="E42" s="59" t="s">
        <v>1438</v>
      </c>
      <c r="F42" s="59" t="s">
        <v>159</v>
      </c>
      <c r="G42" s="59" t="s">
        <v>160</v>
      </c>
      <c r="H42" s="59" t="s">
        <v>194</v>
      </c>
      <c r="I42" s="59" t="s">
        <v>88</v>
      </c>
      <c r="J42" s="59" t="s">
        <v>1439</v>
      </c>
      <c r="K42" s="60">
        <v>8700</v>
      </c>
      <c r="L42" s="59" t="s">
        <v>1440</v>
      </c>
      <c r="M42" s="59" t="s">
        <v>1441</v>
      </c>
      <c r="N42" s="59" t="s">
        <v>1442</v>
      </c>
      <c r="O42" s="59" t="s">
        <v>1443</v>
      </c>
      <c r="P42" s="59" t="s">
        <v>1444</v>
      </c>
      <c r="Q42" s="59" t="s">
        <v>120</v>
      </c>
      <c r="R42" s="59" t="s">
        <v>47</v>
      </c>
      <c r="S42" s="60">
        <v>0</v>
      </c>
      <c r="T42" s="59" t="s">
        <v>47</v>
      </c>
      <c r="U42" s="59" t="s">
        <v>1445</v>
      </c>
      <c r="V42" s="60">
        <v>0</v>
      </c>
      <c r="W42" s="60">
        <v>7830</v>
      </c>
      <c r="X42" s="59" t="s">
        <v>1446</v>
      </c>
      <c r="Y42" s="60">
        <v>0</v>
      </c>
      <c r="Z42" s="59" t="s">
        <v>1447</v>
      </c>
      <c r="AA42" s="59" t="s">
        <v>1448</v>
      </c>
      <c r="AB42" s="60">
        <v>870</v>
      </c>
      <c r="AC42" s="60">
        <v>10</v>
      </c>
    </row>
    <row r="43" ht="11.25" spans="1:29">
      <c r="A43" s="59" t="s">
        <v>1498</v>
      </c>
      <c r="B43" s="59" t="s">
        <v>1436</v>
      </c>
      <c r="C43" s="59" t="s">
        <v>164</v>
      </c>
      <c r="D43" s="59" t="s">
        <v>1437</v>
      </c>
      <c r="E43" s="59" t="s">
        <v>1438</v>
      </c>
      <c r="F43" s="59" t="s">
        <v>159</v>
      </c>
      <c r="G43" s="59" t="s">
        <v>160</v>
      </c>
      <c r="H43" s="59" t="s">
        <v>194</v>
      </c>
      <c r="I43" s="59" t="s">
        <v>88</v>
      </c>
      <c r="J43" s="59" t="s">
        <v>1439</v>
      </c>
      <c r="K43" s="60">
        <v>52200</v>
      </c>
      <c r="L43" s="59" t="s">
        <v>1440</v>
      </c>
      <c r="M43" s="59" t="s">
        <v>1441</v>
      </c>
      <c r="N43" s="59" t="s">
        <v>1442</v>
      </c>
      <c r="O43" s="59" t="s">
        <v>1443</v>
      </c>
      <c r="P43" s="59" t="s">
        <v>1444</v>
      </c>
      <c r="Q43" s="59" t="s">
        <v>120</v>
      </c>
      <c r="R43" s="59" t="s">
        <v>47</v>
      </c>
      <c r="S43" s="60">
        <v>0</v>
      </c>
      <c r="T43" s="59" t="s">
        <v>47</v>
      </c>
      <c r="U43" s="59" t="s">
        <v>1445</v>
      </c>
      <c r="V43" s="60">
        <v>0</v>
      </c>
      <c r="W43" s="60">
        <v>46980</v>
      </c>
      <c r="X43" s="59" t="s">
        <v>1446</v>
      </c>
      <c r="Y43" s="60">
        <v>0</v>
      </c>
      <c r="Z43" s="59" t="s">
        <v>1447</v>
      </c>
      <c r="AA43" s="59" t="s">
        <v>1450</v>
      </c>
      <c r="AB43" s="60">
        <v>5220</v>
      </c>
      <c r="AC43" s="60">
        <v>10</v>
      </c>
    </row>
    <row r="44" ht="11.25" spans="1:29">
      <c r="A44" s="59" t="s">
        <v>1499</v>
      </c>
      <c r="B44" s="59" t="s">
        <v>1436</v>
      </c>
      <c r="C44" s="59" t="s">
        <v>164</v>
      </c>
      <c r="D44" s="59" t="s">
        <v>1437</v>
      </c>
      <c r="E44" s="59" t="s">
        <v>1438</v>
      </c>
      <c r="F44" s="59" t="s">
        <v>159</v>
      </c>
      <c r="G44" s="59" t="s">
        <v>160</v>
      </c>
      <c r="H44" s="59" t="s">
        <v>194</v>
      </c>
      <c r="I44" s="59" t="s">
        <v>88</v>
      </c>
      <c r="J44" s="59" t="s">
        <v>1439</v>
      </c>
      <c r="K44" s="60">
        <v>8700</v>
      </c>
      <c r="L44" s="59" t="s">
        <v>1440</v>
      </c>
      <c r="M44" s="59" t="s">
        <v>1441</v>
      </c>
      <c r="N44" s="59" t="s">
        <v>1442</v>
      </c>
      <c r="O44" s="59" t="s">
        <v>1443</v>
      </c>
      <c r="P44" s="59" t="s">
        <v>1444</v>
      </c>
      <c r="Q44" s="59" t="s">
        <v>120</v>
      </c>
      <c r="R44" s="59" t="s">
        <v>47</v>
      </c>
      <c r="S44" s="60">
        <v>0</v>
      </c>
      <c r="T44" s="59" t="s">
        <v>47</v>
      </c>
      <c r="U44" s="59" t="s">
        <v>1445</v>
      </c>
      <c r="V44" s="60">
        <v>0</v>
      </c>
      <c r="W44" s="60">
        <v>7830</v>
      </c>
      <c r="X44" s="59" t="s">
        <v>1446</v>
      </c>
      <c r="Y44" s="60">
        <v>0</v>
      </c>
      <c r="Z44" s="59" t="s">
        <v>1447</v>
      </c>
      <c r="AA44" s="59" t="s">
        <v>1450</v>
      </c>
      <c r="AB44" s="60">
        <v>870</v>
      </c>
      <c r="AC44" s="60">
        <v>10</v>
      </c>
    </row>
    <row r="45" ht="11.25" spans="1:29">
      <c r="A45" s="59" t="s">
        <v>1500</v>
      </c>
      <c r="B45" s="59" t="s">
        <v>1436</v>
      </c>
      <c r="C45" s="59" t="s">
        <v>164</v>
      </c>
      <c r="D45" s="59" t="s">
        <v>1437</v>
      </c>
      <c r="E45" s="59" t="s">
        <v>1438</v>
      </c>
      <c r="F45" s="59" t="s">
        <v>159</v>
      </c>
      <c r="G45" s="59" t="s">
        <v>160</v>
      </c>
      <c r="H45" s="59" t="s">
        <v>194</v>
      </c>
      <c r="I45" s="59" t="s">
        <v>88</v>
      </c>
      <c r="J45" s="59" t="s">
        <v>1439</v>
      </c>
      <c r="K45" s="60">
        <v>8700</v>
      </c>
      <c r="L45" s="59" t="s">
        <v>1440</v>
      </c>
      <c r="M45" s="59" t="s">
        <v>1441</v>
      </c>
      <c r="N45" s="59" t="s">
        <v>1442</v>
      </c>
      <c r="O45" s="59" t="s">
        <v>1443</v>
      </c>
      <c r="P45" s="59" t="s">
        <v>1444</v>
      </c>
      <c r="Q45" s="59" t="s">
        <v>120</v>
      </c>
      <c r="R45" s="59" t="s">
        <v>47</v>
      </c>
      <c r="S45" s="60">
        <v>0</v>
      </c>
      <c r="T45" s="59" t="s">
        <v>47</v>
      </c>
      <c r="U45" s="59" t="s">
        <v>1445</v>
      </c>
      <c r="V45" s="60">
        <v>0</v>
      </c>
      <c r="W45" s="60">
        <v>7830</v>
      </c>
      <c r="X45" s="59" t="s">
        <v>1446</v>
      </c>
      <c r="Y45" s="60">
        <v>0</v>
      </c>
      <c r="Z45" s="59" t="s">
        <v>1447</v>
      </c>
      <c r="AA45" s="59" t="s">
        <v>1453</v>
      </c>
      <c r="AB45" s="60">
        <v>870</v>
      </c>
      <c r="AC45" s="60">
        <v>10</v>
      </c>
    </row>
    <row r="46" ht="11.25" spans="1:29">
      <c r="A46" s="59" t="s">
        <v>1501</v>
      </c>
      <c r="B46" s="59" t="s">
        <v>1436</v>
      </c>
      <c r="C46" s="59" t="s">
        <v>164</v>
      </c>
      <c r="D46" s="59" t="s">
        <v>1437</v>
      </c>
      <c r="E46" s="59" t="s">
        <v>1438</v>
      </c>
      <c r="F46" s="59" t="s">
        <v>159</v>
      </c>
      <c r="G46" s="59" t="s">
        <v>160</v>
      </c>
      <c r="H46" s="59" t="s">
        <v>194</v>
      </c>
      <c r="I46" s="59" t="s">
        <v>88</v>
      </c>
      <c r="J46" s="59" t="s">
        <v>1439</v>
      </c>
      <c r="K46" s="60">
        <v>43500</v>
      </c>
      <c r="L46" s="59" t="s">
        <v>1440</v>
      </c>
      <c r="M46" s="59" t="s">
        <v>1441</v>
      </c>
      <c r="N46" s="59" t="s">
        <v>1442</v>
      </c>
      <c r="O46" s="59" t="s">
        <v>1443</v>
      </c>
      <c r="P46" s="59" t="s">
        <v>1444</v>
      </c>
      <c r="Q46" s="59" t="s">
        <v>120</v>
      </c>
      <c r="R46" s="59" t="s">
        <v>47</v>
      </c>
      <c r="S46" s="60">
        <v>0</v>
      </c>
      <c r="T46" s="59" t="s">
        <v>47</v>
      </c>
      <c r="U46" s="59" t="s">
        <v>1445</v>
      </c>
      <c r="V46" s="60">
        <v>0</v>
      </c>
      <c r="W46" s="60">
        <v>39150</v>
      </c>
      <c r="X46" s="59" t="s">
        <v>1446</v>
      </c>
      <c r="Y46" s="60">
        <v>0</v>
      </c>
      <c r="Z46" s="59" t="s">
        <v>1447</v>
      </c>
      <c r="AA46" s="59" t="s">
        <v>1450</v>
      </c>
      <c r="AB46" s="60">
        <v>4350</v>
      </c>
      <c r="AC46" s="60">
        <v>10</v>
      </c>
    </row>
    <row r="47" ht="11.25" spans="1:29">
      <c r="A47" s="59" t="s">
        <v>1502</v>
      </c>
      <c r="B47" s="59" t="s">
        <v>1436</v>
      </c>
      <c r="C47" s="59" t="s">
        <v>164</v>
      </c>
      <c r="D47" s="59" t="s">
        <v>1437</v>
      </c>
      <c r="E47" s="59" t="s">
        <v>1438</v>
      </c>
      <c r="F47" s="59" t="s">
        <v>159</v>
      </c>
      <c r="G47" s="59" t="s">
        <v>160</v>
      </c>
      <c r="H47" s="59" t="s">
        <v>194</v>
      </c>
      <c r="I47" s="59" t="s">
        <v>88</v>
      </c>
      <c r="J47" s="59" t="s">
        <v>1439</v>
      </c>
      <c r="K47" s="60">
        <v>26100</v>
      </c>
      <c r="L47" s="59" t="s">
        <v>1440</v>
      </c>
      <c r="M47" s="59" t="s">
        <v>1441</v>
      </c>
      <c r="N47" s="59" t="s">
        <v>1442</v>
      </c>
      <c r="O47" s="59" t="s">
        <v>1443</v>
      </c>
      <c r="P47" s="59" t="s">
        <v>1444</v>
      </c>
      <c r="Q47" s="59" t="s">
        <v>120</v>
      </c>
      <c r="R47" s="59" t="s">
        <v>47</v>
      </c>
      <c r="S47" s="60">
        <v>0</v>
      </c>
      <c r="T47" s="59" t="s">
        <v>47</v>
      </c>
      <c r="U47" s="59" t="s">
        <v>1445</v>
      </c>
      <c r="V47" s="60">
        <v>0</v>
      </c>
      <c r="W47" s="60">
        <v>23490</v>
      </c>
      <c r="X47" s="59" t="s">
        <v>1446</v>
      </c>
      <c r="Y47" s="60">
        <v>0</v>
      </c>
      <c r="Z47" s="59" t="s">
        <v>1447</v>
      </c>
      <c r="AA47" s="59" t="s">
        <v>1453</v>
      </c>
      <c r="AB47" s="60">
        <v>2610</v>
      </c>
      <c r="AC47" s="60">
        <v>10</v>
      </c>
    </row>
    <row r="48" ht="11.25" spans="1:29">
      <c r="A48" s="59" t="s">
        <v>1503</v>
      </c>
      <c r="B48" s="59" t="s">
        <v>1436</v>
      </c>
      <c r="C48" s="59" t="s">
        <v>164</v>
      </c>
      <c r="D48" s="59" t="s">
        <v>1437</v>
      </c>
      <c r="E48" s="59" t="s">
        <v>1438</v>
      </c>
      <c r="F48" s="59" t="s">
        <v>159</v>
      </c>
      <c r="G48" s="59" t="s">
        <v>160</v>
      </c>
      <c r="H48" s="59" t="s">
        <v>194</v>
      </c>
      <c r="I48" s="59" t="s">
        <v>88</v>
      </c>
      <c r="J48" s="59" t="s">
        <v>1439</v>
      </c>
      <c r="K48" s="60">
        <v>8700</v>
      </c>
      <c r="L48" s="59" t="s">
        <v>1440</v>
      </c>
      <c r="M48" s="59" t="s">
        <v>1441</v>
      </c>
      <c r="N48" s="59" t="s">
        <v>1442</v>
      </c>
      <c r="O48" s="59" t="s">
        <v>1443</v>
      </c>
      <c r="P48" s="59" t="s">
        <v>1444</v>
      </c>
      <c r="Q48" s="59" t="s">
        <v>120</v>
      </c>
      <c r="R48" s="59" t="s">
        <v>47</v>
      </c>
      <c r="S48" s="60">
        <v>0</v>
      </c>
      <c r="T48" s="59" t="s">
        <v>47</v>
      </c>
      <c r="U48" s="59" t="s">
        <v>1445</v>
      </c>
      <c r="V48" s="60">
        <v>0</v>
      </c>
      <c r="W48" s="60">
        <v>7830</v>
      </c>
      <c r="X48" s="59" t="s">
        <v>1446</v>
      </c>
      <c r="Y48" s="60">
        <v>0</v>
      </c>
      <c r="Z48" s="59" t="s">
        <v>1447</v>
      </c>
      <c r="AA48" s="59" t="s">
        <v>1453</v>
      </c>
      <c r="AB48" s="60">
        <v>870</v>
      </c>
      <c r="AC48" s="60">
        <v>10</v>
      </c>
    </row>
    <row r="49" ht="11.25" spans="1:29">
      <c r="A49" s="59" t="s">
        <v>1504</v>
      </c>
      <c r="B49" s="59" t="s">
        <v>1436</v>
      </c>
      <c r="C49" s="59" t="s">
        <v>164</v>
      </c>
      <c r="D49" s="59" t="s">
        <v>1437</v>
      </c>
      <c r="E49" s="59" t="s">
        <v>1438</v>
      </c>
      <c r="F49" s="59" t="s">
        <v>159</v>
      </c>
      <c r="G49" s="59" t="s">
        <v>160</v>
      </c>
      <c r="H49" s="59" t="s">
        <v>194</v>
      </c>
      <c r="I49" s="59" t="s">
        <v>88</v>
      </c>
      <c r="J49" s="59" t="s">
        <v>1439</v>
      </c>
      <c r="K49" s="60">
        <v>8700</v>
      </c>
      <c r="L49" s="59" t="s">
        <v>1440</v>
      </c>
      <c r="M49" s="59" t="s">
        <v>1441</v>
      </c>
      <c r="N49" s="59" t="s">
        <v>1442</v>
      </c>
      <c r="O49" s="59" t="s">
        <v>1443</v>
      </c>
      <c r="P49" s="59" t="s">
        <v>1444</v>
      </c>
      <c r="Q49" s="59" t="s">
        <v>120</v>
      </c>
      <c r="R49" s="59" t="s">
        <v>47</v>
      </c>
      <c r="S49" s="60">
        <v>0</v>
      </c>
      <c r="T49" s="59" t="s">
        <v>47</v>
      </c>
      <c r="U49" s="59" t="s">
        <v>1445</v>
      </c>
      <c r="V49" s="60">
        <v>0</v>
      </c>
      <c r="W49" s="60">
        <v>7830</v>
      </c>
      <c r="X49" s="59" t="s">
        <v>1446</v>
      </c>
      <c r="Y49" s="60">
        <v>0</v>
      </c>
      <c r="Z49" s="59" t="s">
        <v>1447</v>
      </c>
      <c r="AA49" s="59" t="s">
        <v>1453</v>
      </c>
      <c r="AB49" s="60">
        <v>870</v>
      </c>
      <c r="AC49" s="60">
        <v>10</v>
      </c>
    </row>
    <row r="50" ht="11.25" spans="1:29">
      <c r="A50" s="59" t="s">
        <v>1505</v>
      </c>
      <c r="B50" s="59" t="s">
        <v>1436</v>
      </c>
      <c r="C50" s="59" t="s">
        <v>164</v>
      </c>
      <c r="D50" s="59" t="s">
        <v>1437</v>
      </c>
      <c r="E50" s="59" t="s">
        <v>1438</v>
      </c>
      <c r="F50" s="59" t="s">
        <v>159</v>
      </c>
      <c r="G50" s="59" t="s">
        <v>160</v>
      </c>
      <c r="H50" s="59" t="s">
        <v>194</v>
      </c>
      <c r="I50" s="59" t="s">
        <v>88</v>
      </c>
      <c r="J50" s="59" t="s">
        <v>1439</v>
      </c>
      <c r="K50" s="60">
        <v>8700</v>
      </c>
      <c r="L50" s="59" t="s">
        <v>1440</v>
      </c>
      <c r="M50" s="59" t="s">
        <v>1441</v>
      </c>
      <c r="N50" s="59" t="s">
        <v>1506</v>
      </c>
      <c r="O50" s="59" t="s">
        <v>1443</v>
      </c>
      <c r="P50" s="59" t="s">
        <v>1444</v>
      </c>
      <c r="Q50" s="59" t="s">
        <v>120</v>
      </c>
      <c r="R50" s="59" t="s">
        <v>47</v>
      </c>
      <c r="S50" s="60">
        <v>0</v>
      </c>
      <c r="T50" s="59" t="s">
        <v>47</v>
      </c>
      <c r="U50" s="59" t="s">
        <v>1445</v>
      </c>
      <c r="V50" s="60">
        <v>0</v>
      </c>
      <c r="W50" s="60">
        <v>7830</v>
      </c>
      <c r="X50" s="59" t="s">
        <v>1446</v>
      </c>
      <c r="Y50" s="60">
        <v>0</v>
      </c>
      <c r="Z50" s="59" t="s">
        <v>1447</v>
      </c>
      <c r="AA50" s="59" t="s">
        <v>1448</v>
      </c>
      <c r="AB50" s="60">
        <v>870</v>
      </c>
      <c r="AC50" s="60">
        <v>10</v>
      </c>
    </row>
    <row r="51" ht="11.25" spans="1:29">
      <c r="A51" s="59" t="s">
        <v>1507</v>
      </c>
      <c r="B51" s="59" t="s">
        <v>1436</v>
      </c>
      <c r="C51" s="59" t="s">
        <v>163</v>
      </c>
      <c r="D51" s="59" t="s">
        <v>1437</v>
      </c>
      <c r="E51" s="59" t="s">
        <v>1438</v>
      </c>
      <c r="F51" s="59" t="s">
        <v>159</v>
      </c>
      <c r="G51" s="59" t="s">
        <v>185</v>
      </c>
      <c r="H51" s="59" t="s">
        <v>194</v>
      </c>
      <c r="I51" s="59" t="s">
        <v>88</v>
      </c>
      <c r="J51" s="59" t="s">
        <v>1439</v>
      </c>
      <c r="K51" s="60">
        <v>400000</v>
      </c>
      <c r="L51" s="59" t="s">
        <v>1508</v>
      </c>
      <c r="M51" s="59" t="s">
        <v>1441</v>
      </c>
      <c r="N51" s="59" t="s">
        <v>1509</v>
      </c>
      <c r="O51" s="59" t="s">
        <v>1445</v>
      </c>
      <c r="P51" s="59" t="s">
        <v>1444</v>
      </c>
      <c r="Q51" s="59" t="s">
        <v>47</v>
      </c>
      <c r="R51" s="59" t="s">
        <v>47</v>
      </c>
      <c r="S51" s="60">
        <v>0</v>
      </c>
      <c r="T51" s="59" t="s">
        <v>47</v>
      </c>
      <c r="U51" s="59" t="s">
        <v>1445</v>
      </c>
      <c r="V51" s="60">
        <v>0</v>
      </c>
      <c r="W51" s="60">
        <v>400000</v>
      </c>
      <c r="X51" s="59" t="s">
        <v>47</v>
      </c>
      <c r="Y51" s="60">
        <v>0</v>
      </c>
      <c r="Z51" s="59" t="s">
        <v>1447</v>
      </c>
      <c r="AA51" s="59" t="s">
        <v>1509</v>
      </c>
      <c r="AB51" s="60">
        <v>0</v>
      </c>
      <c r="AC51" s="60">
        <v>0</v>
      </c>
    </row>
    <row r="52" ht="11.25" spans="1:29">
      <c r="A52" s="59" t="s">
        <v>1510</v>
      </c>
      <c r="B52" s="59" t="s">
        <v>1436</v>
      </c>
      <c r="C52" s="59" t="s">
        <v>162</v>
      </c>
      <c r="D52" s="59" t="s">
        <v>1437</v>
      </c>
      <c r="E52" s="59" t="s">
        <v>1438</v>
      </c>
      <c r="F52" s="59" t="s">
        <v>159</v>
      </c>
      <c r="G52" s="59" t="s">
        <v>160</v>
      </c>
      <c r="H52" s="59" t="s">
        <v>194</v>
      </c>
      <c r="I52" s="59" t="s">
        <v>88</v>
      </c>
      <c r="J52" s="59" t="s">
        <v>1439</v>
      </c>
      <c r="K52" s="60">
        <v>600000</v>
      </c>
      <c r="L52" s="59" t="s">
        <v>1511</v>
      </c>
      <c r="M52" s="59" t="s">
        <v>1512</v>
      </c>
      <c r="N52" s="59" t="s">
        <v>1513</v>
      </c>
      <c r="O52" s="59" t="s">
        <v>1443</v>
      </c>
      <c r="P52" s="59" t="s">
        <v>1444</v>
      </c>
      <c r="Q52" s="59" t="s">
        <v>120</v>
      </c>
      <c r="R52" s="59" t="s">
        <v>47</v>
      </c>
      <c r="S52" s="60">
        <v>0</v>
      </c>
      <c r="T52" s="59" t="s">
        <v>47</v>
      </c>
      <c r="U52" s="59" t="s">
        <v>1445</v>
      </c>
      <c r="V52" s="60">
        <v>0</v>
      </c>
      <c r="W52" s="60">
        <v>600000</v>
      </c>
      <c r="X52" s="59" t="s">
        <v>47</v>
      </c>
      <c r="Y52" s="60">
        <v>0</v>
      </c>
      <c r="Z52" s="59" t="s">
        <v>1447</v>
      </c>
      <c r="AA52" s="59" t="s">
        <v>1514</v>
      </c>
      <c r="AB52" s="60">
        <v>0</v>
      </c>
      <c r="AC52" s="60">
        <v>0</v>
      </c>
    </row>
    <row r="53" ht="11.25" spans="1:29">
      <c r="A53" s="59" t="s">
        <v>1515</v>
      </c>
      <c r="B53" s="59" t="s">
        <v>1436</v>
      </c>
      <c r="C53" s="59" t="s">
        <v>162</v>
      </c>
      <c r="D53" s="59" t="s">
        <v>1437</v>
      </c>
      <c r="E53" s="59" t="s">
        <v>1438</v>
      </c>
      <c r="F53" s="59" t="s">
        <v>159</v>
      </c>
      <c r="G53" s="59" t="s">
        <v>160</v>
      </c>
      <c r="H53" s="59" t="s">
        <v>194</v>
      </c>
      <c r="I53" s="59" t="s">
        <v>88</v>
      </c>
      <c r="J53" s="59" t="s">
        <v>1439</v>
      </c>
      <c r="K53" s="60">
        <v>400000</v>
      </c>
      <c r="L53" s="59" t="s">
        <v>1511</v>
      </c>
      <c r="M53" s="59" t="s">
        <v>1512</v>
      </c>
      <c r="N53" s="59" t="s">
        <v>1513</v>
      </c>
      <c r="O53" s="59" t="s">
        <v>1443</v>
      </c>
      <c r="P53" s="59" t="s">
        <v>1444</v>
      </c>
      <c r="Q53" s="59" t="s">
        <v>120</v>
      </c>
      <c r="R53" s="59" t="s">
        <v>47</v>
      </c>
      <c r="S53" s="60">
        <v>0</v>
      </c>
      <c r="T53" s="59" t="s">
        <v>47</v>
      </c>
      <c r="U53" s="59" t="s">
        <v>1445</v>
      </c>
      <c r="V53" s="60">
        <v>0</v>
      </c>
      <c r="W53" s="60">
        <v>200000</v>
      </c>
      <c r="X53" s="59" t="s">
        <v>47</v>
      </c>
      <c r="Y53" s="60">
        <v>0</v>
      </c>
      <c r="Z53" s="59" t="s">
        <v>1447</v>
      </c>
      <c r="AA53" s="59" t="s">
        <v>1514</v>
      </c>
      <c r="AB53" s="60">
        <v>200000</v>
      </c>
      <c r="AC53" s="60">
        <v>50</v>
      </c>
    </row>
    <row r="54" ht="11.25" spans="1:29">
      <c r="A54" s="59" t="s">
        <v>1516</v>
      </c>
      <c r="B54" s="59" t="s">
        <v>1436</v>
      </c>
      <c r="C54" s="59" t="s">
        <v>162</v>
      </c>
      <c r="D54" s="59" t="s">
        <v>1437</v>
      </c>
      <c r="E54" s="59" t="s">
        <v>1438</v>
      </c>
      <c r="F54" s="59" t="s">
        <v>159</v>
      </c>
      <c r="G54" s="59" t="s">
        <v>160</v>
      </c>
      <c r="H54" s="59" t="s">
        <v>194</v>
      </c>
      <c r="I54" s="59" t="s">
        <v>88</v>
      </c>
      <c r="J54" s="59" t="s">
        <v>1439</v>
      </c>
      <c r="K54" s="60">
        <v>802500</v>
      </c>
      <c r="L54" s="59" t="s">
        <v>1511</v>
      </c>
      <c r="M54" s="59" t="s">
        <v>1512</v>
      </c>
      <c r="N54" s="59" t="s">
        <v>1513</v>
      </c>
      <c r="O54" s="59" t="s">
        <v>1443</v>
      </c>
      <c r="P54" s="59" t="s">
        <v>1444</v>
      </c>
      <c r="Q54" s="59" t="s">
        <v>120</v>
      </c>
      <c r="R54" s="59" t="s">
        <v>47</v>
      </c>
      <c r="S54" s="60">
        <v>0</v>
      </c>
      <c r="T54" s="59" t="s">
        <v>47</v>
      </c>
      <c r="U54" s="59" t="s">
        <v>1445</v>
      </c>
      <c r="V54" s="60">
        <v>0</v>
      </c>
      <c r="W54" s="60">
        <v>705000</v>
      </c>
      <c r="X54" s="59" t="s">
        <v>47</v>
      </c>
      <c r="Y54" s="60">
        <v>0</v>
      </c>
      <c r="Z54" s="59" t="s">
        <v>1447</v>
      </c>
      <c r="AA54" s="59" t="s">
        <v>1514</v>
      </c>
      <c r="AB54" s="60">
        <v>97500</v>
      </c>
      <c r="AC54" s="60">
        <v>12.15</v>
      </c>
    </row>
    <row r="55" ht="11.25" spans="1:29">
      <c r="A55" s="59" t="s">
        <v>1517</v>
      </c>
      <c r="B55" s="59" t="s">
        <v>1436</v>
      </c>
      <c r="C55" s="59" t="s">
        <v>164</v>
      </c>
      <c r="D55" s="59" t="s">
        <v>1437</v>
      </c>
      <c r="E55" s="59" t="s">
        <v>1438</v>
      </c>
      <c r="F55" s="59" t="s">
        <v>159</v>
      </c>
      <c r="G55" s="59" t="s">
        <v>160</v>
      </c>
      <c r="H55" s="59" t="s">
        <v>194</v>
      </c>
      <c r="I55" s="59" t="s">
        <v>88</v>
      </c>
      <c r="J55" s="59" t="s">
        <v>1439</v>
      </c>
      <c r="K55" s="60">
        <v>131500</v>
      </c>
      <c r="L55" s="59" t="s">
        <v>1440</v>
      </c>
      <c r="M55" s="59" t="s">
        <v>1441</v>
      </c>
      <c r="N55" s="59" t="s">
        <v>1478</v>
      </c>
      <c r="O55" s="59" t="s">
        <v>1443</v>
      </c>
      <c r="P55" s="59" t="s">
        <v>1444</v>
      </c>
      <c r="Q55" s="59" t="s">
        <v>120</v>
      </c>
      <c r="R55" s="59" t="s">
        <v>47</v>
      </c>
      <c r="S55" s="60">
        <v>0</v>
      </c>
      <c r="T55" s="59" t="s">
        <v>47</v>
      </c>
      <c r="U55" s="59" t="s">
        <v>1445</v>
      </c>
      <c r="V55" s="60">
        <v>0</v>
      </c>
      <c r="W55" s="60">
        <v>118350</v>
      </c>
      <c r="X55" s="59" t="s">
        <v>1446</v>
      </c>
      <c r="Y55" s="60">
        <v>0</v>
      </c>
      <c r="Z55" s="59" t="s">
        <v>1447</v>
      </c>
      <c r="AA55" s="59" t="s">
        <v>1478</v>
      </c>
      <c r="AB55" s="60">
        <v>13150</v>
      </c>
      <c r="AC55" s="60">
        <v>10</v>
      </c>
    </row>
    <row r="56" ht="11.25" spans="1:29">
      <c r="A56" s="59" t="s">
        <v>1518</v>
      </c>
      <c r="B56" s="59" t="s">
        <v>1436</v>
      </c>
      <c r="C56" s="59" t="s">
        <v>163</v>
      </c>
      <c r="D56" s="59" t="s">
        <v>1437</v>
      </c>
      <c r="E56" s="59" t="s">
        <v>1438</v>
      </c>
      <c r="F56" s="59" t="s">
        <v>159</v>
      </c>
      <c r="G56" s="59" t="s">
        <v>160</v>
      </c>
      <c r="H56" s="59" t="s">
        <v>194</v>
      </c>
      <c r="I56" s="59" t="s">
        <v>88</v>
      </c>
      <c r="J56" s="59" t="s">
        <v>1439</v>
      </c>
      <c r="K56" s="60">
        <v>150000</v>
      </c>
      <c r="L56" s="59" t="s">
        <v>1519</v>
      </c>
      <c r="M56" s="59" t="s">
        <v>1520</v>
      </c>
      <c r="N56" s="59" t="s">
        <v>1521</v>
      </c>
      <c r="O56" s="59" t="s">
        <v>1443</v>
      </c>
      <c r="P56" s="59" t="s">
        <v>1444</v>
      </c>
      <c r="Q56" s="59" t="s">
        <v>120</v>
      </c>
      <c r="R56" s="59" t="s">
        <v>47</v>
      </c>
      <c r="S56" s="60">
        <v>0</v>
      </c>
      <c r="T56" s="59" t="s">
        <v>47</v>
      </c>
      <c r="U56" s="59" t="s">
        <v>1445</v>
      </c>
      <c r="V56" s="60">
        <v>0</v>
      </c>
      <c r="W56" s="60">
        <v>150000</v>
      </c>
      <c r="X56" s="59" t="s">
        <v>47</v>
      </c>
      <c r="Y56" s="60">
        <v>0</v>
      </c>
      <c r="Z56" s="59" t="s">
        <v>1447</v>
      </c>
      <c r="AA56" s="59" t="s">
        <v>1522</v>
      </c>
      <c r="AB56" s="60">
        <v>0</v>
      </c>
      <c r="AC56" s="60">
        <v>0</v>
      </c>
    </row>
    <row r="57" ht="11.25" spans="1:29">
      <c r="A57" s="59" t="s">
        <v>1523</v>
      </c>
      <c r="B57" s="59" t="s">
        <v>1436</v>
      </c>
      <c r="C57" s="59" t="s">
        <v>163</v>
      </c>
      <c r="D57" s="59" t="s">
        <v>1437</v>
      </c>
      <c r="E57" s="59" t="s">
        <v>1438</v>
      </c>
      <c r="F57" s="59" t="s">
        <v>159</v>
      </c>
      <c r="G57" s="59" t="s">
        <v>160</v>
      </c>
      <c r="H57" s="59" t="s">
        <v>194</v>
      </c>
      <c r="I57" s="59" t="s">
        <v>88</v>
      </c>
      <c r="J57" s="59" t="s">
        <v>1439</v>
      </c>
      <c r="K57" s="60">
        <v>200000</v>
      </c>
      <c r="L57" s="59" t="s">
        <v>1524</v>
      </c>
      <c r="M57" s="59" t="s">
        <v>1525</v>
      </c>
      <c r="N57" s="59" t="s">
        <v>1526</v>
      </c>
      <c r="O57" s="59" t="s">
        <v>1443</v>
      </c>
      <c r="P57" s="59" t="s">
        <v>1444</v>
      </c>
      <c r="Q57" s="59" t="s">
        <v>120</v>
      </c>
      <c r="R57" s="59" t="s">
        <v>47</v>
      </c>
      <c r="S57" s="60">
        <v>0</v>
      </c>
      <c r="T57" s="59" t="s">
        <v>47</v>
      </c>
      <c r="U57" s="59" t="s">
        <v>1445</v>
      </c>
      <c r="V57" s="60">
        <v>0</v>
      </c>
      <c r="W57" s="60">
        <v>200000</v>
      </c>
      <c r="X57" s="59" t="s">
        <v>1446</v>
      </c>
      <c r="Y57" s="60">
        <v>0</v>
      </c>
      <c r="Z57" s="59" t="s">
        <v>1447</v>
      </c>
      <c r="AA57" s="59" t="s">
        <v>1526</v>
      </c>
      <c r="AB57" s="60">
        <v>0</v>
      </c>
      <c r="AC57" s="60">
        <v>0</v>
      </c>
    </row>
    <row r="58" ht="11.25" spans="1:29">
      <c r="A58" s="59" t="s">
        <v>1527</v>
      </c>
      <c r="B58" s="59" t="s">
        <v>1436</v>
      </c>
      <c r="C58" s="59" t="s">
        <v>163</v>
      </c>
      <c r="D58" s="59" t="s">
        <v>1437</v>
      </c>
      <c r="E58" s="59" t="s">
        <v>1438</v>
      </c>
      <c r="F58" s="59" t="s">
        <v>159</v>
      </c>
      <c r="G58" s="59" t="s">
        <v>160</v>
      </c>
      <c r="H58" s="59" t="s">
        <v>194</v>
      </c>
      <c r="I58" s="59" t="s">
        <v>88</v>
      </c>
      <c r="J58" s="59" t="s">
        <v>1439</v>
      </c>
      <c r="K58" s="60">
        <v>210000</v>
      </c>
      <c r="L58" s="59" t="s">
        <v>1528</v>
      </c>
      <c r="M58" s="59" t="s">
        <v>1529</v>
      </c>
      <c r="N58" s="59" t="s">
        <v>1530</v>
      </c>
      <c r="O58" s="59" t="s">
        <v>1443</v>
      </c>
      <c r="P58" s="59" t="s">
        <v>1444</v>
      </c>
      <c r="Q58" s="59" t="s">
        <v>120</v>
      </c>
      <c r="R58" s="59" t="s">
        <v>47</v>
      </c>
      <c r="S58" s="60">
        <v>0</v>
      </c>
      <c r="T58" s="59" t="s">
        <v>47</v>
      </c>
      <c r="U58" s="59" t="s">
        <v>1445</v>
      </c>
      <c r="V58" s="60">
        <v>0</v>
      </c>
      <c r="W58" s="60">
        <v>140000</v>
      </c>
      <c r="X58" s="59" t="s">
        <v>1446</v>
      </c>
      <c r="Y58" s="60">
        <v>0</v>
      </c>
      <c r="Z58" s="59" t="s">
        <v>1447</v>
      </c>
      <c r="AA58" s="59" t="s">
        <v>1530</v>
      </c>
      <c r="AB58" s="60">
        <v>70000</v>
      </c>
      <c r="AC58" s="60">
        <v>33.33</v>
      </c>
    </row>
    <row r="59" ht="11.25" spans="1:29">
      <c r="A59" s="59" t="s">
        <v>1531</v>
      </c>
      <c r="B59" s="59" t="s">
        <v>1436</v>
      </c>
      <c r="C59" s="59" t="s">
        <v>163</v>
      </c>
      <c r="D59" s="59" t="s">
        <v>1437</v>
      </c>
      <c r="E59" s="59" t="s">
        <v>1438</v>
      </c>
      <c r="F59" s="59" t="s">
        <v>159</v>
      </c>
      <c r="G59" s="59" t="s">
        <v>160</v>
      </c>
      <c r="H59" s="59" t="s">
        <v>194</v>
      </c>
      <c r="I59" s="59" t="s">
        <v>88</v>
      </c>
      <c r="J59" s="59" t="s">
        <v>1439</v>
      </c>
      <c r="K59" s="60">
        <v>300000</v>
      </c>
      <c r="L59" s="59" t="s">
        <v>1440</v>
      </c>
      <c r="M59" s="59" t="s">
        <v>1441</v>
      </c>
      <c r="N59" s="59" t="s">
        <v>1532</v>
      </c>
      <c r="O59" s="59" t="s">
        <v>1443</v>
      </c>
      <c r="P59" s="59" t="s">
        <v>1444</v>
      </c>
      <c r="Q59" s="59" t="s">
        <v>120</v>
      </c>
      <c r="R59" s="59" t="s">
        <v>47</v>
      </c>
      <c r="S59" s="60">
        <v>0</v>
      </c>
      <c r="T59" s="59" t="s">
        <v>47</v>
      </c>
      <c r="U59" s="59" t="s">
        <v>1445</v>
      </c>
      <c r="V59" s="60">
        <v>0</v>
      </c>
      <c r="W59" s="60">
        <v>270000</v>
      </c>
      <c r="X59" s="59" t="s">
        <v>1446</v>
      </c>
      <c r="Y59" s="60">
        <v>0</v>
      </c>
      <c r="Z59" s="59" t="s">
        <v>1447</v>
      </c>
      <c r="AA59" s="59" t="s">
        <v>1533</v>
      </c>
      <c r="AB59" s="60">
        <v>30000</v>
      </c>
      <c r="AC59" s="60">
        <v>10</v>
      </c>
    </row>
    <row r="60" ht="11.25" spans="1:29">
      <c r="A60" s="59" t="s">
        <v>1534</v>
      </c>
      <c r="B60" s="59" t="s">
        <v>1436</v>
      </c>
      <c r="C60" s="59" t="s">
        <v>157</v>
      </c>
      <c r="D60" s="59" t="s">
        <v>1437</v>
      </c>
      <c r="E60" s="59" t="s">
        <v>1438</v>
      </c>
      <c r="F60" s="59" t="s">
        <v>159</v>
      </c>
      <c r="G60" s="59" t="s">
        <v>160</v>
      </c>
      <c r="H60" s="59" t="s">
        <v>194</v>
      </c>
      <c r="I60" s="59" t="s">
        <v>88</v>
      </c>
      <c r="J60" s="59" t="s">
        <v>1439</v>
      </c>
      <c r="K60" s="60">
        <v>500000</v>
      </c>
      <c r="L60" s="59" t="s">
        <v>1529</v>
      </c>
      <c r="M60" s="59" t="s">
        <v>1529</v>
      </c>
      <c r="N60" s="59" t="s">
        <v>1535</v>
      </c>
      <c r="O60" s="59" t="s">
        <v>1443</v>
      </c>
      <c r="P60" s="59" t="s">
        <v>1444</v>
      </c>
      <c r="Q60" s="59" t="s">
        <v>120</v>
      </c>
      <c r="R60" s="59" t="s">
        <v>47</v>
      </c>
      <c r="S60" s="60">
        <v>0</v>
      </c>
      <c r="T60" s="59" t="s">
        <v>47</v>
      </c>
      <c r="U60" s="59" t="s">
        <v>1445</v>
      </c>
      <c r="V60" s="60">
        <v>0</v>
      </c>
      <c r="W60" s="60">
        <v>450000</v>
      </c>
      <c r="X60" s="59" t="s">
        <v>1446</v>
      </c>
      <c r="Y60" s="60">
        <v>0</v>
      </c>
      <c r="Z60" s="59" t="s">
        <v>1447</v>
      </c>
      <c r="AA60" s="59" t="s">
        <v>1536</v>
      </c>
      <c r="AB60" s="60">
        <v>50000</v>
      </c>
      <c r="AC60" s="60">
        <v>10</v>
      </c>
    </row>
    <row r="61" ht="11.25" spans="1:29">
      <c r="A61" s="59" t="s">
        <v>1537</v>
      </c>
      <c r="B61" s="59" t="s">
        <v>1436</v>
      </c>
      <c r="C61" s="59" t="s">
        <v>157</v>
      </c>
      <c r="D61" s="59" t="s">
        <v>1437</v>
      </c>
      <c r="E61" s="59" t="s">
        <v>1438</v>
      </c>
      <c r="F61" s="59" t="s">
        <v>159</v>
      </c>
      <c r="G61" s="59" t="s">
        <v>160</v>
      </c>
      <c r="H61" s="59" t="s">
        <v>194</v>
      </c>
      <c r="I61" s="59" t="s">
        <v>88</v>
      </c>
      <c r="J61" s="59" t="s">
        <v>1439</v>
      </c>
      <c r="K61" s="60">
        <v>500000</v>
      </c>
      <c r="L61" s="59" t="s">
        <v>1538</v>
      </c>
      <c r="M61" s="59" t="s">
        <v>1441</v>
      </c>
      <c r="N61" s="59" t="s">
        <v>1539</v>
      </c>
      <c r="O61" s="59" t="s">
        <v>1443</v>
      </c>
      <c r="P61" s="59" t="s">
        <v>1444</v>
      </c>
      <c r="Q61" s="59" t="s">
        <v>120</v>
      </c>
      <c r="R61" s="59" t="s">
        <v>47</v>
      </c>
      <c r="S61" s="60">
        <v>0</v>
      </c>
      <c r="T61" s="59" t="s">
        <v>47</v>
      </c>
      <c r="U61" s="59" t="s">
        <v>1445</v>
      </c>
      <c r="V61" s="60">
        <v>0</v>
      </c>
      <c r="W61" s="60">
        <v>450000</v>
      </c>
      <c r="X61" s="59" t="s">
        <v>1446</v>
      </c>
      <c r="Y61" s="60">
        <v>0</v>
      </c>
      <c r="Z61" s="59" t="s">
        <v>1447</v>
      </c>
      <c r="AA61" s="59" t="s">
        <v>1539</v>
      </c>
      <c r="AB61" s="60">
        <v>50000</v>
      </c>
      <c r="AC61" s="60">
        <v>10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B15" sqref="F15 B15"/>
    </sheetView>
  </sheetViews>
  <sheetFormatPr defaultColWidth="9" defaultRowHeight="13.5" outlineLevelCol="5"/>
  <cols>
    <col min="1" max="1" width="32.3666666666667" customWidth="1"/>
    <col min="2" max="2" width="13.45" customWidth="1"/>
    <col min="3" max="3" width="12.45" customWidth="1"/>
    <col min="4" max="4" width="13.45" customWidth="1"/>
    <col min="5" max="5" width="7.90833333333333" customWidth="1"/>
    <col min="6" max="6" width="12.45" customWidth="1"/>
    <col min="7" max="7" width="10.3666666666667"/>
  </cols>
  <sheetData>
    <row r="1" ht="14.25" spans="1:6">
      <c r="A1" s="48" t="s">
        <v>1399</v>
      </c>
      <c r="B1" s="48" t="s">
        <v>1540</v>
      </c>
      <c r="C1" s="48" t="s">
        <v>1316</v>
      </c>
      <c r="D1" s="48" t="s">
        <v>1541</v>
      </c>
      <c r="E1" s="48" t="s">
        <v>1542</v>
      </c>
      <c r="F1" s="48" t="s">
        <v>1543</v>
      </c>
    </row>
    <row r="2" ht="14.25" spans="1:6">
      <c r="A2" s="4" t="s">
        <v>1544</v>
      </c>
      <c r="B2" s="49">
        <v>21248.22</v>
      </c>
      <c r="C2" s="49"/>
      <c r="D2" s="50">
        <v>21248.22</v>
      </c>
      <c r="E2" s="51">
        <v>0.09</v>
      </c>
      <c r="F2" s="49">
        <v>1912.34</v>
      </c>
    </row>
    <row r="3" ht="14.25" spans="1:6">
      <c r="A3" s="4" t="s">
        <v>230</v>
      </c>
      <c r="B3" s="49">
        <v>6472139.89</v>
      </c>
      <c r="C3" s="49">
        <v>2754200</v>
      </c>
      <c r="D3" s="49">
        <v>4408714.49</v>
      </c>
      <c r="E3" s="51">
        <v>0.09</v>
      </c>
      <c r="F3" s="49">
        <v>582492.59</v>
      </c>
    </row>
    <row r="4" ht="14.25" spans="1:6">
      <c r="A4" s="4" t="s">
        <v>1545</v>
      </c>
      <c r="B4" s="49">
        <v>19065.54</v>
      </c>
      <c r="C4" s="49"/>
      <c r="D4" s="49"/>
      <c r="E4" s="51">
        <v>0.09</v>
      </c>
      <c r="F4" s="49">
        <v>1715.9</v>
      </c>
    </row>
    <row r="5" ht="14.25" spans="1:6">
      <c r="A5" s="4" t="s">
        <v>236</v>
      </c>
      <c r="B5" s="49">
        <v>2159.09</v>
      </c>
      <c r="C5" s="49"/>
      <c r="D5" s="49">
        <v>2159.09</v>
      </c>
      <c r="E5" s="51">
        <v>0.09</v>
      </c>
      <c r="F5" s="49">
        <v>194.32</v>
      </c>
    </row>
    <row r="6" ht="14.25" spans="1:6">
      <c r="A6" s="4" t="s">
        <v>1546</v>
      </c>
      <c r="B6" s="49">
        <v>4158.16</v>
      </c>
      <c r="C6" s="49"/>
      <c r="D6" s="49">
        <v>4158.16</v>
      </c>
      <c r="E6" s="51">
        <v>0.09</v>
      </c>
      <c r="F6" s="49">
        <v>374.23</v>
      </c>
    </row>
    <row r="7" ht="14.25" spans="1:6">
      <c r="A7" s="4" t="s">
        <v>261</v>
      </c>
      <c r="B7" s="49">
        <v>28116257.67</v>
      </c>
      <c r="C7" s="49">
        <v>2296000</v>
      </c>
      <c r="D7" s="50">
        <v>25820257.67</v>
      </c>
      <c r="E7" s="51">
        <v>0.09</v>
      </c>
      <c r="F7" s="49">
        <v>2530463.19</v>
      </c>
    </row>
    <row r="8" ht="14.25" spans="1:6">
      <c r="A8" s="4" t="s">
        <v>1547</v>
      </c>
      <c r="B8" s="49">
        <v>1434845.24</v>
      </c>
      <c r="C8" s="49">
        <v>90815</v>
      </c>
      <c r="D8" s="49">
        <v>1344030.24</v>
      </c>
      <c r="E8" s="51">
        <v>0.09</v>
      </c>
      <c r="F8" s="49">
        <v>129136.06</v>
      </c>
    </row>
    <row r="9" ht="14.25" spans="1:6">
      <c r="A9" s="4" t="s">
        <v>114</v>
      </c>
      <c r="B9" s="49">
        <v>53743.7</v>
      </c>
      <c r="C9" s="49"/>
      <c r="D9" s="50">
        <v>53743.7</v>
      </c>
      <c r="E9" s="51">
        <v>0.09</v>
      </c>
      <c r="F9" s="49">
        <v>4836.94</v>
      </c>
    </row>
    <row r="10" ht="14.25" spans="1:6">
      <c r="A10" s="52" t="s">
        <v>240</v>
      </c>
      <c r="B10" s="53">
        <v>370432.8</v>
      </c>
      <c r="C10" s="53">
        <v>344471.33</v>
      </c>
      <c r="D10" s="53">
        <v>45027.01</v>
      </c>
      <c r="E10" s="54">
        <v>0.09</v>
      </c>
      <c r="F10" s="53">
        <f>B10*E10</f>
        <v>33338.952</v>
      </c>
    </row>
    <row r="11" ht="14.25" spans="1:6">
      <c r="A11" s="52" t="s">
        <v>240</v>
      </c>
      <c r="B11" s="53">
        <v>263859.01</v>
      </c>
      <c r="C11" s="53">
        <v>158095.741481481</v>
      </c>
      <c r="D11" s="53">
        <v>105763.268518519</v>
      </c>
      <c r="E11" s="54">
        <v>0.13</v>
      </c>
      <c r="F11" s="53">
        <f>B11*E11</f>
        <v>34301.6713</v>
      </c>
    </row>
    <row r="12" ht="14.25" spans="1:6">
      <c r="A12" s="4" t="s">
        <v>542</v>
      </c>
      <c r="B12" s="49">
        <v>1740299.38</v>
      </c>
      <c r="C12" s="49"/>
      <c r="D12" s="49">
        <v>1740299.38</v>
      </c>
      <c r="E12" s="51">
        <v>0.09</v>
      </c>
      <c r="F12" s="49">
        <v>156626.95</v>
      </c>
    </row>
    <row r="13" ht="14.25" spans="1:6">
      <c r="A13" s="4" t="s">
        <v>1548</v>
      </c>
      <c r="B13" s="49">
        <v>690774.6</v>
      </c>
      <c r="C13" s="49"/>
      <c r="D13" s="49"/>
      <c r="E13" s="51">
        <v>0.09</v>
      </c>
      <c r="F13" s="49">
        <v>62169.72</v>
      </c>
    </row>
    <row r="14" ht="14.25" spans="1:6">
      <c r="A14" s="4" t="s">
        <v>258</v>
      </c>
      <c r="B14" s="49">
        <v>181691.76</v>
      </c>
      <c r="C14" s="49"/>
      <c r="D14" s="49">
        <v>181691.76</v>
      </c>
      <c r="E14" s="51">
        <v>0.09</v>
      </c>
      <c r="F14" s="49">
        <v>16352.26</v>
      </c>
    </row>
    <row r="15" ht="14.25" spans="1:6">
      <c r="A15" s="4" t="s">
        <v>1549</v>
      </c>
      <c r="B15" s="49">
        <v>162000</v>
      </c>
      <c r="C15" s="49">
        <v>162000</v>
      </c>
      <c r="D15" s="49"/>
      <c r="E15" s="51">
        <v>0.09</v>
      </c>
      <c r="F15" s="49">
        <v>14580</v>
      </c>
    </row>
    <row r="16" ht="14.25" spans="1:6">
      <c r="A16" s="4" t="s">
        <v>215</v>
      </c>
      <c r="B16" s="49">
        <v>986733.66</v>
      </c>
      <c r="C16" s="49"/>
      <c r="D16" s="49">
        <v>986733.669230769</v>
      </c>
      <c r="E16" s="51">
        <v>0.09</v>
      </c>
      <c r="F16" s="49">
        <v>88806.03</v>
      </c>
    </row>
    <row r="17" ht="14.25" spans="1:6">
      <c r="A17" s="55" t="s">
        <v>1550</v>
      </c>
      <c r="B17" s="56">
        <v>40519408.72</v>
      </c>
      <c r="C17" s="56"/>
      <c r="D17" s="56"/>
      <c r="E17" s="55"/>
      <c r="F17" s="56">
        <v>3657301.1613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W65"/>
  <sheetViews>
    <sheetView topLeftCell="A4" workbookViewId="0">
      <selection activeCell="D34" sqref="D34"/>
    </sheetView>
  </sheetViews>
  <sheetFormatPr defaultColWidth="8.725" defaultRowHeight="14.25"/>
  <cols>
    <col min="1" max="1" width="11.0916666666667" style="1" customWidth="1"/>
    <col min="2" max="2" width="12.0916666666667" style="1" customWidth="1"/>
    <col min="3" max="3" width="14.6333333333333" style="1" customWidth="1"/>
    <col min="4" max="4" width="13.45" style="1" customWidth="1"/>
    <col min="5" max="5" width="18.2666666666667" style="1" customWidth="1"/>
    <col min="6" max="7" width="13" style="1" customWidth="1"/>
    <col min="8" max="8" width="13.45" style="1" customWidth="1"/>
    <col min="9" max="9" width="9.45" style="1" customWidth="1"/>
    <col min="10" max="10" width="11.0916666666667" style="1" customWidth="1"/>
    <col min="11" max="11" width="13.45" style="1" customWidth="1"/>
    <col min="12" max="12" width="4.90833333333333" style="1" customWidth="1"/>
    <col min="13" max="13" width="13.45" style="1" customWidth="1"/>
    <col min="14" max="16384" width="8.725" style="1"/>
  </cols>
  <sheetData>
    <row r="1" spans="1:1">
      <c r="A1" s="13" t="s">
        <v>1551</v>
      </c>
    </row>
    <row r="2" spans="1:13">
      <c r="A2" s="14" t="s">
        <v>1552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15" t="s">
        <v>1553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>
      <c r="A4" s="16" t="s">
        <v>5</v>
      </c>
      <c r="B4" s="17" t="s">
        <v>1554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42"/>
    </row>
    <row r="5" spans="1:13">
      <c r="A5" s="19" t="s">
        <v>1555</v>
      </c>
      <c r="B5" s="19" t="s">
        <v>1556</v>
      </c>
      <c r="C5" s="19" t="s">
        <v>1557</v>
      </c>
      <c r="D5" s="19" t="s">
        <v>1558</v>
      </c>
      <c r="E5" s="19" t="s">
        <v>1559</v>
      </c>
      <c r="F5" s="19" t="s">
        <v>1560</v>
      </c>
      <c r="G5" s="19" t="s">
        <v>1561</v>
      </c>
      <c r="H5" s="19" t="s">
        <v>1562</v>
      </c>
      <c r="I5" s="19" t="s">
        <v>1563</v>
      </c>
      <c r="J5" s="19" t="s">
        <v>1564</v>
      </c>
      <c r="K5" s="19" t="s">
        <v>1565</v>
      </c>
      <c r="L5" s="19" t="s">
        <v>1566</v>
      </c>
      <c r="M5" s="19" t="s">
        <v>1567</v>
      </c>
    </row>
    <row r="6" spans="1:13">
      <c r="A6" s="20" t="s">
        <v>1568</v>
      </c>
      <c r="B6" s="21">
        <v>30000000</v>
      </c>
      <c r="C6" s="22">
        <v>9792223.7364</v>
      </c>
      <c r="D6" s="22">
        <v>605594.141999999</v>
      </c>
      <c r="E6" s="22">
        <v>9792223.7364</v>
      </c>
      <c r="F6" s="22">
        <v>0</v>
      </c>
      <c r="G6" s="22">
        <v>0</v>
      </c>
      <c r="H6" s="23">
        <v>37864702.96</v>
      </c>
      <c r="I6" s="43">
        <f>E6/B6</f>
        <v>0.32640745788</v>
      </c>
      <c r="J6" s="44">
        <v>0.1</v>
      </c>
      <c r="K6" s="22">
        <f>E6*J6+F6+G6</f>
        <v>979222.37364</v>
      </c>
      <c r="L6" s="22"/>
      <c r="M6" s="23">
        <f>K6+K7+K8-L6-H6</f>
        <v>7417910.58028375</v>
      </c>
    </row>
    <row r="7" spans="1:13">
      <c r="A7" s="20" t="s">
        <v>1569</v>
      </c>
      <c r="B7" s="24">
        <v>352500000</v>
      </c>
      <c r="C7" s="22">
        <v>395031498.63</v>
      </c>
      <c r="D7" s="22">
        <v>37320747.87</v>
      </c>
      <c r="E7" s="22">
        <v>388548762.33</v>
      </c>
      <c r="F7" s="22">
        <v>3052708.224</v>
      </c>
      <c r="G7" s="22">
        <v>2047176.34464375</v>
      </c>
      <c r="H7" s="25"/>
      <c r="I7" s="45">
        <f>(E7+E8)/B7</f>
        <v>1.1121562155461</v>
      </c>
      <c r="J7" s="44">
        <v>0.1</v>
      </c>
      <c r="K7" s="22">
        <f>E7*J7+F7+G7</f>
        <v>43954760.8016438</v>
      </c>
      <c r="L7" s="22"/>
      <c r="M7" s="25">
        <f t="shared" ref="M7:M8" si="0">K7-H7</f>
        <v>43954760.8016438</v>
      </c>
    </row>
    <row r="8" spans="1:13">
      <c r="A8" s="20" t="s">
        <v>1570</v>
      </c>
      <c r="B8" s="26"/>
      <c r="C8" s="22">
        <v>3608148.65</v>
      </c>
      <c r="D8" s="22">
        <v>2762807.02</v>
      </c>
      <c r="E8" s="22">
        <v>3486303.65</v>
      </c>
      <c r="F8" s="22">
        <v>0</v>
      </c>
      <c r="G8" s="22">
        <v>0</v>
      </c>
      <c r="H8" s="27"/>
      <c r="I8" s="46"/>
      <c r="J8" s="44">
        <v>0.1</v>
      </c>
      <c r="K8" s="22">
        <f>E8*J8+F8+G8</f>
        <v>348630.365</v>
      </c>
      <c r="L8" s="22"/>
      <c r="M8" s="27">
        <f t="shared" si="0"/>
        <v>348630.365</v>
      </c>
    </row>
    <row r="9" spans="1:13">
      <c r="A9" s="20" t="s">
        <v>1571</v>
      </c>
      <c r="B9" s="21">
        <f>SUM(B6:B8)</f>
        <v>382500000</v>
      </c>
      <c r="C9" s="22">
        <v>408431871.0164</v>
      </c>
      <c r="D9" s="22">
        <v>40689149.032</v>
      </c>
      <c r="E9" s="28">
        <v>401827289.7164</v>
      </c>
      <c r="F9" s="22">
        <v>3052708.224</v>
      </c>
      <c r="G9" s="22">
        <v>2047176.34464375</v>
      </c>
      <c r="H9" s="28">
        <f>SUM(H6:H8)</f>
        <v>37864702.96</v>
      </c>
      <c r="I9" s="43">
        <f>E9/B9</f>
        <v>1.05052886200366</v>
      </c>
      <c r="J9" s="44">
        <f>K9/E9</f>
        <v>0.112691732739812</v>
      </c>
      <c r="K9" s="22">
        <f>SUM(K6:K8)</f>
        <v>45282613.5402838</v>
      </c>
      <c r="L9" s="22">
        <f t="shared" ref="L9" si="1">SUM(L6:L8)</f>
        <v>0</v>
      </c>
      <c r="M9" s="47">
        <f>M6</f>
        <v>7417910.58028375</v>
      </c>
    </row>
    <row r="11" spans="1:5">
      <c r="A11" s="13" t="s">
        <v>1572</v>
      </c>
      <c r="E11" s="13" t="s">
        <v>1573</v>
      </c>
    </row>
    <row r="12" ht="13.5" spans="1:10">
      <c r="A12" s="29" t="s">
        <v>1574</v>
      </c>
      <c r="B12" s="30">
        <v>3926515.07</v>
      </c>
      <c r="C12" s="30"/>
      <c r="E12" s="31"/>
      <c r="F12" s="31"/>
      <c r="G12" s="31"/>
      <c r="H12" s="31"/>
      <c r="I12" s="31"/>
      <c r="J12" s="31"/>
    </row>
    <row r="13" ht="13.5" spans="1:10">
      <c r="A13" s="32" t="s">
        <v>1575</v>
      </c>
      <c r="B13" s="32" t="s">
        <v>1576</v>
      </c>
      <c r="C13" s="33" t="s">
        <v>1577</v>
      </c>
      <c r="E13" s="31"/>
      <c r="F13" s="34"/>
      <c r="G13" s="34"/>
      <c r="H13" s="35"/>
      <c r="I13" s="34"/>
      <c r="J13" s="31"/>
    </row>
    <row r="14" ht="13.5" spans="1:10">
      <c r="A14" s="36" t="s">
        <v>1578</v>
      </c>
      <c r="B14" s="37" t="s">
        <v>1579</v>
      </c>
      <c r="C14" s="38">
        <v>2088272.78919</v>
      </c>
      <c r="E14" s="31"/>
      <c r="F14" s="34"/>
      <c r="G14" s="34"/>
      <c r="H14" s="35"/>
      <c r="I14" s="34"/>
      <c r="J14" s="31"/>
    </row>
    <row r="15" ht="13.5" spans="1:10">
      <c r="A15" s="36" t="s">
        <v>1580</v>
      </c>
      <c r="B15" s="37" t="s">
        <v>1030</v>
      </c>
      <c r="C15" s="38">
        <v>123384.264</v>
      </c>
      <c r="E15" s="31"/>
      <c r="F15" s="34"/>
      <c r="G15" s="34"/>
      <c r="H15" s="35"/>
      <c r="I15" s="34"/>
      <c r="J15" s="31"/>
    </row>
    <row r="16" ht="13.5" spans="1:10">
      <c r="A16" s="36" t="s">
        <v>1581</v>
      </c>
      <c r="B16" s="37" t="s">
        <v>1582</v>
      </c>
      <c r="C16" s="38">
        <v>24777.8235</v>
      </c>
      <c r="E16" s="31"/>
      <c r="F16" s="34"/>
      <c r="G16" s="34"/>
      <c r="H16" s="35"/>
      <c r="I16" s="34"/>
      <c r="J16" s="31"/>
    </row>
    <row r="17" ht="13.5" spans="1:10">
      <c r="A17" s="36" t="s">
        <v>1583</v>
      </c>
      <c r="B17" s="37" t="s">
        <v>932</v>
      </c>
      <c r="C17" s="38">
        <v>23526.424</v>
      </c>
      <c r="E17" s="31"/>
      <c r="F17" s="34"/>
      <c r="G17" s="34"/>
      <c r="H17" s="35"/>
      <c r="I17" s="34"/>
      <c r="J17" s="31"/>
    </row>
    <row r="18" ht="13.5" spans="1:10">
      <c r="A18" s="36" t="s">
        <v>1584</v>
      </c>
      <c r="B18" s="37" t="s">
        <v>1585</v>
      </c>
      <c r="C18" s="38">
        <v>8356.906</v>
      </c>
      <c r="E18" s="31"/>
      <c r="F18" s="34"/>
      <c r="G18" s="34"/>
      <c r="H18" s="35"/>
      <c r="I18" s="34"/>
      <c r="J18" s="31"/>
    </row>
    <row r="19" ht="13.5" spans="1:10">
      <c r="A19" s="36" t="s">
        <v>1586</v>
      </c>
      <c r="B19" s="37" t="s">
        <v>1587</v>
      </c>
      <c r="C19" s="38">
        <v>943.052</v>
      </c>
      <c r="E19" s="31"/>
      <c r="F19" s="34"/>
      <c r="G19" s="34"/>
      <c r="H19" s="35"/>
      <c r="I19" s="34"/>
      <c r="J19" s="31"/>
    </row>
    <row r="20" ht="13.5" spans="1:10">
      <c r="A20" s="36" t="s">
        <v>1588</v>
      </c>
      <c r="B20" s="37" t="s">
        <v>1589</v>
      </c>
      <c r="C20" s="38">
        <v>864.276</v>
      </c>
      <c r="E20" s="31"/>
      <c r="F20" s="34"/>
      <c r="G20" s="34"/>
      <c r="H20" s="35"/>
      <c r="I20" s="34"/>
      <c r="J20" s="31"/>
    </row>
    <row r="21" ht="13.5" spans="1:10">
      <c r="A21" s="37" t="s">
        <v>1590</v>
      </c>
      <c r="B21" s="37" t="s">
        <v>1591</v>
      </c>
      <c r="C21" s="38">
        <v>29852.322</v>
      </c>
      <c r="E21" s="31"/>
      <c r="F21" s="34"/>
      <c r="G21" s="34"/>
      <c r="H21" s="35"/>
      <c r="I21" s="34"/>
      <c r="J21" s="31"/>
    </row>
    <row r="22" ht="13.5" spans="1:10">
      <c r="A22" s="37" t="s">
        <v>1592</v>
      </c>
      <c r="B22" s="37" t="s">
        <v>1593</v>
      </c>
      <c r="C22" s="38">
        <v>1502672.78</v>
      </c>
      <c r="E22" s="31"/>
      <c r="F22" s="34"/>
      <c r="G22" s="34"/>
      <c r="H22" s="35"/>
      <c r="I22" s="34"/>
      <c r="J22" s="31"/>
    </row>
    <row r="23" ht="13.5" spans="1:10">
      <c r="A23" s="37" t="s">
        <v>1594</v>
      </c>
      <c r="B23" s="37" t="s">
        <v>1595</v>
      </c>
      <c r="C23" s="38">
        <v>75501.683</v>
      </c>
      <c r="E23" s="31"/>
      <c r="F23" s="34"/>
      <c r="G23" s="34"/>
      <c r="H23" s="35"/>
      <c r="I23" s="34"/>
      <c r="J23" s="31"/>
    </row>
    <row r="24" ht="13.5" spans="1:10">
      <c r="A24" s="37" t="s">
        <v>1596</v>
      </c>
      <c r="B24" s="37" t="s">
        <v>1597</v>
      </c>
      <c r="C24" s="38">
        <v>48362.75031</v>
      </c>
      <c r="E24" s="31"/>
      <c r="F24" s="34"/>
      <c r="G24" s="34"/>
      <c r="H24" s="35"/>
      <c r="I24" s="34"/>
      <c r="J24" s="31"/>
    </row>
    <row r="25" ht="13.5" spans="1:10">
      <c r="A25" s="29" t="s">
        <v>1598</v>
      </c>
      <c r="B25" s="30">
        <v>678128.2</v>
      </c>
      <c r="C25" s="30"/>
      <c r="E25" s="31"/>
      <c r="F25" s="34"/>
      <c r="G25" s="34"/>
      <c r="H25" s="35"/>
      <c r="I25" s="34"/>
      <c r="J25" s="31"/>
    </row>
    <row r="26" ht="13.5" spans="1:10">
      <c r="A26" s="37" t="s">
        <v>1599</v>
      </c>
      <c r="B26" s="37"/>
      <c r="C26" s="37"/>
      <c r="E26" s="31"/>
      <c r="F26" s="34"/>
      <c r="G26" s="34"/>
      <c r="H26" s="35"/>
      <c r="I26" s="34"/>
      <c r="J26" s="31"/>
    </row>
    <row r="27" ht="13.5" spans="1:10">
      <c r="A27" s="29" t="s">
        <v>1600</v>
      </c>
      <c r="B27" s="30">
        <v>4385.377</v>
      </c>
      <c r="C27" s="30"/>
      <c r="E27" s="31"/>
      <c r="F27" s="34"/>
      <c r="G27" s="34"/>
      <c r="H27" s="35"/>
      <c r="I27" s="34"/>
      <c r="J27" s="31"/>
    </row>
    <row r="28" ht="13.5" spans="1:10">
      <c r="A28" s="39" t="s">
        <v>1601</v>
      </c>
      <c r="B28" s="40"/>
      <c r="C28" s="41"/>
      <c r="E28" s="31"/>
      <c r="F28" s="34"/>
      <c r="G28" s="34"/>
      <c r="H28" s="35"/>
      <c r="I28" s="34"/>
      <c r="J28" s="31"/>
    </row>
    <row r="29" ht="13.5" spans="1:10">
      <c r="A29" s="29" t="s">
        <v>1560</v>
      </c>
      <c r="B29" s="30">
        <v>97400.31</v>
      </c>
      <c r="C29" s="30"/>
      <c r="E29" s="31"/>
      <c r="F29" s="34"/>
      <c r="G29" s="34"/>
      <c r="H29" s="35"/>
      <c r="I29" s="34"/>
      <c r="J29" s="31"/>
    </row>
    <row r="30" ht="13.5" spans="1:10">
      <c r="A30" s="39" t="s">
        <v>1601</v>
      </c>
      <c r="B30" s="40"/>
      <c r="C30" s="41"/>
      <c r="E30" s="31"/>
      <c r="F30" s="34"/>
      <c r="G30" s="34"/>
      <c r="H30" s="35"/>
      <c r="I30" s="34"/>
      <c r="J30" s="31"/>
    </row>
    <row r="31" ht="13.5" spans="1:10">
      <c r="A31" s="29" t="s">
        <v>1561</v>
      </c>
      <c r="B31" s="30">
        <v>1083703.95</v>
      </c>
      <c r="C31" s="30"/>
      <c r="E31" s="31"/>
      <c r="F31" s="34"/>
      <c r="G31" s="34"/>
      <c r="H31" s="35"/>
      <c r="I31" s="34"/>
      <c r="J31" s="31"/>
    </row>
    <row r="32" ht="13.5" spans="1:10">
      <c r="A32" s="39" t="s">
        <v>1601</v>
      </c>
      <c r="B32" s="40"/>
      <c r="C32" s="41"/>
      <c r="E32" s="31"/>
      <c r="F32" s="34"/>
      <c r="G32" s="34"/>
      <c r="H32" s="35"/>
      <c r="I32" s="34"/>
      <c r="J32" s="31"/>
    </row>
    <row r="33" spans="5:10">
      <c r="E33" s="31"/>
      <c r="F33" s="34"/>
      <c r="G33" s="34"/>
      <c r="H33" s="35"/>
      <c r="I33" s="34"/>
      <c r="J33" s="31"/>
    </row>
    <row r="34" spans="5:10">
      <c r="E34" s="31"/>
      <c r="F34" s="34"/>
      <c r="G34" s="34"/>
      <c r="H34" s="35"/>
      <c r="I34" s="34"/>
      <c r="J34" s="31"/>
    </row>
    <row r="35" spans="1:23">
      <c r="A35" s="13" t="s">
        <v>1602</v>
      </c>
      <c r="E35" s="31"/>
      <c r="F35" s="34"/>
      <c r="G35" s="34"/>
      <c r="H35" s="35"/>
      <c r="I35" s="34"/>
      <c r="J35" s="31"/>
      <c r="W35"/>
    </row>
    <row r="36" spans="5:10">
      <c r="E36" s="31"/>
      <c r="F36" s="34"/>
      <c r="G36" s="34"/>
      <c r="H36" s="35"/>
      <c r="I36" s="34"/>
      <c r="J36" s="31"/>
    </row>
    <row r="37" spans="5:10">
      <c r="E37" s="31"/>
      <c r="F37" s="34"/>
      <c r="G37" s="34"/>
      <c r="H37" s="35"/>
      <c r="I37" s="34"/>
      <c r="J37" s="31"/>
    </row>
    <row r="65" spans="1:1">
      <c r="A65" s="13" t="s">
        <v>1603</v>
      </c>
    </row>
  </sheetData>
  <mergeCells count="16">
    <mergeCell ref="A2:M2"/>
    <mergeCell ref="A3:M3"/>
    <mergeCell ref="B4:M4"/>
    <mergeCell ref="B12:C12"/>
    <mergeCell ref="B25:C25"/>
    <mergeCell ref="A26:C26"/>
    <mergeCell ref="B27:C27"/>
    <mergeCell ref="A28:C28"/>
    <mergeCell ref="B29:C29"/>
    <mergeCell ref="A30:C30"/>
    <mergeCell ref="B31:C31"/>
    <mergeCell ref="A32:C32"/>
    <mergeCell ref="B7:B8"/>
    <mergeCell ref="H6:H8"/>
    <mergeCell ref="I7:I8"/>
    <mergeCell ref="M6:M8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Sinopec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西海东城过薄凉ぁ</cp:lastModifiedBy>
  <dcterms:created xsi:type="dcterms:W3CDTF">2018-02-12T08:11:00Z</dcterms:created>
  <cp:lastPrinted>2018-02-12T11:38:00Z</cp:lastPrinted>
  <dcterms:modified xsi:type="dcterms:W3CDTF">2019-07-03T13:32:43Z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