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GitHub\PoCat-Thermal\"/>
    </mc:Choice>
  </mc:AlternateContent>
  <xr:revisionPtr revIDLastSave="0" documentId="13_ncr:1_{3C9F472D-5A90-450D-8238-3BB999897A03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Materials" sheetId="1" r:id="rId1"/>
    <sheet name="Masses and Volumes" sheetId="8" r:id="rId2"/>
    <sheet name="Properties PCBs" sheetId="10" r:id="rId3"/>
    <sheet name="Bulks" sheetId="6" r:id="rId4"/>
    <sheet name="UDC AI" sheetId="11" r:id="rId5"/>
    <sheet name="Power" sheetId="12" r:id="rId6"/>
    <sheet name="Extra" sheetId="9" r:id="rId7"/>
    <sheet name="Masses and Volumes Old VC" sheetId="7" r:id="rId8"/>
  </sheets>
  <calcPr calcId="191029"/>
</workbook>
</file>

<file path=xl/calcChain.xml><?xml version="1.0" encoding="utf-8"?>
<calcChain xmlns="http://schemas.openxmlformats.org/spreadsheetml/2006/main">
  <c r="F5" i="12" l="1"/>
  <c r="F4" i="12"/>
  <c r="F3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D29" i="12"/>
  <c r="D4" i="12"/>
  <c r="I4" i="12" s="1"/>
  <c r="D5" i="12"/>
  <c r="I5" i="12" s="1"/>
  <c r="D3" i="12"/>
  <c r="I3" i="12" s="1"/>
  <c r="H4" i="12"/>
  <c r="J4" i="12"/>
  <c r="K4" i="12"/>
  <c r="H5" i="12"/>
  <c r="J5" i="12"/>
  <c r="K5" i="12"/>
  <c r="H6" i="12"/>
  <c r="I6" i="12"/>
  <c r="J6" i="12"/>
  <c r="K6" i="12"/>
  <c r="H7" i="12"/>
  <c r="J7" i="12"/>
  <c r="K7" i="12"/>
  <c r="H8" i="12"/>
  <c r="J8" i="12"/>
  <c r="K8" i="12"/>
  <c r="H9" i="12"/>
  <c r="J9" i="12"/>
  <c r="K9" i="12"/>
  <c r="H10" i="12"/>
  <c r="J10" i="12"/>
  <c r="K10" i="12"/>
  <c r="H11" i="12"/>
  <c r="J11" i="12"/>
  <c r="K11" i="12"/>
  <c r="H12" i="12"/>
  <c r="J12" i="12"/>
  <c r="K12" i="12"/>
  <c r="H13" i="12"/>
  <c r="J13" i="12"/>
  <c r="K13" i="12"/>
  <c r="H14" i="12"/>
  <c r="J14" i="12"/>
  <c r="K14" i="12"/>
  <c r="H15" i="12"/>
  <c r="J15" i="12"/>
  <c r="K15" i="12"/>
  <c r="H16" i="12"/>
  <c r="J16" i="12"/>
  <c r="K16" i="12"/>
  <c r="H17" i="12"/>
  <c r="J17" i="12"/>
  <c r="K17" i="12"/>
  <c r="H18" i="12"/>
  <c r="J18" i="12"/>
  <c r="K18" i="12"/>
  <c r="H19" i="12"/>
  <c r="J19" i="12"/>
  <c r="K19" i="12"/>
  <c r="H20" i="12"/>
  <c r="J20" i="12"/>
  <c r="K20" i="12"/>
  <c r="H21" i="12"/>
  <c r="J21" i="12"/>
  <c r="K21" i="12"/>
  <c r="H22" i="12"/>
  <c r="J22" i="12"/>
  <c r="K22" i="12"/>
  <c r="H23" i="12"/>
  <c r="J23" i="12"/>
  <c r="K23" i="12"/>
  <c r="H24" i="12"/>
  <c r="J24" i="12"/>
  <c r="K24" i="12"/>
  <c r="H25" i="12"/>
  <c r="J25" i="12"/>
  <c r="K25" i="12"/>
  <c r="H26" i="12"/>
  <c r="J26" i="12"/>
  <c r="K26" i="12"/>
  <c r="H27" i="12"/>
  <c r="J27" i="12"/>
  <c r="K27" i="12"/>
  <c r="J3" i="12"/>
  <c r="K3" i="12"/>
  <c r="H3" i="12"/>
  <c r="G16" i="10"/>
  <c r="G17" i="10"/>
  <c r="G18" i="10"/>
  <c r="G19" i="10"/>
  <c r="G20" i="10"/>
  <c r="G21" i="10"/>
  <c r="G22" i="10"/>
  <c r="G23" i="10"/>
  <c r="G24" i="10"/>
  <c r="J11" i="11" l="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10" i="11"/>
  <c r="J3" i="11"/>
  <c r="J4" i="11"/>
  <c r="J5" i="11"/>
  <c r="J6" i="11"/>
  <c r="J7" i="11"/>
  <c r="J8" i="11"/>
  <c r="J2" i="11"/>
  <c r="C125" i="6"/>
  <c r="D125" i="6" s="1"/>
  <c r="F129" i="6"/>
  <c r="C79" i="6"/>
  <c r="D79" i="6" s="1"/>
  <c r="C78" i="6"/>
  <c r="D70" i="6"/>
  <c r="D71" i="6"/>
  <c r="D69" i="6"/>
  <c r="C72" i="6"/>
  <c r="D72" i="6" s="1"/>
  <c r="G72" i="6" s="1"/>
  <c r="E59" i="9"/>
  <c r="E57" i="9"/>
  <c r="E58" i="9"/>
  <c r="B63" i="9" s="1"/>
  <c r="D134" i="6"/>
  <c r="D135" i="6"/>
  <c r="C133" i="6"/>
  <c r="D133" i="6" s="1"/>
  <c r="H24" i="10"/>
  <c r="F24" i="10"/>
  <c r="J3" i="10"/>
  <c r="J4" i="10"/>
  <c r="J5" i="10"/>
  <c r="J6" i="10"/>
  <c r="J7" i="10"/>
  <c r="J8" i="10"/>
  <c r="J9" i="10"/>
  <c r="J10" i="10"/>
  <c r="J2" i="10"/>
  <c r="I3" i="10"/>
  <c r="I4" i="10"/>
  <c r="I5" i="10"/>
  <c r="I6" i="10"/>
  <c r="I7" i="10"/>
  <c r="I8" i="10"/>
  <c r="I9" i="10"/>
  <c r="I10" i="10"/>
  <c r="H3" i="10"/>
  <c r="H4" i="10"/>
  <c r="H5" i="10"/>
  <c r="H6" i="10"/>
  <c r="H7" i="10"/>
  <c r="H8" i="10"/>
  <c r="H9" i="10"/>
  <c r="H10" i="10"/>
  <c r="I2" i="10"/>
  <c r="H2" i="10"/>
  <c r="G2" i="10"/>
  <c r="G4" i="10"/>
  <c r="G5" i="10"/>
  <c r="G6" i="10"/>
  <c r="G7" i="10"/>
  <c r="G8" i="10"/>
  <c r="G9" i="10"/>
  <c r="G10" i="10"/>
  <c r="G3" i="10"/>
  <c r="C108" i="6"/>
  <c r="D107" i="6"/>
  <c r="D98" i="6"/>
  <c r="D97" i="6"/>
  <c r="D96" i="6"/>
  <c r="D95" i="6"/>
  <c r="C60" i="6"/>
  <c r="D59" i="6"/>
  <c r="C54" i="6"/>
  <c r="D53" i="6"/>
  <c r="D41" i="6"/>
  <c r="D42" i="6"/>
  <c r="C48" i="6"/>
  <c r="D47" i="6"/>
  <c r="C87" i="6" l="1"/>
  <c r="C136" i="6"/>
  <c r="D136" i="6" s="1"/>
  <c r="G136" i="6" s="1"/>
  <c r="E18" i="6"/>
  <c r="E19" i="6"/>
  <c r="E20" i="6"/>
  <c r="E17" i="6"/>
  <c r="D21" i="6"/>
  <c r="F23" i="10"/>
  <c r="F17" i="10"/>
  <c r="F18" i="10"/>
  <c r="F19" i="10"/>
  <c r="F20" i="10"/>
  <c r="F21" i="10"/>
  <c r="F22" i="10"/>
  <c r="F16" i="10"/>
  <c r="F21" i="6"/>
  <c r="D15" i="6"/>
  <c r="G21" i="6" l="1"/>
  <c r="E135" i="6"/>
  <c r="E134" i="6"/>
  <c r="E21" i="6"/>
  <c r="E133" i="6"/>
  <c r="B83" i="9"/>
  <c r="B82" i="9"/>
  <c r="B81" i="9"/>
  <c r="E54" i="9"/>
  <c r="E53" i="9"/>
  <c r="E52" i="9"/>
  <c r="B64" i="9" s="1"/>
  <c r="E78" i="9"/>
  <c r="E77" i="9"/>
  <c r="E76" i="9"/>
  <c r="E49" i="9"/>
  <c r="E48" i="9"/>
  <c r="E47" i="9"/>
  <c r="H23" i="10"/>
  <c r="E72" i="9"/>
  <c r="E71" i="9"/>
  <c r="E70" i="9"/>
  <c r="F87" i="6"/>
  <c r="H17" i="10"/>
  <c r="H18" i="10"/>
  <c r="H19" i="10"/>
  <c r="H20" i="10"/>
  <c r="H21" i="10"/>
  <c r="H22" i="10"/>
  <c r="H16" i="10"/>
  <c r="E44" i="9"/>
  <c r="E43" i="9"/>
  <c r="E42" i="9"/>
  <c r="E39" i="9"/>
  <c r="E38" i="9"/>
  <c r="E37" i="9"/>
  <c r="E34" i="9"/>
  <c r="E33" i="9"/>
  <c r="E32" i="9"/>
  <c r="E31" i="9"/>
  <c r="E26" i="9"/>
  <c r="E27" i="9"/>
  <c r="E25" i="9"/>
  <c r="B84" i="9" l="1"/>
  <c r="B65" i="9"/>
  <c r="B66" i="9"/>
  <c r="H136" i="6"/>
  <c r="E136" i="6"/>
  <c r="D35" i="6"/>
  <c r="C36" i="6"/>
  <c r="E35" i="6" s="1"/>
  <c r="C27" i="6"/>
  <c r="D27" i="6" s="1"/>
  <c r="G27" i="6" s="1"/>
  <c r="D26" i="6"/>
  <c r="D25" i="6"/>
  <c r="C11" i="6"/>
  <c r="E10" i="6" s="1"/>
  <c r="E11" i="6" s="1"/>
  <c r="D115" i="6"/>
  <c r="G129" i="6" s="1"/>
  <c r="D106" i="6"/>
  <c r="D101" i="6"/>
  <c r="G101" i="6" s="1"/>
  <c r="D93" i="6"/>
  <c r="G93" i="6" s="1"/>
  <c r="D78" i="6"/>
  <c r="D75" i="6"/>
  <c r="G75" i="6" s="1"/>
  <c r="D64" i="6"/>
  <c r="G65" i="6" s="1"/>
  <c r="D58" i="6"/>
  <c r="D52" i="6"/>
  <c r="D46" i="6"/>
  <c r="D40" i="6"/>
  <c r="G42" i="6" s="1"/>
  <c r="D34" i="6"/>
  <c r="D10" i="6"/>
  <c r="D3" i="6"/>
  <c r="G3" i="6" s="1"/>
  <c r="H9" i="8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I21" i="7"/>
  <c r="I22" i="7"/>
  <c r="I23" i="7"/>
  <c r="I33" i="7"/>
  <c r="I37" i="7"/>
  <c r="H17" i="7"/>
  <c r="I17" i="7" s="1"/>
  <c r="I14" i="7"/>
  <c r="H18" i="7"/>
  <c r="I18" i="7" s="1"/>
  <c r="H19" i="7"/>
  <c r="I19" i="7" s="1"/>
  <c r="H27" i="7"/>
  <c r="I27" i="7" s="1"/>
  <c r="H29" i="7"/>
  <c r="I29" i="7" s="1"/>
  <c r="H30" i="7"/>
  <c r="I30" i="7" s="1"/>
  <c r="H31" i="7"/>
  <c r="I31" i="7" s="1"/>
  <c r="H34" i="7"/>
  <c r="I34" i="7" s="1"/>
  <c r="H35" i="7"/>
  <c r="I35" i="7" s="1"/>
  <c r="H36" i="7"/>
  <c r="I36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2" i="7"/>
  <c r="I12" i="7" s="1"/>
  <c r="H13" i="7"/>
  <c r="I13" i="7" s="1"/>
  <c r="H14" i="7"/>
  <c r="H15" i="7"/>
  <c r="I15" i="7" s="1"/>
  <c r="H3" i="7"/>
  <c r="I3" i="7" s="1"/>
  <c r="F32" i="7"/>
  <c r="H32" i="7" s="1"/>
  <c r="I32" i="7" s="1"/>
  <c r="E23" i="7"/>
  <c r="E22" i="7"/>
  <c r="E41" i="6"/>
  <c r="E40" i="6"/>
  <c r="E3" i="7"/>
  <c r="E4" i="7"/>
  <c r="E5" i="7"/>
  <c r="E6" i="7"/>
  <c r="E7" i="7"/>
  <c r="E8" i="7"/>
  <c r="E9" i="7"/>
  <c r="E10" i="7"/>
  <c r="E12" i="7"/>
  <c r="E13" i="7"/>
  <c r="E14" i="7"/>
  <c r="E15" i="7"/>
  <c r="E17" i="7"/>
  <c r="E18" i="7"/>
  <c r="E19" i="7"/>
  <c r="E27" i="7"/>
  <c r="E29" i="7"/>
  <c r="E30" i="7"/>
  <c r="E31" i="7"/>
  <c r="E32" i="7"/>
  <c r="E34" i="7"/>
  <c r="E35" i="7"/>
  <c r="E36" i="7"/>
  <c r="D87" i="6" l="1"/>
  <c r="E78" i="6" s="1"/>
  <c r="G118" i="6"/>
  <c r="G119" i="6"/>
  <c r="G120" i="6"/>
  <c r="G121" i="6"/>
  <c r="G122" i="6"/>
  <c r="G117" i="6"/>
  <c r="D108" i="6"/>
  <c r="D54" i="6"/>
  <c r="E52" i="6" s="1"/>
  <c r="D60" i="6"/>
  <c r="E58" i="6" s="1"/>
  <c r="D48" i="6"/>
  <c r="E46" i="6" s="1"/>
  <c r="E34" i="6"/>
  <c r="E36" i="6" s="1"/>
  <c r="D11" i="6"/>
  <c r="G10" i="6" s="1"/>
  <c r="D36" i="6"/>
  <c r="G36" i="6" s="1"/>
  <c r="E25" i="6"/>
  <c r="E26" i="6"/>
  <c r="H40" i="8"/>
  <c r="I40" i="8" s="1"/>
  <c r="H39" i="7"/>
  <c r="I39" i="7" s="1"/>
  <c r="I3" i="8"/>
  <c r="G123" i="6" l="1"/>
  <c r="C124" i="6"/>
  <c r="G87" i="6"/>
  <c r="E79" i="6"/>
  <c r="J87" i="6" s="1"/>
  <c r="G108" i="6"/>
  <c r="E107" i="6"/>
  <c r="E106" i="6"/>
  <c r="G60" i="6"/>
  <c r="E59" i="6"/>
  <c r="E60" i="6" s="1"/>
  <c r="G48" i="6"/>
  <c r="E47" i="6"/>
  <c r="E48" i="6" s="1"/>
  <c r="G54" i="6"/>
  <c r="E53" i="6"/>
  <c r="E54" i="6" s="1"/>
  <c r="E27" i="6"/>
  <c r="E29" i="6" s="1"/>
  <c r="C123" i="6" l="1"/>
  <c r="D124" i="6"/>
  <c r="H87" i="6"/>
  <c r="I87" i="6"/>
  <c r="E108" i="6"/>
  <c r="J108" i="6"/>
  <c r="H108" i="6"/>
  <c r="I108" i="6"/>
  <c r="D123" i="6" l="1"/>
  <c r="E125" i="6" s="1"/>
  <c r="E124" i="6" l="1"/>
</calcChain>
</file>

<file path=xl/sharedStrings.xml><?xml version="1.0" encoding="utf-8"?>
<sst xmlns="http://schemas.openxmlformats.org/spreadsheetml/2006/main" count="1126" uniqueCount="386">
  <si>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</si>
  <si>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</si>
  <si>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</si>
  <si>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</si>
  <si>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</si>
  <si>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</si>
  <si>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</si>
  <si>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</si>
  <si>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</si>
  <si>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</si>
  <si>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</si>
  <si>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</si>
  <si>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</si>
  <si>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</si>
  <si>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</si>
  <si>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</si>
  <si>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</si>
  <si>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</si>
  <si>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</si>
  <si>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</si>
  <si>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</si>
  <si>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</si>
  <si>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</si>
  <si>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</si>
  <si>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</si>
  <si>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</si>
  <si>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</si>
  <si>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</si>
  <si>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</si>
  <si>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</si>
  <si>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</si>
  <si>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</si>
  <si>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</si>
  <si>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</si>
  <si>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</si>
  <si>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</si>
  <si>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</si>
  <si>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</si>
  <si>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</si>
  <si>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</si>
  <si>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</si>
  <si>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</si>
  <si>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</si>
  <si>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</si>
  <si>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</si>
  <si>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</si>
  <si>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</si>
  <si>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</si>
  <si>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</si>
  <si>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</si>
  <si>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</si>
  <si>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</si>
  <si>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</si>
  <si>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</si>
  <si>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</si>
  <si>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</si>
  <si>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</si>
  <si>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</si>
  <si>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</si>
  <si>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</si>
  <si>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</si>
  <si>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</si>
  <si>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</si>
  <si>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</si>
  <si>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</si>
  <si>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</si>
  <si>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</si>
  <si>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</si>
  <si>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</si>
  <si>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</si>
  <si>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</si>
  <si>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</si>
  <si>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</si>
  <si>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</si>
  <si>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</si>
  <si>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</si>
  <si>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AOCS PCB++</t>
  </si>
  <si>
    <t>EPS PCB ++</t>
  </si>
  <si>
    <t>OCB-COMMS PCB++</t>
  </si>
  <si>
    <t>Top PL PCB</t>
  </si>
  <si>
    <t>Bot PL PCB++</t>
  </si>
  <si>
    <t>Notes:</t>
  </si>
  <si>
    <t>With VC and components</t>
  </si>
  <si>
    <t>With components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</si>
  <si>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</si>
  <si>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</si>
  <si>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</si>
  <si>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</si>
  <si>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</si>
  <si>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</si>
  <si>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</si>
  <si>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</si>
  <si>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</si>
  <si>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</si>
  <si>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</si>
  <si>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SD_Slider_Board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</si>
  <si>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</si>
  <si>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</si>
  <si>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</si>
  <si>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</si>
  <si>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</si>
  <si>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</si>
  <si>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</si>
  <si>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</si>
  <si>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</si>
  <si>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</si>
  <si>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</si>
  <si>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</si>
  <si>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</si>
  <si>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</si>
  <si>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</si>
  <si>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</si>
  <si>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</si>
  <si>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</si>
  <si>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</si>
  <si>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</si>
  <si>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</si>
  <si>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</si>
  <si>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</si>
  <si>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</si>
  <si>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</si>
  <si>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</si>
  <si>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</si>
  <si>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</si>
  <si>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</si>
  <si>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</si>
  <si>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</si>
  <si>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</si>
  <si>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</si>
  <si>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</si>
  <si>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</si>
  <si>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</si>
  <si>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</si>
  <si>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</si>
  <si>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</si>
  <si>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</si>
  <si>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</si>
  <si>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</si>
  <si>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</si>
  <si>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</si>
  <si>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</si>
  <si>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</si>
  <si>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</si>
  <si>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</si>
  <si>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</si>
  <si>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Vertical Connectors (old)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</si>
  <si>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</si>
  <si>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</si>
  <si>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</si>
  <si>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</si>
  <si>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</si>
  <si>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</si>
  <si>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</si>
  <si>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</si>
  <si>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Included</t>
  </si>
  <si>
    <t>Y+ Mag PCB +</t>
  </si>
  <si>
    <t>AOCS PCB+</t>
  </si>
  <si>
    <t>EPS PCB +</t>
  </si>
  <si>
    <t>OCB-COMMS PCB+</t>
  </si>
  <si>
    <t>+ (With components)</t>
  </si>
  <si>
    <t>Inner Connectors</t>
  </si>
  <si>
    <t>Not added (resolution)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</si>
  <si>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</si>
  <si>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</si>
  <si>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</si>
  <si>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</si>
  <si>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</si>
  <si>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</si>
  <si>
    <t>K-Band Support</t>
  </si>
  <si>
    <t>SD_PLSupp</t>
  </si>
  <si>
    <t>SD_PLSupp_Top</t>
  </si>
  <si>
    <t>SD_PLSupp_Mid</t>
  </si>
  <si>
    <t>SD_PLSupp_Aux1a</t>
  </si>
  <si>
    <t>SD_PLSupp_Aux1b</t>
  </si>
  <si>
    <t>SD_PLSupp_AuxXY</t>
  </si>
  <si>
    <t>SD_Spacer_ADCStoEPS1</t>
  </si>
  <si>
    <t>M3x35 Hex (Partial)</t>
  </si>
  <si>
    <t>M3x4 Spacer (Fully)</t>
  </si>
  <si>
    <t>M3x0.5 Spacer (Fully)</t>
  </si>
  <si>
    <t>SD_Spacer_SStoSSx</t>
  </si>
  <si>
    <t>Mass (g)</t>
  </si>
  <si>
    <t>PL Bot PCB+Comp</t>
  </si>
  <si>
    <t>PCBS</t>
  </si>
  <si>
    <t>Capas de cobre</t>
  </si>
  <si>
    <t xml:space="preserve"> de</t>
  </si>
  <si>
    <t>FR4</t>
  </si>
  <si>
    <t>Mascara</t>
  </si>
  <si>
    <t xml:space="preserve">de </t>
  </si>
  <si>
    <t xml:space="preserve"> de </t>
  </si>
  <si>
    <t>Y Mag</t>
  </si>
  <si>
    <t>(mm)</t>
  </si>
  <si>
    <t>de</t>
  </si>
  <si>
    <t>Kband Bot</t>
  </si>
  <si>
    <t>Cobre</t>
  </si>
  <si>
    <t>Laterales y Bot</t>
  </si>
  <si>
    <t>R= rho* l/A</t>
  </si>
  <si>
    <t>rho= suma[rho_i * w_i]</t>
  </si>
  <si>
    <t>PCB</t>
  </si>
  <si>
    <t>Mask</t>
  </si>
  <si>
    <t>OBC-COMMS</t>
  </si>
  <si>
    <t>Y+Mag</t>
  </si>
  <si>
    <t>Laterals</t>
  </si>
  <si>
    <t>Bottom</t>
  </si>
  <si>
    <t>Copper (mm)</t>
  </si>
  <si>
    <t>FR4  (mm)</t>
  </si>
  <si>
    <t>Mask  (mm)</t>
  </si>
  <si>
    <t>Conductivity (k) [W/m·K] (ip)</t>
  </si>
  <si>
    <t>Conductivity (k) [W/m·K] (cp)</t>
  </si>
  <si>
    <t>FR-4 (ip)</t>
  </si>
  <si>
    <t>FR-4 (cp)</t>
  </si>
  <si>
    <t>(approx)</t>
  </si>
  <si>
    <t>BotLat Bulk</t>
  </si>
  <si>
    <t>Slider Bulk</t>
  </si>
  <si>
    <t>Y+Mag Bulk</t>
  </si>
  <si>
    <t>PCB Bulk</t>
  </si>
  <si>
    <t>ESATAN Area (m^2)</t>
  </si>
  <si>
    <t>Rogers  (mm)</t>
  </si>
  <si>
    <t>Rogers</t>
  </si>
  <si>
    <t>Kband Top</t>
  </si>
  <si>
    <t>Kband Interface</t>
  </si>
  <si>
    <t>Kband Under</t>
  </si>
  <si>
    <t>Kband Support</t>
  </si>
  <si>
    <t>Kband Antenna</t>
  </si>
  <si>
    <t>Kband Over</t>
  </si>
  <si>
    <t>Real Slider</t>
  </si>
  <si>
    <t>Slider Board</t>
  </si>
  <si>
    <t>SD_Slider_L</t>
  </si>
  <si>
    <t>SD_Slider_R</t>
  </si>
  <si>
    <t>SD_Slider_Front</t>
  </si>
  <si>
    <t>SD_Slider_Back</t>
  </si>
  <si>
    <t>Copper (m%)</t>
  </si>
  <si>
    <t>FR4  (m%)</t>
  </si>
  <si>
    <t>Mask  (m%)</t>
  </si>
  <si>
    <t>Rogers  (m%)</t>
  </si>
  <si>
    <t>Screws:</t>
  </si>
  <si>
    <t>Total len</t>
  </si>
  <si>
    <t>35mm</t>
  </si>
  <si>
    <t>under kband</t>
  </si>
  <si>
    <t>overkband</t>
  </si>
  <si>
    <t>add to spacer</t>
  </si>
  <si>
    <t>add to support</t>
  </si>
  <si>
    <t>0.1775*m_t</t>
  </si>
  <si>
    <t>0.29*4*m_t</t>
  </si>
  <si>
    <t>(4 screws)</t>
  </si>
  <si>
    <r>
      <t>Density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 [kg/m2]</t>
    </r>
  </si>
  <si>
    <t>5% area de antenna</t>
  </si>
  <si>
    <t>hecha de cobre</t>
  </si>
  <si>
    <t>Kba</t>
  </si>
  <si>
    <t>Copper/RT</t>
  </si>
  <si>
    <t>NOTES</t>
  </si>
  <si>
    <t>Screws Crossing (0.29* 4)</t>
  </si>
  <si>
    <t>SD_BattSuppSpacer_2</t>
  </si>
  <si>
    <t>SD_BattSuppSpacer_1</t>
  </si>
  <si>
    <t>SD_BattSuppSpacer_4</t>
  </si>
  <si>
    <t>SD_BattSuppSpacer_3</t>
  </si>
  <si>
    <t>Screw</t>
  </si>
  <si>
    <t>White Paint</t>
  </si>
  <si>
    <t>Black Coat</t>
  </si>
  <si>
    <t>LiPo Battery*</t>
  </si>
  <si>
    <t>* Measures for LiPo Batteries are not readily available, this is a rough estimation taking into account the cover is made of aluminum</t>
  </si>
  <si>
    <t>Package</t>
  </si>
  <si>
    <t>W (mm)</t>
  </si>
  <si>
    <t>L (mm)</t>
  </si>
  <si>
    <t>H (mm)</t>
  </si>
  <si>
    <t>X1SON</t>
  </si>
  <si>
    <t>14-pin LGA</t>
  </si>
  <si>
    <t>SQFN016V4040</t>
  </si>
  <si>
    <t>RSV (QFN, 16)</t>
  </si>
  <si>
    <t>ILSP</t>
  </si>
  <si>
    <t>TDFN-10</t>
  </si>
  <si>
    <t>TQFN</t>
  </si>
  <si>
    <t>TSSOP8</t>
  </si>
  <si>
    <t>QFN</t>
  </si>
  <si>
    <t>LQFP - 64 pins</t>
  </si>
  <si>
    <t>QFN (24L)</t>
  </si>
  <si>
    <t>SMT</t>
  </si>
  <si>
    <t>RoHS Compliant??</t>
  </si>
  <si>
    <t>QFN Leadless SMT</t>
  </si>
  <si>
    <t>QFN Package</t>
  </si>
  <si>
    <t>HV1195</t>
  </si>
  <si>
    <t>DFN (8L)</t>
  </si>
  <si>
    <t>MC1630-1 (6L)</t>
  </si>
  <si>
    <t>MSOP8G SMT</t>
  </si>
  <si>
    <t>Conductance G (W/K)</t>
  </si>
  <si>
    <t>Component</t>
  </si>
  <si>
    <t>NGTN_ADCS_U1</t>
  </si>
  <si>
    <t>NGTN_ADCS_U2</t>
  </si>
  <si>
    <t>NGTN_ADCS_U3</t>
  </si>
  <si>
    <t>NGTN_ADCS_U4</t>
  </si>
  <si>
    <t>NGTN_ADCS_U5</t>
  </si>
  <si>
    <t>NGTN_ADCS_U6</t>
  </si>
  <si>
    <t>NGTN_ADCS_U7</t>
  </si>
  <si>
    <t>NGTN_Batt_Heater</t>
  </si>
  <si>
    <t>NGTN_EPS_IC1</t>
  </si>
  <si>
    <t>NGTN_EPS_IC2</t>
  </si>
  <si>
    <t>NGTN_EPS_U1</t>
  </si>
  <si>
    <t>NGTN_EPS_U2</t>
  </si>
  <si>
    <t>NGTN_EPS_U3</t>
  </si>
  <si>
    <t>NGTN_EPS_U4</t>
  </si>
  <si>
    <t>NGTN_OBC_STM32</t>
  </si>
  <si>
    <t>NGTN_OBC_SX1262</t>
  </si>
  <si>
    <t>NGTN_PLTOP_U1</t>
  </si>
  <si>
    <t>NGTN_PLTOP_U2</t>
  </si>
  <si>
    <t>NGTN_PLTOP_Y1</t>
  </si>
  <si>
    <t>NGTN_PLUNDER_U1</t>
  </si>
  <si>
    <t>NGTN_PLUNDER_U2</t>
  </si>
  <si>
    <t>NGTN_PLUNDER_U3</t>
  </si>
  <si>
    <t>NGTN_PLUNDER_U4</t>
  </si>
  <si>
    <t>NGTN_PLUNDER_U5</t>
  </si>
  <si>
    <t>NGTN_PLUNDER_U7</t>
  </si>
  <si>
    <t>ESATAN Name</t>
  </si>
  <si>
    <t>LPV542</t>
  </si>
  <si>
    <t>IIM-42652</t>
  </si>
  <si>
    <t>BD2606MVV</t>
  </si>
  <si>
    <t>TMUX1108RSVR</t>
  </si>
  <si>
    <t>MMC5983MA</t>
  </si>
  <si>
    <t>DS2782E+</t>
  </si>
  <si>
    <t>ISL9120IRTNZ</t>
  </si>
  <si>
    <t>SPV1040TTR</t>
  </si>
  <si>
    <t>LTC4040EUFD#PBF</t>
  </si>
  <si>
    <t>STM32L476RGTx</t>
  </si>
  <si>
    <t>SX1262IMLTRT</t>
  </si>
  <si>
    <t>HMC342LC4</t>
  </si>
  <si>
    <t>HMC516LC5</t>
  </si>
  <si>
    <t>HMC506LP4ETR</t>
  </si>
  <si>
    <t>CMD271P3</t>
  </si>
  <si>
    <t>SIM-14+</t>
  </si>
  <si>
    <t>LT5537EDDB#TRMPBF</t>
  </si>
  <si>
    <t>LEE2-6+</t>
  </si>
  <si>
    <t>HMC358MS8GE</t>
  </si>
  <si>
    <t>Package Type</t>
  </si>
  <si>
    <t>ΘJA (°C/W)</t>
  </si>
  <si>
    <t>ΘJB (°C/W)</t>
  </si>
  <si>
    <t>Notes</t>
  </si>
  <si>
    <t>10–20</t>
  </si>
  <si>
    <t>Small plastic package; primary heat path through PCB.</t>
  </si>
  <si>
    <t>5–15</t>
  </si>
  <si>
    <t>SQFN016V4040 (4x4 mm)</t>
  </si>
  <si>
    <t>5–10</t>
  </si>
  <si>
    <t>100–150</t>
  </si>
  <si>
    <t>Exposed pad enhances thermal performance.</t>
  </si>
  <si>
    <t>Thin QFN with efficient heat dissipation.</t>
  </si>
  <si>
    <t>120–180</t>
  </si>
  <si>
    <t>10–15</t>
  </si>
  <si>
    <t>Exposed pad directs heat to PCB.</t>
  </si>
  <si>
    <t>LQFP-64</t>
  </si>
  <si>
    <t>Larger package; better heat spreading.</t>
  </si>
  <si>
    <t>Generic SMT; assume plastic package.</t>
  </si>
  <si>
    <t>Leadless QFN with exposed pad.</t>
  </si>
  <si>
    <t>Standard QFN thermal performance.</t>
  </si>
  <si>
    <t>2–5</t>
  </si>
  <si>
    <t>Larger package; better heat transfer.</t>
  </si>
  <si>
    <t>Exposed pad for PCB heat transfer.</t>
  </si>
  <si>
    <t>Tiny package (2x2mm); limited thermal paths.</t>
  </si>
  <si>
    <t>Similar to TSSOP; plastic encapsulation.</t>
  </si>
  <si>
    <t>60–120</t>
  </si>
  <si>
    <t>Exposed pad benefits from 2s2p PCB.</t>
  </si>
  <si>
    <t>80–120</t>
  </si>
  <si>
    <t>Similar to QFN; benefits from 2s2p PCB.</t>
  </si>
  <si>
    <t>40–80</t>
  </si>
  <si>
    <t>Limited improvement due to plastic package.</t>
  </si>
  <si>
    <t>Likely QFN; benefits from 2s2p PCB.</t>
  </si>
  <si>
    <t>40–60</t>
  </si>
  <si>
    <t>Moderate improvement in ΘJAΘJA​.</t>
  </si>
  <si>
    <t>Improved ΘJAΘJA​ due to better heat spreading.</t>
  </si>
  <si>
    <t>Exposed pad for low ΘJBΘJB​.</t>
  </si>
  <si>
    <t>ΘJB1 (°C/W)</t>
  </si>
  <si>
    <t>ΘJB2 (°C/W)</t>
  </si>
  <si>
    <t>ΘJBEst (°C/W)</t>
  </si>
  <si>
    <t>https://www.ti.com/lit/an/spra953d/spra953d.pdf?ts=1742435438606</t>
  </si>
  <si>
    <t>https://www.analog.com/en/resources/technical-articles/thermal-characterization-of-ic-packages.html</t>
  </si>
  <si>
    <t>https://fscdn.rohm.com/en/products/databook/applinote/common/how_to_use_the_rth_and_thermal_characteristics_parameters_an-e.pdf</t>
  </si>
  <si>
    <t>Theory</t>
  </si>
  <si>
    <t>Estimations using AI</t>
  </si>
  <si>
    <t>Estimation 2</t>
  </si>
  <si>
    <t>The highest resistance provided has been chosen, between the two of them.</t>
  </si>
  <si>
    <t>Determining Theta_JB requieres extensive testing, not possible nor necessary.</t>
  </si>
  <si>
    <t>UDC=User Defined Conductor</t>
  </si>
  <si>
    <t>Custom</t>
  </si>
  <si>
    <t>Init</t>
  </si>
  <si>
    <t>Nominal</t>
  </si>
  <si>
    <t>Contingency</t>
  </si>
  <si>
    <t>Survival</t>
  </si>
  <si>
    <t>Power Consumption (W)</t>
  </si>
  <si>
    <t>Power Consumption (mW)</t>
  </si>
  <si>
    <t>Measuring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</si>
</sst>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8" borderId="0" applyNumberFormat="0" applyBorder="0" applyAlignment="0" applyProtection="0"/>
  </cellStyleXfs>
  <cellXfs count="1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1" fillId="0" borderId="0" xfId="0" applyFont="1" applyAlignment="1">
      <alignment vertical="center" wrapText="1"/>
    </xf>
    <xf numFmtId="0" fontId="1" fillId="6" borderId="3" xfId="0" applyFont="1" applyFill="1" applyBorder="1"/>
    <xf numFmtId="0" fontId="1" fillId="0" borderId="4" xfId="0" applyFont="1" applyBorder="1"/>
    <xf numFmtId="0" fontId="1" fillId="0" borderId="5" xfId="0" applyFont="1" applyBorder="1" applyAlignment="1">
      <alignment horizontal="center" vertical="top"/>
    </xf>
    <xf numFmtId="0" fontId="0" fillId="7" borderId="6" xfId="0" applyFill="1" applyBorder="1"/>
    <xf numFmtId="0" fontId="1" fillId="0" borderId="6" xfId="0" applyFont="1" applyBorder="1"/>
    <xf numFmtId="0" fontId="4" fillId="0" borderId="8" xfId="0" applyFont="1" applyBorder="1"/>
    <xf numFmtId="0" fontId="0" fillId="0" borderId="9" xfId="0" applyBorder="1"/>
    <xf numFmtId="0" fontId="1" fillId="0" borderId="3" xfId="0" applyFont="1" applyBorder="1"/>
    <xf numFmtId="0" fontId="0" fillId="0" borderId="6" xfId="0" applyBorder="1"/>
    <xf numFmtId="0" fontId="4" fillId="0" borderId="6" xfId="0" applyFont="1" applyBorder="1"/>
    <xf numFmtId="0" fontId="1" fillId="0" borderId="8" xfId="0" applyFont="1" applyBorder="1"/>
    <xf numFmtId="0" fontId="1" fillId="9" borderId="3" xfId="0" applyFont="1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9" borderId="8" xfId="0" applyFont="1" applyFill="1" applyBorder="1"/>
    <xf numFmtId="0" fontId="0" fillId="0" borderId="6" xfId="0" applyBorder="1" applyAlignment="1">
      <alignment vertical="center" wrapText="1"/>
    </xf>
    <xf numFmtId="0" fontId="1" fillId="3" borderId="3" xfId="0" applyFont="1" applyFill="1" applyBorder="1"/>
    <xf numFmtId="0" fontId="1" fillId="10" borderId="0" xfId="0" applyFont="1" applyFill="1" applyAlignment="1">
      <alignment vertical="center" wrapText="1"/>
    </xf>
    <xf numFmtId="0" fontId="1" fillId="11" borderId="3" xfId="0" applyFont="1" applyFill="1" applyBorder="1"/>
    <xf numFmtId="0" fontId="0" fillId="11" borderId="6" xfId="0" applyFill="1" applyBorder="1"/>
    <xf numFmtId="0" fontId="0" fillId="11" borderId="8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0" fontId="0" fillId="0" borderId="0" xfId="0" applyNumberFormat="1"/>
    <xf numFmtId="0" fontId="2" fillId="4" borderId="6" xfId="0" applyFont="1" applyFill="1" applyBorder="1"/>
    <xf numFmtId="0" fontId="0" fillId="12" borderId="6" xfId="0" applyFill="1" applyBorder="1"/>
    <xf numFmtId="0" fontId="2" fillId="11" borderId="6" xfId="0" applyFont="1" applyFill="1" applyBorder="1"/>
    <xf numFmtId="0" fontId="1" fillId="0" borderId="0" xfId="0" applyFont="1" applyAlignment="1">
      <alignment horizontal="center" vertical="center" wrapText="1"/>
    </xf>
    <xf numFmtId="0" fontId="0" fillId="13" borderId="0" xfId="0" applyFill="1"/>
    <xf numFmtId="0" fontId="8" fillId="0" borderId="0" xfId="0" applyFont="1"/>
    <xf numFmtId="2" fontId="1" fillId="0" borderId="0" xfId="0" applyNumberFormat="1" applyFont="1" applyAlignment="1">
      <alignment vertical="center" wrapText="1"/>
    </xf>
    <xf numFmtId="0" fontId="1" fillId="13" borderId="0" xfId="0" applyFont="1" applyFill="1"/>
    <xf numFmtId="0" fontId="9" fillId="0" borderId="0" xfId="0" applyFont="1"/>
    <xf numFmtId="0" fontId="1" fillId="0" borderId="0" xfId="0" applyFont="1" applyAlignment="1">
      <alignment vertical="top" wrapText="1"/>
    </xf>
    <xf numFmtId="11" fontId="6" fillId="8" borderId="0" xfId="1" applyNumberFormat="1" applyFont="1" applyBorder="1"/>
    <xf numFmtId="11" fontId="0" fillId="4" borderId="0" xfId="0" applyNumberFormat="1" applyFill="1"/>
    <xf numFmtId="11" fontId="6" fillId="8" borderId="9" xfId="1" applyNumberFormat="1" applyFont="1" applyBorder="1"/>
    <xf numFmtId="11" fontId="1" fillId="0" borderId="4" xfId="0" applyNumberFormat="1" applyFont="1" applyBorder="1"/>
    <xf numFmtId="11" fontId="0" fillId="0" borderId="0" xfId="0" applyNumberFormat="1"/>
    <xf numFmtId="11" fontId="0" fillId="0" borderId="9" xfId="0" applyNumberFormat="1" applyBorder="1"/>
    <xf numFmtId="11" fontId="2" fillId="0" borderId="0" xfId="0" applyNumberFormat="1" applyFont="1"/>
    <xf numFmtId="2" fontId="0" fillId="0" borderId="0" xfId="0" applyNumberFormat="1"/>
    <xf numFmtId="2" fontId="6" fillId="8" borderId="0" xfId="1" applyNumberFormat="1" applyFont="1" applyBorder="1" applyAlignment="1">
      <alignment horizontal="right"/>
    </xf>
    <xf numFmtId="2" fontId="0" fillId="4" borderId="0" xfId="0" applyNumberFormat="1" applyFill="1"/>
    <xf numFmtId="2" fontId="6" fillId="8" borderId="9" xfId="1" applyNumberFormat="1" applyFont="1" applyBorder="1"/>
    <xf numFmtId="2" fontId="6" fillId="8" borderId="0" xfId="1" applyNumberFormat="1" applyFont="1" applyBorder="1"/>
    <xf numFmtId="2" fontId="5" fillId="8" borderId="9" xfId="1" applyNumberFormat="1" applyBorder="1"/>
    <xf numFmtId="2" fontId="6" fillId="8" borderId="9" xfId="1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1" fontId="1" fillId="0" borderId="4" xfId="0" applyNumberFormat="1" applyFont="1" applyBorder="1"/>
    <xf numFmtId="1" fontId="6" fillId="8" borderId="0" xfId="1" applyNumberFormat="1" applyFont="1" applyBorder="1" applyAlignment="1">
      <alignment horizontal="right"/>
    </xf>
    <xf numFmtId="1" fontId="0" fillId="4" borderId="0" xfId="0" applyNumberFormat="1" applyFill="1"/>
    <xf numFmtId="1" fontId="6" fillId="8" borderId="9" xfId="1" applyNumberFormat="1" applyFont="1" applyBorder="1"/>
    <xf numFmtId="1" fontId="0" fillId="0" borderId="0" xfId="0" applyNumberFormat="1"/>
    <xf numFmtId="1" fontId="6" fillId="8" borderId="0" xfId="1" applyNumberFormat="1" applyFont="1" applyBorder="1"/>
    <xf numFmtId="1" fontId="5" fillId="8" borderId="9" xfId="1" applyNumberFormat="1" applyBorder="1"/>
    <xf numFmtId="1" fontId="6" fillId="8" borderId="9" xfId="1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6" fillId="0" borderId="0" xfId="1" applyNumberFormat="1" applyFont="1" applyFill="1" applyBorder="1"/>
    <xf numFmtId="2" fontId="1" fillId="0" borderId="4" xfId="0" applyNumberFormat="1" applyFont="1" applyBorder="1" applyAlignment="1">
      <alignment horizontal="center" vertical="top"/>
    </xf>
    <xf numFmtId="1" fontId="1" fillId="0" borderId="4" xfId="0" applyNumberFormat="1" applyFont="1" applyBorder="1" applyAlignment="1">
      <alignment horizontal="center" vertical="top"/>
    </xf>
    <xf numFmtId="1" fontId="6" fillId="0" borderId="0" xfId="1" applyNumberFormat="1" applyFont="1" applyFill="1" applyBorder="1" applyAlignment="1">
      <alignment horizontal="right"/>
    </xf>
    <xf numFmtId="2" fontId="6" fillId="8" borderId="7" xfId="1" applyNumberFormat="1" applyFont="1" applyBorder="1" applyAlignment="1">
      <alignment horizontal="right"/>
    </xf>
    <xf numFmtId="2" fontId="0" fillId="4" borderId="7" xfId="0" applyNumberFormat="1" applyFill="1" applyBorder="1"/>
    <xf numFmtId="2" fontId="6" fillId="8" borderId="10" xfId="1" applyNumberFormat="1" applyFont="1" applyBorder="1"/>
    <xf numFmtId="2" fontId="0" fillId="0" borderId="7" xfId="0" applyNumberFormat="1" applyBorder="1"/>
    <xf numFmtId="2" fontId="1" fillId="0" borderId="5" xfId="0" applyNumberFormat="1" applyFont="1" applyBorder="1" applyAlignment="1">
      <alignment horizontal="center" vertical="top"/>
    </xf>
    <xf numFmtId="2" fontId="6" fillId="8" borderId="7" xfId="1" applyNumberFormat="1" applyFont="1" applyBorder="1"/>
    <xf numFmtId="2" fontId="5" fillId="8" borderId="10" xfId="1" applyNumberFormat="1" applyBorder="1"/>
    <xf numFmtId="2" fontId="6" fillId="8" borderId="10" xfId="1" applyNumberFormat="1" applyFon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6" fillId="0" borderId="7" xfId="1" applyNumberFormat="1" applyFont="1" applyFill="1" applyBorder="1" applyAlignment="1">
      <alignment horizontal="right"/>
    </xf>
    <xf numFmtId="0" fontId="0" fillId="7" borderId="0" xfId="0" applyFill="1"/>
    <xf numFmtId="0" fontId="1" fillId="7" borderId="0" xfId="0" applyFont="1" applyFill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</cellXfs>
  <cellStyles count="2">
    <cellStyle name="Bueno" xfId="1" builtinId="26"/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25</xdr:row>
      <xdr:rowOff>104775</xdr:rowOff>
    </xdr:from>
    <xdr:to>
      <xdr:col>12</xdr:col>
      <xdr:colOff>28575</xdr:colOff>
      <xdr:row>38</xdr:row>
      <xdr:rowOff>104775</xdr:rowOff>
    </xdr:to>
    <xdr:pic>
      <xdr:nvPicPr>
        <xdr:cNvPr id="2" name="Imagen 1" descr="C:\Users\oscar\OneDrive\Escritorio\resistenciacp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057775"/>
          <a:ext cx="4638675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714375</xdr:colOff>
      <xdr:row>39</xdr:row>
      <xdr:rowOff>85725</xdr:rowOff>
    </xdr:from>
    <xdr:to>
      <xdr:col>13</xdr:col>
      <xdr:colOff>400050</xdr:colOff>
      <xdr:row>48</xdr:row>
      <xdr:rowOff>57150</xdr:rowOff>
    </xdr:to>
    <xdr:pic>
      <xdr:nvPicPr>
        <xdr:cNvPr id="3" name="Imagen 2" descr="C:\Users\oscar\OneDrive\Escritorio\resistenciaip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7705725"/>
          <a:ext cx="57816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F21" totalsRowShown="0" headerRowDxfId="9" dataDxfId="7" headerRowBorderDxfId="8" tableBorderDxfId="6">
  <autoFilter ref="A1:F21" xr:uid="{00000000-0009-0000-0100-000001000000}"/>
  <tableColumns count="6">
    <tableColumn id="1" xr3:uid="{00000000-0010-0000-0000-000001000000}" name="Material" dataDxfId="5"/>
    <tableColumn id="2" xr3:uid="{00000000-0010-0000-0000-000002000000}" name="IR Emissivity (εIR)" dataDxfId="4"/>
    <tableColumn id="3" xr3:uid="{00000000-0010-0000-0000-000003000000}" name="Solar Absorptivity (αs)" dataDxfId="3"/>
    <tableColumn id="4" xr3:uid="{00000000-0010-0000-0000-000004000000}" name="Density (ρ) [kg/m³]" dataDxfId="2"/>
    <tableColumn id="5" xr3:uid="{00000000-0010-0000-0000-000005000000}" name="Specific heat (cp) [J/kg·K]" dataDxfId="1"/>
    <tableColumn id="6" xr3:uid="{00000000-0010-0000-0000-000006000000}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zoomScale="115" zoomScaleNormal="115" workbookViewId="0">
      <selection activeCell="C4" sqref="C4:F4"/>
    </sheetView>
  </sheetViews>
  <sheetFormatPr baseColWidth="10" defaultColWidth="8.88671875" defaultRowHeight="14.4" x14ac:dyDescent="0.3"/>
  <cols>
    <col min="1" max="1" width="36.109375" customWidth="1"/>
    <col min="2" max="2" width="29.109375" customWidth="1"/>
    <col min="3" max="3" width="32.109375" customWidth="1"/>
    <col min="4" max="4" width="22.33203125" customWidth="1"/>
    <col min="5" max="5" width="26.5546875" customWidth="1"/>
    <col min="6" max="6" width="23.6640625" customWidth="1"/>
    <col min="8" max="8" width="6.44140625" customWidth="1"/>
    <col min="9" max="9" width="8.109375" customWidth="1"/>
  </cols>
  <sheetData>
    <row r="1" spans="1:6" x14ac:dyDescent="0.3">
      <c r="A1" s="1" t="s">
        <v>0</v>
      </c>
      <c r="B1" s="1" t="s">
        <v>2</v>
      </c>
      <c r="C1" s="1" t="s">
        <v>1</v>
      </c>
      <c r="D1" s="21" t="s">
        <v>5</v>
      </c>
      <c r="E1" s="1" t="s">
        <v>4</v>
      </c>
      <c r="F1" s="1" t="s">
        <v>3</v>
      </c>
    </row>
    <row r="2" spans="1:6" x14ac:dyDescent="0.3">
      <c r="A2" s="2" t="s">
        <v>6</v>
      </c>
      <c r="B2" s="7">
        <v>0.94</v>
      </c>
      <c r="C2" s="7">
        <v>0.12</v>
      </c>
      <c r="D2" s="7">
        <v>1850</v>
      </c>
      <c r="E2" s="7">
        <v>1200</v>
      </c>
      <c r="F2" s="7">
        <v>8181</v>
      </c>
    </row>
    <row r="3" spans="1:6" x14ac:dyDescent="0.3">
      <c r="A3" s="2" t="s">
        <v>7</v>
      </c>
      <c r="B3" s="7" t="s">
        <v>23</v>
      </c>
      <c r="C3" s="7" t="s">
        <v>23</v>
      </c>
      <c r="D3" s="7">
        <v>8930</v>
      </c>
      <c r="E3" s="7">
        <v>385</v>
      </c>
      <c r="F3" s="7">
        <v>400</v>
      </c>
    </row>
    <row r="4" spans="1:6" x14ac:dyDescent="0.3">
      <c r="A4" s="2" t="s">
        <v>13</v>
      </c>
      <c r="B4" s="7">
        <v>0.92</v>
      </c>
      <c r="C4" s="7">
        <v>4.5999999999999999E-2</v>
      </c>
      <c r="D4" s="7">
        <v>2070</v>
      </c>
      <c r="E4" s="7">
        <v>1010</v>
      </c>
      <c r="F4" s="7">
        <v>0.27</v>
      </c>
    </row>
    <row r="5" spans="1:6" x14ac:dyDescent="0.3">
      <c r="A5" s="2" t="s">
        <v>12</v>
      </c>
      <c r="B5" s="7">
        <v>7.4999999999999997E-2</v>
      </c>
      <c r="C5" s="7">
        <v>0.42</v>
      </c>
      <c r="D5" s="7">
        <v>8000</v>
      </c>
      <c r="E5" s="7">
        <v>500</v>
      </c>
      <c r="F5" s="7">
        <v>15</v>
      </c>
    </row>
    <row r="6" spans="1:6" x14ac:dyDescent="0.3">
      <c r="A6" s="2" t="s">
        <v>14</v>
      </c>
      <c r="B6" s="7">
        <v>0.21</v>
      </c>
      <c r="C6" s="7">
        <v>0.18</v>
      </c>
      <c r="D6" s="7">
        <v>2810</v>
      </c>
      <c r="E6" s="7">
        <v>960</v>
      </c>
      <c r="F6" s="7">
        <v>130</v>
      </c>
    </row>
    <row r="7" spans="1:6" x14ac:dyDescent="0.3">
      <c r="A7" s="2" t="s">
        <v>15</v>
      </c>
      <c r="B7" s="7" t="s">
        <v>23</v>
      </c>
      <c r="C7" s="7" t="s">
        <v>23</v>
      </c>
      <c r="D7" s="7">
        <v>2200</v>
      </c>
      <c r="E7" s="7">
        <v>960</v>
      </c>
      <c r="F7" s="7">
        <v>0.2</v>
      </c>
    </row>
    <row r="8" spans="1:6" x14ac:dyDescent="0.3">
      <c r="A8" s="2" t="s">
        <v>9</v>
      </c>
      <c r="B8" s="7">
        <v>0.71</v>
      </c>
      <c r="C8" s="7">
        <v>0.4</v>
      </c>
      <c r="D8" s="7" t="s">
        <v>23</v>
      </c>
      <c r="E8" s="7" t="s">
        <v>23</v>
      </c>
      <c r="F8" s="7" t="s">
        <v>23</v>
      </c>
    </row>
    <row r="9" spans="1:6" x14ac:dyDescent="0.3">
      <c r="A9" s="2" t="s">
        <v>10</v>
      </c>
      <c r="B9" s="7">
        <v>0.24</v>
      </c>
      <c r="C9" s="7">
        <v>0.23</v>
      </c>
      <c r="D9" s="7" t="s">
        <v>23</v>
      </c>
      <c r="E9" s="7" t="s">
        <v>23</v>
      </c>
      <c r="F9" s="7" t="s">
        <v>23</v>
      </c>
    </row>
    <row r="10" spans="1:6" x14ac:dyDescent="0.3">
      <c r="A10" s="2" t="s">
        <v>8</v>
      </c>
      <c r="B10" s="7">
        <v>0.11</v>
      </c>
      <c r="C10" s="7">
        <v>0.08</v>
      </c>
      <c r="D10" s="7">
        <v>5765</v>
      </c>
      <c r="E10" s="7">
        <v>250</v>
      </c>
      <c r="F10" s="7">
        <v>62</v>
      </c>
    </row>
    <row r="11" spans="1:6" x14ac:dyDescent="0.3">
      <c r="A11" s="2" t="s">
        <v>11</v>
      </c>
      <c r="B11" s="7" t="s">
        <v>23</v>
      </c>
      <c r="C11" s="7" t="s">
        <v>23</v>
      </c>
      <c r="D11" s="7">
        <v>1300</v>
      </c>
      <c r="E11" s="7">
        <v>1500</v>
      </c>
      <c r="F11" s="7">
        <v>0.29599999999999999</v>
      </c>
    </row>
    <row r="12" spans="1:6" x14ac:dyDescent="0.3">
      <c r="A12" s="2" t="s">
        <v>258</v>
      </c>
      <c r="B12" s="7">
        <v>0.3</v>
      </c>
      <c r="C12" s="7">
        <v>0.5</v>
      </c>
      <c r="D12" s="7">
        <v>2750</v>
      </c>
      <c r="E12" s="7">
        <v>1000</v>
      </c>
      <c r="F12" s="7" t="s">
        <v>24</v>
      </c>
    </row>
    <row r="13" spans="1:6" x14ac:dyDescent="0.3">
      <c r="A13" s="2" t="s">
        <v>17</v>
      </c>
      <c r="B13" s="7" t="s">
        <v>23</v>
      </c>
      <c r="C13" s="7" t="s">
        <v>23</v>
      </c>
      <c r="D13" s="7">
        <v>8800</v>
      </c>
      <c r="E13" s="7">
        <v>380</v>
      </c>
      <c r="F13" s="7">
        <v>62</v>
      </c>
    </row>
    <row r="14" spans="1:6" x14ac:dyDescent="0.3">
      <c r="A14" s="2" t="s">
        <v>18</v>
      </c>
      <c r="B14" s="7">
        <v>0.77</v>
      </c>
      <c r="C14" s="7">
        <v>0.8</v>
      </c>
      <c r="D14" s="7">
        <v>2700</v>
      </c>
      <c r="E14" s="7">
        <v>900</v>
      </c>
      <c r="F14" s="7">
        <v>209</v>
      </c>
    </row>
    <row r="15" spans="1:6" x14ac:dyDescent="0.3">
      <c r="A15" s="2" t="s">
        <v>19</v>
      </c>
      <c r="B15" s="7">
        <v>0.85</v>
      </c>
      <c r="C15" s="7">
        <v>0.12</v>
      </c>
      <c r="D15" s="7">
        <v>1150</v>
      </c>
      <c r="E15" s="7">
        <v>1500</v>
      </c>
      <c r="F15" s="7">
        <v>0.53</v>
      </c>
    </row>
    <row r="16" spans="1:6" x14ac:dyDescent="0.3">
      <c r="A16" s="4" t="s">
        <v>20</v>
      </c>
      <c r="B16" s="7">
        <v>0.85</v>
      </c>
      <c r="C16" s="7">
        <v>0.91</v>
      </c>
      <c r="D16" s="7">
        <v>5316</v>
      </c>
      <c r="E16" s="7">
        <v>325</v>
      </c>
      <c r="F16" s="7">
        <v>50</v>
      </c>
    </row>
    <row r="17" spans="1:9" x14ac:dyDescent="0.3">
      <c r="A17" s="2" t="s">
        <v>21</v>
      </c>
      <c r="B17" s="7">
        <v>0.82</v>
      </c>
      <c r="C17" s="7">
        <v>0.94</v>
      </c>
      <c r="D17" s="7">
        <v>1070</v>
      </c>
      <c r="E17" s="7">
        <v>1990</v>
      </c>
      <c r="F17" s="7">
        <v>0.16200000000000001</v>
      </c>
    </row>
    <row r="18" spans="1:9" x14ac:dyDescent="0.3">
      <c r="A18" s="2" t="s">
        <v>256</v>
      </c>
      <c r="B18">
        <v>0.94</v>
      </c>
      <c r="C18">
        <v>0.19</v>
      </c>
      <c r="D18" s="7" t="s">
        <v>23</v>
      </c>
      <c r="E18" s="7" t="s">
        <v>23</v>
      </c>
      <c r="F18" s="7" t="s">
        <v>23</v>
      </c>
    </row>
    <row r="19" spans="1:9" x14ac:dyDescent="0.3">
      <c r="A19" s="2" t="s">
        <v>257</v>
      </c>
      <c r="B19">
        <v>0.94</v>
      </c>
      <c r="C19">
        <v>0.96</v>
      </c>
      <c r="D19" s="7" t="s">
        <v>23</v>
      </c>
      <c r="E19" s="7" t="s">
        <v>23</v>
      </c>
      <c r="F19" s="7" t="s">
        <v>23</v>
      </c>
    </row>
    <row r="20" spans="1:9" x14ac:dyDescent="0.3">
      <c r="A20" s="2"/>
      <c r="B20" s="7"/>
      <c r="C20" s="7"/>
      <c r="D20" s="7"/>
      <c r="E20" s="7"/>
      <c r="F20" s="7"/>
    </row>
    <row r="21" spans="1:9" x14ac:dyDescent="0.3">
      <c r="A21" s="2"/>
      <c r="B21" s="7"/>
      <c r="C21" s="7"/>
      <c r="D21" s="7"/>
      <c r="E21" s="7"/>
      <c r="F21" s="7"/>
    </row>
    <row r="22" spans="1:9" x14ac:dyDescent="0.3">
      <c r="I22" s="3"/>
    </row>
    <row r="24" spans="1:9" x14ac:dyDescent="0.3">
      <c r="A24" t="s">
        <v>259</v>
      </c>
    </row>
    <row r="26" spans="1:9" x14ac:dyDescent="0.3">
      <c r="D26" s="3"/>
    </row>
    <row r="27" spans="1:9" x14ac:dyDescent="0.3">
      <c r="E27" s="3"/>
    </row>
    <row r="29" spans="1:9" x14ac:dyDescent="0.3">
      <c r="B29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zoomScale="85" zoomScaleNormal="85" workbookViewId="0">
      <selection activeCell="C16" sqref="C16"/>
    </sheetView>
  </sheetViews>
  <sheetFormatPr baseColWidth="10" defaultRowHeight="14.4" x14ac:dyDescent="0.3"/>
  <cols>
    <col min="1" max="1" width="25.6640625" customWidth="1"/>
    <col min="2" max="2" width="12.5546875" customWidth="1"/>
    <col min="3" max="3" width="10.33203125" bestFit="1" customWidth="1"/>
    <col min="4" max="4" width="25.33203125" bestFit="1" customWidth="1"/>
    <col min="5" max="5" width="18.44140625" bestFit="1" customWidth="1"/>
    <col min="6" max="6" width="13.88671875" bestFit="1" customWidth="1"/>
    <col min="7" max="7" width="6.109375" bestFit="1" customWidth="1"/>
    <col min="8" max="8" width="14.109375" customWidth="1"/>
    <col min="9" max="9" width="13.109375" customWidth="1"/>
    <col min="10" max="10" width="27.5546875" customWidth="1"/>
    <col min="11" max="11" width="20.33203125" customWidth="1"/>
  </cols>
  <sheetData>
    <row r="1" spans="1:10" x14ac:dyDescent="0.3">
      <c r="A1" s="2" t="s">
        <v>25</v>
      </c>
      <c r="B1" s="2" t="s">
        <v>58</v>
      </c>
      <c r="C1" s="2" t="s">
        <v>0</v>
      </c>
      <c r="D1" s="2" t="s">
        <v>87</v>
      </c>
      <c r="E1" s="2" t="s">
        <v>26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81</v>
      </c>
    </row>
    <row r="2" spans="1:10" x14ac:dyDescent="0.3">
      <c r="A2" s="8" t="s">
        <v>88</v>
      </c>
      <c r="B2" s="8"/>
      <c r="C2" s="6"/>
      <c r="D2" s="6"/>
      <c r="E2" s="6"/>
      <c r="F2" s="6"/>
      <c r="G2" s="6"/>
      <c r="H2" s="6"/>
      <c r="I2" s="6"/>
      <c r="J2" s="27" t="s">
        <v>159</v>
      </c>
    </row>
    <row r="3" spans="1:10" x14ac:dyDescent="0.3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3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3">
      <c r="A5" s="9" t="s">
        <v>155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7.1999999999999998E-3</v>
      </c>
      <c r="G5" s="6">
        <v>1</v>
      </c>
      <c r="H5" s="6">
        <f t="shared" si="1"/>
        <v>7.1999999999999998E-3</v>
      </c>
      <c r="I5" s="6">
        <f t="shared" si="2"/>
        <v>7.2</v>
      </c>
      <c r="J5" s="5"/>
    </row>
    <row r="6" spans="1:10" x14ac:dyDescent="0.3">
      <c r="A6" s="9" t="s">
        <v>156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3">
      <c r="A7" s="9" t="s">
        <v>157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3">
      <c r="A8" s="9" t="s">
        <v>158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3">
      <c r="A9" s="9" t="s">
        <v>167</v>
      </c>
      <c r="B9" s="9" t="s">
        <v>33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3">
      <c r="A10" s="9" t="s">
        <v>75</v>
      </c>
      <c r="B10" s="9" t="s">
        <v>33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3">
      <c r="A11" s="9" t="s">
        <v>84</v>
      </c>
      <c r="B11" s="9" t="s">
        <v>85</v>
      </c>
      <c r="C11" s="6" t="s">
        <v>48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3">
      <c r="A12" s="8" t="s">
        <v>29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3">
      <c r="A13" s="9" t="s">
        <v>80</v>
      </c>
      <c r="B13" s="9" t="s">
        <v>72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x14ac:dyDescent="0.3">
      <c r="A14" s="9" t="s">
        <v>79</v>
      </c>
      <c r="B14" s="9" t="s">
        <v>70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3">
      <c r="A15" s="9" t="s">
        <v>45</v>
      </c>
      <c r="B15" s="9" t="s">
        <v>69</v>
      </c>
      <c r="C15" s="6" t="s">
        <v>15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3">
      <c r="A16" s="9" t="s">
        <v>46</v>
      </c>
      <c r="B16" s="9" t="s">
        <v>71</v>
      </c>
      <c r="C16" s="6" t="s">
        <v>52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3">
      <c r="A17" s="5"/>
      <c r="B17" s="5"/>
      <c r="J17" s="5"/>
    </row>
    <row r="18" spans="1:11" x14ac:dyDescent="0.3">
      <c r="A18" s="10" t="s">
        <v>41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3">
      <c r="A19" s="12" t="s">
        <v>42</v>
      </c>
      <c r="B19" s="12" t="s">
        <v>30</v>
      </c>
      <c r="C19" s="11" t="s">
        <v>50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3">
      <c r="A20" s="12" t="s">
        <v>16</v>
      </c>
      <c r="B20" s="12" t="s">
        <v>32</v>
      </c>
      <c r="C20" s="11" t="s">
        <v>31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3">
      <c r="A21" s="5"/>
      <c r="B21" s="5"/>
      <c r="J21" s="5"/>
    </row>
    <row r="22" spans="1:11" x14ac:dyDescent="0.3">
      <c r="A22" s="13" t="s">
        <v>136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3">
      <c r="A23" s="15" t="s">
        <v>160</v>
      </c>
      <c r="B23" s="15" t="s">
        <v>73</v>
      </c>
      <c r="C23" s="14" t="s">
        <v>56</v>
      </c>
      <c r="D23" s="14">
        <v>8800</v>
      </c>
      <c r="E23" s="14">
        <f>L23/1000/1000/1000</f>
        <v>0</v>
      </c>
      <c r="F23" s="26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 t="s">
        <v>161</v>
      </c>
    </row>
    <row r="24" spans="1:11" x14ac:dyDescent="0.3">
      <c r="A24" s="15" t="s">
        <v>55</v>
      </c>
      <c r="B24" s="15" t="s">
        <v>73</v>
      </c>
      <c r="C24" s="14" t="s">
        <v>21</v>
      </c>
      <c r="D24" s="14">
        <v>1070</v>
      </c>
      <c r="E24" s="14">
        <f>L24/1000/1000/1000</f>
        <v>0</v>
      </c>
      <c r="F24" s="26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 t="s">
        <v>161</v>
      </c>
    </row>
    <row r="25" spans="1:11" x14ac:dyDescent="0.3">
      <c r="A25" s="15" t="s">
        <v>92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3">
      <c r="A26" s="5"/>
      <c r="B26" s="5"/>
      <c r="J26" s="5"/>
    </row>
    <row r="27" spans="1:11" x14ac:dyDescent="0.3">
      <c r="A27" s="16" t="s">
        <v>28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3">
      <c r="A28" s="18" t="s">
        <v>44</v>
      </c>
      <c r="B28" s="18" t="s">
        <v>68</v>
      </c>
      <c r="C28" s="17" t="s">
        <v>51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3">
      <c r="A29" s="16" t="s">
        <v>47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3">
      <c r="A30" s="18" t="s">
        <v>35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3">
      <c r="A31" s="18" t="s">
        <v>36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3">
      <c r="A32" s="18" t="s">
        <v>37</v>
      </c>
      <c r="B32" s="18" t="s">
        <v>59</v>
      </c>
      <c r="C32" s="17" t="s">
        <v>48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162</v>
      </c>
      <c r="K32" s="5"/>
    </row>
    <row r="33" spans="1:11" x14ac:dyDescent="0.3">
      <c r="A33" s="18" t="s">
        <v>57</v>
      </c>
      <c r="B33" s="18" t="s">
        <v>60</v>
      </c>
      <c r="C33" s="17" t="s">
        <v>48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3">
      <c r="A34" s="16" t="s">
        <v>27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3">
      <c r="A35" s="18" t="s">
        <v>38</v>
      </c>
      <c r="B35" s="18" t="s">
        <v>62</v>
      </c>
      <c r="C35" s="17" t="s">
        <v>48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3">
      <c r="A36" s="18" t="s">
        <v>39</v>
      </c>
      <c r="B36" s="18" t="s">
        <v>61</v>
      </c>
      <c r="C36" s="17" t="s">
        <v>49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3">
      <c r="A37" s="18" t="s">
        <v>40</v>
      </c>
      <c r="B37" s="18" t="s">
        <v>32</v>
      </c>
      <c r="C37" s="17" t="s">
        <v>19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3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3">
      <c r="A39" s="5"/>
      <c r="B39" s="5"/>
      <c r="J39" s="20"/>
    </row>
    <row r="40" spans="1:11" x14ac:dyDescent="0.3">
      <c r="A40" s="24" t="s">
        <v>92</v>
      </c>
      <c r="B40" s="24"/>
      <c r="C40" s="25"/>
      <c r="D40" s="25"/>
      <c r="E40" s="25"/>
      <c r="F40" s="25"/>
      <c r="G40" s="25"/>
      <c r="H40" s="25">
        <f>SUM(H2:H38)-H23-H24-H32</f>
        <v>0.23766375000000001</v>
      </c>
      <c r="I40" s="28">
        <f t="shared" si="2"/>
        <v>237.66374999999999</v>
      </c>
      <c r="J40" s="20"/>
    </row>
    <row r="41" spans="1:11" x14ac:dyDescent="0.3">
      <c r="A41" s="3"/>
    </row>
    <row r="44" spans="1:11" x14ac:dyDescent="0.3">
      <c r="A44" s="29"/>
      <c r="B44" s="29"/>
    </row>
    <row r="45" spans="1:11" x14ac:dyDescent="0.3">
      <c r="A45" s="5"/>
      <c r="B45" s="5"/>
      <c r="D45" s="3"/>
    </row>
    <row r="46" spans="1:11" x14ac:dyDescent="0.3">
      <c r="A46" s="5"/>
      <c r="B4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4"/>
  <sheetViews>
    <sheetView zoomScale="85" zoomScaleNormal="85" workbookViewId="0">
      <selection activeCell="G26" sqref="G26"/>
    </sheetView>
  </sheetViews>
  <sheetFormatPr baseColWidth="10" defaultRowHeight="14.4" x14ac:dyDescent="0.3"/>
  <cols>
    <col min="1" max="1" width="13.88671875" customWidth="1"/>
    <col min="2" max="2" width="14.109375" customWidth="1"/>
    <col min="3" max="3" width="21" customWidth="1"/>
    <col min="4" max="4" width="23.109375" customWidth="1"/>
    <col min="5" max="5" width="15.44140625" customWidth="1"/>
    <col min="6" max="6" width="36" customWidth="1"/>
    <col min="7" max="7" width="39.109375" customWidth="1"/>
    <col min="8" max="8" width="35.88671875" customWidth="1"/>
    <col min="9" max="9" width="8.5546875" customWidth="1"/>
    <col min="10" max="10" width="18" customWidth="1"/>
    <col min="11" max="11" width="23.5546875" customWidth="1"/>
    <col min="12" max="12" width="30.88671875" customWidth="1"/>
  </cols>
  <sheetData>
    <row r="1" spans="1:10" x14ac:dyDescent="0.3">
      <c r="A1" s="22" t="s">
        <v>0</v>
      </c>
      <c r="B1" s="22" t="s">
        <v>5</v>
      </c>
      <c r="C1" s="22" t="s">
        <v>4</v>
      </c>
      <c r="D1" s="22" t="s">
        <v>3</v>
      </c>
      <c r="F1" s="2" t="s">
        <v>197</v>
      </c>
      <c r="G1" s="2" t="s">
        <v>230</v>
      </c>
      <c r="H1" s="2" t="s">
        <v>231</v>
      </c>
      <c r="I1" s="2" t="s">
        <v>232</v>
      </c>
      <c r="J1" s="2" t="s">
        <v>233</v>
      </c>
    </row>
    <row r="2" spans="1:10" x14ac:dyDescent="0.3">
      <c r="A2" s="2" t="s">
        <v>7</v>
      </c>
      <c r="B2" s="7">
        <v>8930</v>
      </c>
      <c r="C2" s="7">
        <v>385</v>
      </c>
      <c r="D2" s="7">
        <v>400</v>
      </c>
      <c r="F2" t="s">
        <v>199</v>
      </c>
      <c r="G2">
        <f t="shared" ref="G2:G10" si="0">B16*$B$2/(B16*$B$2+C16*$B$3+D16*$B$5+E16*$B$6)</f>
        <v>0.31617014819685402</v>
      </c>
      <c r="H2">
        <f t="shared" ref="H2:H10" si="1">C16*$B$3/(B16*$B$2+C16*$B$3+D16*$B$5+E16*$B$6)</f>
        <v>0.67371402559304039</v>
      </c>
      <c r="I2">
        <f t="shared" ref="I2:I10" si="2">D16*$B$5/(B16*$B$2+C16*$B$3+D16*$B$5+E16*$B$6)</f>
        <v>1.011582621010571E-2</v>
      </c>
      <c r="J2">
        <f t="shared" ref="J2:J10" si="3">E16*$B$6/(B16*$B$2+C16*$B$3+D16*$B$5+E16*$B$6)</f>
        <v>0</v>
      </c>
    </row>
    <row r="3" spans="1:10" x14ac:dyDescent="0.3">
      <c r="A3" s="2" t="s">
        <v>208</v>
      </c>
      <c r="B3" s="7">
        <v>1850</v>
      </c>
      <c r="C3" s="7">
        <v>1200</v>
      </c>
      <c r="D3" s="7">
        <v>0.81</v>
      </c>
      <c r="F3" t="s">
        <v>34</v>
      </c>
      <c r="G3">
        <f t="shared" si="0"/>
        <v>0.31617014819685402</v>
      </c>
      <c r="H3">
        <f t="shared" si="1"/>
        <v>0.67371402559304039</v>
      </c>
      <c r="I3">
        <f t="shared" si="2"/>
        <v>1.011582621010571E-2</v>
      </c>
      <c r="J3">
        <f t="shared" si="3"/>
        <v>0</v>
      </c>
    </row>
    <row r="4" spans="1:10" x14ac:dyDescent="0.3">
      <c r="A4" s="2" t="s">
        <v>209</v>
      </c>
      <c r="B4" s="7">
        <v>1850</v>
      </c>
      <c r="C4" s="7">
        <v>1200</v>
      </c>
      <c r="D4" s="7">
        <v>0.28999999999999998</v>
      </c>
      <c r="F4" t="s">
        <v>66</v>
      </c>
      <c r="G4">
        <f t="shared" si="0"/>
        <v>0.31617014819685402</v>
      </c>
      <c r="H4">
        <f t="shared" si="1"/>
        <v>0.67371402559304039</v>
      </c>
      <c r="I4">
        <f t="shared" si="2"/>
        <v>1.011582621010571E-2</v>
      </c>
      <c r="J4">
        <f t="shared" si="3"/>
        <v>0</v>
      </c>
    </row>
    <row r="5" spans="1:10" x14ac:dyDescent="0.3">
      <c r="A5" s="2" t="s">
        <v>198</v>
      </c>
      <c r="B5" s="7">
        <v>2000</v>
      </c>
      <c r="C5" s="7">
        <v>1000</v>
      </c>
      <c r="D5" s="7">
        <v>0.2</v>
      </c>
      <c r="E5" t="s">
        <v>210</v>
      </c>
      <c r="F5" t="s">
        <v>200</v>
      </c>
      <c r="G5">
        <f t="shared" si="0"/>
        <v>0.36134340437011064</v>
      </c>
      <c r="H5">
        <f t="shared" si="1"/>
        <v>0.63094916952483715</v>
      </c>
      <c r="I5">
        <f t="shared" si="2"/>
        <v>7.7074261050522177E-3</v>
      </c>
      <c r="J5">
        <f t="shared" si="3"/>
        <v>0</v>
      </c>
    </row>
    <row r="6" spans="1:10" x14ac:dyDescent="0.3">
      <c r="A6" s="2" t="s">
        <v>217</v>
      </c>
      <c r="B6" s="7">
        <v>2200</v>
      </c>
      <c r="C6" s="7">
        <v>960</v>
      </c>
      <c r="D6" s="7">
        <v>0.2</v>
      </c>
      <c r="F6" t="s">
        <v>201</v>
      </c>
      <c r="G6">
        <f t="shared" si="0"/>
        <v>0.36134340437011064</v>
      </c>
      <c r="H6">
        <f t="shared" si="1"/>
        <v>0.63094916952483715</v>
      </c>
      <c r="I6">
        <f t="shared" si="2"/>
        <v>7.7074261050522177E-3</v>
      </c>
      <c r="J6">
        <f t="shared" si="3"/>
        <v>0</v>
      </c>
    </row>
    <row r="7" spans="1:10" x14ac:dyDescent="0.3">
      <c r="F7" t="s">
        <v>202</v>
      </c>
      <c r="G7">
        <f t="shared" si="0"/>
        <v>0.36134340437011064</v>
      </c>
      <c r="H7">
        <f t="shared" si="1"/>
        <v>0.63094916952483715</v>
      </c>
      <c r="I7">
        <f t="shared" si="2"/>
        <v>7.7074261050522177E-3</v>
      </c>
      <c r="J7">
        <f t="shared" si="3"/>
        <v>0</v>
      </c>
    </row>
    <row r="8" spans="1:10" x14ac:dyDescent="0.3">
      <c r="F8" t="s">
        <v>64</v>
      </c>
      <c r="G8">
        <f t="shared" si="0"/>
        <v>0.18073787081478057</v>
      </c>
      <c r="H8">
        <f t="shared" si="1"/>
        <v>0.8076967559127971</v>
      </c>
      <c r="I8">
        <f t="shared" si="2"/>
        <v>1.1565373272422368E-2</v>
      </c>
      <c r="J8">
        <f t="shared" si="3"/>
        <v>0</v>
      </c>
    </row>
    <row r="9" spans="1:10" x14ac:dyDescent="0.3">
      <c r="F9" t="s">
        <v>220</v>
      </c>
      <c r="G9">
        <f t="shared" si="0"/>
        <v>0.47221312920202457</v>
      </c>
      <c r="H9">
        <f t="shared" si="1"/>
        <v>0.39130763226147613</v>
      </c>
      <c r="I9">
        <f t="shared" si="2"/>
        <v>2.0144537053357843E-2</v>
      </c>
      <c r="J9">
        <f t="shared" si="3"/>
        <v>0.11633470148314154</v>
      </c>
    </row>
    <row r="10" spans="1:10" x14ac:dyDescent="0.3">
      <c r="F10" t="s">
        <v>223</v>
      </c>
      <c r="G10">
        <f t="shared" si="0"/>
        <v>0.31562736682655895</v>
      </c>
      <c r="H10">
        <f t="shared" si="1"/>
        <v>0.52310022721534966</v>
      </c>
      <c r="I10">
        <f t="shared" si="2"/>
        <v>2.0196919969704619E-2</v>
      </c>
      <c r="J10">
        <f t="shared" si="3"/>
        <v>0.14107548598838676</v>
      </c>
    </row>
    <row r="14" spans="1:10" ht="15" thickBot="1" x14ac:dyDescent="0.35"/>
    <row r="15" spans="1:10" ht="15" thickBot="1" x14ac:dyDescent="0.35">
      <c r="A15" s="51" t="s">
        <v>197</v>
      </c>
      <c r="B15" s="52" t="s">
        <v>203</v>
      </c>
      <c r="C15" s="52" t="s">
        <v>204</v>
      </c>
      <c r="D15" s="52" t="s">
        <v>205</v>
      </c>
      <c r="E15" s="52" t="s">
        <v>216</v>
      </c>
      <c r="F15" s="52" t="s">
        <v>4</v>
      </c>
      <c r="G15" s="52" t="s">
        <v>207</v>
      </c>
      <c r="H15" s="53" t="s">
        <v>206</v>
      </c>
    </row>
    <row r="16" spans="1:10" x14ac:dyDescent="0.3">
      <c r="A16" t="s">
        <v>199</v>
      </c>
      <c r="B16">
        <v>0.14000000000000001</v>
      </c>
      <c r="C16">
        <v>1.44</v>
      </c>
      <c r="D16">
        <v>0.02</v>
      </c>
      <c r="E16">
        <v>0</v>
      </c>
      <c r="F16" s="72">
        <f t="shared" ref="F16:F24" si="4">(B16*$B$2*$C$2+C16*$B$3*$C$3+D16*$B$5*$C$5+E16*$B$6*$C$6)/(B16*$B$2+C16*$B$3+D16*$B$5+E16*$B$6)</f>
        <v>940.29816397754291</v>
      </c>
      <c r="G16" s="72">
        <f>1/(B16/$D$2+C16/$D$4+D16/$D$5+E16/$D$6)*(B16+C16+D16+E16)</f>
        <v>0.31583930722281617</v>
      </c>
      <c r="H16" s="72">
        <f t="shared" ref="H16:H24" si="5">(B16*$D$2+C16*$D$3+D16*$D$5+E16*$D$6)*(B16+C16+D16+E16)</f>
        <v>91.472640000000013</v>
      </c>
    </row>
    <row r="17" spans="1:8" x14ac:dyDescent="0.3">
      <c r="A17" t="s">
        <v>34</v>
      </c>
      <c r="B17">
        <v>0.14000000000000001</v>
      </c>
      <c r="C17">
        <v>1.44</v>
      </c>
      <c r="D17">
        <v>0.02</v>
      </c>
      <c r="E17">
        <v>0</v>
      </c>
      <c r="F17" s="72">
        <f t="shared" si="4"/>
        <v>940.29816397754291</v>
      </c>
      <c r="G17" s="72">
        <f t="shared" ref="G17:G24" si="6">1/(B17/$D$2+C17/$D$4+D17/$D$5+E17/$D$6)*(B17+C17+D17+E17)</f>
        <v>0.31583930722281617</v>
      </c>
      <c r="H17" s="72">
        <f t="shared" si="5"/>
        <v>91.472640000000013</v>
      </c>
    </row>
    <row r="18" spans="1:8" x14ac:dyDescent="0.3">
      <c r="A18" t="s">
        <v>66</v>
      </c>
      <c r="B18">
        <v>0.14000000000000001</v>
      </c>
      <c r="C18">
        <v>1.44</v>
      </c>
      <c r="D18">
        <v>0.02</v>
      </c>
      <c r="E18">
        <v>0</v>
      </c>
      <c r="F18" s="72">
        <f t="shared" si="4"/>
        <v>940.29816397754291</v>
      </c>
      <c r="G18" s="72">
        <f t="shared" si="6"/>
        <v>0.31583930722281617</v>
      </c>
      <c r="H18" s="72">
        <f t="shared" si="5"/>
        <v>91.472640000000013</v>
      </c>
    </row>
    <row r="19" spans="1:8" x14ac:dyDescent="0.3">
      <c r="A19" t="s">
        <v>200</v>
      </c>
      <c r="B19">
        <v>0.21000000000000002</v>
      </c>
      <c r="C19">
        <v>1.77</v>
      </c>
      <c r="D19">
        <v>0.02</v>
      </c>
      <c r="E19">
        <v>0</v>
      </c>
      <c r="F19" s="72">
        <f t="shared" si="4"/>
        <v>903.96364021734939</v>
      </c>
      <c r="G19" s="72">
        <f t="shared" si="6"/>
        <v>0.32237405144561837</v>
      </c>
      <c r="H19" s="72">
        <f t="shared" si="5"/>
        <v>170.87540000000004</v>
      </c>
    </row>
    <row r="20" spans="1:8" x14ac:dyDescent="0.3">
      <c r="A20" t="s">
        <v>201</v>
      </c>
      <c r="B20">
        <v>0.21000000000000002</v>
      </c>
      <c r="C20">
        <v>1.77</v>
      </c>
      <c r="D20">
        <v>0.02</v>
      </c>
      <c r="E20">
        <v>0</v>
      </c>
      <c r="F20" s="72">
        <f t="shared" si="4"/>
        <v>903.96364021734939</v>
      </c>
      <c r="G20" s="72">
        <f t="shared" si="6"/>
        <v>0.32237405144561837</v>
      </c>
      <c r="H20" s="72">
        <f t="shared" si="5"/>
        <v>170.87540000000004</v>
      </c>
    </row>
    <row r="21" spans="1:8" x14ac:dyDescent="0.3">
      <c r="A21" t="s">
        <v>202</v>
      </c>
      <c r="B21">
        <v>0.21000000000000002</v>
      </c>
      <c r="C21">
        <v>1.77</v>
      </c>
      <c r="D21">
        <v>0.02</v>
      </c>
      <c r="E21">
        <v>0</v>
      </c>
      <c r="F21" s="72">
        <f t="shared" si="4"/>
        <v>903.96364021734939</v>
      </c>
      <c r="G21" s="72">
        <f t="shared" si="6"/>
        <v>0.32237405144561837</v>
      </c>
      <c r="H21" s="72">
        <f t="shared" si="5"/>
        <v>170.87540000000004</v>
      </c>
    </row>
    <row r="22" spans="1:8" x14ac:dyDescent="0.3">
      <c r="A22" t="s">
        <v>64</v>
      </c>
      <c r="B22">
        <v>7.0000000000000007E-2</v>
      </c>
      <c r="C22">
        <v>1.51</v>
      </c>
      <c r="D22">
        <v>0.02</v>
      </c>
      <c r="E22">
        <v>0</v>
      </c>
      <c r="F22" s="72">
        <f t="shared" si="4"/>
        <v>1050.3855606314694</v>
      </c>
      <c r="G22" s="72">
        <f t="shared" si="6"/>
        <v>0.30148453519157836</v>
      </c>
      <c r="H22" s="72">
        <f t="shared" si="5"/>
        <v>46.763360000000006</v>
      </c>
    </row>
    <row r="23" spans="1:8" x14ac:dyDescent="0.3">
      <c r="A23" t="s">
        <v>220</v>
      </c>
      <c r="B23">
        <v>0.21000000000000002</v>
      </c>
      <c r="C23">
        <v>0.84000000000000008</v>
      </c>
      <c r="D23">
        <v>0.04</v>
      </c>
      <c r="E23">
        <v>0.21</v>
      </c>
      <c r="F23" s="72">
        <f t="shared" si="4"/>
        <v>783.19706393372451</v>
      </c>
      <c r="G23" s="72">
        <f t="shared" si="6"/>
        <v>0.31347382420811998</v>
      </c>
      <c r="H23" s="72">
        <f t="shared" si="5"/>
        <v>110.14952000000002</v>
      </c>
    </row>
    <row r="24" spans="1:8" x14ac:dyDescent="0.3">
      <c r="A24" t="s">
        <v>223</v>
      </c>
      <c r="B24">
        <v>0.14000000000000001</v>
      </c>
      <c r="C24">
        <v>1.1200000000000001</v>
      </c>
      <c r="D24">
        <v>0.04</v>
      </c>
      <c r="E24">
        <v>0.254</v>
      </c>
      <c r="F24" s="72">
        <f t="shared" si="4"/>
        <v>904.86619540520076</v>
      </c>
      <c r="G24" s="72">
        <f t="shared" si="6"/>
        <v>0.29142496305131627</v>
      </c>
      <c r="H24" s="72">
        <f t="shared" si="5"/>
        <v>88.525164000000032</v>
      </c>
    </row>
    <row r="34" spans="7:7" x14ac:dyDescent="0.3">
      <c r="G3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9"/>
  <sheetViews>
    <sheetView topLeftCell="A35" zoomScale="85" zoomScaleNormal="85" workbookViewId="0">
      <selection activeCell="G135" sqref="G135"/>
    </sheetView>
  </sheetViews>
  <sheetFormatPr baseColWidth="10" defaultRowHeight="14.4" x14ac:dyDescent="0.3"/>
  <cols>
    <col min="1" max="1" width="26.33203125" customWidth="1"/>
    <col min="2" max="2" width="13.5546875" customWidth="1"/>
    <col min="3" max="4" width="17.6640625" customWidth="1"/>
    <col min="5" max="5" width="11.88671875" bestFit="1" customWidth="1"/>
    <col min="6" max="6" width="21.88671875" customWidth="1"/>
    <col min="7" max="7" width="18.5546875" customWidth="1"/>
    <col min="8" max="8" width="23.6640625" customWidth="1"/>
    <col min="9" max="9" width="27.44140625" customWidth="1"/>
    <col min="10" max="10" width="27.109375" bestFit="1" customWidth="1"/>
    <col min="12" max="12" width="11.44140625" customWidth="1"/>
  </cols>
  <sheetData>
    <row r="1" spans="1:12" ht="15" thickBot="1" x14ac:dyDescent="0.35">
      <c r="A1" s="8" t="s">
        <v>88</v>
      </c>
      <c r="H1" s="84"/>
      <c r="L1" s="2" t="s">
        <v>249</v>
      </c>
    </row>
    <row r="2" spans="1:12" x14ac:dyDescent="0.3">
      <c r="A2" s="41" t="s">
        <v>97</v>
      </c>
      <c r="B2" s="31" t="s">
        <v>0</v>
      </c>
      <c r="C2" s="31" t="s">
        <v>180</v>
      </c>
      <c r="D2" s="31" t="s">
        <v>96</v>
      </c>
      <c r="E2" s="31" t="s">
        <v>94</v>
      </c>
      <c r="F2" s="31" t="s">
        <v>86</v>
      </c>
      <c r="G2" s="80" t="s">
        <v>5</v>
      </c>
      <c r="H2" s="91" t="s">
        <v>4</v>
      </c>
      <c r="I2" s="32" t="s">
        <v>3</v>
      </c>
      <c r="J2" s="22"/>
    </row>
    <row r="3" spans="1:12" x14ac:dyDescent="0.3">
      <c r="A3" s="39" t="s">
        <v>92</v>
      </c>
      <c r="B3" t="s">
        <v>21</v>
      </c>
      <c r="C3">
        <v>1.2</v>
      </c>
      <c r="D3" s="69">
        <f>C3/1000</f>
        <v>1.1999999999999999E-3</v>
      </c>
      <c r="E3">
        <v>1</v>
      </c>
      <c r="F3" s="65">
        <v>4.5600000000000001E-7</v>
      </c>
      <c r="G3" s="81">
        <f>D3/F3</f>
        <v>2631.5789473684208</v>
      </c>
      <c r="H3" s="81">
        <v>1990</v>
      </c>
      <c r="I3" s="93">
        <v>0.16200000000000001</v>
      </c>
    </row>
    <row r="4" spans="1:12" x14ac:dyDescent="0.3">
      <c r="A4" s="55" t="s">
        <v>98</v>
      </c>
      <c r="B4" s="17"/>
      <c r="C4" s="17"/>
      <c r="D4" s="66"/>
      <c r="E4" s="17"/>
      <c r="F4" s="66"/>
      <c r="G4" s="82"/>
      <c r="H4" s="82"/>
      <c r="I4" s="94"/>
    </row>
    <row r="5" spans="1:12" ht="15" thickBot="1" x14ac:dyDescent="0.35">
      <c r="A5" s="40" t="s">
        <v>99</v>
      </c>
      <c r="B5" s="36"/>
      <c r="C5" s="36"/>
      <c r="D5" s="70"/>
      <c r="E5" s="36"/>
      <c r="F5" s="67">
        <v>4.5600000000000001E-7</v>
      </c>
      <c r="G5" s="83">
        <v>2631.5789473684208</v>
      </c>
      <c r="H5" s="83">
        <v>1990</v>
      </c>
      <c r="I5" s="95">
        <v>0.16200000000000001</v>
      </c>
    </row>
    <row r="6" spans="1:12" x14ac:dyDescent="0.3">
      <c r="D6" s="69"/>
      <c r="G6" s="84"/>
      <c r="H6" s="84"/>
      <c r="I6" s="72"/>
    </row>
    <row r="7" spans="1:12" x14ac:dyDescent="0.3">
      <c r="D7" s="69"/>
      <c r="G7" s="84"/>
      <c r="H7" s="84"/>
      <c r="I7" s="72"/>
    </row>
    <row r="8" spans="1:12" ht="15" thickBot="1" x14ac:dyDescent="0.35">
      <c r="D8" s="69"/>
      <c r="G8" s="84"/>
      <c r="H8" s="84"/>
      <c r="I8" s="72"/>
    </row>
    <row r="9" spans="1:12" x14ac:dyDescent="0.3">
      <c r="A9" s="41" t="s">
        <v>89</v>
      </c>
      <c r="B9" s="31" t="s">
        <v>0</v>
      </c>
      <c r="C9" s="31" t="s">
        <v>180</v>
      </c>
      <c r="D9" s="68" t="s">
        <v>96</v>
      </c>
      <c r="E9" s="31" t="s">
        <v>94</v>
      </c>
      <c r="F9" s="68" t="s">
        <v>86</v>
      </c>
      <c r="G9" s="80" t="s">
        <v>5</v>
      </c>
      <c r="H9" s="91" t="s">
        <v>4</v>
      </c>
      <c r="I9" s="90" t="s">
        <v>207</v>
      </c>
      <c r="J9" s="32" t="s">
        <v>206</v>
      </c>
    </row>
    <row r="10" spans="1:12" x14ac:dyDescent="0.3">
      <c r="A10" s="38" t="s">
        <v>90</v>
      </c>
      <c r="B10" t="s">
        <v>378</v>
      </c>
      <c r="C10">
        <v>14.2</v>
      </c>
      <c r="D10" s="69">
        <f>C10/1000</f>
        <v>1.4199999999999999E-2</v>
      </c>
      <c r="E10">
        <f>C10/C11</f>
        <v>1</v>
      </c>
      <c r="F10" s="69" t="s">
        <v>23</v>
      </c>
      <c r="G10" s="84">
        <f>D11/F11</f>
        <v>2133.4134615384614</v>
      </c>
      <c r="H10" s="84">
        <v>903.96364021734939</v>
      </c>
      <c r="I10" s="72">
        <v>0.32237405144561837</v>
      </c>
      <c r="J10" s="96">
        <v>170.87540000000004</v>
      </c>
    </row>
    <row r="11" spans="1:12" ht="15" thickBot="1" x14ac:dyDescent="0.35">
      <c r="A11" s="35" t="s">
        <v>92</v>
      </c>
      <c r="B11" s="36" t="s">
        <v>23</v>
      </c>
      <c r="C11" s="36">
        <f>SUM(C10:C10)</f>
        <v>14.2</v>
      </c>
      <c r="D11" s="70">
        <f>C11/1000</f>
        <v>1.4199999999999999E-2</v>
      </c>
      <c r="E11" s="36">
        <f>SUM(E10:E10)</f>
        <v>1</v>
      </c>
      <c r="F11" s="70">
        <v>6.6560000000000003E-6</v>
      </c>
      <c r="G11" s="83">
        <v>2133.4134615384614</v>
      </c>
      <c r="H11" s="83">
        <v>903.96364021734939</v>
      </c>
      <c r="I11" s="75">
        <v>0.32237405144561837</v>
      </c>
      <c r="J11" s="95">
        <v>170.87540000000004</v>
      </c>
    </row>
    <row r="12" spans="1:12" x14ac:dyDescent="0.3">
      <c r="D12" s="69"/>
      <c r="F12" s="69"/>
      <c r="G12" s="84"/>
      <c r="H12" s="84"/>
      <c r="I12" s="72"/>
      <c r="J12" s="72"/>
    </row>
    <row r="13" spans="1:12" ht="15" thickBot="1" x14ac:dyDescent="0.35">
      <c r="D13" s="69"/>
      <c r="F13" s="69"/>
      <c r="G13" s="84"/>
      <c r="H13" s="84"/>
      <c r="I13" s="72"/>
      <c r="J13" s="72"/>
    </row>
    <row r="14" spans="1:12" x14ac:dyDescent="0.3">
      <c r="A14" s="30" t="s">
        <v>225</v>
      </c>
      <c r="B14" s="31" t="s">
        <v>0</v>
      </c>
      <c r="C14" s="31" t="s">
        <v>180</v>
      </c>
      <c r="D14" s="68" t="s">
        <v>96</v>
      </c>
      <c r="E14" s="31" t="s">
        <v>94</v>
      </c>
      <c r="F14" s="68" t="s">
        <v>86</v>
      </c>
      <c r="G14" s="80" t="s">
        <v>5</v>
      </c>
      <c r="H14" s="91" t="s">
        <v>4</v>
      </c>
      <c r="I14" s="90" t="s">
        <v>207</v>
      </c>
      <c r="J14" s="97" t="s">
        <v>206</v>
      </c>
    </row>
    <row r="15" spans="1:12" x14ac:dyDescent="0.3">
      <c r="A15" s="33" t="s">
        <v>224</v>
      </c>
      <c r="B15" t="s">
        <v>212</v>
      </c>
      <c r="C15">
        <v>8.4</v>
      </c>
      <c r="D15" s="69">
        <f>C15/1000</f>
        <v>8.4000000000000012E-3</v>
      </c>
      <c r="E15" t="s">
        <v>23</v>
      </c>
      <c r="F15" s="69" t="s">
        <v>23</v>
      </c>
      <c r="G15" s="84" t="s">
        <v>23</v>
      </c>
      <c r="H15" s="84" t="s">
        <v>23</v>
      </c>
      <c r="I15" s="72" t="s">
        <v>23</v>
      </c>
      <c r="J15" s="96" t="s">
        <v>23</v>
      </c>
    </row>
    <row r="16" spans="1:12" x14ac:dyDescent="0.3">
      <c r="A16" s="34" t="s">
        <v>95</v>
      </c>
      <c r="D16" s="69"/>
      <c r="F16" s="69"/>
      <c r="G16" s="84"/>
      <c r="H16" s="84"/>
      <c r="I16" s="72"/>
      <c r="J16" s="96"/>
    </row>
    <row r="17" spans="1:12" x14ac:dyDescent="0.3">
      <c r="A17" s="43" t="s">
        <v>226</v>
      </c>
      <c r="B17" t="s">
        <v>212</v>
      </c>
      <c r="C17" t="s">
        <v>23</v>
      </c>
      <c r="D17" s="69" t="s">
        <v>23</v>
      </c>
      <c r="E17">
        <f>F17/($F$17+$F$18+$F$19+$F$20)</f>
        <v>0.30952380952380953</v>
      </c>
      <c r="F17" s="69">
        <v>1.3312000000000001E-6</v>
      </c>
      <c r="G17" s="84">
        <v>1953.125</v>
      </c>
      <c r="H17" s="84">
        <v>1050.3855606314694</v>
      </c>
      <c r="I17" s="72">
        <v>0.3</v>
      </c>
      <c r="J17" s="96">
        <v>46.763360000000006</v>
      </c>
    </row>
    <row r="18" spans="1:12" x14ac:dyDescent="0.3">
      <c r="A18" s="43" t="s">
        <v>227</v>
      </c>
      <c r="B18" t="s">
        <v>212</v>
      </c>
      <c r="C18" t="s">
        <v>23</v>
      </c>
      <c r="D18" s="69" t="s">
        <v>23</v>
      </c>
      <c r="E18">
        <f t="shared" ref="E18:E20" si="0">F18/($F$17+$F$18+$F$19+$F$20)</f>
        <v>0.30952380952380953</v>
      </c>
      <c r="F18" s="69">
        <v>1.3312000000000001E-6</v>
      </c>
      <c r="G18" s="84">
        <v>1953.125</v>
      </c>
      <c r="H18" s="84">
        <v>1050.3855606314694</v>
      </c>
      <c r="I18" s="72">
        <v>0.3</v>
      </c>
      <c r="J18" s="96">
        <v>46.763360000000006</v>
      </c>
    </row>
    <row r="19" spans="1:12" x14ac:dyDescent="0.3">
      <c r="A19" s="43" t="s">
        <v>228</v>
      </c>
      <c r="B19" t="s">
        <v>212</v>
      </c>
      <c r="C19" t="s">
        <v>23</v>
      </c>
      <c r="D19" s="69" t="s">
        <v>23</v>
      </c>
      <c r="E19">
        <f t="shared" si="0"/>
        <v>0.19047619047619047</v>
      </c>
      <c r="F19" s="69">
        <v>8.1920000000000003E-7</v>
      </c>
      <c r="G19" s="84">
        <v>1953.125</v>
      </c>
      <c r="H19" s="84">
        <v>1050.3855606314694</v>
      </c>
      <c r="I19" s="72">
        <v>0.3</v>
      </c>
      <c r="J19" s="96">
        <v>46.763360000000006</v>
      </c>
    </row>
    <row r="20" spans="1:12" x14ac:dyDescent="0.3">
      <c r="A20" s="43" t="s">
        <v>229</v>
      </c>
      <c r="B20" t="s">
        <v>212</v>
      </c>
      <c r="C20" t="s">
        <v>23</v>
      </c>
      <c r="D20" s="69" t="s">
        <v>23</v>
      </c>
      <c r="E20">
        <f t="shared" si="0"/>
        <v>0.19047619047619047</v>
      </c>
      <c r="F20" s="69">
        <v>8.1920000000000003E-7</v>
      </c>
      <c r="G20" s="84">
        <v>1953.125</v>
      </c>
      <c r="H20" s="84">
        <v>1050.3855606314694</v>
      </c>
      <c r="I20" s="72">
        <v>0.3</v>
      </c>
      <c r="J20" s="96">
        <v>46.763360000000006</v>
      </c>
    </row>
    <row r="21" spans="1:12" ht="15" thickBot="1" x14ac:dyDescent="0.35">
      <c r="A21" s="35" t="s">
        <v>92</v>
      </c>
      <c r="B21" s="36" t="s">
        <v>22</v>
      </c>
      <c r="C21" s="36">
        <v>8.4</v>
      </c>
      <c r="D21" s="70">
        <f>C21/1000</f>
        <v>8.4000000000000012E-3</v>
      </c>
      <c r="E21" s="36">
        <f>SUM(E17:E20)</f>
        <v>1</v>
      </c>
      <c r="F21" s="70">
        <f>SUM(F17:F20)</f>
        <v>4.3008000000000004E-6</v>
      </c>
      <c r="G21" s="83">
        <f>D15/F21</f>
        <v>1953.125</v>
      </c>
      <c r="H21" s="83">
        <v>1050.3855606314694</v>
      </c>
      <c r="I21" s="75">
        <v>0.3</v>
      </c>
      <c r="J21" s="95">
        <v>46.763360000000006</v>
      </c>
    </row>
    <row r="22" spans="1:12" x14ac:dyDescent="0.3">
      <c r="A22" s="23"/>
      <c r="D22" s="69"/>
      <c r="F22" s="69"/>
      <c r="G22" s="84"/>
      <c r="H22" s="84"/>
      <c r="I22" s="72"/>
      <c r="J22" s="72"/>
    </row>
    <row r="23" spans="1:12" ht="15" thickBot="1" x14ac:dyDescent="0.35">
      <c r="D23" s="69"/>
      <c r="F23" s="69"/>
      <c r="G23" s="84"/>
      <c r="H23" s="84"/>
      <c r="I23" s="72"/>
      <c r="J23" s="72"/>
    </row>
    <row r="24" spans="1:12" x14ac:dyDescent="0.3">
      <c r="A24" s="41" t="s">
        <v>100</v>
      </c>
      <c r="B24" s="31" t="s">
        <v>0</v>
      </c>
      <c r="C24" s="31" t="s">
        <v>180</v>
      </c>
      <c r="D24" s="68" t="s">
        <v>96</v>
      </c>
      <c r="E24" s="31" t="s">
        <v>94</v>
      </c>
      <c r="F24" s="68" t="s">
        <v>86</v>
      </c>
      <c r="G24" s="80" t="s">
        <v>5</v>
      </c>
      <c r="H24" s="91" t="s">
        <v>4</v>
      </c>
      <c r="I24" s="90" t="s">
        <v>207</v>
      </c>
      <c r="J24" s="97" t="s">
        <v>206</v>
      </c>
      <c r="L24" s="22"/>
    </row>
    <row r="25" spans="1:12" x14ac:dyDescent="0.3">
      <c r="A25" s="38" t="s">
        <v>101</v>
      </c>
      <c r="B25" t="s">
        <v>211</v>
      </c>
      <c r="C25">
        <v>9.8000000000000007</v>
      </c>
      <c r="D25" s="69">
        <f>C25/1000</f>
        <v>9.8000000000000014E-3</v>
      </c>
      <c r="E25">
        <f>C25/C27</f>
        <v>0.96078431372549011</v>
      </c>
      <c r="F25" s="69" t="s">
        <v>23</v>
      </c>
      <c r="G25" s="84">
        <v>2213.541666666667</v>
      </c>
      <c r="H25" s="84">
        <v>903.96364021734939</v>
      </c>
      <c r="I25" s="72">
        <v>0.45144132745896365</v>
      </c>
      <c r="J25" s="96">
        <v>170.87540000000004</v>
      </c>
    </row>
    <row r="26" spans="1:12" x14ac:dyDescent="0.3">
      <c r="A26" s="38" t="s">
        <v>91</v>
      </c>
      <c r="B26" t="s">
        <v>93</v>
      </c>
      <c r="C26">
        <v>0.4</v>
      </c>
      <c r="D26" s="69">
        <f>C26/1000</f>
        <v>4.0000000000000002E-4</v>
      </c>
      <c r="E26">
        <f>C26/C27</f>
        <v>3.9215686274509803E-2</v>
      </c>
      <c r="F26" s="69" t="s">
        <v>23</v>
      </c>
      <c r="G26" s="84">
        <v>2213.541666666667</v>
      </c>
      <c r="H26" s="84">
        <v>903.96364021734939</v>
      </c>
      <c r="I26" s="72">
        <v>0.45144132745896365</v>
      </c>
      <c r="J26" s="96">
        <v>170.87540000000004</v>
      </c>
    </row>
    <row r="27" spans="1:12" x14ac:dyDescent="0.3">
      <c r="A27" s="39" t="s">
        <v>92</v>
      </c>
      <c r="B27" t="s">
        <v>22</v>
      </c>
      <c r="C27">
        <f>SUM(C25:C26)</f>
        <v>10.200000000000001</v>
      </c>
      <c r="D27" s="69">
        <f>C27/1000</f>
        <v>1.0200000000000001E-2</v>
      </c>
      <c r="E27">
        <f>SUM(E25:E26)</f>
        <v>0.99999999999999989</v>
      </c>
      <c r="F27" s="69">
        <v>4.6079999999999998E-6</v>
      </c>
      <c r="G27" s="85">
        <f>D27/F27</f>
        <v>2213.541666666667</v>
      </c>
      <c r="H27" s="85">
        <v>903.96364021734939</v>
      </c>
      <c r="I27" s="76">
        <v>0.45144132745896365</v>
      </c>
      <c r="J27" s="98">
        <v>170.87540000000004</v>
      </c>
    </row>
    <row r="28" spans="1:12" x14ac:dyDescent="0.3">
      <c r="A28" s="55" t="s">
        <v>98</v>
      </c>
      <c r="B28" s="17"/>
      <c r="C28" s="17"/>
      <c r="D28" s="66"/>
      <c r="E28" s="17"/>
      <c r="F28" s="66"/>
      <c r="G28" s="82"/>
      <c r="H28" s="82"/>
      <c r="I28" s="74"/>
      <c r="J28" s="94"/>
    </row>
    <row r="29" spans="1:12" x14ac:dyDescent="0.3">
      <c r="A29" s="42" t="s">
        <v>122</v>
      </c>
      <c r="C29">
        <v>10.200000000000001</v>
      </c>
      <c r="D29" s="69">
        <v>1.0200000000000001E-2</v>
      </c>
      <c r="E29">
        <f>SUM(E27:E28)</f>
        <v>0.99999999999999989</v>
      </c>
      <c r="F29" s="69">
        <v>4.6079999999999998E-6</v>
      </c>
      <c r="G29" s="85">
        <v>2213.541666666667</v>
      </c>
      <c r="H29" s="85">
        <v>903.96364021734939</v>
      </c>
      <c r="I29" s="76">
        <v>0.45144132745896365</v>
      </c>
      <c r="J29" s="98">
        <v>170.87540000000004</v>
      </c>
    </row>
    <row r="30" spans="1:12" ht="15" thickBot="1" x14ac:dyDescent="0.35">
      <c r="A30" s="44" t="s">
        <v>121</v>
      </c>
      <c r="B30" s="36"/>
      <c r="C30" s="36">
        <v>10.200000000000001</v>
      </c>
      <c r="D30" s="70">
        <v>1.0200000000000001E-2</v>
      </c>
      <c r="E30" s="36">
        <v>0.99999999999999989</v>
      </c>
      <c r="F30" s="70">
        <v>4.6079999999999998E-6</v>
      </c>
      <c r="G30" s="83">
        <v>2213.541666666667</v>
      </c>
      <c r="H30" s="83">
        <v>903.96364021734939</v>
      </c>
      <c r="I30" s="75">
        <v>0.45144132745896365</v>
      </c>
      <c r="J30" s="95">
        <v>170.87540000000004</v>
      </c>
    </row>
    <row r="31" spans="1:12" x14ac:dyDescent="0.3">
      <c r="A31" s="2"/>
      <c r="D31" s="69"/>
      <c r="F31" s="69"/>
      <c r="G31" s="84"/>
      <c r="H31" s="84"/>
      <c r="I31" s="72"/>
      <c r="J31" s="72"/>
    </row>
    <row r="32" spans="1:12" ht="15" thickBot="1" x14ac:dyDescent="0.35">
      <c r="D32" s="69"/>
      <c r="F32" s="69"/>
      <c r="G32" s="84"/>
      <c r="H32" s="84"/>
      <c r="I32" s="72"/>
      <c r="J32" s="72"/>
    </row>
    <row r="33" spans="1:12" x14ac:dyDescent="0.3">
      <c r="A33" s="41" t="s">
        <v>102</v>
      </c>
      <c r="B33" s="31" t="s">
        <v>0</v>
      </c>
      <c r="C33" s="31" t="s">
        <v>180</v>
      </c>
      <c r="D33" s="68" t="s">
        <v>96</v>
      </c>
      <c r="E33" s="31" t="s">
        <v>94</v>
      </c>
      <c r="F33" s="68" t="s">
        <v>86</v>
      </c>
      <c r="G33" s="80" t="s">
        <v>5</v>
      </c>
      <c r="H33" s="91" t="s">
        <v>4</v>
      </c>
      <c r="I33" s="90" t="s">
        <v>207</v>
      </c>
      <c r="J33" s="97" t="s">
        <v>206</v>
      </c>
      <c r="L33" s="22"/>
    </row>
    <row r="34" spans="1:12" x14ac:dyDescent="0.3">
      <c r="A34" s="38" t="s">
        <v>105</v>
      </c>
      <c r="B34" t="s">
        <v>211</v>
      </c>
      <c r="C34">
        <v>9.8000000000000007</v>
      </c>
      <c r="D34" s="69">
        <f>C34/1000</f>
        <v>9.8000000000000014E-3</v>
      </c>
      <c r="E34">
        <f>C34/C36</f>
        <v>0.94230769230769229</v>
      </c>
      <c r="F34" s="69" t="s">
        <v>23</v>
      </c>
      <c r="G34" s="84">
        <v>2256.9444444444448</v>
      </c>
      <c r="H34" s="84">
        <v>903.96364021734939</v>
      </c>
      <c r="I34" s="72">
        <v>0.45144132745896365</v>
      </c>
      <c r="J34" s="96">
        <v>170.87540000000004</v>
      </c>
    </row>
    <row r="35" spans="1:12" x14ac:dyDescent="0.3">
      <c r="A35" s="38" t="s">
        <v>103</v>
      </c>
      <c r="B35" t="s">
        <v>93</v>
      </c>
      <c r="C35">
        <v>0.6</v>
      </c>
      <c r="D35" s="69">
        <f>C35/1000</f>
        <v>5.9999999999999995E-4</v>
      </c>
      <c r="E35">
        <f>C35/C36</f>
        <v>5.7692307692307689E-2</v>
      </c>
      <c r="F35" s="69" t="s">
        <v>23</v>
      </c>
      <c r="G35" s="84">
        <v>2256.9444444444448</v>
      </c>
      <c r="H35" s="84">
        <v>903.96364021734939</v>
      </c>
      <c r="I35" s="72">
        <v>0.45144132745896365</v>
      </c>
      <c r="J35" s="96">
        <v>170.87540000000004</v>
      </c>
    </row>
    <row r="36" spans="1:12" ht="15" thickBot="1" x14ac:dyDescent="0.35">
      <c r="A36" s="35" t="s">
        <v>92</v>
      </c>
      <c r="B36" s="36" t="s">
        <v>22</v>
      </c>
      <c r="C36" s="36">
        <f>SUM(C34:C35)</f>
        <v>10.4</v>
      </c>
      <c r="D36" s="70">
        <f>SUM(D34:D35)</f>
        <v>1.0400000000000001E-2</v>
      </c>
      <c r="E36" s="36">
        <f>SUM(E34:E35)</f>
        <v>1</v>
      </c>
      <c r="F36" s="70">
        <v>4.6079999999999998E-6</v>
      </c>
      <c r="G36" s="86">
        <f>D36/F36</f>
        <v>2256.9444444444448</v>
      </c>
      <c r="H36" s="86">
        <v>903.96364021734939</v>
      </c>
      <c r="I36" s="77">
        <v>0.45144132745896365</v>
      </c>
      <c r="J36" s="99">
        <v>170.87540000000004</v>
      </c>
    </row>
    <row r="37" spans="1:12" x14ac:dyDescent="0.3">
      <c r="D37" s="69"/>
      <c r="F37" s="69"/>
      <c r="G37" s="84"/>
      <c r="H37" s="84"/>
      <c r="I37" s="72"/>
      <c r="J37" s="72"/>
    </row>
    <row r="38" spans="1:12" ht="15" thickBot="1" x14ac:dyDescent="0.35">
      <c r="D38" s="69"/>
      <c r="F38" s="69"/>
      <c r="G38" s="84"/>
      <c r="H38" s="84"/>
      <c r="I38" s="72"/>
      <c r="J38" s="72"/>
    </row>
    <row r="39" spans="1:12" x14ac:dyDescent="0.3">
      <c r="A39" s="41" t="s">
        <v>104</v>
      </c>
      <c r="B39" s="31" t="s">
        <v>0</v>
      </c>
      <c r="C39" s="31" t="s">
        <v>180</v>
      </c>
      <c r="D39" s="68" t="s">
        <v>96</v>
      </c>
      <c r="E39" s="31" t="s">
        <v>94</v>
      </c>
      <c r="F39" s="68" t="s">
        <v>86</v>
      </c>
      <c r="G39" s="80" t="s">
        <v>5</v>
      </c>
      <c r="H39" s="91" t="s">
        <v>4</v>
      </c>
      <c r="I39" s="90" t="s">
        <v>207</v>
      </c>
      <c r="J39" s="97" t="s">
        <v>206</v>
      </c>
      <c r="L39" s="22"/>
    </row>
    <row r="40" spans="1:12" x14ac:dyDescent="0.3">
      <c r="A40" s="38" t="s">
        <v>106</v>
      </c>
      <c r="B40" t="s">
        <v>213</v>
      </c>
      <c r="C40">
        <v>7.1</v>
      </c>
      <c r="D40" s="69">
        <f>C40/1000</f>
        <v>7.0999999999999995E-3</v>
      </c>
      <c r="E40">
        <f>C40/C42</f>
        <v>1.0757575757575757</v>
      </c>
      <c r="F40" s="69" t="s">
        <v>23</v>
      </c>
      <c r="G40" s="84">
        <v>1629.6296296296296</v>
      </c>
      <c r="H40" s="84">
        <v>903.96364021734939</v>
      </c>
      <c r="I40" s="72">
        <v>0.45144132745896365</v>
      </c>
      <c r="J40" s="96">
        <v>170.87540000000004</v>
      </c>
    </row>
    <row r="41" spans="1:12" x14ac:dyDescent="0.3">
      <c r="A41" s="38" t="s">
        <v>91</v>
      </c>
      <c r="B41" t="s">
        <v>93</v>
      </c>
      <c r="C41">
        <v>0</v>
      </c>
      <c r="D41" s="69">
        <f t="shared" ref="D41:D42" si="1">C41/1000</f>
        <v>0</v>
      </c>
      <c r="E41">
        <f>C41/C42</f>
        <v>0</v>
      </c>
      <c r="F41" s="69" t="s">
        <v>23</v>
      </c>
      <c r="G41" s="84">
        <v>1629.6296296296296</v>
      </c>
      <c r="H41" s="84">
        <v>903.96364021734939</v>
      </c>
      <c r="I41" s="72">
        <v>0.45144132745896365</v>
      </c>
      <c r="J41" s="96">
        <v>170.87540000000004</v>
      </c>
    </row>
    <row r="42" spans="1:12" ht="15" thickBot="1" x14ac:dyDescent="0.35">
      <c r="A42" s="35" t="s">
        <v>92</v>
      </c>
      <c r="B42" s="36" t="s">
        <v>22</v>
      </c>
      <c r="C42" s="36">
        <v>6.6</v>
      </c>
      <c r="D42" s="70">
        <f t="shared" si="1"/>
        <v>6.6E-3</v>
      </c>
      <c r="E42" s="36"/>
      <c r="F42" s="70">
        <v>4.0500000000000002E-6</v>
      </c>
      <c r="G42" s="83">
        <f>D40/F42</f>
        <v>1753.0864197530861</v>
      </c>
      <c r="H42" s="83">
        <v>903.96364021734939</v>
      </c>
      <c r="I42" s="75">
        <v>0.45144132745896365</v>
      </c>
      <c r="J42" s="95">
        <v>170.87540000000004</v>
      </c>
    </row>
    <row r="43" spans="1:12" x14ac:dyDescent="0.3">
      <c r="D43" s="69"/>
      <c r="F43" s="69"/>
      <c r="G43" s="84"/>
      <c r="H43" s="84"/>
      <c r="I43" s="72"/>
      <c r="J43" s="72"/>
    </row>
    <row r="44" spans="1:12" ht="15" thickBot="1" x14ac:dyDescent="0.35">
      <c r="D44" s="69"/>
      <c r="F44" s="69"/>
      <c r="G44" s="84"/>
      <c r="H44" s="84"/>
      <c r="I44" s="72"/>
      <c r="J44" s="72"/>
    </row>
    <row r="45" spans="1:12" x14ac:dyDescent="0.3">
      <c r="A45" s="41" t="s">
        <v>107</v>
      </c>
      <c r="B45" s="31" t="s">
        <v>0</v>
      </c>
      <c r="C45" s="31" t="s">
        <v>180</v>
      </c>
      <c r="D45" s="68" t="s">
        <v>96</v>
      </c>
      <c r="E45" s="31" t="s">
        <v>94</v>
      </c>
      <c r="F45" s="68" t="s">
        <v>86</v>
      </c>
      <c r="G45" s="80" t="s">
        <v>5</v>
      </c>
      <c r="H45" s="91" t="s">
        <v>4</v>
      </c>
      <c r="I45" s="90" t="s">
        <v>207</v>
      </c>
      <c r="J45" s="97" t="s">
        <v>206</v>
      </c>
    </row>
    <row r="46" spans="1:12" x14ac:dyDescent="0.3">
      <c r="A46" s="38" t="s">
        <v>110</v>
      </c>
      <c r="B46" t="s">
        <v>214</v>
      </c>
      <c r="C46">
        <v>5.6</v>
      </c>
      <c r="D46" s="69">
        <f>C46/1000</f>
        <v>5.5999999999999999E-3</v>
      </c>
      <c r="E46">
        <f>D46/$D$48</f>
        <v>0.7</v>
      </c>
      <c r="F46" s="69" t="s">
        <v>23</v>
      </c>
      <c r="G46" s="84">
        <v>3125</v>
      </c>
      <c r="H46" s="84">
        <v>940.29816397754291</v>
      </c>
      <c r="I46" s="72">
        <v>0.42113750296583358</v>
      </c>
      <c r="J46" s="96">
        <v>91.472640000000013</v>
      </c>
    </row>
    <row r="47" spans="1:12" x14ac:dyDescent="0.3">
      <c r="A47" s="38" t="s">
        <v>91</v>
      </c>
      <c r="C47">
        <v>2.4</v>
      </c>
      <c r="D47" s="69">
        <f>C47/1000</f>
        <v>2.3999999999999998E-3</v>
      </c>
      <c r="E47">
        <f>D47/$D$48</f>
        <v>0.3</v>
      </c>
      <c r="F47" s="69" t="s">
        <v>23</v>
      </c>
      <c r="G47" s="84">
        <v>3125</v>
      </c>
      <c r="H47" s="84">
        <v>940.29816397754291</v>
      </c>
      <c r="I47" s="72">
        <v>0.42113750296583358</v>
      </c>
      <c r="J47" s="96">
        <v>91.472640000000013</v>
      </c>
    </row>
    <row r="48" spans="1:12" ht="15" thickBot="1" x14ac:dyDescent="0.35">
      <c r="A48" s="35" t="s">
        <v>92</v>
      </c>
      <c r="B48" s="36"/>
      <c r="C48" s="36">
        <f>SUM(C46:C47)</f>
        <v>8</v>
      </c>
      <c r="D48" s="70">
        <f>SUM(D46:D47)</f>
        <v>8.0000000000000002E-3</v>
      </c>
      <c r="E48" s="36">
        <f>SUM(E46:E47)</f>
        <v>1</v>
      </c>
      <c r="F48" s="70">
        <v>2.5600000000000001E-6</v>
      </c>
      <c r="G48" s="83">
        <f>D48/F48</f>
        <v>3125</v>
      </c>
      <c r="H48" s="83">
        <v>940.29816397754291</v>
      </c>
      <c r="I48" s="75">
        <v>0.42113750296583358</v>
      </c>
      <c r="J48" s="95">
        <v>91.472640000000013</v>
      </c>
    </row>
    <row r="49" spans="1:10" x14ac:dyDescent="0.3">
      <c r="D49" s="69"/>
      <c r="F49" s="69"/>
      <c r="G49" s="84"/>
      <c r="H49" s="84"/>
      <c r="I49" s="72"/>
      <c r="J49" s="72"/>
    </row>
    <row r="50" spans="1:10" ht="15" thickBot="1" x14ac:dyDescent="0.35">
      <c r="D50" s="69"/>
      <c r="F50" s="69"/>
      <c r="G50" s="84"/>
      <c r="H50" s="84"/>
      <c r="I50" s="72"/>
      <c r="J50" s="72"/>
    </row>
    <row r="51" spans="1:10" x14ac:dyDescent="0.3">
      <c r="A51" s="41" t="s">
        <v>108</v>
      </c>
      <c r="B51" s="31" t="s">
        <v>0</v>
      </c>
      <c r="C51" s="31" t="s">
        <v>180</v>
      </c>
      <c r="D51" s="68" t="s">
        <v>96</v>
      </c>
      <c r="E51" s="31" t="s">
        <v>94</v>
      </c>
      <c r="F51" s="68" t="s">
        <v>86</v>
      </c>
      <c r="G51" s="80" t="s">
        <v>5</v>
      </c>
      <c r="H51" s="91" t="s">
        <v>4</v>
      </c>
      <c r="I51" s="90" t="s">
        <v>207</v>
      </c>
      <c r="J51" s="97" t="s">
        <v>206</v>
      </c>
    </row>
    <row r="52" spans="1:10" x14ac:dyDescent="0.3">
      <c r="A52" s="38" t="s">
        <v>111</v>
      </c>
      <c r="B52" t="s">
        <v>214</v>
      </c>
      <c r="C52">
        <v>5.5</v>
      </c>
      <c r="D52" s="69">
        <f>C52/1000</f>
        <v>5.4999999999999997E-3</v>
      </c>
      <c r="E52">
        <f>D52/D54</f>
        <v>0.77464788732394363</v>
      </c>
      <c r="F52" s="69" t="s">
        <v>23</v>
      </c>
      <c r="G52" s="84">
        <v>2773.4374999999995</v>
      </c>
      <c r="H52" s="84">
        <v>940.29816397754291</v>
      </c>
      <c r="I52" s="72">
        <v>0.42113750296583358</v>
      </c>
      <c r="J52" s="96">
        <v>91.472640000000013</v>
      </c>
    </row>
    <row r="53" spans="1:10" x14ac:dyDescent="0.3">
      <c r="A53" s="38" t="s">
        <v>91</v>
      </c>
      <c r="C53">
        <v>1.6</v>
      </c>
      <c r="D53" s="69">
        <f>C53/1000</f>
        <v>1.6000000000000001E-3</v>
      </c>
      <c r="E53">
        <f>D53/$D$54</f>
        <v>0.22535211267605637</v>
      </c>
      <c r="F53" s="69" t="s">
        <v>23</v>
      </c>
      <c r="G53" s="84">
        <v>2773.4374999999995</v>
      </c>
      <c r="H53" s="84">
        <v>940.29816397754291</v>
      </c>
      <c r="I53" s="72">
        <v>0.42113750296583358</v>
      </c>
      <c r="J53" s="96">
        <v>91.472640000000013</v>
      </c>
    </row>
    <row r="54" spans="1:10" ht="15" thickBot="1" x14ac:dyDescent="0.35">
      <c r="A54" s="35" t="s">
        <v>92</v>
      </c>
      <c r="B54" s="36"/>
      <c r="C54" s="36">
        <f>SUM(C52:C53)</f>
        <v>7.1</v>
      </c>
      <c r="D54" s="70">
        <f>SUM(D52:D53)</f>
        <v>7.0999999999999995E-3</v>
      </c>
      <c r="E54" s="36">
        <f>SUM(E52:E53)</f>
        <v>1</v>
      </c>
      <c r="F54" s="70">
        <v>2.5600000000000001E-6</v>
      </c>
      <c r="G54" s="83">
        <f>D54/F54</f>
        <v>2773.4374999999995</v>
      </c>
      <c r="H54" s="83">
        <v>940.29816397754291</v>
      </c>
      <c r="I54" s="75">
        <v>0.42113750296583358</v>
      </c>
      <c r="J54" s="95">
        <v>91.472640000000013</v>
      </c>
    </row>
    <row r="55" spans="1:10" x14ac:dyDescent="0.3">
      <c r="D55" s="69"/>
      <c r="F55" s="69"/>
      <c r="G55" s="84"/>
      <c r="H55" s="84"/>
      <c r="I55" s="72"/>
      <c r="J55" s="72"/>
    </row>
    <row r="56" spans="1:10" ht="15" thickBot="1" x14ac:dyDescent="0.35">
      <c r="D56" s="69"/>
      <c r="F56" s="69"/>
      <c r="G56" s="84"/>
      <c r="H56" s="84"/>
      <c r="I56" s="72"/>
      <c r="J56" s="72"/>
    </row>
    <row r="57" spans="1:10" x14ac:dyDescent="0.3">
      <c r="A57" s="41" t="s">
        <v>109</v>
      </c>
      <c r="B57" s="31" t="s">
        <v>0</v>
      </c>
      <c r="C57" s="31" t="s">
        <v>180</v>
      </c>
      <c r="D57" s="68" t="s">
        <v>96</v>
      </c>
      <c r="E57" s="31" t="s">
        <v>94</v>
      </c>
      <c r="F57" s="68" t="s">
        <v>86</v>
      </c>
      <c r="G57" s="80" t="s">
        <v>5</v>
      </c>
      <c r="H57" s="91" t="s">
        <v>4</v>
      </c>
      <c r="I57" s="90" t="s">
        <v>207</v>
      </c>
      <c r="J57" s="97" t="s">
        <v>206</v>
      </c>
    </row>
    <row r="58" spans="1:10" x14ac:dyDescent="0.3">
      <c r="A58" s="38" t="s">
        <v>112</v>
      </c>
      <c r="B58" t="s">
        <v>214</v>
      </c>
      <c r="C58">
        <v>5.4</v>
      </c>
      <c r="D58" s="69">
        <f>C58/1000</f>
        <v>5.4000000000000003E-3</v>
      </c>
      <c r="E58">
        <f>D58/$D$60</f>
        <v>0.77142857142857146</v>
      </c>
      <c r="F58" s="69" t="s">
        <v>23</v>
      </c>
      <c r="G58" s="84">
        <v>2734.375</v>
      </c>
      <c r="H58" s="84">
        <v>940.29816397754291</v>
      </c>
      <c r="I58" s="72">
        <v>0.42113750296583358</v>
      </c>
      <c r="J58" s="96">
        <v>91.472640000000013</v>
      </c>
    </row>
    <row r="59" spans="1:10" x14ac:dyDescent="0.3">
      <c r="A59" s="38" t="s">
        <v>91</v>
      </c>
      <c r="C59">
        <v>1.6</v>
      </c>
      <c r="D59" s="69">
        <f>C59/1000</f>
        <v>1.6000000000000001E-3</v>
      </c>
      <c r="E59">
        <f>D59/$D$60</f>
        <v>0.22857142857142856</v>
      </c>
      <c r="F59" s="69" t="s">
        <v>23</v>
      </c>
      <c r="G59" s="84">
        <v>2734.375</v>
      </c>
      <c r="H59" s="84">
        <v>940.29816397754291</v>
      </c>
      <c r="I59" s="72">
        <v>0.42113750296583358</v>
      </c>
      <c r="J59" s="96">
        <v>91.472640000000013</v>
      </c>
    </row>
    <row r="60" spans="1:10" ht="15" thickBot="1" x14ac:dyDescent="0.35">
      <c r="A60" s="35" t="s">
        <v>92</v>
      </c>
      <c r="B60" s="36"/>
      <c r="C60" s="36">
        <f>SUM(C58:C59)</f>
        <v>7</v>
      </c>
      <c r="D60" s="70">
        <f>SUM(D58:D59)</f>
        <v>7.0000000000000001E-3</v>
      </c>
      <c r="E60" s="36">
        <f>SUM(E58:E59)</f>
        <v>1</v>
      </c>
      <c r="F60" s="70">
        <v>2.5600000000000001E-6</v>
      </c>
      <c r="G60" s="83">
        <f>D60/F60</f>
        <v>2734.375</v>
      </c>
      <c r="H60" s="83">
        <v>940.29816397754291</v>
      </c>
      <c r="I60" s="75">
        <v>0.42113750296583358</v>
      </c>
      <c r="J60" s="95">
        <v>91.472640000000013</v>
      </c>
    </row>
    <row r="61" spans="1:10" x14ac:dyDescent="0.3">
      <c r="D61" s="69"/>
      <c r="F61" s="69"/>
      <c r="G61" s="84"/>
      <c r="H61" s="84"/>
      <c r="I61" s="72"/>
      <c r="J61" s="72"/>
    </row>
    <row r="62" spans="1:10" ht="15" thickBot="1" x14ac:dyDescent="0.35">
      <c r="D62" s="69"/>
      <c r="F62" s="69"/>
      <c r="G62" s="84"/>
      <c r="H62" s="84"/>
      <c r="I62" s="72"/>
      <c r="J62" s="72"/>
    </row>
    <row r="63" spans="1:10" x14ac:dyDescent="0.3">
      <c r="A63" s="41" t="s">
        <v>113</v>
      </c>
      <c r="B63" s="31" t="s">
        <v>0</v>
      </c>
      <c r="C63" s="31" t="s">
        <v>180</v>
      </c>
      <c r="D63" s="68" t="s">
        <v>96</v>
      </c>
      <c r="E63" s="31" t="s">
        <v>94</v>
      </c>
      <c r="F63" s="68" t="s">
        <v>86</v>
      </c>
      <c r="G63" s="80" t="s">
        <v>5</v>
      </c>
      <c r="H63" s="91" t="s">
        <v>4</v>
      </c>
      <c r="I63" s="90" t="s">
        <v>207</v>
      </c>
      <c r="J63" s="97" t="s">
        <v>206</v>
      </c>
    </row>
    <row r="64" spans="1:10" x14ac:dyDescent="0.3">
      <c r="A64" s="38" t="s">
        <v>181</v>
      </c>
      <c r="B64" t="s">
        <v>220</v>
      </c>
      <c r="C64">
        <v>9.1999999999999993</v>
      </c>
      <c r="D64" s="69">
        <f>C64/1000</f>
        <v>9.1999999999999998E-3</v>
      </c>
      <c r="E64">
        <v>1</v>
      </c>
      <c r="F64" s="69" t="s">
        <v>23</v>
      </c>
      <c r="G64" s="84">
        <v>3593.75</v>
      </c>
      <c r="H64" s="84">
        <v>783.19706393372451</v>
      </c>
      <c r="I64" s="72">
        <v>0.49190487192846383</v>
      </c>
      <c r="J64" s="96">
        <v>110.14952000000002</v>
      </c>
    </row>
    <row r="65" spans="1:12" ht="15" thickBot="1" x14ac:dyDescent="0.35">
      <c r="A65" s="35" t="s">
        <v>92</v>
      </c>
      <c r="B65" s="36"/>
      <c r="C65" s="36">
        <v>9.1999999999999993</v>
      </c>
      <c r="D65" s="70">
        <v>9.1999999999999998E-3</v>
      </c>
      <c r="E65" s="36">
        <v>1</v>
      </c>
      <c r="F65" s="70">
        <v>2.5600000000000001E-6</v>
      </c>
      <c r="G65" s="83">
        <f>D64/F65</f>
        <v>3593.75</v>
      </c>
      <c r="H65" s="83">
        <v>783.19706393372451</v>
      </c>
      <c r="I65" s="75">
        <v>0.49190487192846383</v>
      </c>
      <c r="J65" s="95">
        <v>110.14952000000002</v>
      </c>
    </row>
    <row r="66" spans="1:12" x14ac:dyDescent="0.3">
      <c r="D66" s="69"/>
      <c r="F66" s="69"/>
      <c r="G66" s="84"/>
      <c r="H66" s="84"/>
      <c r="I66" s="72"/>
      <c r="J66" s="72"/>
    </row>
    <row r="67" spans="1:12" ht="15" thickBot="1" x14ac:dyDescent="0.35">
      <c r="D67" s="69"/>
      <c r="F67" s="69"/>
      <c r="G67" s="84"/>
      <c r="H67" s="84"/>
      <c r="I67" s="72"/>
      <c r="J67" s="72"/>
    </row>
    <row r="68" spans="1:12" x14ac:dyDescent="0.3">
      <c r="A68" s="41" t="s">
        <v>114</v>
      </c>
      <c r="B68" s="31" t="s">
        <v>0</v>
      </c>
      <c r="C68" s="31" t="s">
        <v>180</v>
      </c>
      <c r="D68" s="68" t="s">
        <v>96</v>
      </c>
      <c r="E68" s="31">
        <v>1</v>
      </c>
      <c r="F68" s="68" t="s">
        <v>86</v>
      </c>
      <c r="G68" s="80" t="s">
        <v>5</v>
      </c>
      <c r="H68" s="91" t="s">
        <v>4</v>
      </c>
      <c r="I68" s="90" t="s">
        <v>207</v>
      </c>
      <c r="J68" s="97" t="s">
        <v>206</v>
      </c>
      <c r="L68" s="22"/>
    </row>
    <row r="69" spans="1:12" x14ac:dyDescent="0.3">
      <c r="A69" s="38" t="s">
        <v>115</v>
      </c>
      <c r="B69" t="s">
        <v>247</v>
      </c>
      <c r="C69">
        <v>7.6</v>
      </c>
      <c r="D69" s="69">
        <f>C69/1000</f>
        <v>7.6E-3</v>
      </c>
      <c r="F69" s="69" t="s">
        <v>23</v>
      </c>
      <c r="G69" s="84"/>
      <c r="H69" s="84"/>
      <c r="I69" s="72"/>
      <c r="J69" s="96"/>
    </row>
    <row r="70" spans="1:12" x14ac:dyDescent="0.3">
      <c r="A70" s="38" t="s">
        <v>69</v>
      </c>
      <c r="B70" t="s">
        <v>248</v>
      </c>
      <c r="C70">
        <v>0.7</v>
      </c>
      <c r="D70" s="69">
        <f t="shared" ref="D70:D72" si="2">C70/1000</f>
        <v>6.9999999999999999E-4</v>
      </c>
      <c r="F70" s="69" t="s">
        <v>23</v>
      </c>
      <c r="G70" s="84"/>
      <c r="H70" s="84"/>
      <c r="I70" s="72"/>
      <c r="J70" s="96"/>
    </row>
    <row r="71" spans="1:12" x14ac:dyDescent="0.3">
      <c r="A71" s="38" t="s">
        <v>91</v>
      </c>
      <c r="D71" s="69">
        <f t="shared" si="2"/>
        <v>0</v>
      </c>
      <c r="F71" s="69" t="s">
        <v>23</v>
      </c>
      <c r="G71" s="84"/>
      <c r="H71" s="84"/>
      <c r="I71" s="72"/>
      <c r="J71" s="96"/>
    </row>
    <row r="72" spans="1:12" ht="15" thickBot="1" x14ac:dyDescent="0.35">
      <c r="A72" s="35" t="s">
        <v>92</v>
      </c>
      <c r="B72" s="36"/>
      <c r="C72" s="36">
        <f>SUM(C69:C70)</f>
        <v>8.2999999999999989</v>
      </c>
      <c r="D72" s="69">
        <f t="shared" si="2"/>
        <v>8.2999999999999984E-3</v>
      </c>
      <c r="E72" s="36"/>
      <c r="F72" s="70">
        <v>2.5600000000000001E-6</v>
      </c>
      <c r="G72" s="83">
        <f>D72/F72</f>
        <v>3242.1874999999991</v>
      </c>
      <c r="H72" s="83">
        <v>904.86619540520076</v>
      </c>
      <c r="I72" s="75">
        <v>0.38300309109725139</v>
      </c>
      <c r="J72" s="95">
        <v>88.525164000000032</v>
      </c>
    </row>
    <row r="73" spans="1:12" ht="15" thickBot="1" x14ac:dyDescent="0.35">
      <c r="A73" s="23"/>
      <c r="D73" s="69"/>
      <c r="F73" s="69"/>
      <c r="G73" s="84"/>
      <c r="H73" s="84"/>
      <c r="I73" s="72"/>
      <c r="J73" s="72"/>
    </row>
    <row r="74" spans="1:12" x14ac:dyDescent="0.3">
      <c r="A74" s="37" t="s">
        <v>126</v>
      </c>
      <c r="B74" s="31" t="s">
        <v>0</v>
      </c>
      <c r="C74" s="31" t="s">
        <v>180</v>
      </c>
      <c r="D74" s="68" t="s">
        <v>96</v>
      </c>
      <c r="E74" s="31" t="s">
        <v>94</v>
      </c>
      <c r="F74" s="68" t="s">
        <v>215</v>
      </c>
      <c r="G74" s="80" t="s">
        <v>244</v>
      </c>
      <c r="H74" s="91" t="s">
        <v>4</v>
      </c>
      <c r="I74" s="90" t="s">
        <v>207</v>
      </c>
      <c r="J74" s="97" t="s">
        <v>206</v>
      </c>
    </row>
    <row r="75" spans="1:12" ht="15" thickBot="1" x14ac:dyDescent="0.35">
      <c r="A75" s="35" t="s">
        <v>92</v>
      </c>
      <c r="B75" s="36"/>
      <c r="C75" s="36">
        <v>5.7</v>
      </c>
      <c r="D75" s="70">
        <f>C75/1000</f>
        <v>5.7000000000000002E-3</v>
      </c>
      <c r="E75" s="36"/>
      <c r="F75" s="70">
        <v>4.2999999999999999E-4</v>
      </c>
      <c r="G75" s="87">
        <f>D75/F75</f>
        <v>13.255813953488373</v>
      </c>
      <c r="H75" s="87">
        <v>500</v>
      </c>
      <c r="I75" s="87">
        <v>15</v>
      </c>
      <c r="J75" s="100">
        <v>15</v>
      </c>
    </row>
    <row r="76" spans="1:12" ht="15" thickBot="1" x14ac:dyDescent="0.35">
      <c r="A76" s="23"/>
      <c r="D76" s="69"/>
      <c r="F76" s="69"/>
      <c r="G76" s="84"/>
      <c r="H76" s="84"/>
      <c r="I76" s="72"/>
      <c r="J76" s="72"/>
    </row>
    <row r="77" spans="1:12" x14ac:dyDescent="0.3">
      <c r="A77" s="30" t="s">
        <v>168</v>
      </c>
      <c r="B77" s="31" t="s">
        <v>0</v>
      </c>
      <c r="C77" s="31" t="s">
        <v>180</v>
      </c>
      <c r="D77" s="68" t="s">
        <v>96</v>
      </c>
      <c r="E77" s="31" t="s">
        <v>94</v>
      </c>
      <c r="F77" s="68" t="s">
        <v>86</v>
      </c>
      <c r="G77" s="80" t="s">
        <v>5</v>
      </c>
      <c r="H77" s="91" t="s">
        <v>4</v>
      </c>
      <c r="I77" s="90" t="s">
        <v>207</v>
      </c>
      <c r="J77" s="97" t="s">
        <v>206</v>
      </c>
    </row>
    <row r="78" spans="1:12" x14ac:dyDescent="0.3">
      <c r="A78" s="33" t="s">
        <v>128</v>
      </c>
      <c r="B78" t="s">
        <v>52</v>
      </c>
      <c r="C78">
        <f>24</f>
        <v>24</v>
      </c>
      <c r="D78" s="69">
        <f>C78/1000</f>
        <v>2.4E-2</v>
      </c>
      <c r="E78">
        <f>D78/D87</f>
        <v>0.92407207762205446</v>
      </c>
      <c r="F78" s="69" t="s">
        <v>23</v>
      </c>
      <c r="G78" s="84" t="s">
        <v>23</v>
      </c>
      <c r="H78" s="88">
        <v>960</v>
      </c>
      <c r="I78" s="79">
        <v>130</v>
      </c>
      <c r="J78" s="101">
        <v>130</v>
      </c>
    </row>
    <row r="79" spans="1:12" x14ac:dyDescent="0.3">
      <c r="A79" s="33" t="s">
        <v>250</v>
      </c>
      <c r="B79" t="s">
        <v>48</v>
      </c>
      <c r="C79">
        <f>4*0.29*1.7</f>
        <v>1.9719999999999998</v>
      </c>
      <c r="D79" s="69">
        <f>C79/1000</f>
        <v>1.9719999999999998E-3</v>
      </c>
      <c r="E79">
        <f>D79/D87</f>
        <v>7.5927922377945462E-2</v>
      </c>
      <c r="F79" s="69"/>
      <c r="G79" s="84" t="s">
        <v>23</v>
      </c>
      <c r="H79" s="88">
        <v>500</v>
      </c>
      <c r="I79" s="79">
        <v>15</v>
      </c>
      <c r="J79" s="101">
        <v>15</v>
      </c>
    </row>
    <row r="80" spans="1:12" x14ac:dyDescent="0.3">
      <c r="A80" s="34" t="s">
        <v>169</v>
      </c>
      <c r="D80" s="69"/>
      <c r="F80" s="69"/>
      <c r="G80" s="84"/>
      <c r="H80" s="84"/>
      <c r="I80" s="72"/>
      <c r="J80" s="96"/>
    </row>
    <row r="81" spans="1:10" x14ac:dyDescent="0.3">
      <c r="A81" s="43" t="s">
        <v>170</v>
      </c>
      <c r="B81" t="s">
        <v>23</v>
      </c>
      <c r="C81" t="s">
        <v>23</v>
      </c>
      <c r="D81" s="69"/>
      <c r="F81" s="69">
        <v>3.1203999999999998E-6</v>
      </c>
      <c r="G81" s="84">
        <v>1401.4979818256384</v>
      </c>
      <c r="H81" s="88">
        <v>925.07315570614492</v>
      </c>
      <c r="I81" s="79">
        <v>121.26828892653627</v>
      </c>
      <c r="J81" s="101">
        <v>121.26828892653627</v>
      </c>
    </row>
    <row r="82" spans="1:10" x14ac:dyDescent="0.3">
      <c r="A82" s="43" t="s">
        <v>171</v>
      </c>
      <c r="B82" t="s">
        <v>23</v>
      </c>
      <c r="C82" t="s">
        <v>23</v>
      </c>
      <c r="D82" s="69"/>
      <c r="F82" s="69">
        <v>1.52E-5</v>
      </c>
      <c r="G82" s="84">
        <v>1401.4979818256384</v>
      </c>
      <c r="H82" s="88">
        <v>925.07315570614492</v>
      </c>
      <c r="I82" s="79">
        <v>121.26828892653627</v>
      </c>
      <c r="J82" s="101">
        <v>121.26828892653627</v>
      </c>
    </row>
    <row r="83" spans="1:10" x14ac:dyDescent="0.3">
      <c r="A83" s="43" t="s">
        <v>172</v>
      </c>
      <c r="B83" t="s">
        <v>23</v>
      </c>
      <c r="C83" t="s">
        <v>23</v>
      </c>
      <c r="D83" s="69"/>
      <c r="F83" s="69">
        <v>3.3600000000000003E-8</v>
      </c>
      <c r="G83" s="84">
        <v>1401.4979818256384</v>
      </c>
      <c r="H83" s="88">
        <v>925.07315570614492</v>
      </c>
      <c r="I83" s="79">
        <v>121.26828892653627</v>
      </c>
      <c r="J83" s="101">
        <v>121.26828892653627</v>
      </c>
    </row>
    <row r="84" spans="1:10" x14ac:dyDescent="0.3">
      <c r="A84" s="43" t="s">
        <v>173</v>
      </c>
      <c r="B84" t="s">
        <v>23</v>
      </c>
      <c r="C84" t="s">
        <v>23</v>
      </c>
      <c r="D84" s="69"/>
      <c r="F84" s="69">
        <v>1.92E-8</v>
      </c>
      <c r="G84" s="84">
        <v>1401.4979818256384</v>
      </c>
      <c r="H84" s="88">
        <v>925.07315570614492</v>
      </c>
      <c r="I84" s="79">
        <v>121.26828892653627</v>
      </c>
      <c r="J84" s="101">
        <v>121.26828892653627</v>
      </c>
    </row>
    <row r="85" spans="1:10" x14ac:dyDescent="0.3">
      <c r="A85" s="55" t="s">
        <v>98</v>
      </c>
      <c r="B85" s="17"/>
      <c r="C85" s="17"/>
      <c r="D85" s="66"/>
      <c r="E85" s="17"/>
      <c r="F85" s="66"/>
      <c r="G85" s="82"/>
      <c r="H85" s="82"/>
      <c r="I85" s="74"/>
      <c r="J85" s="94"/>
    </row>
    <row r="86" spans="1:10" x14ac:dyDescent="0.3">
      <c r="A86" s="43" t="s">
        <v>174</v>
      </c>
      <c r="D86" s="69"/>
      <c r="F86" s="69"/>
      <c r="G86" s="84">
        <v>1401.4979818256384</v>
      </c>
      <c r="H86" s="88">
        <v>925.07315570614492</v>
      </c>
      <c r="I86" s="79">
        <v>121.26828892653627</v>
      </c>
      <c r="J86" s="101">
        <v>121.26828892653627</v>
      </c>
    </row>
    <row r="87" spans="1:10" ht="15" thickBot="1" x14ac:dyDescent="0.35">
      <c r="A87" s="35" t="s">
        <v>92</v>
      </c>
      <c r="B87" s="36"/>
      <c r="C87" s="36">
        <f>SUM(C78:C79)</f>
        <v>25.972000000000001</v>
      </c>
      <c r="D87" s="70">
        <f>SUM(D78:D79)</f>
        <v>2.5972000000000002E-2</v>
      </c>
      <c r="E87" s="36"/>
      <c r="F87" s="70">
        <f>F81+F82+F83*4+F84*4</f>
        <v>1.8531600000000001E-5</v>
      </c>
      <c r="G87" s="83">
        <f>D87/F87</f>
        <v>1401.4979818256384</v>
      </c>
      <c r="H87" s="87">
        <f>H78*$E$78+H79*$E$79</f>
        <v>925.07315570614492</v>
      </c>
      <c r="I87" s="78">
        <f>I78*$E$78+I79*$E$79</f>
        <v>121.26828892653627</v>
      </c>
      <c r="J87" s="100">
        <f>J78*$E$78+J79*$E$79</f>
        <v>121.26828892653627</v>
      </c>
    </row>
    <row r="88" spans="1:10" x14ac:dyDescent="0.3">
      <c r="D88" s="69"/>
      <c r="F88" s="69"/>
      <c r="G88" s="84"/>
      <c r="H88" s="84"/>
      <c r="I88" s="72"/>
      <c r="J88" s="72"/>
    </row>
    <row r="89" spans="1:10" x14ac:dyDescent="0.3">
      <c r="D89" s="69"/>
      <c r="F89" s="69"/>
      <c r="G89" s="84"/>
      <c r="H89" s="84"/>
      <c r="I89" s="72"/>
      <c r="J89" s="72"/>
    </row>
    <row r="90" spans="1:10" x14ac:dyDescent="0.3">
      <c r="D90" s="69"/>
      <c r="F90" s="69"/>
      <c r="G90" s="84"/>
      <c r="H90" s="84"/>
      <c r="I90" s="72"/>
      <c r="J90" s="72"/>
    </row>
    <row r="91" spans="1:10" ht="15" thickBot="1" x14ac:dyDescent="0.35">
      <c r="A91" s="47" t="s">
        <v>41</v>
      </c>
      <c r="D91" s="69"/>
      <c r="F91" s="69"/>
      <c r="G91" s="84"/>
      <c r="H91" s="84"/>
      <c r="I91" s="72"/>
      <c r="J91" s="72"/>
    </row>
    <row r="92" spans="1:10" x14ac:dyDescent="0.3">
      <c r="A92" s="46" t="s">
        <v>117</v>
      </c>
      <c r="B92" s="31" t="s">
        <v>0</v>
      </c>
      <c r="C92" s="31" t="s">
        <v>180</v>
      </c>
      <c r="D92" s="68" t="s">
        <v>96</v>
      </c>
      <c r="E92" s="31" t="s">
        <v>94</v>
      </c>
      <c r="F92" s="68" t="s">
        <v>86</v>
      </c>
      <c r="G92" s="80" t="s">
        <v>5</v>
      </c>
      <c r="H92" s="91" t="s">
        <v>4</v>
      </c>
      <c r="I92" s="90" t="s">
        <v>207</v>
      </c>
      <c r="J92" s="97" t="s">
        <v>206</v>
      </c>
    </row>
    <row r="93" spans="1:10" x14ac:dyDescent="0.3">
      <c r="A93" s="39" t="s">
        <v>92</v>
      </c>
      <c r="C93">
        <v>0.9</v>
      </c>
      <c r="D93" s="69">
        <f>C93/1000</f>
        <v>8.9999999999999998E-4</v>
      </c>
      <c r="E93">
        <v>1</v>
      </c>
      <c r="F93" s="69">
        <v>3.96E-7</v>
      </c>
      <c r="G93" s="85">
        <f>D93/F93</f>
        <v>2272.7272727272725</v>
      </c>
      <c r="H93" s="81">
        <v>325</v>
      </c>
      <c r="I93" s="81">
        <v>50</v>
      </c>
      <c r="J93" s="93">
        <v>50</v>
      </c>
    </row>
    <row r="94" spans="1:10" x14ac:dyDescent="0.3">
      <c r="A94" s="55" t="s">
        <v>98</v>
      </c>
      <c r="B94" s="17"/>
      <c r="C94" s="17"/>
      <c r="D94" s="66"/>
      <c r="E94" s="17"/>
      <c r="F94" s="66"/>
      <c r="G94" s="82"/>
      <c r="H94" s="82"/>
      <c r="I94" s="82"/>
      <c r="J94" s="94"/>
    </row>
    <row r="95" spans="1:10" x14ac:dyDescent="0.3">
      <c r="A95" s="34" t="s">
        <v>116</v>
      </c>
      <c r="C95">
        <v>0.9</v>
      </c>
      <c r="D95" s="69">
        <f>C95/1000</f>
        <v>8.9999999999999998E-4</v>
      </c>
      <c r="E95">
        <v>1</v>
      </c>
      <c r="F95" s="69"/>
      <c r="G95" s="85">
        <v>2272.7272727272725</v>
      </c>
      <c r="H95" s="85">
        <v>325</v>
      </c>
      <c r="I95" s="85">
        <v>50</v>
      </c>
      <c r="J95" s="98">
        <v>50</v>
      </c>
    </row>
    <row r="96" spans="1:10" x14ac:dyDescent="0.3">
      <c r="A96" s="34" t="s">
        <v>118</v>
      </c>
      <c r="C96">
        <v>0.9</v>
      </c>
      <c r="D96" s="69">
        <f>C96/1000</f>
        <v>8.9999999999999998E-4</v>
      </c>
      <c r="E96">
        <v>1</v>
      </c>
      <c r="F96" s="69"/>
      <c r="G96" s="85">
        <v>2272.7272727272725</v>
      </c>
      <c r="H96" s="85">
        <v>325</v>
      </c>
      <c r="I96" s="85">
        <v>50</v>
      </c>
      <c r="J96" s="98">
        <v>50</v>
      </c>
    </row>
    <row r="97" spans="1:11" x14ac:dyDescent="0.3">
      <c r="A97" s="34" t="s">
        <v>119</v>
      </c>
      <c r="C97">
        <v>0.9</v>
      </c>
      <c r="D97" s="69">
        <f>C97/1000</f>
        <v>8.9999999999999998E-4</v>
      </c>
      <c r="E97">
        <v>1</v>
      </c>
      <c r="F97" s="69"/>
      <c r="G97" s="85">
        <v>2272.7272727272725</v>
      </c>
      <c r="H97" s="85">
        <v>325</v>
      </c>
      <c r="I97" s="85">
        <v>50</v>
      </c>
      <c r="J97" s="98">
        <v>50</v>
      </c>
    </row>
    <row r="98" spans="1:11" ht="15" thickBot="1" x14ac:dyDescent="0.35">
      <c r="A98" s="40" t="s">
        <v>120</v>
      </c>
      <c r="B98" s="36"/>
      <c r="C98" s="36">
        <v>0.9</v>
      </c>
      <c r="D98" s="70">
        <f>C98/1000</f>
        <v>8.9999999999999998E-4</v>
      </c>
      <c r="E98" s="36">
        <v>1</v>
      </c>
      <c r="F98" s="70"/>
      <c r="G98" s="83">
        <v>2272.7272727272725</v>
      </c>
      <c r="H98" s="83">
        <v>325</v>
      </c>
      <c r="I98" s="83">
        <v>50</v>
      </c>
      <c r="J98" s="95">
        <v>50</v>
      </c>
    </row>
    <row r="99" spans="1:11" ht="15" thickBot="1" x14ac:dyDescent="0.35">
      <c r="D99" s="69"/>
      <c r="F99" s="69"/>
      <c r="G99" s="84"/>
      <c r="H99" s="84"/>
      <c r="I99" s="72"/>
      <c r="J99" s="72"/>
    </row>
    <row r="100" spans="1:11" x14ac:dyDescent="0.3">
      <c r="A100" s="46" t="s">
        <v>123</v>
      </c>
      <c r="B100" s="31" t="s">
        <v>0</v>
      </c>
      <c r="C100" s="31" t="s">
        <v>180</v>
      </c>
      <c r="D100" s="68" t="s">
        <v>96</v>
      </c>
      <c r="E100" s="31" t="s">
        <v>94</v>
      </c>
      <c r="F100" s="68" t="s">
        <v>86</v>
      </c>
      <c r="G100" s="80" t="s">
        <v>5</v>
      </c>
      <c r="H100" s="91" t="s">
        <v>4</v>
      </c>
      <c r="I100" s="90" t="s">
        <v>207</v>
      </c>
      <c r="J100" s="97" t="s">
        <v>206</v>
      </c>
      <c r="K100" s="22"/>
    </row>
    <row r="101" spans="1:11" ht="15" thickBot="1" x14ac:dyDescent="0.35">
      <c r="A101" s="35" t="s">
        <v>92</v>
      </c>
      <c r="B101" s="36"/>
      <c r="C101" s="36">
        <v>34</v>
      </c>
      <c r="D101" s="70">
        <f>C101/1000</f>
        <v>3.4000000000000002E-2</v>
      </c>
      <c r="E101" s="36"/>
      <c r="F101" s="70">
        <v>1.216E-5</v>
      </c>
      <c r="G101" s="83">
        <f>D101/F101</f>
        <v>2796.0526315789475</v>
      </c>
      <c r="H101" s="87">
        <v>1000</v>
      </c>
      <c r="I101" s="75">
        <v>0.6</v>
      </c>
      <c r="J101" s="95">
        <v>2.5</v>
      </c>
    </row>
    <row r="102" spans="1:11" x14ac:dyDescent="0.3">
      <c r="D102" s="69"/>
      <c r="F102" s="69"/>
      <c r="G102" s="84"/>
      <c r="H102" s="84"/>
      <c r="I102" s="72"/>
      <c r="J102" s="72"/>
    </row>
    <row r="103" spans="1:11" x14ac:dyDescent="0.3">
      <c r="D103" s="69"/>
      <c r="F103" s="69"/>
      <c r="G103" s="84"/>
      <c r="H103" s="84"/>
      <c r="I103" s="72"/>
      <c r="J103" s="72"/>
    </row>
    <row r="104" spans="1:11" ht="15" thickBot="1" x14ac:dyDescent="0.35">
      <c r="A104" s="13" t="s">
        <v>53</v>
      </c>
      <c r="D104" s="69"/>
      <c r="F104" s="69"/>
      <c r="G104" s="84"/>
      <c r="H104" s="84"/>
      <c r="I104" s="72">
        <v>2</v>
      </c>
      <c r="J104" s="72"/>
    </row>
    <row r="105" spans="1:11" x14ac:dyDescent="0.3">
      <c r="A105" s="48" t="s">
        <v>124</v>
      </c>
      <c r="B105" s="31" t="s">
        <v>0</v>
      </c>
      <c r="C105" s="31" t="s">
        <v>180</v>
      </c>
      <c r="D105" s="68" t="s">
        <v>96</v>
      </c>
      <c r="E105" s="31" t="s">
        <v>94</v>
      </c>
      <c r="F105" s="68" t="s">
        <v>86</v>
      </c>
      <c r="G105" s="80" t="s">
        <v>5</v>
      </c>
      <c r="H105" s="91" t="s">
        <v>4</v>
      </c>
      <c r="I105" s="90" t="s">
        <v>207</v>
      </c>
      <c r="J105" s="97" t="s">
        <v>206</v>
      </c>
    </row>
    <row r="106" spans="1:11" x14ac:dyDescent="0.3">
      <c r="A106" s="38" t="s">
        <v>54</v>
      </c>
      <c r="B106" t="s">
        <v>17</v>
      </c>
      <c r="C106">
        <v>0.32500000000000001</v>
      </c>
      <c r="D106" s="69">
        <f>C106/1000</f>
        <v>3.2499999999999999E-4</v>
      </c>
      <c r="E106">
        <f>D106/$D$108</f>
        <v>0.44827586206896552</v>
      </c>
      <c r="F106" s="69" t="s">
        <v>23</v>
      </c>
      <c r="G106" s="88">
        <v>8800</v>
      </c>
      <c r="H106" s="88">
        <v>380</v>
      </c>
      <c r="I106" s="79">
        <v>62</v>
      </c>
      <c r="J106" s="101">
        <v>62</v>
      </c>
    </row>
    <row r="107" spans="1:11" x14ac:dyDescent="0.3">
      <c r="A107" s="38" t="s">
        <v>55</v>
      </c>
      <c r="B107" t="s">
        <v>21</v>
      </c>
      <c r="C107">
        <v>0.4</v>
      </c>
      <c r="D107" s="69">
        <f>C107/1000</f>
        <v>4.0000000000000002E-4</v>
      </c>
      <c r="E107">
        <f>D107/$D$108</f>
        <v>0.55172413793103459</v>
      </c>
      <c r="F107" s="69" t="s">
        <v>23</v>
      </c>
      <c r="G107" s="88">
        <v>1070</v>
      </c>
      <c r="H107" s="88">
        <v>1990</v>
      </c>
      <c r="I107" s="79">
        <v>0.16200000000000001</v>
      </c>
      <c r="J107" s="101">
        <v>0.16200000000000001</v>
      </c>
    </row>
    <row r="108" spans="1:11" x14ac:dyDescent="0.3">
      <c r="A108" s="39" t="s">
        <v>92</v>
      </c>
      <c r="C108">
        <f>SUM(C106:C107)</f>
        <v>0.72500000000000009</v>
      </c>
      <c r="D108" s="69">
        <f>SUM(D106:D107)</f>
        <v>7.2499999999999995E-4</v>
      </c>
      <c r="E108">
        <f>SUM(E106:E107)</f>
        <v>1</v>
      </c>
      <c r="F108" s="69">
        <v>2.8980000000000001E-7</v>
      </c>
      <c r="G108" s="85">
        <f>D108/F108</f>
        <v>2501.7253278122839</v>
      </c>
      <c r="H108" s="85">
        <f>H106*$E$106+H107*$E$107</f>
        <v>1268.2758620689658</v>
      </c>
      <c r="I108" s="76">
        <f>I106*$E$106+I107*$E$107</f>
        <v>27.882482758620689</v>
      </c>
      <c r="J108" s="98">
        <f>J106*$E$106+J107*$E$107</f>
        <v>27.882482758620689</v>
      </c>
    </row>
    <row r="109" spans="1:11" x14ac:dyDescent="0.3">
      <c r="A109" s="55" t="s">
        <v>98</v>
      </c>
      <c r="B109" s="17"/>
      <c r="C109" s="17"/>
      <c r="D109" s="66"/>
      <c r="E109" s="17"/>
      <c r="F109" s="66"/>
      <c r="G109" s="82"/>
      <c r="H109" s="82"/>
      <c r="I109" s="74"/>
      <c r="J109" s="94"/>
    </row>
    <row r="110" spans="1:11" ht="15" thickBot="1" x14ac:dyDescent="0.35">
      <c r="A110" s="40" t="s">
        <v>125</v>
      </c>
      <c r="B110" s="36"/>
      <c r="C110" s="36"/>
      <c r="D110" s="70"/>
      <c r="E110" s="36"/>
      <c r="F110" s="70"/>
      <c r="G110" s="83">
        <v>2501.7253278122839</v>
      </c>
      <c r="H110" s="83">
        <v>1268.2758620689658</v>
      </c>
      <c r="I110" s="75">
        <v>27.882482758620689</v>
      </c>
      <c r="J110" s="95">
        <v>27.882482758620689</v>
      </c>
    </row>
    <row r="111" spans="1:11" x14ac:dyDescent="0.3">
      <c r="D111" s="69"/>
      <c r="F111" s="69"/>
      <c r="G111" s="84"/>
      <c r="H111" s="84"/>
      <c r="I111" s="72"/>
      <c r="J111" s="72"/>
    </row>
    <row r="112" spans="1:11" x14ac:dyDescent="0.3">
      <c r="D112" s="69"/>
      <c r="F112" s="69"/>
      <c r="G112" s="84"/>
      <c r="H112" s="84"/>
      <c r="I112" s="72"/>
      <c r="J112" s="72"/>
    </row>
    <row r="113" spans="1:12" ht="15" thickBot="1" x14ac:dyDescent="0.35">
      <c r="A113" s="16" t="s">
        <v>28</v>
      </c>
      <c r="D113" s="69"/>
      <c r="F113" s="69"/>
      <c r="G113" s="84"/>
      <c r="H113" s="84"/>
      <c r="I113" s="72"/>
      <c r="J113" s="72"/>
    </row>
    <row r="114" spans="1:12" x14ac:dyDescent="0.3">
      <c r="A114" s="30" t="s">
        <v>127</v>
      </c>
      <c r="B114" s="31" t="s">
        <v>0</v>
      </c>
      <c r="C114" s="31" t="s">
        <v>180</v>
      </c>
      <c r="D114" s="68" t="s">
        <v>96</v>
      </c>
      <c r="E114" s="31" t="s">
        <v>94</v>
      </c>
      <c r="F114" s="68" t="s">
        <v>86</v>
      </c>
      <c r="G114" s="80" t="s">
        <v>5</v>
      </c>
      <c r="H114" s="91" t="s">
        <v>4</v>
      </c>
      <c r="I114" s="90" t="s">
        <v>207</v>
      </c>
      <c r="J114" s="97" t="s">
        <v>206</v>
      </c>
      <c r="L114" s="22"/>
    </row>
    <row r="115" spans="1:12" x14ac:dyDescent="0.3">
      <c r="A115" s="33" t="s">
        <v>128</v>
      </c>
      <c r="B115" t="s">
        <v>51</v>
      </c>
      <c r="C115">
        <v>30</v>
      </c>
      <c r="D115" s="69">
        <f>C115/1000</f>
        <v>0.03</v>
      </c>
      <c r="E115">
        <v>1</v>
      </c>
      <c r="F115" s="69" t="s">
        <v>23</v>
      </c>
      <c r="G115" s="88" t="s">
        <v>23</v>
      </c>
      <c r="H115" s="88" t="s">
        <v>23</v>
      </c>
      <c r="I115" s="79" t="s">
        <v>23</v>
      </c>
      <c r="J115" s="96" t="s">
        <v>23</v>
      </c>
      <c r="L115" s="7"/>
    </row>
    <row r="116" spans="1:12" x14ac:dyDescent="0.3">
      <c r="A116" s="34" t="s">
        <v>130</v>
      </c>
      <c r="D116" s="69"/>
      <c r="F116" s="69"/>
      <c r="G116" s="84"/>
      <c r="H116" s="84"/>
      <c r="I116" s="72"/>
      <c r="J116" s="96"/>
    </row>
    <row r="117" spans="1:12" x14ac:dyDescent="0.3">
      <c r="A117" s="49" t="s">
        <v>131</v>
      </c>
      <c r="B117" t="s">
        <v>23</v>
      </c>
      <c r="C117" t="s">
        <v>23</v>
      </c>
      <c r="D117" s="69" t="s">
        <v>23</v>
      </c>
      <c r="E117" t="s">
        <v>23</v>
      </c>
      <c r="F117" s="69">
        <v>2.6599999999999999E-6</v>
      </c>
      <c r="G117" s="85">
        <f>$G$129</f>
        <v>1885.8436007040482</v>
      </c>
      <c r="H117" s="81">
        <v>1010</v>
      </c>
      <c r="I117" s="73">
        <v>0.27</v>
      </c>
      <c r="J117" s="93">
        <v>0.27</v>
      </c>
    </row>
    <row r="118" spans="1:12" x14ac:dyDescent="0.3">
      <c r="A118" s="49" t="s">
        <v>132</v>
      </c>
      <c r="B118" t="s">
        <v>23</v>
      </c>
      <c r="C118" t="s">
        <v>23</v>
      </c>
      <c r="D118" s="69" t="s">
        <v>23</v>
      </c>
      <c r="E118" t="s">
        <v>23</v>
      </c>
      <c r="F118" s="69">
        <v>7.9800000000000003E-7</v>
      </c>
      <c r="G118" s="85">
        <f t="shared" ref="G118:G122" si="3">$G$129</f>
        <v>1885.8436007040482</v>
      </c>
      <c r="H118" s="81">
        <v>1010</v>
      </c>
      <c r="I118" s="73">
        <v>0.27</v>
      </c>
      <c r="J118" s="93">
        <v>0.27</v>
      </c>
    </row>
    <row r="119" spans="1:12" x14ac:dyDescent="0.3">
      <c r="A119" s="49" t="s">
        <v>133</v>
      </c>
      <c r="B119" t="s">
        <v>23</v>
      </c>
      <c r="C119" t="s">
        <v>23</v>
      </c>
      <c r="D119" s="69" t="s">
        <v>23</v>
      </c>
      <c r="E119" t="s">
        <v>23</v>
      </c>
      <c r="F119" s="69">
        <v>7.9800000000000003E-7</v>
      </c>
      <c r="G119" s="85">
        <f t="shared" si="3"/>
        <v>1885.8436007040482</v>
      </c>
      <c r="H119" s="81">
        <v>1010</v>
      </c>
      <c r="I119" s="73">
        <v>0.27</v>
      </c>
      <c r="J119" s="93">
        <v>0.27</v>
      </c>
    </row>
    <row r="120" spans="1:12" x14ac:dyDescent="0.3">
      <c r="A120" s="49" t="s">
        <v>134</v>
      </c>
      <c r="B120" t="s">
        <v>23</v>
      </c>
      <c r="C120" t="s">
        <v>23</v>
      </c>
      <c r="D120" s="69" t="s">
        <v>23</v>
      </c>
      <c r="E120" t="s">
        <v>23</v>
      </c>
      <c r="F120" s="69">
        <v>2.9440000000000001E-6</v>
      </c>
      <c r="G120" s="85">
        <f t="shared" si="3"/>
        <v>1885.8436007040482</v>
      </c>
      <c r="H120" s="81">
        <v>1010</v>
      </c>
      <c r="I120" s="73">
        <v>0.27</v>
      </c>
      <c r="J120" s="93">
        <v>0.27</v>
      </c>
    </row>
    <row r="121" spans="1:12" x14ac:dyDescent="0.3">
      <c r="A121" s="49" t="s">
        <v>129</v>
      </c>
      <c r="B121" t="s">
        <v>23</v>
      </c>
      <c r="C121" t="s">
        <v>23</v>
      </c>
      <c r="D121" s="69" t="s">
        <v>23</v>
      </c>
      <c r="E121" t="s">
        <v>23</v>
      </c>
      <c r="F121" s="69">
        <v>2.9440000000000001E-6</v>
      </c>
      <c r="G121" s="85">
        <f t="shared" si="3"/>
        <v>1885.8436007040482</v>
      </c>
      <c r="H121" s="81">
        <v>1010</v>
      </c>
      <c r="I121" s="73">
        <v>0.27</v>
      </c>
      <c r="J121" s="93">
        <v>0.27</v>
      </c>
    </row>
    <row r="122" spans="1:12" x14ac:dyDescent="0.3">
      <c r="A122" s="49" t="s">
        <v>135</v>
      </c>
      <c r="B122" t="s">
        <v>23</v>
      </c>
      <c r="C122" t="s">
        <v>23</v>
      </c>
      <c r="D122" s="69" t="s">
        <v>23</v>
      </c>
      <c r="E122" t="s">
        <v>23</v>
      </c>
      <c r="F122" s="69">
        <v>5.2440000000000001E-6</v>
      </c>
      <c r="G122" s="85">
        <f t="shared" si="3"/>
        <v>1885.8436007040482</v>
      </c>
      <c r="H122" s="81">
        <v>1010</v>
      </c>
      <c r="I122" s="73">
        <v>0.27</v>
      </c>
      <c r="J122" s="93">
        <v>0.27</v>
      </c>
    </row>
    <row r="123" spans="1:12" x14ac:dyDescent="0.3">
      <c r="A123" s="56" t="s">
        <v>252</v>
      </c>
      <c r="B123" t="s">
        <v>23</v>
      </c>
      <c r="C123">
        <f>SUM(C124:C125)</f>
        <v>0.30199515966809148</v>
      </c>
      <c r="D123" s="69">
        <f>SUM(D124:D125)</f>
        <v>3.0199515966809152E-4</v>
      </c>
      <c r="E123">
        <v>1</v>
      </c>
      <c r="F123" s="69">
        <v>1.3E-7</v>
      </c>
      <c r="G123" s="85">
        <f>(1.7*0.1775/1000)/F123+G122</f>
        <v>4206.9974468578948</v>
      </c>
      <c r="H123" s="81">
        <v>500</v>
      </c>
      <c r="I123" s="81">
        <v>15</v>
      </c>
      <c r="J123" s="93">
        <v>15</v>
      </c>
    </row>
    <row r="124" spans="1:12" x14ac:dyDescent="0.3">
      <c r="A124" s="57" t="s">
        <v>51</v>
      </c>
      <c r="B124" t="s">
        <v>51</v>
      </c>
      <c r="C124">
        <f>F123*G122</f>
        <v>2.4515966809152628E-4</v>
      </c>
      <c r="D124" s="69">
        <f>C124/1000</f>
        <v>2.4515966809152627E-7</v>
      </c>
      <c r="E124">
        <f>D124/D123</f>
        <v>8.1179999163221545E-4</v>
      </c>
      <c r="F124" s="69"/>
      <c r="G124" s="89"/>
      <c r="H124" s="92"/>
      <c r="I124" s="92"/>
      <c r="J124" s="102"/>
    </row>
    <row r="125" spans="1:12" x14ac:dyDescent="0.3">
      <c r="A125" s="49" t="s">
        <v>255</v>
      </c>
      <c r="B125" t="s">
        <v>48</v>
      </c>
      <c r="C125">
        <f>1.7*0.1775</f>
        <v>0.30174999999999996</v>
      </c>
      <c r="D125" s="69">
        <f>C125/1000</f>
        <v>3.0174999999999999E-4</v>
      </c>
      <c r="E125">
        <f>D125/D123</f>
        <v>0.99918820000836783</v>
      </c>
      <c r="F125" s="69"/>
      <c r="G125" s="89"/>
      <c r="H125" s="92"/>
      <c r="I125" s="92"/>
      <c r="J125" s="102"/>
    </row>
    <row r="126" spans="1:12" x14ac:dyDescent="0.3">
      <c r="A126" s="49" t="s">
        <v>251</v>
      </c>
      <c r="B126" t="s">
        <v>23</v>
      </c>
      <c r="C126" t="s">
        <v>23</v>
      </c>
      <c r="D126" s="69" t="s">
        <v>23</v>
      </c>
      <c r="E126" t="s">
        <v>23</v>
      </c>
      <c r="F126" s="69">
        <v>1.3E-7</v>
      </c>
      <c r="G126" s="85">
        <v>4206.9974468578948</v>
      </c>
      <c r="H126" s="81">
        <v>500</v>
      </c>
      <c r="I126" s="81">
        <v>15</v>
      </c>
      <c r="J126" s="93">
        <v>15</v>
      </c>
    </row>
    <row r="127" spans="1:12" x14ac:dyDescent="0.3">
      <c r="A127" s="49" t="s">
        <v>254</v>
      </c>
      <c r="B127" t="s">
        <v>23</v>
      </c>
      <c r="C127" t="s">
        <v>23</v>
      </c>
      <c r="D127" s="69" t="s">
        <v>23</v>
      </c>
      <c r="E127" t="s">
        <v>23</v>
      </c>
      <c r="F127" s="69">
        <v>1.3E-7</v>
      </c>
      <c r="G127" s="85">
        <v>4206.9974468578948</v>
      </c>
      <c r="H127" s="81">
        <v>500</v>
      </c>
      <c r="I127" s="81">
        <v>15</v>
      </c>
      <c r="J127" s="93">
        <v>15</v>
      </c>
    </row>
    <row r="128" spans="1:12" x14ac:dyDescent="0.3">
      <c r="A128" s="49" t="s">
        <v>253</v>
      </c>
      <c r="B128" t="s">
        <v>23</v>
      </c>
      <c r="C128" t="s">
        <v>23</v>
      </c>
      <c r="D128" s="69" t="s">
        <v>23</v>
      </c>
      <c r="E128" t="s">
        <v>23</v>
      </c>
      <c r="F128" s="69">
        <v>1.3E-7</v>
      </c>
      <c r="G128" s="85">
        <v>4206.9974468578948</v>
      </c>
      <c r="H128" s="81">
        <v>500</v>
      </c>
      <c r="I128" s="81">
        <v>15</v>
      </c>
      <c r="J128" s="93">
        <v>15</v>
      </c>
    </row>
    <row r="129" spans="1:12" ht="15" thickBot="1" x14ac:dyDescent="0.35">
      <c r="A129" s="35" t="s">
        <v>92</v>
      </c>
      <c r="B129" s="36"/>
      <c r="C129" s="36"/>
      <c r="D129" s="70"/>
      <c r="E129" s="36"/>
      <c r="F129" s="70">
        <f>SUM(F117:F128)</f>
        <v>1.5908000000000001E-5</v>
      </c>
      <c r="G129" s="83">
        <f>D115/F129</f>
        <v>1885.8436007040482</v>
      </c>
      <c r="H129" s="87">
        <v>1010</v>
      </c>
      <c r="I129" s="78">
        <v>0.27</v>
      </c>
      <c r="J129" s="100">
        <v>0.27</v>
      </c>
    </row>
    <row r="130" spans="1:12" x14ac:dyDescent="0.3">
      <c r="A130" s="3"/>
      <c r="C130" s="3"/>
      <c r="D130" s="69"/>
      <c r="F130" s="69"/>
      <c r="H130" s="84"/>
      <c r="I130" s="72"/>
      <c r="J130" s="72"/>
    </row>
    <row r="131" spans="1:12" ht="15" thickBot="1" x14ac:dyDescent="0.35">
      <c r="A131" s="2" t="s">
        <v>27</v>
      </c>
      <c r="D131" s="69"/>
      <c r="F131" s="71"/>
      <c r="H131" s="84"/>
      <c r="I131" s="72"/>
      <c r="J131" s="72"/>
    </row>
    <row r="132" spans="1:12" x14ac:dyDescent="0.3">
      <c r="A132" s="48" t="s">
        <v>175</v>
      </c>
      <c r="B132" s="31" t="s">
        <v>0</v>
      </c>
      <c r="C132" s="31" t="s">
        <v>180</v>
      </c>
      <c r="D132" s="68" t="s">
        <v>96</v>
      </c>
      <c r="E132" s="31" t="s">
        <v>94</v>
      </c>
      <c r="F132" s="68" t="s">
        <v>86</v>
      </c>
      <c r="G132" s="31" t="s">
        <v>5</v>
      </c>
      <c r="H132" s="91" t="s">
        <v>4</v>
      </c>
      <c r="I132" s="90" t="s">
        <v>207</v>
      </c>
      <c r="J132" s="97" t="s">
        <v>206</v>
      </c>
      <c r="L132" s="22"/>
    </row>
    <row r="133" spans="1:12" x14ac:dyDescent="0.3">
      <c r="A133" s="38" t="s">
        <v>176</v>
      </c>
      <c r="B133" t="s">
        <v>48</v>
      </c>
      <c r="C133">
        <f>1.7*0.1775</f>
        <v>0.30174999999999996</v>
      </c>
      <c r="D133" s="69">
        <f>C133/1000</f>
        <v>3.0174999999999999E-4</v>
      </c>
      <c r="E133">
        <f>D133/$D$136</f>
        <v>0.50992817912970001</v>
      </c>
      <c r="F133" s="69" t="s">
        <v>23</v>
      </c>
      <c r="G133" t="s">
        <v>23</v>
      </c>
      <c r="H133" s="88">
        <v>500</v>
      </c>
      <c r="I133" s="88">
        <v>15</v>
      </c>
      <c r="J133" s="101">
        <v>15</v>
      </c>
    </row>
    <row r="134" spans="1:12" x14ac:dyDescent="0.3">
      <c r="A134" s="38" t="s">
        <v>177</v>
      </c>
      <c r="B134" t="s">
        <v>48</v>
      </c>
      <c r="C134">
        <v>0.22</v>
      </c>
      <c r="D134" s="69">
        <f t="shared" ref="D134:D136" si="4">C134/1000</f>
        <v>2.2000000000000001E-4</v>
      </c>
      <c r="E134">
        <f t="shared" ref="E134:E135" si="5">D134/$D$136</f>
        <v>0.37177862272919304</v>
      </c>
      <c r="F134" s="69" t="s">
        <v>23</v>
      </c>
      <c r="G134" t="s">
        <v>23</v>
      </c>
      <c r="H134" s="88">
        <v>500</v>
      </c>
      <c r="I134" s="88">
        <v>15</v>
      </c>
      <c r="J134" s="101">
        <v>15</v>
      </c>
    </row>
    <row r="135" spans="1:12" x14ac:dyDescent="0.3">
      <c r="A135" s="45" t="s">
        <v>178</v>
      </c>
      <c r="B135" t="s">
        <v>49</v>
      </c>
      <c r="C135">
        <v>7.0000000000000007E-2</v>
      </c>
      <c r="D135" s="69">
        <f t="shared" si="4"/>
        <v>7.0000000000000007E-5</v>
      </c>
      <c r="E135">
        <f t="shared" si="5"/>
        <v>0.11829319814110689</v>
      </c>
      <c r="F135" s="69" t="s">
        <v>23</v>
      </c>
      <c r="G135" t="s">
        <v>23</v>
      </c>
      <c r="H135" s="88">
        <v>900</v>
      </c>
      <c r="I135" s="88">
        <v>209</v>
      </c>
      <c r="J135" s="101">
        <v>209</v>
      </c>
    </row>
    <row r="136" spans="1:12" x14ac:dyDescent="0.3">
      <c r="A136" s="39" t="s">
        <v>92</v>
      </c>
      <c r="B136" t="s">
        <v>22</v>
      </c>
      <c r="C136">
        <f>SUM(C133:C135)</f>
        <v>0.59175</v>
      </c>
      <c r="D136" s="69">
        <f t="shared" si="4"/>
        <v>5.9175000000000005E-4</v>
      </c>
      <c r="E136">
        <f>SUM(E133:E135)</f>
        <v>1</v>
      </c>
      <c r="F136" s="69">
        <v>1.3E-7</v>
      </c>
      <c r="G136" s="85">
        <f>D136/F136</f>
        <v>4551.9230769230771</v>
      </c>
      <c r="H136" s="85">
        <f>H133*$E$133+H134*$E$134+H135*$E$135</f>
        <v>547.3172792564427</v>
      </c>
      <c r="I136" s="85">
        <v>15</v>
      </c>
      <c r="J136" s="98">
        <v>15</v>
      </c>
    </row>
    <row r="137" spans="1:12" x14ac:dyDescent="0.3">
      <c r="A137" s="55" t="s">
        <v>98</v>
      </c>
      <c r="B137" s="17"/>
      <c r="C137" s="17"/>
      <c r="D137" s="66"/>
      <c r="E137" s="17"/>
      <c r="F137" s="66"/>
      <c r="G137" s="17"/>
      <c r="H137" s="82"/>
      <c r="I137" s="82"/>
      <c r="J137" s="94"/>
    </row>
    <row r="138" spans="1:12" ht="15" thickBot="1" x14ac:dyDescent="0.35">
      <c r="A138" s="50" t="s">
        <v>179</v>
      </c>
      <c r="B138" s="36"/>
      <c r="C138" s="36"/>
      <c r="D138" s="70"/>
      <c r="E138" s="36"/>
      <c r="F138" s="70"/>
      <c r="G138" s="83">
        <v>4551.9230769230771</v>
      </c>
      <c r="H138" s="83">
        <v>547.3172792564427</v>
      </c>
      <c r="I138" s="83">
        <v>15</v>
      </c>
      <c r="J138" s="95">
        <v>15</v>
      </c>
    </row>
    <row r="139" spans="1:12" x14ac:dyDescent="0.3">
      <c r="J139" s="7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5"/>
  <sheetViews>
    <sheetView tabSelected="1" zoomScale="70" zoomScaleNormal="70" workbookViewId="0">
      <selection activeCell="H1" sqref="H1"/>
    </sheetView>
  </sheetViews>
  <sheetFormatPr baseColWidth="10" defaultRowHeight="14.4" x14ac:dyDescent="0.3"/>
  <cols>
    <col min="1" max="1" width="20.109375" bestFit="1" customWidth="1"/>
    <col min="2" max="2" width="22.6640625" bestFit="1" customWidth="1"/>
    <col min="3" max="3" width="16.88671875" bestFit="1" customWidth="1"/>
    <col min="4" max="4" width="10.5546875" bestFit="1" customWidth="1"/>
    <col min="5" max="5" width="7" bestFit="1" customWidth="1"/>
    <col min="6" max="6" width="7.44140625" bestFit="1" customWidth="1"/>
    <col min="7" max="8" width="11.6640625" bestFit="1" customWidth="1"/>
    <col min="9" max="9" width="7.5546875" customWidth="1"/>
    <col min="10" max="10" width="20.33203125" bestFit="1" customWidth="1"/>
    <col min="11" max="11" width="22.6640625" bestFit="1" customWidth="1"/>
    <col min="12" max="12" width="56.44140625" customWidth="1"/>
  </cols>
  <sheetData>
    <row r="1" spans="1:15" x14ac:dyDescent="0.3">
      <c r="A1" s="2" t="s">
        <v>310</v>
      </c>
      <c r="B1" s="2" t="s">
        <v>284</v>
      </c>
      <c r="C1" s="58" t="s">
        <v>260</v>
      </c>
      <c r="D1" s="58" t="s">
        <v>261</v>
      </c>
      <c r="E1" s="58" t="s">
        <v>262</v>
      </c>
      <c r="F1" s="58" t="s">
        <v>263</v>
      </c>
      <c r="G1" s="2" t="s">
        <v>366</v>
      </c>
      <c r="H1" s="2" t="s">
        <v>367</v>
      </c>
      <c r="I1" s="2" t="s">
        <v>368</v>
      </c>
      <c r="J1" s="58" t="s">
        <v>283</v>
      </c>
      <c r="L1" s="107" t="s">
        <v>377</v>
      </c>
      <c r="M1" s="107"/>
    </row>
    <row r="2" spans="1:15" x14ac:dyDescent="0.3">
      <c r="A2" t="s">
        <v>285</v>
      </c>
      <c r="B2" s="60" t="s">
        <v>311</v>
      </c>
      <c r="C2" s="5" t="s">
        <v>264</v>
      </c>
      <c r="D2" s="5">
        <v>3</v>
      </c>
      <c r="E2" s="5">
        <v>3</v>
      </c>
      <c r="F2" s="5">
        <v>0.45</v>
      </c>
      <c r="G2" s="5">
        <v>20</v>
      </c>
      <c r="H2" t="s">
        <v>334</v>
      </c>
      <c r="I2" s="29">
        <v>20</v>
      </c>
      <c r="J2" s="61">
        <f>1/G2</f>
        <v>0.05</v>
      </c>
    </row>
    <row r="3" spans="1:15" x14ac:dyDescent="0.3">
      <c r="A3" t="s">
        <v>286</v>
      </c>
      <c r="B3" s="60" t="s">
        <v>311</v>
      </c>
      <c r="C3" s="5" t="s">
        <v>264</v>
      </c>
      <c r="D3" s="5">
        <v>3</v>
      </c>
      <c r="E3" s="5">
        <v>3</v>
      </c>
      <c r="F3" s="5">
        <v>0.45</v>
      </c>
      <c r="G3" s="5">
        <v>20</v>
      </c>
      <c r="H3" t="s">
        <v>334</v>
      </c>
      <c r="I3" s="29">
        <v>20</v>
      </c>
      <c r="J3" s="61">
        <f t="shared" ref="J3:J26" si="0">1/G3</f>
        <v>0.05</v>
      </c>
    </row>
    <row r="4" spans="1:15" x14ac:dyDescent="0.3">
      <c r="A4" t="s">
        <v>287</v>
      </c>
      <c r="B4" s="60" t="s">
        <v>311</v>
      </c>
      <c r="C4" s="5" t="s">
        <v>264</v>
      </c>
      <c r="D4" s="5">
        <v>3</v>
      </c>
      <c r="E4" s="5">
        <v>3</v>
      </c>
      <c r="F4" s="5">
        <v>0.45</v>
      </c>
      <c r="G4" s="5">
        <v>20</v>
      </c>
      <c r="H4" t="s">
        <v>334</v>
      </c>
      <c r="I4" s="29">
        <v>20</v>
      </c>
      <c r="J4" s="61">
        <f t="shared" si="0"/>
        <v>0.05</v>
      </c>
      <c r="L4" s="2" t="s">
        <v>372</v>
      </c>
    </row>
    <row r="5" spans="1:15" x14ac:dyDescent="0.3">
      <c r="A5" t="s">
        <v>288</v>
      </c>
      <c r="B5" t="s">
        <v>312</v>
      </c>
      <c r="C5" s="5" t="s">
        <v>265</v>
      </c>
      <c r="D5" s="5">
        <v>2.5</v>
      </c>
      <c r="E5" s="5">
        <v>3</v>
      </c>
      <c r="F5" s="5">
        <v>0.91</v>
      </c>
      <c r="G5" s="5">
        <v>15</v>
      </c>
      <c r="H5" t="s">
        <v>336</v>
      </c>
      <c r="I5" s="29">
        <v>15</v>
      </c>
      <c r="J5" s="61">
        <f t="shared" si="0"/>
        <v>6.6666666666666666E-2</v>
      </c>
      <c r="L5" t="s">
        <v>369</v>
      </c>
    </row>
    <row r="6" spans="1:15" x14ac:dyDescent="0.3">
      <c r="A6" t="s">
        <v>289</v>
      </c>
      <c r="B6" t="s">
        <v>313</v>
      </c>
      <c r="C6" s="5" t="s">
        <v>266</v>
      </c>
      <c r="D6" s="5">
        <v>4</v>
      </c>
      <c r="E6" s="5">
        <v>4</v>
      </c>
      <c r="F6" s="5">
        <v>1</v>
      </c>
      <c r="G6" s="5">
        <v>4</v>
      </c>
      <c r="H6" t="s">
        <v>338</v>
      </c>
      <c r="I6" s="29">
        <v>10</v>
      </c>
      <c r="J6" s="61">
        <f t="shared" si="0"/>
        <v>0.25</v>
      </c>
      <c r="L6" t="s">
        <v>370</v>
      </c>
    </row>
    <row r="7" spans="1:15" x14ac:dyDescent="0.3">
      <c r="A7" t="s">
        <v>290</v>
      </c>
      <c r="B7" t="s">
        <v>314</v>
      </c>
      <c r="C7" s="5" t="s">
        <v>267</v>
      </c>
      <c r="D7" s="5">
        <v>2.6</v>
      </c>
      <c r="E7" s="5">
        <v>1.8</v>
      </c>
      <c r="F7" s="5">
        <v>0.5</v>
      </c>
      <c r="G7" s="5">
        <v>5</v>
      </c>
      <c r="H7" t="s">
        <v>338</v>
      </c>
      <c r="I7" s="29">
        <v>10</v>
      </c>
      <c r="J7" s="61">
        <f t="shared" si="0"/>
        <v>0.2</v>
      </c>
      <c r="L7" t="s">
        <v>369</v>
      </c>
    </row>
    <row r="8" spans="1:15" x14ac:dyDescent="0.3">
      <c r="A8" t="s">
        <v>291</v>
      </c>
      <c r="B8" t="s">
        <v>315</v>
      </c>
      <c r="C8" s="5" t="s">
        <v>268</v>
      </c>
      <c r="D8" s="5">
        <v>3</v>
      </c>
      <c r="E8" s="5">
        <v>3</v>
      </c>
      <c r="F8" s="5">
        <v>1</v>
      </c>
      <c r="G8" s="5">
        <v>15</v>
      </c>
      <c r="H8" t="s">
        <v>334</v>
      </c>
      <c r="I8" s="29">
        <v>20</v>
      </c>
      <c r="J8" s="61">
        <f t="shared" si="0"/>
        <v>6.6666666666666666E-2</v>
      </c>
      <c r="L8" t="s">
        <v>371</v>
      </c>
    </row>
    <row r="9" spans="1:15" x14ac:dyDescent="0.3">
      <c r="A9" s="59" t="s">
        <v>292</v>
      </c>
      <c r="B9" s="59"/>
      <c r="C9" s="59"/>
      <c r="D9" s="59"/>
      <c r="E9" s="59"/>
      <c r="F9" s="59"/>
      <c r="G9" s="59"/>
      <c r="H9" s="59"/>
      <c r="I9" s="62"/>
      <c r="J9" s="59"/>
    </row>
    <row r="10" spans="1:15" x14ac:dyDescent="0.3">
      <c r="A10" t="s">
        <v>293</v>
      </c>
      <c r="B10" t="s">
        <v>316</v>
      </c>
      <c r="C10" s="5" t="s">
        <v>269</v>
      </c>
      <c r="D10" s="5">
        <v>3</v>
      </c>
      <c r="E10" s="5">
        <v>4</v>
      </c>
      <c r="F10" s="5">
        <v>0.5</v>
      </c>
      <c r="G10" s="5">
        <v>7</v>
      </c>
      <c r="H10" t="s">
        <v>338</v>
      </c>
      <c r="I10" s="29">
        <v>10</v>
      </c>
      <c r="J10" s="61">
        <f t="shared" si="0"/>
        <v>0.14285714285714285</v>
      </c>
    </row>
    <row r="11" spans="1:15" x14ac:dyDescent="0.3">
      <c r="A11" t="s">
        <v>294</v>
      </c>
      <c r="B11" t="s">
        <v>317</v>
      </c>
      <c r="C11" s="5" t="s">
        <v>270</v>
      </c>
      <c r="D11" s="5">
        <v>3</v>
      </c>
      <c r="E11" s="5">
        <v>3</v>
      </c>
      <c r="F11" s="5">
        <v>0.5</v>
      </c>
      <c r="G11" s="5">
        <v>7</v>
      </c>
      <c r="H11" t="s">
        <v>338</v>
      </c>
      <c r="I11" s="29">
        <v>10</v>
      </c>
      <c r="J11" s="61">
        <f t="shared" si="0"/>
        <v>0.14285714285714285</v>
      </c>
      <c r="L11" s="63" t="s">
        <v>373</v>
      </c>
    </row>
    <row r="12" spans="1:15" ht="14.4" customHeight="1" x14ac:dyDescent="0.3">
      <c r="A12" t="s">
        <v>295</v>
      </c>
      <c r="B12" s="60" t="s">
        <v>318</v>
      </c>
      <c r="C12" s="5" t="s">
        <v>271</v>
      </c>
      <c r="D12" s="5">
        <v>3</v>
      </c>
      <c r="E12" s="5">
        <v>4.4000000000000004</v>
      </c>
      <c r="F12" s="5">
        <v>0.5</v>
      </c>
      <c r="G12" s="5">
        <v>20</v>
      </c>
      <c r="H12" t="s">
        <v>343</v>
      </c>
      <c r="I12" s="29">
        <v>20</v>
      </c>
      <c r="J12" s="61">
        <f t="shared" si="0"/>
        <v>0.05</v>
      </c>
      <c r="L12" s="64" t="s">
        <v>375</v>
      </c>
      <c r="M12" s="64"/>
      <c r="N12" s="64"/>
      <c r="O12" s="64"/>
    </row>
    <row r="13" spans="1:15" x14ac:dyDescent="0.3">
      <c r="A13" t="s">
        <v>296</v>
      </c>
      <c r="B13" s="60" t="s">
        <v>318</v>
      </c>
      <c r="C13" s="5" t="s">
        <v>271</v>
      </c>
      <c r="D13" s="5">
        <v>3</v>
      </c>
      <c r="E13" s="5">
        <v>4.4000000000000004</v>
      </c>
      <c r="F13" s="5">
        <v>0.5</v>
      </c>
      <c r="G13" s="5">
        <v>20</v>
      </c>
      <c r="H13" t="s">
        <v>343</v>
      </c>
      <c r="I13" s="29">
        <v>20</v>
      </c>
      <c r="J13" s="61">
        <f t="shared" si="0"/>
        <v>0.05</v>
      </c>
      <c r="L13" s="64"/>
      <c r="M13" s="64"/>
      <c r="N13" s="64"/>
      <c r="O13" s="64"/>
    </row>
    <row r="14" spans="1:15" x14ac:dyDescent="0.3">
      <c r="A14" t="s">
        <v>297</v>
      </c>
      <c r="B14" s="60" t="s">
        <v>318</v>
      </c>
      <c r="C14" s="5" t="s">
        <v>271</v>
      </c>
      <c r="D14" s="5">
        <v>3</v>
      </c>
      <c r="E14" s="5">
        <v>4.4000000000000004</v>
      </c>
      <c r="F14" s="5">
        <v>0.5</v>
      </c>
      <c r="G14" s="5">
        <v>20</v>
      </c>
      <c r="H14" t="s">
        <v>343</v>
      </c>
      <c r="I14" s="29">
        <v>20</v>
      </c>
      <c r="J14" s="61">
        <f t="shared" si="0"/>
        <v>0.05</v>
      </c>
      <c r="L14" s="108" t="s">
        <v>376</v>
      </c>
      <c r="M14" s="64"/>
      <c r="N14" s="64"/>
      <c r="O14" s="64"/>
    </row>
    <row r="15" spans="1:15" x14ac:dyDescent="0.3">
      <c r="A15" t="s">
        <v>298</v>
      </c>
      <c r="B15" s="60" t="s">
        <v>319</v>
      </c>
      <c r="C15" s="5" t="s">
        <v>272</v>
      </c>
      <c r="D15" s="5">
        <v>4</v>
      </c>
      <c r="E15" s="5">
        <v>5</v>
      </c>
      <c r="F15" s="5">
        <v>0.75</v>
      </c>
      <c r="G15" s="5">
        <v>3</v>
      </c>
      <c r="H15" t="s">
        <v>338</v>
      </c>
      <c r="I15" s="29">
        <v>10</v>
      </c>
      <c r="J15" s="61">
        <f t="shared" si="0"/>
        <v>0.33333333333333331</v>
      </c>
      <c r="L15" s="108"/>
    </row>
    <row r="16" spans="1:15" ht="14.4" customHeight="1" x14ac:dyDescent="0.3">
      <c r="A16" s="2" t="s">
        <v>299</v>
      </c>
      <c r="B16" s="4" t="s">
        <v>320</v>
      </c>
      <c r="C16" s="29" t="s">
        <v>273</v>
      </c>
      <c r="D16" s="29">
        <v>10</v>
      </c>
      <c r="E16" s="29">
        <v>10</v>
      </c>
      <c r="F16" s="29">
        <v>1.6</v>
      </c>
      <c r="G16" s="29">
        <v>10</v>
      </c>
      <c r="H16" s="2" t="s">
        <v>336</v>
      </c>
      <c r="I16" s="29">
        <v>15</v>
      </c>
      <c r="J16" s="61">
        <f t="shared" si="0"/>
        <v>0.1</v>
      </c>
      <c r="M16" s="64"/>
      <c r="N16" s="64"/>
      <c r="O16" s="64"/>
    </row>
    <row r="17" spans="1:15" x14ac:dyDescent="0.3">
      <c r="A17" s="2" t="s">
        <v>300</v>
      </c>
      <c r="B17" s="4" t="s">
        <v>321</v>
      </c>
      <c r="C17" s="29" t="s">
        <v>274</v>
      </c>
      <c r="D17" s="29">
        <v>4</v>
      </c>
      <c r="E17" s="29">
        <v>4</v>
      </c>
      <c r="F17" s="29">
        <v>0.5</v>
      </c>
      <c r="G17" s="29">
        <v>4</v>
      </c>
      <c r="H17" s="2" t="s">
        <v>338</v>
      </c>
      <c r="I17" s="29">
        <v>10</v>
      </c>
      <c r="J17" s="61">
        <f t="shared" si="0"/>
        <v>0.25</v>
      </c>
      <c r="M17" s="64"/>
      <c r="N17" s="64"/>
      <c r="O17" s="64"/>
    </row>
    <row r="18" spans="1:15" x14ac:dyDescent="0.3">
      <c r="A18" t="s">
        <v>301</v>
      </c>
      <c r="B18" t="s">
        <v>322</v>
      </c>
      <c r="C18" s="5" t="s">
        <v>275</v>
      </c>
      <c r="D18" s="5">
        <v>4</v>
      </c>
      <c r="E18" s="5">
        <v>4</v>
      </c>
      <c r="F18" s="5">
        <v>0.5</v>
      </c>
      <c r="G18" s="5">
        <v>5</v>
      </c>
      <c r="H18" t="s">
        <v>334</v>
      </c>
      <c r="I18" s="29">
        <v>20</v>
      </c>
      <c r="J18" s="61">
        <f t="shared" si="0"/>
        <v>0.2</v>
      </c>
      <c r="L18" s="64"/>
      <c r="M18" s="64"/>
      <c r="N18" s="64"/>
      <c r="O18" s="64"/>
    </row>
    <row r="19" spans="1:15" x14ac:dyDescent="0.3">
      <c r="A19" t="s">
        <v>302</v>
      </c>
      <c r="B19" t="s">
        <v>323</v>
      </c>
      <c r="C19" s="5" t="s">
        <v>276</v>
      </c>
      <c r="D19" s="5">
        <v>5</v>
      </c>
      <c r="E19" s="5">
        <v>5</v>
      </c>
      <c r="F19" s="5">
        <v>0.5</v>
      </c>
      <c r="G19" s="5">
        <v>5</v>
      </c>
      <c r="H19" t="s">
        <v>338</v>
      </c>
      <c r="I19" s="29">
        <v>10</v>
      </c>
      <c r="J19" s="61">
        <f t="shared" si="0"/>
        <v>0.2</v>
      </c>
    </row>
    <row r="20" spans="1:15" x14ac:dyDescent="0.3">
      <c r="A20" t="s">
        <v>303</v>
      </c>
      <c r="B20" t="s">
        <v>324</v>
      </c>
      <c r="C20" s="5" t="s">
        <v>277</v>
      </c>
      <c r="D20" s="5">
        <v>4</v>
      </c>
      <c r="E20" s="5">
        <v>4</v>
      </c>
      <c r="F20" s="5">
        <v>0.5</v>
      </c>
      <c r="G20" s="5">
        <v>4</v>
      </c>
      <c r="H20" t="s">
        <v>338</v>
      </c>
      <c r="I20" s="29">
        <v>10</v>
      </c>
      <c r="J20" s="61">
        <f t="shared" si="0"/>
        <v>0.25</v>
      </c>
    </row>
    <row r="21" spans="1:15" x14ac:dyDescent="0.3">
      <c r="A21" t="s">
        <v>304</v>
      </c>
      <c r="B21" t="s">
        <v>325</v>
      </c>
      <c r="C21" s="5" t="s">
        <v>278</v>
      </c>
      <c r="D21" s="5">
        <v>3</v>
      </c>
      <c r="E21" s="5">
        <v>3</v>
      </c>
      <c r="F21" s="5">
        <v>0.5</v>
      </c>
      <c r="G21" s="5">
        <v>5</v>
      </c>
      <c r="H21" t="s">
        <v>338</v>
      </c>
      <c r="I21" s="29">
        <v>10</v>
      </c>
      <c r="J21" s="61">
        <f t="shared" si="0"/>
        <v>0.2</v>
      </c>
    </row>
    <row r="22" spans="1:15" x14ac:dyDescent="0.3">
      <c r="A22" t="s">
        <v>305</v>
      </c>
      <c r="B22" t="s">
        <v>326</v>
      </c>
      <c r="C22" s="5" t="s">
        <v>279</v>
      </c>
      <c r="D22" s="5">
        <v>5.08</v>
      </c>
      <c r="E22" s="5">
        <v>4.57</v>
      </c>
      <c r="F22" s="5">
        <v>2.0299999999999998</v>
      </c>
      <c r="G22" s="5">
        <v>8</v>
      </c>
      <c r="H22" t="s">
        <v>350</v>
      </c>
      <c r="I22" s="29">
        <v>5</v>
      </c>
      <c r="J22" s="61">
        <f t="shared" si="0"/>
        <v>0.125</v>
      </c>
    </row>
    <row r="23" spans="1:15" x14ac:dyDescent="0.3">
      <c r="A23" t="s">
        <v>306</v>
      </c>
      <c r="B23" t="s">
        <v>327</v>
      </c>
      <c r="C23" s="5" t="s">
        <v>280</v>
      </c>
      <c r="D23" s="5">
        <v>3</v>
      </c>
      <c r="E23" s="5">
        <v>2</v>
      </c>
      <c r="F23" s="5">
        <v>0.5</v>
      </c>
      <c r="G23" s="5">
        <v>7</v>
      </c>
      <c r="H23" t="s">
        <v>338</v>
      </c>
      <c r="I23" s="29">
        <v>10</v>
      </c>
      <c r="J23" s="61">
        <f t="shared" si="0"/>
        <v>0.14285714285714285</v>
      </c>
    </row>
    <row r="24" spans="1:15" x14ac:dyDescent="0.3">
      <c r="A24" t="s">
        <v>307</v>
      </c>
      <c r="B24" t="s">
        <v>328</v>
      </c>
      <c r="C24" s="5" t="s">
        <v>281</v>
      </c>
      <c r="D24" s="5">
        <v>2</v>
      </c>
      <c r="E24" s="5">
        <v>2</v>
      </c>
      <c r="F24" s="5">
        <v>0.89</v>
      </c>
      <c r="G24" s="5">
        <v>10</v>
      </c>
      <c r="H24" t="s">
        <v>334</v>
      </c>
      <c r="I24" s="29">
        <v>20</v>
      </c>
      <c r="J24" s="61">
        <f t="shared" si="0"/>
        <v>0.1</v>
      </c>
    </row>
    <row r="25" spans="1:15" x14ac:dyDescent="0.3">
      <c r="A25" t="s">
        <v>308</v>
      </c>
      <c r="B25" t="s">
        <v>328</v>
      </c>
      <c r="C25" s="5" t="s">
        <v>281</v>
      </c>
      <c r="D25" s="5">
        <v>2</v>
      </c>
      <c r="E25" s="5">
        <v>2</v>
      </c>
      <c r="F25" s="5">
        <v>0.89</v>
      </c>
      <c r="G25" s="5">
        <v>10</v>
      </c>
      <c r="H25" t="s">
        <v>334</v>
      </c>
      <c r="I25" s="29">
        <v>20</v>
      </c>
      <c r="J25" s="61">
        <f t="shared" si="0"/>
        <v>0.1</v>
      </c>
    </row>
    <row r="26" spans="1:15" x14ac:dyDescent="0.3">
      <c r="A26" t="s">
        <v>309</v>
      </c>
      <c r="B26" t="s">
        <v>329</v>
      </c>
      <c r="C26" s="5" t="s">
        <v>282</v>
      </c>
      <c r="D26" s="5">
        <v>3</v>
      </c>
      <c r="E26" s="5">
        <v>3</v>
      </c>
      <c r="F26" s="5">
        <v>0.5</v>
      </c>
      <c r="G26" s="5">
        <v>20</v>
      </c>
      <c r="H26" t="s">
        <v>343</v>
      </c>
      <c r="I26" s="29">
        <v>15</v>
      </c>
      <c r="J26" s="61">
        <f t="shared" si="0"/>
        <v>0.05</v>
      </c>
    </row>
    <row r="30" spans="1:15" x14ac:dyDescent="0.3">
      <c r="A30" t="s">
        <v>374</v>
      </c>
      <c r="K30" s="2" t="s">
        <v>330</v>
      </c>
      <c r="L30" s="58" t="s">
        <v>333</v>
      </c>
    </row>
    <row r="31" spans="1:15" x14ac:dyDescent="0.3">
      <c r="A31" s="2" t="s">
        <v>284</v>
      </c>
      <c r="B31" s="2" t="s">
        <v>330</v>
      </c>
      <c r="C31" s="2" t="s">
        <v>331</v>
      </c>
      <c r="D31" s="2" t="s">
        <v>332</v>
      </c>
      <c r="F31" s="2"/>
      <c r="K31" t="s">
        <v>264</v>
      </c>
      <c r="L31" t="s">
        <v>335</v>
      </c>
    </row>
    <row r="32" spans="1:15" x14ac:dyDescent="0.3">
      <c r="A32" t="s">
        <v>311</v>
      </c>
      <c r="B32" t="s">
        <v>264</v>
      </c>
      <c r="C32" t="s">
        <v>342</v>
      </c>
      <c r="D32" t="s">
        <v>334</v>
      </c>
      <c r="K32" t="s">
        <v>264</v>
      </c>
      <c r="L32" t="s">
        <v>335</v>
      </c>
    </row>
    <row r="33" spans="1:12" x14ac:dyDescent="0.3">
      <c r="A33" t="s">
        <v>311</v>
      </c>
      <c r="B33" t="s">
        <v>264</v>
      </c>
      <c r="C33" t="s">
        <v>342</v>
      </c>
      <c r="D33" t="s">
        <v>334</v>
      </c>
      <c r="K33" t="s">
        <v>264</v>
      </c>
      <c r="L33" t="s">
        <v>335</v>
      </c>
    </row>
    <row r="34" spans="1:12" x14ac:dyDescent="0.3">
      <c r="A34" t="s">
        <v>311</v>
      </c>
      <c r="B34" t="s">
        <v>264</v>
      </c>
      <c r="C34" t="s">
        <v>342</v>
      </c>
      <c r="D34" t="s">
        <v>334</v>
      </c>
      <c r="K34" t="s">
        <v>265</v>
      </c>
      <c r="L34" t="s">
        <v>363</v>
      </c>
    </row>
    <row r="35" spans="1:12" x14ac:dyDescent="0.3">
      <c r="A35" t="s">
        <v>312</v>
      </c>
      <c r="B35" t="s">
        <v>265</v>
      </c>
      <c r="C35" t="s">
        <v>355</v>
      </c>
      <c r="D35" t="s">
        <v>336</v>
      </c>
      <c r="K35" t="s">
        <v>337</v>
      </c>
      <c r="L35" t="s">
        <v>356</v>
      </c>
    </row>
    <row r="36" spans="1:12" x14ac:dyDescent="0.3">
      <c r="A36" t="s">
        <v>313</v>
      </c>
      <c r="B36" t="s">
        <v>337</v>
      </c>
      <c r="C36" t="s">
        <v>355</v>
      </c>
      <c r="D36" t="s">
        <v>338</v>
      </c>
      <c r="K36" t="s">
        <v>267</v>
      </c>
      <c r="L36" t="s">
        <v>364</v>
      </c>
    </row>
    <row r="37" spans="1:12" x14ac:dyDescent="0.3">
      <c r="A37" t="s">
        <v>314</v>
      </c>
      <c r="B37" t="s">
        <v>267</v>
      </c>
      <c r="C37" t="s">
        <v>355</v>
      </c>
      <c r="D37" t="s">
        <v>338</v>
      </c>
      <c r="K37" t="s">
        <v>268</v>
      </c>
      <c r="L37" t="s">
        <v>358</v>
      </c>
    </row>
    <row r="38" spans="1:12" x14ac:dyDescent="0.3">
      <c r="A38" t="s">
        <v>315</v>
      </c>
      <c r="B38" t="s">
        <v>268</v>
      </c>
      <c r="C38" t="s">
        <v>357</v>
      </c>
      <c r="D38" t="s">
        <v>334</v>
      </c>
      <c r="K38" t="s">
        <v>269</v>
      </c>
      <c r="L38" t="s">
        <v>340</v>
      </c>
    </row>
    <row r="39" spans="1:12" x14ac:dyDescent="0.3">
      <c r="A39" t="s">
        <v>316</v>
      </c>
      <c r="B39" t="s">
        <v>269</v>
      </c>
      <c r="C39" t="s">
        <v>357</v>
      </c>
      <c r="D39" t="s">
        <v>338</v>
      </c>
      <c r="K39" t="s">
        <v>270</v>
      </c>
      <c r="L39" t="s">
        <v>341</v>
      </c>
    </row>
    <row r="40" spans="1:12" x14ac:dyDescent="0.3">
      <c r="A40" t="s">
        <v>317</v>
      </c>
      <c r="B40" t="s">
        <v>270</v>
      </c>
      <c r="C40" t="s">
        <v>359</v>
      </c>
      <c r="D40" t="s">
        <v>338</v>
      </c>
      <c r="K40" t="s">
        <v>271</v>
      </c>
      <c r="L40" t="s">
        <v>360</v>
      </c>
    </row>
    <row r="41" spans="1:12" x14ac:dyDescent="0.3">
      <c r="A41" t="s">
        <v>318</v>
      </c>
      <c r="B41" t="s">
        <v>271</v>
      </c>
      <c r="C41" t="s">
        <v>339</v>
      </c>
      <c r="D41" t="s">
        <v>343</v>
      </c>
      <c r="K41" t="s">
        <v>271</v>
      </c>
      <c r="L41" t="s">
        <v>360</v>
      </c>
    </row>
    <row r="42" spans="1:12" x14ac:dyDescent="0.3">
      <c r="A42" t="s">
        <v>318</v>
      </c>
      <c r="B42" t="s">
        <v>271</v>
      </c>
      <c r="C42" t="s">
        <v>339</v>
      </c>
      <c r="D42" t="s">
        <v>343</v>
      </c>
      <c r="K42" t="s">
        <v>271</v>
      </c>
      <c r="L42" t="s">
        <v>360</v>
      </c>
    </row>
    <row r="43" spans="1:12" x14ac:dyDescent="0.3">
      <c r="A43" t="s">
        <v>318</v>
      </c>
      <c r="B43" t="s">
        <v>271</v>
      </c>
      <c r="C43" t="s">
        <v>339</v>
      </c>
      <c r="D43" t="s">
        <v>343</v>
      </c>
      <c r="K43" t="s">
        <v>272</v>
      </c>
      <c r="L43" t="s">
        <v>344</v>
      </c>
    </row>
    <row r="44" spans="1:12" x14ac:dyDescent="0.3">
      <c r="A44" t="s">
        <v>319</v>
      </c>
      <c r="B44" t="s">
        <v>272</v>
      </c>
      <c r="C44" t="s">
        <v>355</v>
      </c>
      <c r="D44" t="s">
        <v>338</v>
      </c>
      <c r="K44" t="s">
        <v>345</v>
      </c>
      <c r="L44" t="s">
        <v>346</v>
      </c>
    </row>
    <row r="45" spans="1:12" x14ac:dyDescent="0.3">
      <c r="A45" t="s">
        <v>320</v>
      </c>
      <c r="B45" t="s">
        <v>345</v>
      </c>
      <c r="C45" t="s">
        <v>359</v>
      </c>
      <c r="D45" t="s">
        <v>336</v>
      </c>
      <c r="K45" t="s">
        <v>274</v>
      </c>
      <c r="L45" t="s">
        <v>365</v>
      </c>
    </row>
    <row r="46" spans="1:12" x14ac:dyDescent="0.3">
      <c r="A46" t="s">
        <v>321</v>
      </c>
      <c r="B46" t="s">
        <v>274</v>
      </c>
      <c r="C46" t="s">
        <v>355</v>
      </c>
      <c r="D46" t="s">
        <v>338</v>
      </c>
      <c r="K46" t="s">
        <v>275</v>
      </c>
      <c r="L46" t="s">
        <v>347</v>
      </c>
    </row>
    <row r="47" spans="1:12" x14ac:dyDescent="0.3">
      <c r="A47" t="s">
        <v>322</v>
      </c>
      <c r="B47" t="s">
        <v>275</v>
      </c>
      <c r="C47" t="s">
        <v>357</v>
      </c>
      <c r="D47" t="s">
        <v>334</v>
      </c>
      <c r="K47" t="s">
        <v>276</v>
      </c>
      <c r="L47" t="s">
        <v>361</v>
      </c>
    </row>
    <row r="48" spans="1:12" x14ac:dyDescent="0.3">
      <c r="A48" t="s">
        <v>323</v>
      </c>
      <c r="B48" t="s">
        <v>276</v>
      </c>
      <c r="C48" t="s">
        <v>355</v>
      </c>
      <c r="D48" t="s">
        <v>338</v>
      </c>
      <c r="K48" t="s">
        <v>277</v>
      </c>
      <c r="L48" t="s">
        <v>348</v>
      </c>
    </row>
    <row r="49" spans="1:12" x14ac:dyDescent="0.3">
      <c r="A49" t="s">
        <v>324</v>
      </c>
      <c r="B49" t="s">
        <v>277</v>
      </c>
      <c r="C49" t="s">
        <v>355</v>
      </c>
      <c r="D49" t="s">
        <v>338</v>
      </c>
      <c r="K49" t="s">
        <v>278</v>
      </c>
      <c r="L49" t="s">
        <v>349</v>
      </c>
    </row>
    <row r="50" spans="1:12" x14ac:dyDescent="0.3">
      <c r="A50" t="s">
        <v>325</v>
      </c>
      <c r="B50" t="s">
        <v>278</v>
      </c>
      <c r="C50" t="s">
        <v>355</v>
      </c>
      <c r="D50" t="s">
        <v>338</v>
      </c>
      <c r="K50" t="s">
        <v>279</v>
      </c>
      <c r="L50" t="s">
        <v>351</v>
      </c>
    </row>
    <row r="51" spans="1:12" x14ac:dyDescent="0.3">
      <c r="A51" t="s">
        <v>326</v>
      </c>
      <c r="B51" t="s">
        <v>279</v>
      </c>
      <c r="C51" t="s">
        <v>362</v>
      </c>
      <c r="D51" t="s">
        <v>350</v>
      </c>
      <c r="K51" t="s">
        <v>280</v>
      </c>
      <c r="L51" t="s">
        <v>352</v>
      </c>
    </row>
    <row r="52" spans="1:12" x14ac:dyDescent="0.3">
      <c r="A52" t="s">
        <v>327</v>
      </c>
      <c r="B52" t="s">
        <v>280</v>
      </c>
      <c r="C52" t="s">
        <v>357</v>
      </c>
      <c r="D52" t="s">
        <v>338</v>
      </c>
      <c r="K52" t="s">
        <v>281</v>
      </c>
      <c r="L52" t="s">
        <v>353</v>
      </c>
    </row>
    <row r="53" spans="1:12" x14ac:dyDescent="0.3">
      <c r="A53" t="s">
        <v>328</v>
      </c>
      <c r="B53" t="s">
        <v>281</v>
      </c>
      <c r="C53" t="s">
        <v>342</v>
      </c>
      <c r="D53" t="s">
        <v>334</v>
      </c>
      <c r="K53" t="s">
        <v>281</v>
      </c>
      <c r="L53" t="s">
        <v>353</v>
      </c>
    </row>
    <row r="54" spans="1:12" x14ac:dyDescent="0.3">
      <c r="A54" t="s">
        <v>328</v>
      </c>
      <c r="B54" t="s">
        <v>281</v>
      </c>
      <c r="C54" t="s">
        <v>342</v>
      </c>
      <c r="D54" t="s">
        <v>334</v>
      </c>
      <c r="K54" t="s">
        <v>282</v>
      </c>
      <c r="L54" t="s">
        <v>354</v>
      </c>
    </row>
    <row r="55" spans="1:12" x14ac:dyDescent="0.3">
      <c r="A55" t="s">
        <v>329</v>
      </c>
      <c r="B55" t="s">
        <v>282</v>
      </c>
      <c r="C55" t="s">
        <v>339</v>
      </c>
      <c r="D55" t="s">
        <v>343</v>
      </c>
    </row>
  </sheetData>
  <mergeCells count="2">
    <mergeCell ref="L1:M1"/>
    <mergeCell ref="L14:L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5C53C-CDB4-4DC1-9C26-F145697A0280}">
  <dimension ref="A1:K30"/>
  <sheetViews>
    <sheetView workbookViewId="0">
      <selection activeCell="I19" sqref="I19"/>
    </sheetView>
  </sheetViews>
  <sheetFormatPr baseColWidth="10" defaultRowHeight="14.4" x14ac:dyDescent="0.3"/>
  <cols>
    <col min="1" max="1" width="20.44140625" customWidth="1"/>
    <col min="2" max="2" width="22.77734375" customWidth="1"/>
  </cols>
  <sheetData>
    <row r="1" spans="1:11" x14ac:dyDescent="0.3">
      <c r="C1" s="109" t="s">
        <v>384</v>
      </c>
      <c r="D1" s="109"/>
      <c r="E1" s="109"/>
      <c r="F1" s="109"/>
      <c r="H1" s="109" t="s">
        <v>383</v>
      </c>
      <c r="I1" s="109"/>
      <c r="J1" s="109"/>
      <c r="K1" s="109"/>
    </row>
    <row r="2" spans="1:11" x14ac:dyDescent="0.3">
      <c r="A2" s="2" t="s">
        <v>310</v>
      </c>
      <c r="B2" s="2" t="s">
        <v>284</v>
      </c>
      <c r="C2" t="s">
        <v>379</v>
      </c>
      <c r="D2" s="63" t="s">
        <v>380</v>
      </c>
      <c r="E2" t="s">
        <v>381</v>
      </c>
      <c r="F2" s="63" t="s">
        <v>382</v>
      </c>
      <c r="H2" t="s">
        <v>379</v>
      </c>
      <c r="I2" s="63" t="s">
        <v>380</v>
      </c>
      <c r="J2" t="s">
        <v>381</v>
      </c>
      <c r="K2" s="63" t="s">
        <v>382</v>
      </c>
    </row>
    <row r="3" spans="1:11" x14ac:dyDescent="0.3">
      <c r="A3" t="s">
        <v>285</v>
      </c>
      <c r="B3" t="s">
        <v>311</v>
      </c>
      <c r="D3" s="106">
        <f>0.02/3</f>
        <v>6.6666666666666671E-3</v>
      </c>
      <c r="E3" s="106"/>
      <c r="F3" s="106">
        <f>0.02/3</f>
        <v>6.6666666666666671E-3</v>
      </c>
      <c r="G3" s="106"/>
      <c r="H3" s="105">
        <f>C3/1000</f>
        <v>0</v>
      </c>
      <c r="I3" s="105">
        <f t="shared" ref="I3:K3" si="0">D3/1000</f>
        <v>6.6666666666666675E-6</v>
      </c>
      <c r="J3" s="105">
        <f t="shared" si="0"/>
        <v>0</v>
      </c>
      <c r="K3" s="105">
        <f t="shared" si="0"/>
        <v>6.6666666666666675E-6</v>
      </c>
    </row>
    <row r="4" spans="1:11" x14ac:dyDescent="0.3">
      <c r="A4" t="s">
        <v>286</v>
      </c>
      <c r="B4" t="s">
        <v>311</v>
      </c>
      <c r="D4" s="106">
        <f t="shared" ref="D4:F5" si="1">0.02/3</f>
        <v>6.6666666666666671E-3</v>
      </c>
      <c r="E4" s="106"/>
      <c r="F4" s="106">
        <f t="shared" si="1"/>
        <v>6.6666666666666671E-3</v>
      </c>
      <c r="G4" s="106"/>
      <c r="H4" s="105">
        <f t="shared" ref="H4:H27" si="2">C4/1000</f>
        <v>0</v>
      </c>
      <c r="I4" s="105">
        <f t="shared" ref="I4:I27" si="3">D4/1000</f>
        <v>6.6666666666666675E-6</v>
      </c>
      <c r="J4" s="105">
        <f t="shared" ref="J4:J27" si="4">E4/1000</f>
        <v>0</v>
      </c>
      <c r="K4" s="105">
        <f t="shared" ref="K4:K27" si="5">F4/1000</f>
        <v>6.6666666666666675E-6</v>
      </c>
    </row>
    <row r="5" spans="1:11" x14ac:dyDescent="0.3">
      <c r="A5" t="s">
        <v>287</v>
      </c>
      <c r="B5" t="s">
        <v>311</v>
      </c>
      <c r="D5" s="106">
        <f t="shared" si="1"/>
        <v>6.6666666666666671E-3</v>
      </c>
      <c r="E5" s="106"/>
      <c r="F5" s="106">
        <f t="shared" si="1"/>
        <v>6.6666666666666671E-3</v>
      </c>
      <c r="G5" s="106"/>
      <c r="H5" s="105">
        <f t="shared" si="2"/>
        <v>0</v>
      </c>
      <c r="I5" s="105">
        <f t="shared" si="3"/>
        <v>6.6666666666666675E-6</v>
      </c>
      <c r="J5" s="105">
        <f t="shared" si="4"/>
        <v>0</v>
      </c>
      <c r="K5" s="105">
        <f t="shared" si="5"/>
        <v>6.6666666666666675E-6</v>
      </c>
    </row>
    <row r="6" spans="1:11" x14ac:dyDescent="0.3">
      <c r="A6" t="s">
        <v>288</v>
      </c>
      <c r="B6" t="s">
        <v>312</v>
      </c>
      <c r="D6">
        <v>1.91</v>
      </c>
      <c r="F6">
        <v>1.91</v>
      </c>
      <c r="H6">
        <f t="shared" si="2"/>
        <v>0</v>
      </c>
      <c r="I6">
        <f t="shared" si="3"/>
        <v>1.91E-3</v>
      </c>
      <c r="J6">
        <f t="shared" si="4"/>
        <v>0</v>
      </c>
      <c r="K6">
        <f t="shared" si="5"/>
        <v>1.91E-3</v>
      </c>
    </row>
    <row r="7" spans="1:11" x14ac:dyDescent="0.3">
      <c r="A7" t="s">
        <v>289</v>
      </c>
      <c r="B7" t="s">
        <v>313</v>
      </c>
      <c r="D7" s="103">
        <v>0</v>
      </c>
      <c r="F7" s="103"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</row>
    <row r="8" spans="1:11" x14ac:dyDescent="0.3">
      <c r="A8" t="s">
        <v>290</v>
      </c>
      <c r="B8" t="s">
        <v>314</v>
      </c>
      <c r="D8">
        <v>0</v>
      </c>
      <c r="F8"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</row>
    <row r="9" spans="1:11" x14ac:dyDescent="0.3">
      <c r="A9" t="s">
        <v>291</v>
      </c>
      <c r="B9" t="s">
        <v>315</v>
      </c>
      <c r="D9">
        <v>0.2</v>
      </c>
      <c r="F9">
        <v>0.2</v>
      </c>
      <c r="H9">
        <f t="shared" si="2"/>
        <v>0</v>
      </c>
      <c r="I9">
        <f t="shared" si="3"/>
        <v>2.0000000000000001E-4</v>
      </c>
      <c r="J9">
        <f t="shared" si="4"/>
        <v>0</v>
      </c>
      <c r="K9">
        <f t="shared" si="5"/>
        <v>2.0000000000000001E-4</v>
      </c>
    </row>
    <row r="10" spans="1:11" x14ac:dyDescent="0.3">
      <c r="A10" t="s">
        <v>292</v>
      </c>
      <c r="D10" s="104">
        <v>0</v>
      </c>
      <c r="F10" s="104"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</row>
    <row r="11" spans="1:11" x14ac:dyDescent="0.3">
      <c r="A11" t="s">
        <v>293</v>
      </c>
      <c r="B11" t="s">
        <v>316</v>
      </c>
      <c r="D11">
        <v>0.24</v>
      </c>
      <c r="F11">
        <v>0.24</v>
      </c>
      <c r="H11">
        <f t="shared" si="2"/>
        <v>0</v>
      </c>
      <c r="I11">
        <f t="shared" si="3"/>
        <v>2.3999999999999998E-4</v>
      </c>
      <c r="J11">
        <f t="shared" si="4"/>
        <v>0</v>
      </c>
      <c r="K11">
        <f t="shared" si="5"/>
        <v>2.3999999999999998E-4</v>
      </c>
    </row>
    <row r="12" spans="1:11" x14ac:dyDescent="0.3">
      <c r="A12" t="s">
        <v>294</v>
      </c>
      <c r="B12" t="s">
        <v>317</v>
      </c>
      <c r="D12">
        <v>0.15</v>
      </c>
      <c r="F12">
        <v>0.15</v>
      </c>
      <c r="H12">
        <f t="shared" si="2"/>
        <v>0</v>
      </c>
      <c r="I12">
        <f t="shared" si="3"/>
        <v>1.4999999999999999E-4</v>
      </c>
      <c r="J12">
        <f t="shared" si="4"/>
        <v>0</v>
      </c>
      <c r="K12">
        <f t="shared" si="5"/>
        <v>1.4999999999999999E-4</v>
      </c>
    </row>
    <row r="13" spans="1:11" x14ac:dyDescent="0.3">
      <c r="A13" t="s">
        <v>295</v>
      </c>
      <c r="B13" t="s">
        <v>318</v>
      </c>
      <c r="D13" s="103">
        <v>0</v>
      </c>
      <c r="F13" s="103"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</row>
    <row r="14" spans="1:11" x14ac:dyDescent="0.3">
      <c r="A14" t="s">
        <v>296</v>
      </c>
      <c r="B14" t="s">
        <v>318</v>
      </c>
      <c r="D14" s="103">
        <v>0</v>
      </c>
      <c r="F14" s="103"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</row>
    <row r="15" spans="1:11" x14ac:dyDescent="0.3">
      <c r="A15" t="s">
        <v>297</v>
      </c>
      <c r="B15" t="s">
        <v>318</v>
      </c>
      <c r="D15" s="103">
        <v>0</v>
      </c>
      <c r="F15" s="103"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</row>
    <row r="16" spans="1:11" x14ac:dyDescent="0.3">
      <c r="A16" t="s">
        <v>298</v>
      </c>
      <c r="B16" t="s">
        <v>319</v>
      </c>
      <c r="D16" s="103">
        <v>0</v>
      </c>
      <c r="F16" s="103"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</row>
    <row r="17" spans="1:11" x14ac:dyDescent="0.3">
      <c r="A17" t="s">
        <v>299</v>
      </c>
      <c r="B17" t="s">
        <v>320</v>
      </c>
      <c r="D17">
        <v>44</v>
      </c>
      <c r="F17">
        <v>5.64</v>
      </c>
      <c r="H17">
        <f t="shared" si="2"/>
        <v>0</v>
      </c>
      <c r="I17">
        <f t="shared" si="3"/>
        <v>4.3999999999999997E-2</v>
      </c>
      <c r="J17">
        <f t="shared" si="4"/>
        <v>0</v>
      </c>
      <c r="K17">
        <f t="shared" si="5"/>
        <v>5.64E-3</v>
      </c>
    </row>
    <row r="18" spans="1:11" x14ac:dyDescent="0.3">
      <c r="A18" t="s">
        <v>300</v>
      </c>
      <c r="B18" t="s">
        <v>321</v>
      </c>
      <c r="D18">
        <v>389</v>
      </c>
      <c r="F18" s="103">
        <v>0</v>
      </c>
      <c r="H18">
        <f t="shared" si="2"/>
        <v>0</v>
      </c>
      <c r="I18">
        <f t="shared" si="3"/>
        <v>0.38900000000000001</v>
      </c>
      <c r="J18">
        <f t="shared" si="4"/>
        <v>0</v>
      </c>
      <c r="K18">
        <f t="shared" si="5"/>
        <v>0</v>
      </c>
    </row>
    <row r="19" spans="1:11" x14ac:dyDescent="0.3">
      <c r="A19" t="s">
        <v>301</v>
      </c>
      <c r="B19" t="s">
        <v>322</v>
      </c>
      <c r="D19" s="103">
        <v>145.19999999999999</v>
      </c>
      <c r="F19" s="103">
        <v>0</v>
      </c>
      <c r="H19">
        <f t="shared" si="2"/>
        <v>0</v>
      </c>
      <c r="I19">
        <f t="shared" si="3"/>
        <v>0.1452</v>
      </c>
      <c r="J19">
        <f t="shared" si="4"/>
        <v>0</v>
      </c>
      <c r="K19">
        <f t="shared" si="5"/>
        <v>0</v>
      </c>
    </row>
    <row r="20" spans="1:11" x14ac:dyDescent="0.3">
      <c r="A20" t="s">
        <v>302</v>
      </c>
      <c r="B20" t="s">
        <v>323</v>
      </c>
      <c r="D20" s="103">
        <v>227.7</v>
      </c>
      <c r="F20" s="103">
        <v>0</v>
      </c>
      <c r="H20">
        <f t="shared" si="2"/>
        <v>0</v>
      </c>
      <c r="I20">
        <f t="shared" si="3"/>
        <v>0.22769999999999999</v>
      </c>
      <c r="J20">
        <f t="shared" si="4"/>
        <v>0</v>
      </c>
      <c r="K20">
        <f t="shared" si="5"/>
        <v>0</v>
      </c>
    </row>
    <row r="21" spans="1:11" x14ac:dyDescent="0.3">
      <c r="A21" t="s">
        <v>303</v>
      </c>
      <c r="B21" t="s">
        <v>324</v>
      </c>
      <c r="D21" s="103">
        <v>290.39999999999998</v>
      </c>
      <c r="F21" s="103">
        <v>0</v>
      </c>
      <c r="H21">
        <f t="shared" si="2"/>
        <v>0</v>
      </c>
      <c r="I21">
        <f t="shared" si="3"/>
        <v>0.29039999999999999</v>
      </c>
      <c r="J21">
        <f t="shared" si="4"/>
        <v>0</v>
      </c>
      <c r="K21">
        <f t="shared" si="5"/>
        <v>0</v>
      </c>
    </row>
    <row r="22" spans="1:11" x14ac:dyDescent="0.3">
      <c r="A22" t="s">
        <v>304</v>
      </c>
      <c r="B22" t="s">
        <v>325</v>
      </c>
      <c r="D22" s="103">
        <v>217.8</v>
      </c>
      <c r="F22" s="103">
        <v>0</v>
      </c>
      <c r="H22">
        <f t="shared" si="2"/>
        <v>0</v>
      </c>
      <c r="I22">
        <f t="shared" si="3"/>
        <v>0.21780000000000002</v>
      </c>
      <c r="J22">
        <f t="shared" si="4"/>
        <v>0</v>
      </c>
      <c r="K22">
        <f t="shared" si="5"/>
        <v>0</v>
      </c>
    </row>
    <row r="23" spans="1:11" x14ac:dyDescent="0.3">
      <c r="A23" t="s">
        <v>305</v>
      </c>
      <c r="B23" t="s">
        <v>326</v>
      </c>
      <c r="D23" s="103">
        <v>0</v>
      </c>
      <c r="F23" s="103"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</row>
    <row r="24" spans="1:11" x14ac:dyDescent="0.3">
      <c r="A24" t="s">
        <v>306</v>
      </c>
      <c r="B24" t="s">
        <v>327</v>
      </c>
      <c r="D24" s="103">
        <v>45</v>
      </c>
      <c r="F24" s="103">
        <v>0</v>
      </c>
      <c r="H24">
        <f t="shared" si="2"/>
        <v>0</v>
      </c>
      <c r="I24">
        <f t="shared" si="3"/>
        <v>4.4999999999999998E-2</v>
      </c>
      <c r="J24">
        <f t="shared" si="4"/>
        <v>0</v>
      </c>
      <c r="K24">
        <f t="shared" si="5"/>
        <v>0</v>
      </c>
    </row>
    <row r="25" spans="1:11" x14ac:dyDescent="0.3">
      <c r="A25" t="s">
        <v>307</v>
      </c>
      <c r="B25" t="s">
        <v>328</v>
      </c>
      <c r="D25" s="103">
        <v>500</v>
      </c>
      <c r="F25" s="103">
        <v>0</v>
      </c>
      <c r="H25">
        <f t="shared" si="2"/>
        <v>0</v>
      </c>
      <c r="I25">
        <f t="shared" si="3"/>
        <v>0.5</v>
      </c>
      <c r="J25">
        <f t="shared" si="4"/>
        <v>0</v>
      </c>
      <c r="K25">
        <f t="shared" si="5"/>
        <v>0</v>
      </c>
    </row>
    <row r="26" spans="1:11" x14ac:dyDescent="0.3">
      <c r="A26" t="s">
        <v>308</v>
      </c>
      <c r="B26" t="s">
        <v>328</v>
      </c>
      <c r="D26" s="103">
        <v>500</v>
      </c>
      <c r="F26" s="103">
        <v>0</v>
      </c>
      <c r="H26">
        <f t="shared" si="2"/>
        <v>0</v>
      </c>
      <c r="I26">
        <f t="shared" si="3"/>
        <v>0.5</v>
      </c>
      <c r="J26">
        <f t="shared" si="4"/>
        <v>0</v>
      </c>
      <c r="K26">
        <f t="shared" si="5"/>
        <v>0</v>
      </c>
    </row>
    <row r="27" spans="1:11" x14ac:dyDescent="0.3">
      <c r="A27" t="s">
        <v>309</v>
      </c>
      <c r="B27" t="s">
        <v>329</v>
      </c>
      <c r="D27" s="103">
        <v>330</v>
      </c>
      <c r="F27" s="103">
        <v>0</v>
      </c>
      <c r="H27">
        <f t="shared" si="2"/>
        <v>0</v>
      </c>
      <c r="I27">
        <f t="shared" si="3"/>
        <v>0.33</v>
      </c>
      <c r="J27">
        <f t="shared" si="4"/>
        <v>0</v>
      </c>
      <c r="K27">
        <f t="shared" si="5"/>
        <v>0</v>
      </c>
    </row>
    <row r="29" spans="1:11" x14ac:dyDescent="0.3">
      <c r="A29" s="2" t="s">
        <v>92</v>
      </c>
      <c r="D29">
        <f>SUM(D3:D27)</f>
        <v>2691.62</v>
      </c>
    </row>
    <row r="30" spans="1:11" x14ac:dyDescent="0.3">
      <c r="D30" t="s">
        <v>385</v>
      </c>
    </row>
  </sheetData>
  <mergeCells count="2">
    <mergeCell ref="C1:F1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4"/>
  <sheetViews>
    <sheetView topLeftCell="A21" zoomScaleNormal="100" workbookViewId="0">
      <selection activeCell="J50" sqref="J50"/>
    </sheetView>
  </sheetViews>
  <sheetFormatPr baseColWidth="10" defaultRowHeight="14.4" x14ac:dyDescent="0.3"/>
  <cols>
    <col min="1" max="1" width="20.33203125" customWidth="1"/>
  </cols>
  <sheetData>
    <row r="1" spans="1:8" ht="28.8" x14ac:dyDescent="0.3">
      <c r="A1" s="13" t="s">
        <v>136</v>
      </c>
      <c r="B1" s="13"/>
      <c r="C1" s="14"/>
      <c r="D1" s="14"/>
      <c r="E1" s="14">
        <f>'Masses and Volumes Old VC'!L41/1000/1000/1000</f>
        <v>0</v>
      </c>
      <c r="F1" s="14"/>
      <c r="G1" s="14"/>
      <c r="H1" s="14"/>
    </row>
    <row r="2" spans="1:8" x14ac:dyDescent="0.3">
      <c r="A2" s="15" t="s">
        <v>54</v>
      </c>
      <c r="B2" s="15" t="s">
        <v>73</v>
      </c>
      <c r="C2" s="14" t="s">
        <v>56</v>
      </c>
      <c r="D2" s="14">
        <v>8800</v>
      </c>
      <c r="E2" s="14">
        <v>0.35</v>
      </c>
      <c r="F2" s="14"/>
      <c r="G2" s="14"/>
      <c r="H2" s="14"/>
    </row>
    <row r="3" spans="1:8" x14ac:dyDescent="0.3">
      <c r="A3" s="15" t="s">
        <v>55</v>
      </c>
      <c r="B3" s="15" t="s">
        <v>73</v>
      </c>
      <c r="C3" s="14" t="s">
        <v>21</v>
      </c>
      <c r="D3" s="14">
        <v>1070</v>
      </c>
      <c r="E3" s="14">
        <v>0.4</v>
      </c>
      <c r="F3" s="14"/>
      <c r="G3" s="14"/>
      <c r="H3" s="14"/>
    </row>
    <row r="4" spans="1:8" x14ac:dyDescent="0.3">
      <c r="A4" t="s">
        <v>92</v>
      </c>
      <c r="E4" t="s">
        <v>137</v>
      </c>
    </row>
    <row r="7" spans="1:8" x14ac:dyDescent="0.3">
      <c r="A7" t="s">
        <v>138</v>
      </c>
      <c r="B7" t="s">
        <v>139</v>
      </c>
    </row>
    <row r="8" spans="1:8" x14ac:dyDescent="0.3">
      <c r="A8" t="s">
        <v>140</v>
      </c>
      <c r="B8" t="s">
        <v>141</v>
      </c>
    </row>
    <row r="9" spans="1:8" x14ac:dyDescent="0.3">
      <c r="A9" t="s">
        <v>142</v>
      </c>
      <c r="B9" t="s">
        <v>147</v>
      </c>
    </row>
    <row r="10" spans="1:8" x14ac:dyDescent="0.3">
      <c r="A10" t="s">
        <v>143</v>
      </c>
      <c r="B10" t="s">
        <v>144</v>
      </c>
    </row>
    <row r="11" spans="1:8" x14ac:dyDescent="0.3">
      <c r="A11" t="s">
        <v>149</v>
      </c>
      <c r="B11" t="s">
        <v>146</v>
      </c>
    </row>
    <row r="12" spans="1:8" x14ac:dyDescent="0.3">
      <c r="A12" t="s">
        <v>148</v>
      </c>
      <c r="B12">
        <v>9.5</v>
      </c>
    </row>
    <row r="14" spans="1:8" x14ac:dyDescent="0.3">
      <c r="A14" t="s">
        <v>163</v>
      </c>
      <c r="B14">
        <v>9.8000000000000007</v>
      </c>
    </row>
    <row r="15" spans="1:8" x14ac:dyDescent="0.3">
      <c r="A15" t="s">
        <v>164</v>
      </c>
      <c r="B15">
        <v>10.199999999999999</v>
      </c>
    </row>
    <row r="16" spans="1:8" x14ac:dyDescent="0.3">
      <c r="A16" t="s">
        <v>165</v>
      </c>
      <c r="B16">
        <v>11.2</v>
      </c>
    </row>
    <row r="17" spans="1:9" x14ac:dyDescent="0.3">
      <c r="A17" t="s">
        <v>166</v>
      </c>
      <c r="B17">
        <v>11.4</v>
      </c>
    </row>
    <row r="24" spans="1:9" x14ac:dyDescent="0.3">
      <c r="A24" t="s">
        <v>182</v>
      </c>
      <c r="D24" t="s">
        <v>190</v>
      </c>
    </row>
    <row r="25" spans="1:9" x14ac:dyDescent="0.3">
      <c r="A25" t="s">
        <v>183</v>
      </c>
      <c r="B25">
        <v>4</v>
      </c>
      <c r="C25" t="s">
        <v>184</v>
      </c>
      <c r="D25">
        <v>3.5000000000000003E-2</v>
      </c>
      <c r="E25">
        <f>D25*B25</f>
        <v>0.14000000000000001</v>
      </c>
      <c r="G25" t="s">
        <v>195</v>
      </c>
      <c r="I25" t="s">
        <v>196</v>
      </c>
    </row>
    <row r="26" spans="1:9" x14ac:dyDescent="0.3">
      <c r="A26" t="s">
        <v>185</v>
      </c>
      <c r="B26">
        <v>3</v>
      </c>
      <c r="C26" t="s">
        <v>184</v>
      </c>
      <c r="D26">
        <v>0.48</v>
      </c>
      <c r="E26">
        <f t="shared" ref="E26:E27" si="0">D26*B26</f>
        <v>1.44</v>
      </c>
    </row>
    <row r="27" spans="1:9" x14ac:dyDescent="0.3">
      <c r="A27" t="s">
        <v>186</v>
      </c>
      <c r="B27">
        <v>2</v>
      </c>
      <c r="C27" t="s">
        <v>187</v>
      </c>
      <c r="D27">
        <v>0.01</v>
      </c>
      <c r="E27">
        <f t="shared" si="0"/>
        <v>0.02</v>
      </c>
    </row>
    <row r="30" spans="1:9" x14ac:dyDescent="0.3">
      <c r="A30" t="s">
        <v>194</v>
      </c>
    </row>
    <row r="31" spans="1:9" x14ac:dyDescent="0.3">
      <c r="A31" t="s">
        <v>183</v>
      </c>
      <c r="B31">
        <v>6</v>
      </c>
      <c r="C31" t="s">
        <v>188</v>
      </c>
      <c r="D31">
        <v>3.5000000000000003E-2</v>
      </c>
      <c r="E31">
        <f>D31*B31</f>
        <v>0.21000000000000002</v>
      </c>
    </row>
    <row r="32" spans="1:9" x14ac:dyDescent="0.3">
      <c r="A32" t="s">
        <v>185</v>
      </c>
      <c r="B32">
        <v>3</v>
      </c>
      <c r="C32" t="s">
        <v>187</v>
      </c>
      <c r="D32">
        <v>0.1</v>
      </c>
      <c r="E32">
        <f t="shared" ref="E32:E33" si="1">D32*B32</f>
        <v>0.30000000000000004</v>
      </c>
    </row>
    <row r="33" spans="1:15" x14ac:dyDescent="0.3">
      <c r="A33" t="s">
        <v>185</v>
      </c>
      <c r="B33">
        <v>2</v>
      </c>
      <c r="C33" t="s">
        <v>187</v>
      </c>
      <c r="D33">
        <v>0.73499999999999999</v>
      </c>
      <c r="E33">
        <f t="shared" si="1"/>
        <v>1.47</v>
      </c>
    </row>
    <row r="34" spans="1:15" x14ac:dyDescent="0.3">
      <c r="A34" t="s">
        <v>186</v>
      </c>
      <c r="B34">
        <v>2</v>
      </c>
      <c r="C34" t="s">
        <v>187</v>
      </c>
      <c r="D34">
        <v>0.01</v>
      </c>
      <c r="E34">
        <f>D34*B34</f>
        <v>0.02</v>
      </c>
    </row>
    <row r="36" spans="1:15" x14ac:dyDescent="0.3">
      <c r="A36" t="s">
        <v>189</v>
      </c>
    </row>
    <row r="37" spans="1:15" x14ac:dyDescent="0.3">
      <c r="A37" t="s">
        <v>183</v>
      </c>
      <c r="B37">
        <v>6</v>
      </c>
      <c r="C37" t="s">
        <v>184</v>
      </c>
      <c r="D37">
        <v>3.5000000000000003E-2</v>
      </c>
      <c r="E37">
        <f>D37*B37</f>
        <v>0.21000000000000002</v>
      </c>
    </row>
    <row r="38" spans="1:15" x14ac:dyDescent="0.3">
      <c r="A38" t="s">
        <v>185</v>
      </c>
      <c r="B38">
        <v>5</v>
      </c>
      <c r="C38" t="s">
        <v>191</v>
      </c>
      <c r="D38">
        <v>0.35399999999999998</v>
      </c>
      <c r="E38">
        <f t="shared" ref="E38:E39" si="2">D38*B38</f>
        <v>1.77</v>
      </c>
    </row>
    <row r="39" spans="1:15" x14ac:dyDescent="0.3">
      <c r="A39" t="s">
        <v>186</v>
      </c>
      <c r="B39">
        <v>2</v>
      </c>
      <c r="C39" t="s">
        <v>191</v>
      </c>
      <c r="D39">
        <v>0.01</v>
      </c>
      <c r="E39">
        <f t="shared" si="2"/>
        <v>0.02</v>
      </c>
    </row>
    <row r="41" spans="1:15" x14ac:dyDescent="0.3">
      <c r="A41" t="s">
        <v>64</v>
      </c>
      <c r="O41" t="s">
        <v>196</v>
      </c>
    </row>
    <row r="42" spans="1:15" x14ac:dyDescent="0.3">
      <c r="A42" t="s">
        <v>193</v>
      </c>
      <c r="B42">
        <v>2</v>
      </c>
      <c r="C42" t="s">
        <v>191</v>
      </c>
      <c r="D42">
        <v>3.5000000000000003E-2</v>
      </c>
      <c r="E42">
        <f>D42*B42</f>
        <v>7.0000000000000007E-2</v>
      </c>
    </row>
    <row r="43" spans="1:15" x14ac:dyDescent="0.3">
      <c r="A43" t="s">
        <v>185</v>
      </c>
      <c r="B43">
        <v>1</v>
      </c>
      <c r="C43" t="s">
        <v>191</v>
      </c>
      <c r="D43">
        <v>1.51</v>
      </c>
      <c r="E43">
        <f t="shared" ref="E43:E44" si="3">D43*B43</f>
        <v>1.51</v>
      </c>
    </row>
    <row r="44" spans="1:15" x14ac:dyDescent="0.3">
      <c r="A44" t="s">
        <v>186</v>
      </c>
      <c r="B44">
        <v>2</v>
      </c>
      <c r="C44" t="s">
        <v>191</v>
      </c>
      <c r="D44">
        <v>0.01</v>
      </c>
      <c r="E44">
        <f t="shared" si="3"/>
        <v>0.02</v>
      </c>
    </row>
    <row r="46" spans="1:15" x14ac:dyDescent="0.3">
      <c r="A46" t="s">
        <v>218</v>
      </c>
    </row>
    <row r="47" spans="1:15" x14ac:dyDescent="0.3">
      <c r="A47" t="s">
        <v>185</v>
      </c>
      <c r="B47">
        <v>1</v>
      </c>
      <c r="C47" t="s">
        <v>191</v>
      </c>
      <c r="D47">
        <v>0.21</v>
      </c>
      <c r="E47">
        <f>D47*B47</f>
        <v>0.21</v>
      </c>
      <c r="G47" s="3"/>
    </row>
    <row r="48" spans="1:15" x14ac:dyDescent="0.3">
      <c r="A48" t="s">
        <v>193</v>
      </c>
      <c r="B48">
        <v>2</v>
      </c>
      <c r="C48" t="s">
        <v>191</v>
      </c>
      <c r="D48">
        <v>3.5000000000000003E-2</v>
      </c>
      <c r="E48">
        <f t="shared" ref="E48" si="4">D48*B48</f>
        <v>7.0000000000000007E-2</v>
      </c>
    </row>
    <row r="49" spans="1:16" x14ac:dyDescent="0.3">
      <c r="A49" t="s">
        <v>186</v>
      </c>
      <c r="B49">
        <v>2</v>
      </c>
      <c r="C49" t="s">
        <v>191</v>
      </c>
      <c r="D49">
        <v>0.01</v>
      </c>
      <c r="E49">
        <f>D49*B49</f>
        <v>0.02</v>
      </c>
    </row>
    <row r="51" spans="1:16" x14ac:dyDescent="0.3">
      <c r="A51" t="s">
        <v>221</v>
      </c>
    </row>
    <row r="52" spans="1:16" x14ac:dyDescent="0.3">
      <c r="A52" t="s">
        <v>185</v>
      </c>
      <c r="B52">
        <v>1</v>
      </c>
      <c r="C52" t="s">
        <v>191</v>
      </c>
      <c r="D52">
        <v>0.91</v>
      </c>
      <c r="E52">
        <f>D52*B52</f>
        <v>0.91</v>
      </c>
    </row>
    <row r="53" spans="1:16" x14ac:dyDescent="0.3">
      <c r="A53" t="s">
        <v>193</v>
      </c>
      <c r="B53">
        <v>2</v>
      </c>
      <c r="C53" t="s">
        <v>191</v>
      </c>
      <c r="D53">
        <v>3.5000000000000003E-2</v>
      </c>
      <c r="E53">
        <f t="shared" ref="E53" si="5">D53*B53</f>
        <v>7.0000000000000007E-2</v>
      </c>
      <c r="H53" t="s">
        <v>234</v>
      </c>
    </row>
    <row r="54" spans="1:16" x14ac:dyDescent="0.3">
      <c r="A54" t="s">
        <v>186</v>
      </c>
      <c r="B54">
        <v>2</v>
      </c>
      <c r="C54" t="s">
        <v>191</v>
      </c>
      <c r="D54">
        <v>0.01</v>
      </c>
      <c r="E54">
        <f>D54*B54</f>
        <v>0.02</v>
      </c>
      <c r="H54" t="s">
        <v>235</v>
      </c>
      <c r="I54" t="s">
        <v>236</v>
      </c>
    </row>
    <row r="55" spans="1:16" x14ac:dyDescent="0.3">
      <c r="H55">
        <v>24.88</v>
      </c>
      <c r="I55" t="s">
        <v>237</v>
      </c>
      <c r="K55" s="54">
        <v>7.1000000000000004E-3</v>
      </c>
      <c r="M55" t="s">
        <v>239</v>
      </c>
      <c r="O55" t="s">
        <v>241</v>
      </c>
    </row>
    <row r="56" spans="1:16" x14ac:dyDescent="0.3">
      <c r="A56" t="s">
        <v>222</v>
      </c>
      <c r="H56">
        <v>10.119999999999999</v>
      </c>
      <c r="I56" t="s">
        <v>238</v>
      </c>
      <c r="K56" s="54">
        <v>2.8999999999999998E-3</v>
      </c>
      <c r="M56" t="s">
        <v>240</v>
      </c>
      <c r="O56" t="s">
        <v>242</v>
      </c>
      <c r="P56" t="s">
        <v>243</v>
      </c>
    </row>
    <row r="57" spans="1:16" x14ac:dyDescent="0.3">
      <c r="A57" t="s">
        <v>193</v>
      </c>
      <c r="B57">
        <v>0</v>
      </c>
      <c r="C57" t="s">
        <v>191</v>
      </c>
      <c r="D57">
        <v>0</v>
      </c>
      <c r="E57">
        <f t="shared" ref="E57" si="6">D57*B57</f>
        <v>0</v>
      </c>
      <c r="F57" t="s">
        <v>245</v>
      </c>
    </row>
    <row r="58" spans="1:16" x14ac:dyDescent="0.3">
      <c r="A58" t="s">
        <v>217</v>
      </c>
      <c r="B58">
        <v>1</v>
      </c>
      <c r="C58" t="s">
        <v>191</v>
      </c>
      <c r="D58">
        <v>0.254</v>
      </c>
      <c r="E58">
        <f t="shared" ref="E58:E59" si="7">D58*B58</f>
        <v>0.254</v>
      </c>
      <c r="F58" t="s">
        <v>246</v>
      </c>
    </row>
    <row r="59" spans="1:16" x14ac:dyDescent="0.3">
      <c r="A59" t="s">
        <v>186</v>
      </c>
      <c r="B59">
        <v>0</v>
      </c>
      <c r="C59" t="s">
        <v>191</v>
      </c>
      <c r="D59">
        <v>0</v>
      </c>
      <c r="E59">
        <f t="shared" si="7"/>
        <v>0</v>
      </c>
      <c r="F59" s="3"/>
    </row>
    <row r="62" spans="1:16" x14ac:dyDescent="0.3">
      <c r="A62" t="s">
        <v>223</v>
      </c>
    </row>
    <row r="63" spans="1:16" x14ac:dyDescent="0.3">
      <c r="A63" t="s">
        <v>217</v>
      </c>
      <c r="B63">
        <f>E58</f>
        <v>0.254</v>
      </c>
    </row>
    <row r="64" spans="1:16" x14ac:dyDescent="0.3">
      <c r="A64" t="s">
        <v>185</v>
      </c>
      <c r="B64">
        <f>E52+E47</f>
        <v>1.1200000000000001</v>
      </c>
    </row>
    <row r="65" spans="1:5" x14ac:dyDescent="0.3">
      <c r="A65" t="s">
        <v>193</v>
      </c>
      <c r="B65">
        <f>E53+E48</f>
        <v>0.14000000000000001</v>
      </c>
    </row>
    <row r="66" spans="1:5" x14ac:dyDescent="0.3">
      <c r="A66" t="s">
        <v>186</v>
      </c>
      <c r="B66">
        <f>E54+E49</f>
        <v>0.04</v>
      </c>
    </row>
    <row r="69" spans="1:5" x14ac:dyDescent="0.3">
      <c r="A69" t="s">
        <v>192</v>
      </c>
    </row>
    <row r="70" spans="1:5" x14ac:dyDescent="0.3">
      <c r="A70" t="s">
        <v>217</v>
      </c>
      <c r="B70">
        <v>1</v>
      </c>
      <c r="C70" t="s">
        <v>191</v>
      </c>
      <c r="D70">
        <v>0.21</v>
      </c>
      <c r="E70">
        <f>D70*B70</f>
        <v>0.21</v>
      </c>
    </row>
    <row r="71" spans="1:5" x14ac:dyDescent="0.3">
      <c r="A71" t="s">
        <v>193</v>
      </c>
      <c r="B71">
        <v>2</v>
      </c>
      <c r="C71" t="s">
        <v>191</v>
      </c>
      <c r="D71">
        <v>3.5000000000000003E-2</v>
      </c>
      <c r="E71">
        <f t="shared" ref="E71" si="8">D71*B71</f>
        <v>7.0000000000000007E-2</v>
      </c>
    </row>
    <row r="72" spans="1:5" x14ac:dyDescent="0.3">
      <c r="A72" t="s">
        <v>186</v>
      </c>
      <c r="B72">
        <v>2</v>
      </c>
      <c r="C72" t="s">
        <v>191</v>
      </c>
      <c r="D72">
        <v>0.01</v>
      </c>
      <c r="E72">
        <f>D72*B72</f>
        <v>0.02</v>
      </c>
    </row>
    <row r="75" spans="1:5" x14ac:dyDescent="0.3">
      <c r="A75" t="s">
        <v>219</v>
      </c>
    </row>
    <row r="76" spans="1:5" x14ac:dyDescent="0.3">
      <c r="A76" t="s">
        <v>185</v>
      </c>
      <c r="B76">
        <v>3</v>
      </c>
      <c r="C76" t="s">
        <v>191</v>
      </c>
      <c r="D76">
        <v>0.28000000000000003</v>
      </c>
      <c r="E76">
        <f>D76*B76</f>
        <v>0.84000000000000008</v>
      </c>
    </row>
    <row r="77" spans="1:5" x14ac:dyDescent="0.3">
      <c r="A77" t="s">
        <v>193</v>
      </c>
      <c r="B77">
        <v>4</v>
      </c>
      <c r="C77" t="s">
        <v>191</v>
      </c>
      <c r="D77">
        <v>3.5000000000000003E-2</v>
      </c>
      <c r="E77">
        <f t="shared" ref="E77" si="9">D77*B77</f>
        <v>0.14000000000000001</v>
      </c>
    </row>
    <row r="78" spans="1:5" x14ac:dyDescent="0.3">
      <c r="A78" t="s">
        <v>186</v>
      </c>
      <c r="B78">
        <v>2</v>
      </c>
      <c r="C78" t="s">
        <v>191</v>
      </c>
      <c r="D78">
        <v>0.01</v>
      </c>
      <c r="E78">
        <f>D78*B78</f>
        <v>0.02</v>
      </c>
    </row>
    <row r="80" spans="1:5" x14ac:dyDescent="0.3">
      <c r="A80" t="s">
        <v>220</v>
      </c>
    </row>
    <row r="81" spans="1:2" x14ac:dyDescent="0.3">
      <c r="A81" t="s">
        <v>185</v>
      </c>
      <c r="B81">
        <f>E76</f>
        <v>0.84000000000000008</v>
      </c>
    </row>
    <row r="82" spans="1:2" x14ac:dyDescent="0.3">
      <c r="A82" t="s">
        <v>217</v>
      </c>
      <c r="B82">
        <f>E70</f>
        <v>0.21</v>
      </c>
    </row>
    <row r="83" spans="1:2" x14ac:dyDescent="0.3">
      <c r="A83" t="s">
        <v>193</v>
      </c>
      <c r="B83">
        <f>E71+E77</f>
        <v>0.21000000000000002</v>
      </c>
    </row>
    <row r="84" spans="1:2" x14ac:dyDescent="0.3">
      <c r="A84" t="s">
        <v>186</v>
      </c>
      <c r="B84">
        <f>E72+E78</f>
        <v>0.04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0"/>
  <sheetViews>
    <sheetView zoomScale="85" zoomScaleNormal="85" workbookViewId="0">
      <selection activeCell="A5" sqref="A5:F5"/>
    </sheetView>
  </sheetViews>
  <sheetFormatPr baseColWidth="10" defaultRowHeight="14.4" x14ac:dyDescent="0.3"/>
  <cols>
    <col min="1" max="1" width="25.88671875" bestFit="1" customWidth="1"/>
    <col min="2" max="2" width="11.88671875" bestFit="1" customWidth="1"/>
    <col min="3" max="3" width="9.6640625" bestFit="1" customWidth="1"/>
    <col min="4" max="4" width="25.33203125" bestFit="1" customWidth="1"/>
    <col min="5" max="5" width="18.33203125" bestFit="1" customWidth="1"/>
    <col min="6" max="6" width="14.109375" customWidth="1"/>
    <col min="7" max="7" width="9.33203125" customWidth="1"/>
    <col min="8" max="8" width="14.5546875" customWidth="1"/>
    <col min="9" max="9" width="14.6640625" customWidth="1"/>
    <col min="10" max="10" width="25.44140625" customWidth="1"/>
    <col min="11" max="11" width="12.88671875" bestFit="1" customWidth="1"/>
  </cols>
  <sheetData>
    <row r="1" spans="1:12" x14ac:dyDescent="0.3">
      <c r="A1" s="2" t="s">
        <v>25</v>
      </c>
      <c r="B1" s="2" t="s">
        <v>58</v>
      </c>
      <c r="C1" s="2" t="s">
        <v>0</v>
      </c>
      <c r="D1" s="2" t="s">
        <v>87</v>
      </c>
      <c r="E1" s="2" t="s">
        <v>26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81</v>
      </c>
    </row>
    <row r="2" spans="1:12" x14ac:dyDescent="0.3">
      <c r="A2" s="8" t="s">
        <v>88</v>
      </c>
      <c r="B2" s="8"/>
      <c r="C2" s="6"/>
      <c r="D2" s="6"/>
      <c r="E2" s="6"/>
      <c r="F2" s="6"/>
      <c r="G2" s="6"/>
      <c r="H2" s="6"/>
      <c r="I2" s="6"/>
    </row>
    <row r="3" spans="1:12" x14ac:dyDescent="0.3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5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2" x14ac:dyDescent="0.3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6" si="1">F4*G4</f>
        <v>1.66E-2</v>
      </c>
      <c r="I4" s="6">
        <f t="shared" ref="I4:I39" si="2">H4*1000</f>
        <v>16.600000000000001</v>
      </c>
      <c r="J4" s="5" t="s">
        <v>83</v>
      </c>
    </row>
    <row r="5" spans="1:12" x14ac:dyDescent="0.3">
      <c r="A5" s="9" t="s">
        <v>155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6.6E-3</v>
      </c>
      <c r="G5" s="6">
        <v>1</v>
      </c>
      <c r="H5" s="6">
        <f t="shared" si="1"/>
        <v>6.6E-3</v>
      </c>
      <c r="I5" s="6">
        <f t="shared" si="2"/>
        <v>6.6</v>
      </c>
      <c r="J5" s="5" t="s">
        <v>83</v>
      </c>
      <c r="L5" s="3"/>
    </row>
    <row r="6" spans="1:12" x14ac:dyDescent="0.3">
      <c r="A6" s="9" t="s">
        <v>76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1.0199999999999999E-2</v>
      </c>
      <c r="G6" s="6">
        <v>1</v>
      </c>
      <c r="H6" s="6">
        <f t="shared" si="1"/>
        <v>1.0199999999999999E-2</v>
      </c>
      <c r="I6" s="6">
        <f t="shared" si="2"/>
        <v>10.199999999999999</v>
      </c>
      <c r="J6" s="5" t="s">
        <v>82</v>
      </c>
    </row>
    <row r="7" spans="1:12" x14ac:dyDescent="0.3">
      <c r="A7" s="9" t="s">
        <v>77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9.300000000000001E-3</v>
      </c>
      <c r="G7" s="6">
        <v>1</v>
      </c>
      <c r="H7" s="6">
        <f t="shared" si="1"/>
        <v>9.300000000000001E-3</v>
      </c>
      <c r="I7" s="6">
        <f t="shared" si="2"/>
        <v>9.3000000000000007</v>
      </c>
      <c r="J7" s="5" t="s">
        <v>82</v>
      </c>
    </row>
    <row r="8" spans="1:12" x14ac:dyDescent="0.3">
      <c r="A8" s="9" t="s">
        <v>78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9.1999999999999998E-3</v>
      </c>
      <c r="G8" s="6">
        <v>1</v>
      </c>
      <c r="H8" s="6">
        <f t="shared" si="1"/>
        <v>9.1999999999999998E-3</v>
      </c>
      <c r="I8" s="6">
        <f t="shared" si="2"/>
        <v>9.1999999999999993</v>
      </c>
      <c r="J8" s="5" t="s">
        <v>82</v>
      </c>
    </row>
    <row r="9" spans="1:12" x14ac:dyDescent="0.3">
      <c r="A9" s="9" t="s">
        <v>75</v>
      </c>
      <c r="B9" s="9" t="s">
        <v>33</v>
      </c>
      <c r="C9" s="6" t="s">
        <v>6</v>
      </c>
      <c r="D9" s="6">
        <v>1850</v>
      </c>
      <c r="E9" s="6">
        <f t="shared" si="0"/>
        <v>0</v>
      </c>
      <c r="F9" s="6">
        <v>1.11E-2</v>
      </c>
      <c r="G9" s="6">
        <v>4</v>
      </c>
      <c r="H9" s="6">
        <f t="shared" si="1"/>
        <v>4.4400000000000002E-2</v>
      </c>
      <c r="I9" s="6">
        <f t="shared" si="2"/>
        <v>44.4</v>
      </c>
      <c r="J9" s="5" t="s">
        <v>83</v>
      </c>
    </row>
    <row r="10" spans="1:12" x14ac:dyDescent="0.3">
      <c r="A10" s="9" t="s">
        <v>84</v>
      </c>
      <c r="B10" s="9" t="s">
        <v>85</v>
      </c>
      <c r="C10" s="6" t="s">
        <v>48</v>
      </c>
      <c r="D10" s="6"/>
      <c r="E10" s="6">
        <f t="shared" si="0"/>
        <v>0</v>
      </c>
      <c r="F10" s="6">
        <v>5.7000000000000002E-3</v>
      </c>
      <c r="G10" s="6">
        <v>1</v>
      </c>
      <c r="H10" s="6">
        <f t="shared" si="1"/>
        <v>5.7000000000000002E-3</v>
      </c>
      <c r="I10" s="6">
        <f t="shared" si="2"/>
        <v>5.7</v>
      </c>
      <c r="J10" s="5"/>
    </row>
    <row r="11" spans="1:12" x14ac:dyDescent="0.3">
      <c r="A11" s="8" t="s">
        <v>29</v>
      </c>
      <c r="B11" s="8"/>
      <c r="C11" s="6"/>
      <c r="D11" s="6"/>
      <c r="E11" s="6"/>
      <c r="F11" s="6"/>
      <c r="G11" s="6"/>
      <c r="H11" s="6"/>
      <c r="I11" s="6"/>
      <c r="J11" s="5"/>
    </row>
    <row r="12" spans="1:12" x14ac:dyDescent="0.3">
      <c r="A12" s="9" t="s">
        <v>80</v>
      </c>
      <c r="B12" s="9" t="s">
        <v>72</v>
      </c>
      <c r="C12" s="6" t="s">
        <v>6</v>
      </c>
      <c r="D12" s="6">
        <v>1850</v>
      </c>
      <c r="E12" s="6">
        <f t="shared" si="0"/>
        <v>0</v>
      </c>
      <c r="F12" s="6">
        <v>9.1999999999999998E-3</v>
      </c>
      <c r="G12" s="6">
        <v>1</v>
      </c>
      <c r="H12" s="6">
        <f t="shared" si="1"/>
        <v>9.1999999999999998E-3</v>
      </c>
      <c r="I12" s="6">
        <f t="shared" si="2"/>
        <v>9.1999999999999993</v>
      </c>
      <c r="J12" s="5"/>
    </row>
    <row r="13" spans="1:12" x14ac:dyDescent="0.3">
      <c r="A13" s="9" t="s">
        <v>79</v>
      </c>
      <c r="B13" s="9" t="s">
        <v>70</v>
      </c>
      <c r="C13" s="6" t="s">
        <v>6</v>
      </c>
      <c r="D13" s="6">
        <v>1850</v>
      </c>
      <c r="E13" s="6">
        <f t="shared" si="0"/>
        <v>0</v>
      </c>
      <c r="F13" s="6">
        <v>7.6E-3</v>
      </c>
      <c r="G13" s="6">
        <v>1</v>
      </c>
      <c r="H13" s="6">
        <f t="shared" si="1"/>
        <v>7.6E-3</v>
      </c>
      <c r="I13" s="6">
        <f t="shared" si="2"/>
        <v>7.6</v>
      </c>
      <c r="J13" s="5"/>
    </row>
    <row r="14" spans="1:12" x14ac:dyDescent="0.3">
      <c r="A14" s="9" t="s">
        <v>45</v>
      </c>
      <c r="B14" s="9" t="s">
        <v>69</v>
      </c>
      <c r="C14" s="6" t="s">
        <v>15</v>
      </c>
      <c r="D14" s="6">
        <v>2200</v>
      </c>
      <c r="E14" s="6">
        <f t="shared" si="0"/>
        <v>0</v>
      </c>
      <c r="F14" s="6">
        <v>6.9999999999999999E-4</v>
      </c>
      <c r="G14" s="6">
        <v>1</v>
      </c>
      <c r="H14" s="6">
        <f t="shared" si="1"/>
        <v>6.9999999999999999E-4</v>
      </c>
      <c r="I14" s="6">
        <f t="shared" si="2"/>
        <v>0.7</v>
      </c>
      <c r="J14" s="5"/>
    </row>
    <row r="15" spans="1:12" x14ac:dyDescent="0.3">
      <c r="A15" s="9" t="s">
        <v>46</v>
      </c>
      <c r="B15" s="9" t="s">
        <v>71</v>
      </c>
      <c r="C15" s="6" t="s">
        <v>52</v>
      </c>
      <c r="D15" s="6">
        <v>2810</v>
      </c>
      <c r="E15" s="6">
        <f t="shared" si="0"/>
        <v>0</v>
      </c>
      <c r="F15" s="6">
        <v>2.4300000000000002E-2</v>
      </c>
      <c r="G15" s="6">
        <v>1</v>
      </c>
      <c r="H15" s="6">
        <f t="shared" si="1"/>
        <v>2.4300000000000002E-2</v>
      </c>
      <c r="I15" s="6">
        <f t="shared" si="2"/>
        <v>24.3</v>
      </c>
      <c r="J15" s="5"/>
    </row>
    <row r="16" spans="1:12" x14ac:dyDescent="0.3">
      <c r="A16" s="5"/>
      <c r="B16" s="5"/>
      <c r="J16" s="5"/>
    </row>
    <row r="17" spans="1:11" x14ac:dyDescent="0.3">
      <c r="A17" s="10" t="s">
        <v>41</v>
      </c>
      <c r="B17" s="10"/>
      <c r="C17" s="11"/>
      <c r="D17" s="11"/>
      <c r="E17" s="11">
        <f>L17/1000/1000/1000</f>
        <v>0</v>
      </c>
      <c r="F17" s="11"/>
      <c r="G17" s="11"/>
      <c r="H17" s="11">
        <f t="shared" si="1"/>
        <v>0</v>
      </c>
      <c r="I17" s="11">
        <f t="shared" si="2"/>
        <v>0</v>
      </c>
      <c r="J17" s="5"/>
    </row>
    <row r="18" spans="1:11" x14ac:dyDescent="0.3">
      <c r="A18" s="12" t="s">
        <v>42</v>
      </c>
      <c r="B18" s="12" t="s">
        <v>30</v>
      </c>
      <c r="C18" s="11" t="s">
        <v>50</v>
      </c>
      <c r="D18" s="11">
        <v>5316</v>
      </c>
      <c r="E18" s="11">
        <f>L18/1000/1000/1000</f>
        <v>0</v>
      </c>
      <c r="F18" s="11">
        <v>9.5E-4</v>
      </c>
      <c r="G18" s="11">
        <v>5</v>
      </c>
      <c r="H18" s="11">
        <f t="shared" si="1"/>
        <v>4.7499999999999999E-3</v>
      </c>
      <c r="I18" s="11">
        <f t="shared" si="2"/>
        <v>4.75</v>
      </c>
      <c r="J18" s="5"/>
    </row>
    <row r="19" spans="1:11" x14ac:dyDescent="0.3">
      <c r="A19" s="12" t="s">
        <v>16</v>
      </c>
      <c r="B19" s="12" t="s">
        <v>32</v>
      </c>
      <c r="C19" s="11" t="s">
        <v>31</v>
      </c>
      <c r="D19" s="11">
        <v>2750</v>
      </c>
      <c r="E19" s="11">
        <f>L19/1000/1000/1000</f>
        <v>0</v>
      </c>
      <c r="F19" s="11">
        <v>3.4000000000000002E-2</v>
      </c>
      <c r="G19" s="11">
        <v>1</v>
      </c>
      <c r="H19" s="11">
        <f t="shared" si="1"/>
        <v>3.4000000000000002E-2</v>
      </c>
      <c r="I19" s="11">
        <f t="shared" si="2"/>
        <v>34</v>
      </c>
      <c r="J19" s="5"/>
    </row>
    <row r="20" spans="1:11" x14ac:dyDescent="0.3">
      <c r="A20" s="5"/>
      <c r="B20" s="5"/>
      <c r="J20" s="5"/>
    </row>
    <row r="21" spans="1:11" x14ac:dyDescent="0.3">
      <c r="A21" s="13" t="s">
        <v>145</v>
      </c>
      <c r="B21" s="13"/>
      <c r="C21" s="14"/>
      <c r="D21" s="14"/>
      <c r="E21" s="14"/>
      <c r="F21" s="14"/>
      <c r="G21" s="14"/>
      <c r="H21" s="14"/>
      <c r="I21" s="14">
        <f t="shared" si="2"/>
        <v>0</v>
      </c>
      <c r="J21" s="5"/>
    </row>
    <row r="22" spans="1:11" x14ac:dyDescent="0.3">
      <c r="A22" s="15" t="s">
        <v>54</v>
      </c>
      <c r="B22" s="15" t="s">
        <v>73</v>
      </c>
      <c r="C22" s="14" t="s">
        <v>56</v>
      </c>
      <c r="D22" s="14">
        <v>8800</v>
      </c>
      <c r="E22" s="14">
        <f>L22/1000/1000/1000</f>
        <v>0</v>
      </c>
      <c r="F22" s="26" t="s">
        <v>93</v>
      </c>
      <c r="G22" s="14"/>
      <c r="H22" s="14"/>
      <c r="I22" s="14">
        <f t="shared" si="2"/>
        <v>0</v>
      </c>
      <c r="J22" s="5"/>
    </row>
    <row r="23" spans="1:11" x14ac:dyDescent="0.3">
      <c r="A23" s="15" t="s">
        <v>55</v>
      </c>
      <c r="B23" s="15" t="s">
        <v>73</v>
      </c>
      <c r="C23" s="14" t="s">
        <v>21</v>
      </c>
      <c r="D23" s="14">
        <v>1070</v>
      </c>
      <c r="E23" s="14">
        <f>L23/1000/1000/1000</f>
        <v>0</v>
      </c>
      <c r="F23" s="26" t="s">
        <v>93</v>
      </c>
      <c r="G23" s="14"/>
      <c r="H23" s="14"/>
      <c r="I23" s="14">
        <f t="shared" si="2"/>
        <v>0</v>
      </c>
      <c r="J23" s="5"/>
    </row>
    <row r="24" spans="1:11" x14ac:dyDescent="0.3">
      <c r="A24" s="15" t="s">
        <v>92</v>
      </c>
      <c r="B24" s="15"/>
      <c r="C24" s="14"/>
      <c r="D24" s="14"/>
      <c r="E24" s="14"/>
      <c r="F24" s="14">
        <v>5.5000000000000003E-4</v>
      </c>
      <c r="G24" s="14">
        <v>14.75</v>
      </c>
      <c r="H24" s="14" t="s">
        <v>154</v>
      </c>
      <c r="I24" s="14" t="s">
        <v>154</v>
      </c>
      <c r="J24" s="5"/>
    </row>
    <row r="25" spans="1:11" x14ac:dyDescent="0.3">
      <c r="A25" s="5"/>
      <c r="B25" s="5"/>
      <c r="J25" s="5"/>
    </row>
    <row r="26" spans="1:11" x14ac:dyDescent="0.3">
      <c r="A26" s="16" t="s">
        <v>28</v>
      </c>
      <c r="B26" s="16"/>
      <c r="C26" s="17"/>
      <c r="D26" s="17"/>
      <c r="E26" s="17"/>
      <c r="F26" s="17"/>
      <c r="G26" s="17"/>
      <c r="H26" s="17"/>
      <c r="I26" s="17"/>
      <c r="J26" s="5"/>
    </row>
    <row r="27" spans="1:11" x14ac:dyDescent="0.3">
      <c r="A27" s="18" t="s">
        <v>44</v>
      </c>
      <c r="B27" s="18" t="s">
        <v>68</v>
      </c>
      <c r="C27" s="17" t="s">
        <v>51</v>
      </c>
      <c r="D27" s="17"/>
      <c r="E27" s="17">
        <f>L27/1000/1000/1000</f>
        <v>0</v>
      </c>
      <c r="F27" s="17">
        <v>0.03</v>
      </c>
      <c r="G27" s="17">
        <v>1</v>
      </c>
      <c r="H27" s="17">
        <f t="shared" si="1"/>
        <v>0.03</v>
      </c>
      <c r="I27" s="17">
        <f t="shared" si="2"/>
        <v>30</v>
      </c>
      <c r="J27" s="5"/>
    </row>
    <row r="28" spans="1:11" x14ac:dyDescent="0.3">
      <c r="A28" s="16" t="s">
        <v>47</v>
      </c>
      <c r="B28" s="16"/>
      <c r="C28" s="19"/>
      <c r="D28" s="19"/>
      <c r="E28" s="19"/>
      <c r="F28" s="19"/>
      <c r="G28" s="19"/>
      <c r="H28" s="19"/>
      <c r="I28" s="19"/>
      <c r="J28" s="5"/>
    </row>
    <row r="29" spans="1:11" x14ac:dyDescent="0.3">
      <c r="A29" s="18" t="s">
        <v>35</v>
      </c>
      <c r="B29" s="18" t="s">
        <v>59</v>
      </c>
      <c r="C29" s="17" t="s">
        <v>48</v>
      </c>
      <c r="D29" s="17">
        <v>8000</v>
      </c>
      <c r="E29" s="17">
        <f>L29/1000/1000/1000</f>
        <v>0</v>
      </c>
      <c r="F29" s="17">
        <v>1.4999999999999999E-4</v>
      </c>
      <c r="G29" s="17">
        <v>4</v>
      </c>
      <c r="H29" s="17">
        <f t="shared" si="1"/>
        <v>5.9999999999999995E-4</v>
      </c>
      <c r="I29" s="17">
        <f t="shared" si="2"/>
        <v>0.6</v>
      </c>
      <c r="J29" s="5"/>
      <c r="K29" s="5"/>
    </row>
    <row r="30" spans="1:11" x14ac:dyDescent="0.3">
      <c r="A30" s="18" t="s">
        <v>36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4.6999999999999999E-4</v>
      </c>
      <c r="G30" s="17">
        <v>2</v>
      </c>
      <c r="H30" s="17">
        <f t="shared" si="1"/>
        <v>9.3999999999999997E-4</v>
      </c>
      <c r="I30" s="17">
        <f t="shared" si="2"/>
        <v>0.94</v>
      </c>
      <c r="J30" s="5"/>
      <c r="K30" s="5"/>
    </row>
    <row r="31" spans="1:11" x14ac:dyDescent="0.3">
      <c r="A31" s="18" t="s">
        <v>37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1.93E-4</v>
      </c>
      <c r="G31" s="17">
        <v>16</v>
      </c>
      <c r="H31" s="17">
        <f t="shared" si="1"/>
        <v>3.088E-3</v>
      </c>
      <c r="I31" s="17">
        <f t="shared" si="2"/>
        <v>3.0880000000000001</v>
      </c>
      <c r="J31" s="5" t="s">
        <v>162</v>
      </c>
      <c r="K31" s="5"/>
    </row>
    <row r="32" spans="1:11" x14ac:dyDescent="0.3">
      <c r="A32" s="18" t="s">
        <v>57</v>
      </c>
      <c r="B32" s="18" t="s">
        <v>60</v>
      </c>
      <c r="C32" s="17" t="s">
        <v>48</v>
      </c>
      <c r="D32" s="17">
        <v>8000</v>
      </c>
      <c r="E32" s="17">
        <f>L32/1000/1000/1000</f>
        <v>0</v>
      </c>
      <c r="F32" s="17">
        <f>0.0017</f>
        <v>1.6999999999999999E-3</v>
      </c>
      <c r="G32" s="17">
        <v>4</v>
      </c>
      <c r="H32" s="17">
        <f t="shared" si="1"/>
        <v>6.7999999999999996E-3</v>
      </c>
      <c r="I32" s="17">
        <f t="shared" si="2"/>
        <v>6.8</v>
      </c>
      <c r="J32" s="5"/>
    </row>
    <row r="33" spans="1:11" x14ac:dyDescent="0.3">
      <c r="A33" s="16" t="s">
        <v>27</v>
      </c>
      <c r="B33" s="16"/>
      <c r="C33" s="17"/>
      <c r="D33" s="17"/>
      <c r="E33" s="17"/>
      <c r="F33" s="17"/>
      <c r="G33" s="17"/>
      <c r="H33" s="17"/>
      <c r="I33" s="17">
        <f t="shared" si="2"/>
        <v>0</v>
      </c>
      <c r="J33" s="5"/>
    </row>
    <row r="34" spans="1:11" x14ac:dyDescent="0.3">
      <c r="A34" s="18" t="s">
        <v>38</v>
      </c>
      <c r="B34" s="18" t="s">
        <v>62</v>
      </c>
      <c r="C34" s="17" t="s">
        <v>48</v>
      </c>
      <c r="D34" s="17">
        <v>8000</v>
      </c>
      <c r="E34" s="17">
        <f>L34/1000/1000/1000</f>
        <v>0</v>
      </c>
      <c r="F34" s="17">
        <v>2.2000000000000001E-4</v>
      </c>
      <c r="G34" s="17">
        <v>12</v>
      </c>
      <c r="H34" s="17">
        <f t="shared" si="1"/>
        <v>2.64E-3</v>
      </c>
      <c r="I34" s="17">
        <f t="shared" si="2"/>
        <v>2.64</v>
      </c>
      <c r="J34" s="5"/>
    </row>
    <row r="35" spans="1:11" x14ac:dyDescent="0.3">
      <c r="A35" s="18" t="s">
        <v>39</v>
      </c>
      <c r="B35" s="18" t="s">
        <v>61</v>
      </c>
      <c r="C35" s="17" t="s">
        <v>49</v>
      </c>
      <c r="D35" s="17">
        <v>2700</v>
      </c>
      <c r="E35" s="17">
        <f>L35/1000/1000/1000</f>
        <v>0</v>
      </c>
      <c r="F35" s="17">
        <v>6.9999999999999994E-5</v>
      </c>
      <c r="G35" s="17">
        <v>12</v>
      </c>
      <c r="H35" s="17">
        <f t="shared" si="1"/>
        <v>8.3999999999999993E-4</v>
      </c>
      <c r="I35" s="17">
        <f t="shared" si="2"/>
        <v>0.84</v>
      </c>
      <c r="J35" s="5"/>
      <c r="K35" s="5"/>
    </row>
    <row r="36" spans="1:11" x14ac:dyDescent="0.3">
      <c r="A36" s="18" t="s">
        <v>40</v>
      </c>
      <c r="B36" s="18" t="s">
        <v>32</v>
      </c>
      <c r="C36" s="17" t="s">
        <v>19</v>
      </c>
      <c r="D36" s="17">
        <v>1150</v>
      </c>
      <c r="E36" s="17">
        <f>L36/1000/1000/1000</f>
        <v>0</v>
      </c>
      <c r="F36" s="17">
        <v>4.3000000000000002E-5</v>
      </c>
      <c r="G36" s="17">
        <v>0</v>
      </c>
      <c r="H36" s="17">
        <f t="shared" si="1"/>
        <v>0</v>
      </c>
      <c r="I36" s="17">
        <f t="shared" si="2"/>
        <v>0</v>
      </c>
      <c r="J36" s="5"/>
      <c r="K36" s="5"/>
    </row>
    <row r="37" spans="1:11" x14ac:dyDescent="0.3">
      <c r="A37" s="18"/>
      <c r="B37" s="18"/>
      <c r="C37" s="17"/>
      <c r="D37" s="17"/>
      <c r="E37" s="17"/>
      <c r="F37" s="17"/>
      <c r="G37" s="17"/>
      <c r="H37" s="17"/>
      <c r="I37" s="17">
        <f t="shared" si="2"/>
        <v>0</v>
      </c>
      <c r="J37" s="5"/>
      <c r="K37" s="5"/>
    </row>
    <row r="38" spans="1:11" x14ac:dyDescent="0.3">
      <c r="A38" s="5"/>
      <c r="B38" s="5"/>
      <c r="J38" s="20"/>
    </row>
    <row r="39" spans="1:11" x14ac:dyDescent="0.3">
      <c r="A39" s="24" t="s">
        <v>92</v>
      </c>
      <c r="B39" s="24"/>
      <c r="C39" s="25"/>
      <c r="D39" s="25"/>
      <c r="E39" s="25"/>
      <c r="F39" s="25"/>
      <c r="G39" s="25"/>
      <c r="H39" s="25">
        <f>SUM(H2:H37)-H31</f>
        <v>0.23277</v>
      </c>
      <c r="I39" s="25">
        <f t="shared" si="2"/>
        <v>232.77</v>
      </c>
      <c r="J39" s="20"/>
    </row>
    <row r="40" spans="1:11" x14ac:dyDescent="0.3">
      <c r="H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Materials</vt:lpstr>
      <vt:lpstr>Masses and Volumes</vt:lpstr>
      <vt:lpstr>Properties PCBs</vt:lpstr>
      <vt:lpstr>Bulks</vt:lpstr>
      <vt:lpstr>UDC AI</vt:lpstr>
      <vt:lpstr>Power</vt:lpstr>
      <vt:lpstr>Extra</vt:lpstr>
      <vt:lpstr>Masses and Volumes Old 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</cp:lastModifiedBy>
  <dcterms:created xsi:type="dcterms:W3CDTF">2025-03-01T18:07:48Z</dcterms:created>
  <dcterms:modified xsi:type="dcterms:W3CDTF">2025-04-16T08:09:02Z</dcterms:modified>
</cp:coreProperties>
</file>