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OneDrive\Documentos\GitHub\PoCat-Thermal\"/>
    </mc:Choice>
  </mc:AlternateContent>
  <bookViews>
    <workbookView xWindow="-105" yWindow="-105" windowWidth="23250" windowHeight="12570" activeTab="3"/>
  </bookViews>
  <sheets>
    <sheet name="Materials" sheetId="1" r:id="rId1"/>
    <sheet name="Masses and Volumes" sheetId="8" r:id="rId2"/>
    <sheet name="Properties PCBs" sheetId="10" r:id="rId3"/>
    <sheet name="Bulks" sheetId="6" r:id="rId4"/>
    <sheet name="Extra" sheetId="9" r:id="rId5"/>
    <sheet name="Masses and Volumes Old VC" sheetId="7" r:id="rId6"/>
  </sheets>
  <calcPr calcId="152511"/>
</workbook>
</file>

<file path=xl/calcChain.xml><?xml version="1.0" encoding="utf-8"?>
<calcChain xmlns="http://schemas.openxmlformats.org/spreadsheetml/2006/main">
  <c r="G76" i="6" l="1"/>
  <c r="G87" i="6"/>
  <c r="C79" i="6"/>
  <c r="H130" i="6"/>
  <c r="G130" i="6"/>
  <c r="E130" i="6"/>
  <c r="E128" i="6"/>
  <c r="E129" i="6"/>
  <c r="E127" i="6"/>
  <c r="D128" i="6"/>
  <c r="D129" i="6"/>
  <c r="D130" i="6"/>
  <c r="D127" i="6"/>
  <c r="C130" i="6"/>
  <c r="C127" i="6"/>
  <c r="H24" i="10"/>
  <c r="F24" i="10"/>
  <c r="J3" i="10"/>
  <c r="J4" i="10"/>
  <c r="J5" i="10"/>
  <c r="J6" i="10"/>
  <c r="J7" i="10"/>
  <c r="J8" i="10"/>
  <c r="J9" i="10"/>
  <c r="J10" i="10"/>
  <c r="J2" i="10"/>
  <c r="I3" i="10"/>
  <c r="I4" i="10"/>
  <c r="I5" i="10"/>
  <c r="I6" i="10"/>
  <c r="I7" i="10"/>
  <c r="I8" i="10"/>
  <c r="I9" i="10"/>
  <c r="I10" i="10"/>
  <c r="H3" i="10"/>
  <c r="H4" i="10"/>
  <c r="H5" i="10"/>
  <c r="H6" i="10"/>
  <c r="H7" i="10"/>
  <c r="H8" i="10"/>
  <c r="H9" i="10"/>
  <c r="H10" i="10"/>
  <c r="I2" i="10"/>
  <c r="H2" i="10"/>
  <c r="G2" i="10"/>
  <c r="G4" i="10"/>
  <c r="G5" i="10"/>
  <c r="G6" i="10"/>
  <c r="G7" i="10"/>
  <c r="G8" i="10"/>
  <c r="G9" i="10"/>
  <c r="G10" i="10"/>
  <c r="G3" i="10"/>
  <c r="G123" i="6"/>
  <c r="J108" i="6"/>
  <c r="I108" i="6"/>
  <c r="H108" i="6"/>
  <c r="C108" i="6"/>
  <c r="D107" i="6"/>
  <c r="D98" i="6"/>
  <c r="D97" i="6"/>
  <c r="D96" i="6"/>
  <c r="D95" i="6"/>
  <c r="C61" i="6"/>
  <c r="D60" i="6"/>
  <c r="C55" i="6"/>
  <c r="D54" i="6"/>
  <c r="D42" i="6"/>
  <c r="D43" i="6"/>
  <c r="C49" i="6"/>
  <c r="D48" i="6"/>
  <c r="G16" i="10" l="1"/>
  <c r="G20" i="10"/>
  <c r="G23" i="10"/>
  <c r="G19" i="10"/>
  <c r="G21" i="10"/>
  <c r="G17" i="10"/>
  <c r="G22" i="10"/>
  <c r="G18" i="10"/>
  <c r="G24" i="10"/>
  <c r="E19" i="6"/>
  <c r="E20" i="6"/>
  <c r="E21" i="6"/>
  <c r="E18" i="6"/>
  <c r="E22" i="6" s="1"/>
  <c r="D22" i="6"/>
  <c r="F23" i="10"/>
  <c r="F17" i="10"/>
  <c r="F18" i="10"/>
  <c r="F19" i="10"/>
  <c r="F20" i="10"/>
  <c r="F21" i="10"/>
  <c r="F22" i="10"/>
  <c r="F16" i="10"/>
  <c r="F22" i="6"/>
  <c r="D16" i="6"/>
  <c r="G22" i="6" s="1"/>
  <c r="F123" i="6" l="1"/>
  <c r="B84" i="9"/>
  <c r="B83" i="9"/>
  <c r="B82" i="9"/>
  <c r="B81" i="9"/>
  <c r="E54" i="9"/>
  <c r="E53" i="9"/>
  <c r="E52" i="9"/>
  <c r="E78" i="9"/>
  <c r="E77" i="9"/>
  <c r="E76" i="9"/>
  <c r="E49" i="9"/>
  <c r="E48" i="9"/>
  <c r="E47" i="9"/>
  <c r="H23" i="10"/>
  <c r="E72" i="9"/>
  <c r="E71" i="9"/>
  <c r="E70" i="9"/>
  <c r="F87" i="6"/>
  <c r="H17" i="10"/>
  <c r="H18" i="10"/>
  <c r="H19" i="10"/>
  <c r="H20" i="10"/>
  <c r="H21" i="10"/>
  <c r="H22" i="10"/>
  <c r="H16" i="10"/>
  <c r="E44" i="9"/>
  <c r="E43" i="9"/>
  <c r="E42" i="9"/>
  <c r="E39" i="9"/>
  <c r="E38" i="9"/>
  <c r="E37" i="9"/>
  <c r="E34" i="9"/>
  <c r="E33" i="9"/>
  <c r="E32" i="9"/>
  <c r="E31" i="9"/>
  <c r="E26" i="9"/>
  <c r="E27" i="9"/>
  <c r="E25" i="9"/>
  <c r="D36" i="6" l="1"/>
  <c r="C37" i="6"/>
  <c r="E36" i="6" s="1"/>
  <c r="C28" i="6"/>
  <c r="D28" i="6" s="1"/>
  <c r="G28" i="6" s="1"/>
  <c r="D27" i="6"/>
  <c r="D26" i="6"/>
  <c r="C12" i="6"/>
  <c r="E10" i="6" s="1"/>
  <c r="E12" i="6" s="1"/>
  <c r="D115" i="6"/>
  <c r="D106" i="6"/>
  <c r="D101" i="6"/>
  <c r="G101" i="6" s="1"/>
  <c r="D93" i="6"/>
  <c r="G93" i="6" s="1"/>
  <c r="D79" i="6"/>
  <c r="D76" i="6"/>
  <c r="D65" i="6"/>
  <c r="G66" i="6" s="1"/>
  <c r="D59" i="6"/>
  <c r="D53" i="6"/>
  <c r="D47" i="6"/>
  <c r="D41" i="6"/>
  <c r="G43" i="6" s="1"/>
  <c r="D35" i="6"/>
  <c r="D10" i="6"/>
  <c r="D3" i="6"/>
  <c r="G3" i="6" s="1"/>
  <c r="H9" i="8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I17" i="7"/>
  <c r="I18" i="7"/>
  <c r="I19" i="7"/>
  <c r="I21" i="7"/>
  <c r="I22" i="7"/>
  <c r="I23" i="7"/>
  <c r="I27" i="7"/>
  <c r="I29" i="7"/>
  <c r="I30" i="7"/>
  <c r="I31" i="7"/>
  <c r="I32" i="7"/>
  <c r="I33" i="7"/>
  <c r="I34" i="7"/>
  <c r="I35" i="7"/>
  <c r="I36" i="7"/>
  <c r="I37" i="7"/>
  <c r="H17" i="7"/>
  <c r="I4" i="7"/>
  <c r="I5" i="7"/>
  <c r="I6" i="7"/>
  <c r="I7" i="7"/>
  <c r="I8" i="7"/>
  <c r="I10" i="7"/>
  <c r="I12" i="7"/>
  <c r="I13" i="7"/>
  <c r="I14" i="7"/>
  <c r="I15" i="7"/>
  <c r="I3" i="7"/>
  <c r="H18" i="7"/>
  <c r="H19" i="7"/>
  <c r="H27" i="7"/>
  <c r="H29" i="7"/>
  <c r="H30" i="7"/>
  <c r="H31" i="7"/>
  <c r="H32" i="7"/>
  <c r="H34" i="7"/>
  <c r="H35" i="7"/>
  <c r="H36" i="7"/>
  <c r="H4" i="7"/>
  <c r="H5" i="7"/>
  <c r="H6" i="7"/>
  <c r="H7" i="7"/>
  <c r="H8" i="7"/>
  <c r="H9" i="7"/>
  <c r="I9" i="7" s="1"/>
  <c r="H10" i="7"/>
  <c r="H12" i="7"/>
  <c r="H13" i="7"/>
  <c r="H14" i="7"/>
  <c r="H15" i="7"/>
  <c r="H3" i="7"/>
  <c r="F32" i="7"/>
  <c r="E23" i="7"/>
  <c r="E22" i="7"/>
  <c r="E42" i="6"/>
  <c r="E41" i="6"/>
  <c r="E3" i="7"/>
  <c r="E4" i="7"/>
  <c r="E5" i="7"/>
  <c r="E6" i="7"/>
  <c r="E7" i="7"/>
  <c r="E8" i="7"/>
  <c r="E9" i="7"/>
  <c r="E10" i="7"/>
  <c r="E12" i="7"/>
  <c r="E13" i="7"/>
  <c r="E14" i="7"/>
  <c r="E15" i="7"/>
  <c r="E17" i="7"/>
  <c r="E18" i="7"/>
  <c r="E19" i="7"/>
  <c r="E27" i="7"/>
  <c r="E29" i="7"/>
  <c r="E30" i="7"/>
  <c r="E31" i="7"/>
  <c r="E32" i="7"/>
  <c r="E34" i="7"/>
  <c r="E35" i="7"/>
  <c r="E36" i="7"/>
  <c r="D108" i="6" l="1"/>
  <c r="D55" i="6"/>
  <c r="E53" i="6" s="1"/>
  <c r="D61" i="6"/>
  <c r="E59" i="6"/>
  <c r="D49" i="6"/>
  <c r="E47" i="6" s="1"/>
  <c r="E35" i="6"/>
  <c r="E37" i="6" s="1"/>
  <c r="D12" i="6"/>
  <c r="G10" i="6" s="1"/>
  <c r="D37" i="6"/>
  <c r="G37" i="6" s="1"/>
  <c r="E26" i="6"/>
  <c r="E27" i="6"/>
  <c r="H40" i="8"/>
  <c r="I40" i="8" s="1"/>
  <c r="H39" i="7"/>
  <c r="I39" i="7" s="1"/>
  <c r="I3" i="8"/>
  <c r="H12" i="6"/>
  <c r="I12" i="6"/>
  <c r="G108" i="6" l="1"/>
  <c r="E107" i="6"/>
  <c r="E106" i="6"/>
  <c r="E108" i="6" s="1"/>
  <c r="E61" i="6"/>
  <c r="G61" i="6"/>
  <c r="E60" i="6"/>
  <c r="G49" i="6"/>
  <c r="E48" i="6"/>
  <c r="E49" i="6" s="1"/>
  <c r="G55" i="6"/>
  <c r="E54" i="6"/>
  <c r="E55" i="6"/>
  <c r="E28" i="6"/>
  <c r="E30" i="6" s="1"/>
</calcChain>
</file>

<file path=xl/sharedStrings.xml><?xml version="1.0" encoding="utf-8"?>
<sst xmlns="http://schemas.openxmlformats.org/spreadsheetml/2006/main" count="773" uniqueCount="247">
  <si>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</si>
  <si>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</si>
  <si>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</si>
  <si>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</si>
  <si>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</si>
  <si>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</si>
  <si>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</si>
  <si>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</si>
  <si>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</si>
  <si>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</si>
  <si>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</si>
  <si>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</si>
  <si>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0.81 (in-plane), 0.29 (cross-plane)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</si>
  <si>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</si>
  <si>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</si>
  <si>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</si>
  <si>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</si>
  <si>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</si>
  <si>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</si>
  <si>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</si>
  <si>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</si>
  <si>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</si>
  <si>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</si>
  <si>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</si>
  <si>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</si>
  <si>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</si>
  <si>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</si>
  <si>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</si>
  <si>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</si>
  <si>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</si>
  <si>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</si>
  <si>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</si>
  <si>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</si>
  <si>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</si>
  <si>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</si>
  <si>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</si>
  <si>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</si>
  <si>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</si>
  <si>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</si>
  <si>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</si>
  <si>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</si>
  <si>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</si>
  <si>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</si>
  <si>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</si>
  <si>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</si>
  <si>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</si>
  <si>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</si>
  <si>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</si>
  <si>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</si>
  <si>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</si>
  <si>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</si>
  <si>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</si>
  <si>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</si>
  <si>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</si>
  <si>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</si>
  <si>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</si>
  <si>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</si>
  <si>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</si>
  <si>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</si>
  <si>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</si>
  <si>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</si>
  <si>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</si>
  <si>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</si>
  <si>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</si>
  <si>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</si>
  <si>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</si>
  <si>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</si>
  <si>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</si>
  <si>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</si>
  <si>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</si>
  <si>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</si>
  <si>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</si>
  <si>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</si>
  <si>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</si>
  <si>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</si>
  <si>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</si>
  <si>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</si>
  <si>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AOCS PCB++</t>
  </si>
  <si>
    <t>EPS PCB ++</t>
  </si>
  <si>
    <t>OCB-COMMS PCB++</t>
  </si>
  <si>
    <t>Top PL PCB</t>
  </si>
  <si>
    <t>Bot PL PCB++</t>
  </si>
  <si>
    <t>Notes:</t>
  </si>
  <si>
    <t>With VC and components</t>
  </si>
  <si>
    <t>With components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</si>
  <si>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</si>
  <si>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</si>
  <si>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</si>
  <si>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</si>
  <si>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</si>
  <si>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</si>
  <si>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</si>
  <si>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</si>
  <si>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</si>
  <si>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</si>
  <si>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</si>
  <si>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SD_Slider_Board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</si>
  <si>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</si>
  <si>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</si>
  <si>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</si>
  <si>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</si>
  <si>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</si>
  <si>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</si>
  <si>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</si>
  <si>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</si>
  <si>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</si>
  <si>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</si>
  <si>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</si>
  <si>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</si>
  <si>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</si>
  <si>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</si>
  <si>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</si>
  <si>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</si>
  <si>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</si>
  <si>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</si>
  <si>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</si>
  <si>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</si>
  <si>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</si>
  <si>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</si>
  <si>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</si>
  <si>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</si>
  <si>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</si>
  <si>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</si>
  <si>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</si>
  <si>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</si>
  <si>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</si>
  <si>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</si>
  <si>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</si>
  <si>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</si>
  <si>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</si>
  <si>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</si>
  <si>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</si>
  <si>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</si>
  <si>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</si>
  <si>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</si>
  <si>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</si>
  <si>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</si>
  <si>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</si>
  <si>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</si>
  <si>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</si>
  <si>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</si>
  <si>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</si>
  <si>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</si>
  <si>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</si>
  <si>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</si>
  <si>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</si>
  <si>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Vertical Connectors (old)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</si>
  <si>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</si>
  <si>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</si>
  <si>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</si>
  <si>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</si>
  <si>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</si>
  <si>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</si>
  <si>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</si>
  <si>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</si>
  <si>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Included</t>
  </si>
  <si>
    <t>Y+ Mag PCB +</t>
  </si>
  <si>
    <t>AOCS PCB+</t>
  </si>
  <si>
    <t>EPS PCB +</t>
  </si>
  <si>
    <t>OCB-COMMS PCB+</t>
  </si>
  <si>
    <t>+ (With components)</t>
  </si>
  <si>
    <t>Inner Connectors</t>
  </si>
  <si>
    <t>Not added (resolution)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</si>
  <si>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</si>
  <si>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</si>
  <si>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</si>
  <si>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</si>
  <si>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</si>
  <si>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</si>
  <si>
    <t>K-Band Support</t>
  </si>
  <si>
    <t>SD_PLSupp</t>
  </si>
  <si>
    <t>SD_PLSupp_Top</t>
  </si>
  <si>
    <t>SD_PLSupp_Mid</t>
  </si>
  <si>
    <t>SD_PLSupp_Aux1a</t>
  </si>
  <si>
    <t>SD_PLSupp_Aux1b</t>
  </si>
  <si>
    <t>SD_PLSupp_AuxXY</t>
  </si>
  <si>
    <t>SD_Spacer_ADCStoEPS1</t>
  </si>
  <si>
    <t>M3x35 Hex (Partial)</t>
  </si>
  <si>
    <t>M3x4 Spacer (Fully)</t>
  </si>
  <si>
    <t>M3x0.5 Spacer (Fully)</t>
  </si>
  <si>
    <t>SD_Spacer_SStoSSx</t>
  </si>
  <si>
    <t>Mass (g)</t>
  </si>
  <si>
    <t>PL Bot PCB+Comp</t>
  </si>
  <si>
    <t>PCBS</t>
  </si>
  <si>
    <t>Capas de cobre</t>
  </si>
  <si>
    <t xml:space="preserve"> de</t>
  </si>
  <si>
    <t>FR4</t>
  </si>
  <si>
    <t>Mascara</t>
  </si>
  <si>
    <t xml:space="preserve">de </t>
  </si>
  <si>
    <t xml:space="preserve"> de </t>
  </si>
  <si>
    <t>Y Mag</t>
  </si>
  <si>
    <t>(mm)</t>
  </si>
  <si>
    <t>de</t>
  </si>
  <si>
    <t>Kband Bot</t>
  </si>
  <si>
    <t>Cobre</t>
  </si>
  <si>
    <t>Laterales y Bot</t>
  </si>
  <si>
    <t>R= rho* l/A</t>
  </si>
  <si>
    <t>rho= suma[rho_i * w_i]</t>
  </si>
  <si>
    <t>PCB</t>
  </si>
  <si>
    <t>Mask</t>
  </si>
  <si>
    <t>OBC-COMMS</t>
  </si>
  <si>
    <t>Y+Mag</t>
  </si>
  <si>
    <t>Laterals</t>
  </si>
  <si>
    <t>Bottom</t>
  </si>
  <si>
    <t>Copper (mm)</t>
  </si>
  <si>
    <t>FR4  (mm)</t>
  </si>
  <si>
    <t>Mask  (mm)</t>
  </si>
  <si>
    <t>Conductivity (k) [W/m·K] (ip)</t>
  </si>
  <si>
    <t>Conductivity (k) [W/m·K] (cp)</t>
  </si>
  <si>
    <t>FR-4 (ip)</t>
  </si>
  <si>
    <t>FR-4 (cp)</t>
  </si>
  <si>
    <t>(approx)</t>
  </si>
  <si>
    <t>BotLat Bulk</t>
  </si>
  <si>
    <t>Slider Bulk</t>
  </si>
  <si>
    <t>Y+Mag Bulk</t>
  </si>
  <si>
    <t>PCB Bulk</t>
  </si>
  <si>
    <t>ESATAN Area (m^2)</t>
  </si>
  <si>
    <t>Rogers  (mm)</t>
  </si>
  <si>
    <t>Rogers</t>
  </si>
  <si>
    <t>Kband Top</t>
  </si>
  <si>
    <t>Kband Interface</t>
  </si>
  <si>
    <t>Kband Under</t>
  </si>
  <si>
    <t>Kband Support</t>
  </si>
  <si>
    <t>Kband Antenna</t>
  </si>
  <si>
    <t>Kband Over</t>
  </si>
  <si>
    <t>Real Slider</t>
  </si>
  <si>
    <t>Slider Board</t>
  </si>
  <si>
    <t>SD_Slider_L</t>
  </si>
  <si>
    <t>SD_Slider_R</t>
  </si>
  <si>
    <t>SD_Slider_Front</t>
  </si>
  <si>
    <t>SD_Slider_Back</t>
  </si>
  <si>
    <t>Copper (m%)</t>
  </si>
  <si>
    <t>FR4  (m%)</t>
  </si>
  <si>
    <t>Mask  (m%)</t>
  </si>
  <si>
    <t>Rogers  (m%)</t>
  </si>
  <si>
    <t>Screws:</t>
  </si>
  <si>
    <t>Total len</t>
  </si>
  <si>
    <t>35mm</t>
  </si>
  <si>
    <t>under kband</t>
  </si>
  <si>
    <t>overkband</t>
  </si>
  <si>
    <t>add to spacer</t>
  </si>
  <si>
    <t>add to support</t>
  </si>
  <si>
    <t>0.1775*m_t</t>
  </si>
  <si>
    <t>0.29*4*m_t</t>
  </si>
  <si>
    <t>(4 screws)</t>
  </si>
  <si>
    <t>Revise</t>
  </si>
  <si>
    <r>
      <t>Density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 [kg/m2]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</si>
</sst>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8" borderId="0" applyNumberFormat="0" applyBorder="0" applyAlignment="0" applyProtection="0"/>
    <xf numFmtId="0" fontId="7" fillId="9" borderId="0" applyNumberFormat="0" applyBorder="0" applyAlignment="0" applyProtection="0"/>
  </cellStyleXfs>
  <cellXfs count="8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1" fillId="0" borderId="0" xfId="0" applyFont="1" applyAlignment="1">
      <alignment vertical="center" wrapText="1"/>
    </xf>
    <xf numFmtId="0" fontId="1" fillId="0" borderId="0" xfId="0" applyFont="1" applyFill="1" applyBorder="1"/>
    <xf numFmtId="0" fontId="0" fillId="0" borderId="0" xfId="0" applyFill="1" applyBorder="1" applyAlignment="1">
      <alignment horizontal="right"/>
    </xf>
    <xf numFmtId="0" fontId="1" fillId="0" borderId="0" xfId="0" applyFont="1" applyBorder="1" applyAlignment="1">
      <alignment horizontal="center" vertical="top"/>
    </xf>
    <xf numFmtId="0" fontId="1" fillId="6" borderId="3" xfId="0" applyFont="1" applyFill="1" applyBorder="1"/>
    <xf numFmtId="0" fontId="1" fillId="0" borderId="4" xfId="0" applyFont="1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7" borderId="6" xfId="0" applyFill="1" applyBorder="1"/>
    <xf numFmtId="0" fontId="0" fillId="0" borderId="0" xfId="0" applyBorder="1"/>
    <xf numFmtId="0" fontId="0" fillId="0" borderId="7" xfId="0" applyBorder="1"/>
    <xf numFmtId="0" fontId="1" fillId="0" borderId="6" xfId="0" applyFont="1" applyBorder="1"/>
    <xf numFmtId="0" fontId="4" fillId="0" borderId="8" xfId="0" applyFont="1" applyBorder="1"/>
    <xf numFmtId="0" fontId="0" fillId="0" borderId="9" xfId="0" applyBorder="1"/>
    <xf numFmtId="0" fontId="6" fillId="8" borderId="9" xfId="1" applyFont="1" applyBorder="1"/>
    <xf numFmtId="0" fontId="6" fillId="8" borderId="10" xfId="1" applyFont="1" applyBorder="1"/>
    <xf numFmtId="0" fontId="1" fillId="0" borderId="3" xfId="0" applyFont="1" applyBorder="1"/>
    <xf numFmtId="0" fontId="0" fillId="0" borderId="6" xfId="0" applyBorder="1"/>
    <xf numFmtId="0" fontId="0" fillId="0" borderId="0" xfId="0" applyFill="1" applyBorder="1"/>
    <xf numFmtId="0" fontId="4" fillId="0" borderId="6" xfId="0" applyFont="1" applyBorder="1"/>
    <xf numFmtId="0" fontId="6" fillId="8" borderId="0" xfId="1" applyFont="1" applyBorder="1"/>
    <xf numFmtId="0" fontId="6" fillId="8" borderId="0" xfId="1" applyFont="1" applyBorder="1" applyAlignment="1">
      <alignment horizontal="right"/>
    </xf>
    <xf numFmtId="0" fontId="6" fillId="8" borderId="7" xfId="1" applyFont="1" applyBorder="1" applyAlignment="1">
      <alignment horizontal="right"/>
    </xf>
    <xf numFmtId="0" fontId="1" fillId="0" borderId="8" xfId="0" applyFont="1" applyBorder="1"/>
    <xf numFmtId="0" fontId="6" fillId="8" borderId="7" xfId="1" applyFont="1" applyBorder="1"/>
    <xf numFmtId="0" fontId="5" fillId="8" borderId="9" xfId="1" applyBorder="1"/>
    <xf numFmtId="0" fontId="5" fillId="8" borderId="10" xfId="1" applyBorder="1"/>
    <xf numFmtId="0" fontId="1" fillId="10" borderId="3" xfId="0" applyFont="1" applyFill="1" applyBorder="1"/>
    <xf numFmtId="0" fontId="1" fillId="10" borderId="6" xfId="0" applyFont="1" applyFill="1" applyBorder="1"/>
    <xf numFmtId="0" fontId="0" fillId="10" borderId="6" xfId="0" applyFont="1" applyFill="1" applyBorder="1"/>
    <xf numFmtId="0" fontId="1" fillId="0" borderId="6" xfId="0" applyFont="1" applyFill="1" applyBorder="1"/>
    <xf numFmtId="0" fontId="1" fillId="10" borderId="8" xfId="0" applyFont="1" applyFill="1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Font="1" applyBorder="1"/>
    <xf numFmtId="0" fontId="0" fillId="0" borderId="6" xfId="0" applyFill="1" applyBorder="1" applyAlignment="1">
      <alignment vertical="center" wrapText="1"/>
    </xf>
    <xf numFmtId="0" fontId="0" fillId="0" borderId="7" xfId="0" applyBorder="1" applyAlignment="1">
      <alignment horizontal="right"/>
    </xf>
    <xf numFmtId="0" fontId="6" fillId="8" borderId="9" xfId="1" applyFont="1" applyBorder="1" applyAlignment="1">
      <alignment horizontal="right"/>
    </xf>
    <xf numFmtId="0" fontId="6" fillId="8" borderId="10" xfId="1" applyFont="1" applyBorder="1" applyAlignment="1">
      <alignment horizontal="right"/>
    </xf>
    <xf numFmtId="0" fontId="0" fillId="10" borderId="6" xfId="0" applyFill="1" applyBorder="1"/>
    <xf numFmtId="0" fontId="1" fillId="3" borderId="3" xfId="0" applyFont="1" applyFill="1" applyBorder="1"/>
    <xf numFmtId="0" fontId="1" fillId="11" borderId="0" xfId="0" applyFont="1" applyFill="1" applyAlignment="1">
      <alignment vertical="center" wrapText="1"/>
    </xf>
    <xf numFmtId="0" fontId="1" fillId="12" borderId="3" xfId="0" applyFont="1" applyFill="1" applyBorder="1"/>
    <xf numFmtId="0" fontId="0" fillId="12" borderId="6" xfId="0" applyFill="1" applyBorder="1"/>
    <xf numFmtId="0" fontId="0" fillId="12" borderId="8" xfId="0" applyFill="1" applyBorder="1"/>
    <xf numFmtId="0" fontId="1" fillId="0" borderId="0" xfId="0" applyFont="1" applyFill="1" applyBorder="1" applyAlignment="1">
      <alignment horizontal="center" vertical="top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0" fontId="0" fillId="0" borderId="0" xfId="0" applyNumberFormat="1"/>
    <xf numFmtId="0" fontId="7" fillId="9" borderId="9" xfId="2" applyBorder="1"/>
    <xf numFmtId="0" fontId="7" fillId="9" borderId="10" xfId="2" applyBorder="1"/>
    <xf numFmtId="0" fontId="2" fillId="4" borderId="6" xfId="0" applyFont="1" applyFill="1" applyBorder="1"/>
    <xf numFmtId="0" fontId="0" fillId="4" borderId="0" xfId="0" applyFill="1" applyBorder="1"/>
    <xf numFmtId="0" fontId="0" fillId="4" borderId="7" xfId="0" applyFill="1" applyBorder="1"/>
  </cellXfs>
  <cellStyles count="3">
    <cellStyle name="Buena" xfId="1" builtinId="26"/>
    <cellStyle name="Neutral" xfId="2" builtinId="28"/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25</xdr:row>
      <xdr:rowOff>104775</xdr:rowOff>
    </xdr:from>
    <xdr:to>
      <xdr:col>12</xdr:col>
      <xdr:colOff>28575</xdr:colOff>
      <xdr:row>38</xdr:row>
      <xdr:rowOff>104775</xdr:rowOff>
    </xdr:to>
    <xdr:pic>
      <xdr:nvPicPr>
        <xdr:cNvPr id="2" name="Imagen 1" descr="C:\Users\oscar\OneDrive\Escritorio\resistenciacp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057775"/>
          <a:ext cx="4638675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714375</xdr:colOff>
      <xdr:row>39</xdr:row>
      <xdr:rowOff>85725</xdr:rowOff>
    </xdr:from>
    <xdr:to>
      <xdr:col>13</xdr:col>
      <xdr:colOff>400050</xdr:colOff>
      <xdr:row>48</xdr:row>
      <xdr:rowOff>57150</xdr:rowOff>
    </xdr:to>
    <xdr:pic>
      <xdr:nvPicPr>
        <xdr:cNvPr id="3" name="Imagen 2" descr="C:\Users\oscar\OneDrive\Escritorio\resistenciaip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7705725"/>
          <a:ext cx="57816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:F17" totalsRowShown="0" headerRowDxfId="9" dataDxfId="7" headerRowBorderDxfId="8" tableBorderDxfId="6">
  <autoFilter ref="A1:F17"/>
  <tableColumns count="6">
    <tableColumn id="1" name="Material" dataDxfId="5"/>
    <tableColumn id="2" name="Solar Absorptivity (αs)" dataDxfId="4"/>
    <tableColumn id="3" name="IR Emissivity (εIR)" dataDxfId="3"/>
    <tableColumn id="4" name="Density (ρ) [kg/m³]" dataDxfId="2"/>
    <tableColumn id="5" name="Specific heat (cp) [J/kg·K]" dataDxfId="1"/>
    <tableColumn id="6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zoomScale="70" zoomScaleNormal="70" workbookViewId="0">
      <selection activeCell="D5" sqref="D5:F5"/>
    </sheetView>
  </sheetViews>
  <sheetFormatPr baseColWidth="10" defaultColWidth="8.85546875" defaultRowHeight="15" x14ac:dyDescent="0.25"/>
  <cols>
    <col min="1" max="1" width="36.140625" customWidth="1"/>
    <col min="2" max="2" width="21.5703125" customWidth="1"/>
    <col min="3" max="3" width="20.7109375" customWidth="1"/>
    <col min="4" max="4" width="22.28515625" customWidth="1"/>
    <col min="5" max="5" width="26.5703125" customWidth="1"/>
    <col min="6" max="6" width="23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1" t="s">
        <v>5</v>
      </c>
      <c r="E1" s="1" t="s">
        <v>4</v>
      </c>
      <c r="F1" s="1" t="s">
        <v>3</v>
      </c>
    </row>
    <row r="2" spans="1:6" x14ac:dyDescent="0.25">
      <c r="A2" s="2" t="s">
        <v>6</v>
      </c>
      <c r="B2" s="7">
        <v>0.12</v>
      </c>
      <c r="C2" s="7">
        <v>0.94</v>
      </c>
      <c r="D2" s="7">
        <v>1850</v>
      </c>
      <c r="E2" s="7">
        <v>1200</v>
      </c>
      <c r="F2" s="7" t="s">
        <v>12</v>
      </c>
    </row>
    <row r="3" spans="1:6" x14ac:dyDescent="0.25">
      <c r="A3" s="2" t="s">
        <v>7</v>
      </c>
      <c r="B3" s="7" t="s">
        <v>24</v>
      </c>
      <c r="C3" s="7" t="s">
        <v>24</v>
      </c>
      <c r="D3" s="7">
        <v>8930</v>
      </c>
      <c r="E3" s="7">
        <v>385</v>
      </c>
      <c r="F3" s="7">
        <v>400</v>
      </c>
    </row>
    <row r="4" spans="1:6" x14ac:dyDescent="0.25">
      <c r="A4" s="2" t="s">
        <v>14</v>
      </c>
      <c r="B4" s="7" t="s">
        <v>24</v>
      </c>
      <c r="C4" s="7" t="s">
        <v>24</v>
      </c>
      <c r="D4" s="7">
        <v>2070</v>
      </c>
      <c r="E4" s="7">
        <v>1010</v>
      </c>
      <c r="F4" s="7">
        <v>0.27</v>
      </c>
    </row>
    <row r="5" spans="1:6" x14ac:dyDescent="0.25">
      <c r="A5" s="2" t="s">
        <v>13</v>
      </c>
      <c r="B5" s="7" t="s">
        <v>24</v>
      </c>
      <c r="C5" s="7" t="s">
        <v>24</v>
      </c>
      <c r="D5" s="7">
        <v>8000</v>
      </c>
      <c r="E5" s="7">
        <v>500</v>
      </c>
      <c r="F5" s="7">
        <v>15</v>
      </c>
    </row>
    <row r="6" spans="1:6" x14ac:dyDescent="0.25">
      <c r="A6" s="2" t="s">
        <v>15</v>
      </c>
      <c r="B6" s="7">
        <v>0</v>
      </c>
      <c r="C6" s="7">
        <v>0</v>
      </c>
      <c r="D6" s="7">
        <v>2810</v>
      </c>
      <c r="E6" s="7">
        <v>960</v>
      </c>
      <c r="F6" s="7">
        <v>130</v>
      </c>
    </row>
    <row r="7" spans="1:6" x14ac:dyDescent="0.25">
      <c r="A7" s="2" t="s">
        <v>16</v>
      </c>
      <c r="B7" s="7" t="s">
        <v>24</v>
      </c>
      <c r="C7" s="7" t="s">
        <v>24</v>
      </c>
      <c r="D7" s="7">
        <v>2200</v>
      </c>
      <c r="E7" s="7">
        <v>960</v>
      </c>
      <c r="F7" s="7">
        <v>0.2</v>
      </c>
    </row>
    <row r="8" spans="1:6" x14ac:dyDescent="0.25">
      <c r="A8" s="2" t="s">
        <v>9</v>
      </c>
      <c r="B8" s="7">
        <v>0.4</v>
      </c>
      <c r="C8" s="7">
        <v>0.71</v>
      </c>
      <c r="D8" s="7" t="s">
        <v>24</v>
      </c>
      <c r="E8" s="7" t="s">
        <v>24</v>
      </c>
      <c r="F8" s="7" t="s">
        <v>24</v>
      </c>
    </row>
    <row r="9" spans="1:6" x14ac:dyDescent="0.25">
      <c r="A9" s="2" t="s">
        <v>10</v>
      </c>
      <c r="B9" s="7">
        <v>0.23</v>
      </c>
      <c r="C9" s="7">
        <v>0.24</v>
      </c>
      <c r="D9" s="7" t="s">
        <v>24</v>
      </c>
      <c r="E9" s="7" t="s">
        <v>24</v>
      </c>
      <c r="F9" s="7" t="s">
        <v>24</v>
      </c>
    </row>
    <row r="10" spans="1:6" x14ac:dyDescent="0.25">
      <c r="A10" s="2" t="s">
        <v>8</v>
      </c>
      <c r="B10" s="7">
        <v>0.08</v>
      </c>
      <c r="C10" s="7">
        <v>0.11</v>
      </c>
      <c r="D10" s="7">
        <v>5765</v>
      </c>
      <c r="E10" s="7">
        <v>250</v>
      </c>
      <c r="F10" s="7">
        <v>62</v>
      </c>
    </row>
    <row r="11" spans="1:6" x14ac:dyDescent="0.25">
      <c r="A11" s="2" t="s">
        <v>11</v>
      </c>
      <c r="B11" s="7" t="s">
        <v>24</v>
      </c>
      <c r="C11" s="7" t="s">
        <v>24</v>
      </c>
      <c r="D11" s="7">
        <v>1300</v>
      </c>
      <c r="E11" s="7">
        <v>1500</v>
      </c>
      <c r="F11" s="7">
        <v>0.29599999999999999</v>
      </c>
    </row>
    <row r="12" spans="1:6" x14ac:dyDescent="0.25">
      <c r="A12" s="2" t="s">
        <v>17</v>
      </c>
      <c r="B12" s="7" t="s">
        <v>24</v>
      </c>
      <c r="C12" s="7" t="s">
        <v>24</v>
      </c>
      <c r="D12" s="7">
        <v>2750</v>
      </c>
      <c r="E12" s="7">
        <v>1000</v>
      </c>
      <c r="F12" s="7" t="s">
        <v>25</v>
      </c>
    </row>
    <row r="13" spans="1:6" x14ac:dyDescent="0.25">
      <c r="A13" s="2" t="s">
        <v>18</v>
      </c>
      <c r="B13" s="7" t="s">
        <v>24</v>
      </c>
      <c r="C13" s="7" t="s">
        <v>24</v>
      </c>
      <c r="D13" s="7">
        <v>8800</v>
      </c>
      <c r="E13" s="7">
        <v>380</v>
      </c>
      <c r="F13" s="7">
        <v>62</v>
      </c>
    </row>
    <row r="14" spans="1:6" x14ac:dyDescent="0.25">
      <c r="A14" s="2" t="s">
        <v>19</v>
      </c>
      <c r="B14" s="7" t="s">
        <v>24</v>
      </c>
      <c r="C14" s="7" t="s">
        <v>24</v>
      </c>
      <c r="D14" s="7">
        <v>2700</v>
      </c>
      <c r="E14" s="7">
        <v>900</v>
      </c>
      <c r="F14" s="7">
        <v>209</v>
      </c>
    </row>
    <row r="15" spans="1:6" x14ac:dyDescent="0.25">
      <c r="A15" s="2" t="s">
        <v>20</v>
      </c>
      <c r="B15" s="7">
        <v>0.12</v>
      </c>
      <c r="C15" s="7">
        <v>0.85</v>
      </c>
      <c r="D15" s="7">
        <v>1150</v>
      </c>
      <c r="E15" s="7">
        <v>1500</v>
      </c>
      <c r="F15" s="7">
        <v>0.53</v>
      </c>
    </row>
    <row r="16" spans="1:6" x14ac:dyDescent="0.25">
      <c r="A16" s="4" t="s">
        <v>21</v>
      </c>
      <c r="B16" s="7">
        <v>0.91</v>
      </c>
      <c r="C16" s="7">
        <v>0.85</v>
      </c>
      <c r="D16" s="7">
        <v>5316</v>
      </c>
      <c r="E16" s="7">
        <v>325</v>
      </c>
      <c r="F16" s="7">
        <v>50</v>
      </c>
    </row>
    <row r="17" spans="1:6" x14ac:dyDescent="0.25">
      <c r="A17" s="2" t="s">
        <v>22</v>
      </c>
      <c r="B17" s="7">
        <v>0.94</v>
      </c>
      <c r="C17" s="7">
        <v>0.82</v>
      </c>
      <c r="D17" s="7">
        <v>1070</v>
      </c>
      <c r="E17" s="7">
        <v>1990</v>
      </c>
      <c r="F17" s="7">
        <v>0.16200000000000001</v>
      </c>
    </row>
    <row r="18" spans="1:6" x14ac:dyDescent="0.25">
      <c r="A18" s="2"/>
    </row>
    <row r="22" spans="1:6" x14ac:dyDescent="0.25">
      <c r="B22" s="3"/>
    </row>
    <row r="23" spans="1:6" x14ac:dyDescent="0.25">
      <c r="D23" s="3"/>
    </row>
    <row r="24" spans="1:6" x14ac:dyDescent="0.25">
      <c r="E24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="85" zoomScaleNormal="85" workbookViewId="0">
      <selection activeCell="K16" sqref="K16"/>
    </sheetView>
  </sheetViews>
  <sheetFormatPr baseColWidth="10" defaultRowHeight="15" x14ac:dyDescent="0.25"/>
  <cols>
    <col min="1" max="1" width="25.7109375" customWidth="1"/>
    <col min="2" max="2" width="12.5703125" customWidth="1"/>
    <col min="3" max="3" width="10.28515625" bestFit="1" customWidth="1"/>
    <col min="4" max="4" width="25.28515625" bestFit="1" customWidth="1"/>
    <col min="5" max="5" width="18.42578125" bestFit="1" customWidth="1"/>
    <col min="6" max="6" width="13.85546875" bestFit="1" customWidth="1"/>
    <col min="7" max="7" width="6.140625" bestFit="1" customWidth="1"/>
    <col min="8" max="8" width="14.140625" customWidth="1"/>
    <col min="9" max="9" width="13.140625" customWidth="1"/>
    <col min="10" max="10" width="27.5703125" customWidth="1"/>
    <col min="11" max="11" width="20.28515625" customWidth="1"/>
  </cols>
  <sheetData>
    <row r="1" spans="1:10" x14ac:dyDescent="0.25">
      <c r="A1" s="2" t="s">
        <v>26</v>
      </c>
      <c r="B1" s="2" t="s">
        <v>59</v>
      </c>
      <c r="C1" s="2" t="s">
        <v>0</v>
      </c>
      <c r="D1" s="2" t="s">
        <v>88</v>
      </c>
      <c r="E1" s="2" t="s">
        <v>27</v>
      </c>
      <c r="F1" s="2" t="s">
        <v>151</v>
      </c>
      <c r="G1" s="2" t="s">
        <v>152</v>
      </c>
      <c r="H1" s="2" t="s">
        <v>153</v>
      </c>
      <c r="I1" s="2" t="s">
        <v>154</v>
      </c>
      <c r="J1" s="2" t="s">
        <v>82</v>
      </c>
    </row>
    <row r="2" spans="1:10" x14ac:dyDescent="0.25">
      <c r="A2" s="8" t="s">
        <v>89</v>
      </c>
      <c r="B2" s="8"/>
      <c r="C2" s="6"/>
      <c r="D2" s="6"/>
      <c r="E2" s="6"/>
      <c r="F2" s="6"/>
      <c r="G2" s="6"/>
      <c r="H2" s="6"/>
      <c r="I2" s="6"/>
      <c r="J2" s="27" t="s">
        <v>160</v>
      </c>
    </row>
    <row r="3" spans="1:10" x14ac:dyDescent="0.25">
      <c r="A3" s="9" t="s">
        <v>44</v>
      </c>
      <c r="B3" s="9" t="s">
        <v>65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25">
      <c r="A4" s="9" t="s">
        <v>75</v>
      </c>
      <c r="B4" s="9" t="s">
        <v>64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25">
      <c r="A5" s="9" t="s">
        <v>156</v>
      </c>
      <c r="B5" s="9" t="s">
        <v>66</v>
      </c>
      <c r="C5" s="6" t="s">
        <v>6</v>
      </c>
      <c r="D5" s="6">
        <v>1850</v>
      </c>
      <c r="E5" s="6">
        <f t="shared" si="0"/>
        <v>0</v>
      </c>
      <c r="F5" s="6">
        <v>7.1999999999999998E-3</v>
      </c>
      <c r="G5" s="6">
        <v>1</v>
      </c>
      <c r="H5" s="6">
        <f t="shared" si="1"/>
        <v>7.1999999999999998E-3</v>
      </c>
      <c r="I5" s="6">
        <f t="shared" si="2"/>
        <v>7.2</v>
      </c>
      <c r="J5" s="5"/>
    </row>
    <row r="6" spans="1:10" x14ac:dyDescent="0.25">
      <c r="A6" s="9" t="s">
        <v>157</v>
      </c>
      <c r="B6" s="9" t="s">
        <v>67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25">
      <c r="A7" s="9" t="s">
        <v>158</v>
      </c>
      <c r="B7" s="9" t="s">
        <v>35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25">
      <c r="A8" s="9" t="s">
        <v>159</v>
      </c>
      <c r="B8" s="9" t="s">
        <v>68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25">
      <c r="A9" s="9" t="s">
        <v>168</v>
      </c>
      <c r="B9" s="9" t="s">
        <v>34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25">
      <c r="A10" s="9" t="s">
        <v>76</v>
      </c>
      <c r="B10" s="9" t="s">
        <v>34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25">
      <c r="A11" s="9" t="s">
        <v>85</v>
      </c>
      <c r="B11" s="9" t="s">
        <v>86</v>
      </c>
      <c r="C11" s="6" t="s">
        <v>49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25">
      <c r="A12" s="8" t="s">
        <v>30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25">
      <c r="A13" s="9" t="s">
        <v>81</v>
      </c>
      <c r="B13" s="9" t="s">
        <v>73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x14ac:dyDescent="0.25">
      <c r="A14" s="9" t="s">
        <v>80</v>
      </c>
      <c r="B14" s="9" t="s">
        <v>71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25">
      <c r="A15" s="9" t="s">
        <v>46</v>
      </c>
      <c r="B15" s="9" t="s">
        <v>70</v>
      </c>
      <c r="C15" s="6" t="s">
        <v>16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25">
      <c r="A16" s="9" t="s">
        <v>47</v>
      </c>
      <c r="B16" s="9" t="s">
        <v>72</v>
      </c>
      <c r="C16" s="6" t="s">
        <v>53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25">
      <c r="A17" s="5"/>
      <c r="B17" s="5"/>
      <c r="J17" s="5"/>
    </row>
    <row r="18" spans="1:11" x14ac:dyDescent="0.25">
      <c r="A18" s="10" t="s">
        <v>42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25">
      <c r="A19" s="12" t="s">
        <v>43</v>
      </c>
      <c r="B19" s="12" t="s">
        <v>31</v>
      </c>
      <c r="C19" s="11" t="s">
        <v>51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25">
      <c r="A20" s="12" t="s">
        <v>17</v>
      </c>
      <c r="B20" s="12" t="s">
        <v>33</v>
      </c>
      <c r="C20" s="11" t="s">
        <v>32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25">
      <c r="A21" s="5"/>
      <c r="B21" s="5"/>
      <c r="J21" s="5"/>
    </row>
    <row r="22" spans="1:11" x14ac:dyDescent="0.25">
      <c r="A22" s="13" t="s">
        <v>137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25">
      <c r="A23" s="15" t="s">
        <v>161</v>
      </c>
      <c r="B23" s="15" t="s">
        <v>74</v>
      </c>
      <c r="C23" s="14" t="s">
        <v>57</v>
      </c>
      <c r="D23" s="14">
        <v>8800</v>
      </c>
      <c r="E23" s="14">
        <f>L23/1000/1000/1000</f>
        <v>0</v>
      </c>
      <c r="F23" s="26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 t="s">
        <v>162</v>
      </c>
    </row>
    <row r="24" spans="1:11" x14ac:dyDescent="0.25">
      <c r="A24" s="15" t="s">
        <v>56</v>
      </c>
      <c r="B24" s="15" t="s">
        <v>74</v>
      </c>
      <c r="C24" s="14" t="s">
        <v>22</v>
      </c>
      <c r="D24" s="14">
        <v>1070</v>
      </c>
      <c r="E24" s="14">
        <f>L24/1000/1000/1000</f>
        <v>0</v>
      </c>
      <c r="F24" s="26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 t="s">
        <v>162</v>
      </c>
    </row>
    <row r="25" spans="1:11" x14ac:dyDescent="0.25">
      <c r="A25" s="15" t="s">
        <v>93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25">
      <c r="A26" s="5"/>
      <c r="B26" s="5"/>
      <c r="J26" s="5"/>
    </row>
    <row r="27" spans="1:11" x14ac:dyDescent="0.25">
      <c r="A27" s="16" t="s">
        <v>29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25">
      <c r="A28" s="18" t="s">
        <v>45</v>
      </c>
      <c r="B28" s="18" t="s">
        <v>69</v>
      </c>
      <c r="C28" s="17" t="s">
        <v>52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25">
      <c r="A29" s="16" t="s">
        <v>48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25">
      <c r="A30" s="18" t="s">
        <v>36</v>
      </c>
      <c r="B30" s="18" t="s">
        <v>60</v>
      </c>
      <c r="C30" s="17" t="s">
        <v>49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25">
      <c r="A31" s="18" t="s">
        <v>37</v>
      </c>
      <c r="B31" s="18" t="s">
        <v>60</v>
      </c>
      <c r="C31" s="17" t="s">
        <v>49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25">
      <c r="A32" s="18" t="s">
        <v>38</v>
      </c>
      <c r="B32" s="18" t="s">
        <v>60</v>
      </c>
      <c r="C32" s="17" t="s">
        <v>49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163</v>
      </c>
      <c r="K32" s="5"/>
    </row>
    <row r="33" spans="1:11" x14ac:dyDescent="0.25">
      <c r="A33" s="18" t="s">
        <v>58</v>
      </c>
      <c r="B33" s="18" t="s">
        <v>61</v>
      </c>
      <c r="C33" s="17" t="s">
        <v>49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25">
      <c r="A34" s="16" t="s">
        <v>28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25">
      <c r="A35" s="18" t="s">
        <v>39</v>
      </c>
      <c r="B35" s="18" t="s">
        <v>63</v>
      </c>
      <c r="C35" s="17" t="s">
        <v>49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25">
      <c r="A36" s="18" t="s">
        <v>40</v>
      </c>
      <c r="B36" s="18" t="s">
        <v>62</v>
      </c>
      <c r="C36" s="17" t="s">
        <v>50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25">
      <c r="A37" s="18" t="s">
        <v>41</v>
      </c>
      <c r="B37" s="18" t="s">
        <v>33</v>
      </c>
      <c r="C37" s="17" t="s">
        <v>20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25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25">
      <c r="A39" s="5"/>
      <c r="B39" s="5"/>
      <c r="J39" s="20"/>
    </row>
    <row r="40" spans="1:11" x14ac:dyDescent="0.25">
      <c r="A40" s="24" t="s">
        <v>93</v>
      </c>
      <c r="B40" s="24"/>
      <c r="C40" s="25"/>
      <c r="D40" s="25"/>
      <c r="E40" s="25"/>
      <c r="F40" s="25"/>
      <c r="G40" s="25"/>
      <c r="H40" s="25">
        <f>SUM(H2:H38)-H23-H24-H32</f>
        <v>0.23766375000000001</v>
      </c>
      <c r="I40" s="28">
        <f t="shared" si="2"/>
        <v>237.66374999999999</v>
      </c>
      <c r="J40" s="20"/>
    </row>
    <row r="41" spans="1:11" x14ac:dyDescent="0.25">
      <c r="A41" s="3"/>
    </row>
    <row r="44" spans="1:11" x14ac:dyDescent="0.25">
      <c r="A44" s="29"/>
      <c r="B44" s="29"/>
    </row>
    <row r="45" spans="1:11" x14ac:dyDescent="0.25">
      <c r="A45" s="5"/>
      <c r="B45" s="5"/>
      <c r="D45" s="3"/>
    </row>
    <row r="46" spans="1:11" x14ac:dyDescent="0.25">
      <c r="A46" s="5"/>
      <c r="B4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Normal="100" workbookViewId="0">
      <selection activeCell="C31" sqref="C31"/>
    </sheetView>
  </sheetViews>
  <sheetFormatPr baseColWidth="10" defaultRowHeight="15" x14ac:dyDescent="0.25"/>
  <cols>
    <col min="1" max="1" width="13.85546875" customWidth="1"/>
    <col min="2" max="2" width="14.140625" customWidth="1"/>
    <col min="3" max="3" width="21" customWidth="1"/>
    <col min="4" max="4" width="23.140625" customWidth="1"/>
    <col min="5" max="5" width="15.42578125" customWidth="1"/>
    <col min="6" max="6" width="36" customWidth="1"/>
    <col min="7" max="7" width="39.140625" customWidth="1"/>
    <col min="8" max="8" width="35.85546875" customWidth="1"/>
    <col min="9" max="9" width="8.5703125" customWidth="1"/>
    <col min="10" max="10" width="18" customWidth="1"/>
    <col min="11" max="11" width="23.5703125" customWidth="1"/>
    <col min="12" max="12" width="30.85546875" customWidth="1"/>
  </cols>
  <sheetData>
    <row r="1" spans="1:10" x14ac:dyDescent="0.25">
      <c r="A1" s="32" t="s">
        <v>0</v>
      </c>
      <c r="B1" s="32" t="s">
        <v>5</v>
      </c>
      <c r="C1" s="32" t="s">
        <v>4</v>
      </c>
      <c r="D1" s="32" t="s">
        <v>3</v>
      </c>
      <c r="F1" s="2" t="s">
        <v>198</v>
      </c>
      <c r="G1" s="2" t="s">
        <v>231</v>
      </c>
      <c r="H1" s="2" t="s">
        <v>232</v>
      </c>
      <c r="I1" s="2" t="s">
        <v>233</v>
      </c>
      <c r="J1" s="2" t="s">
        <v>234</v>
      </c>
    </row>
    <row r="2" spans="1:10" x14ac:dyDescent="0.25">
      <c r="A2" s="2" t="s">
        <v>7</v>
      </c>
      <c r="B2" s="7">
        <v>8930</v>
      </c>
      <c r="C2" s="7">
        <v>385</v>
      </c>
      <c r="D2" s="7">
        <v>400</v>
      </c>
      <c r="F2" t="s">
        <v>200</v>
      </c>
      <c r="G2">
        <f>B16*$B$2/(B16*$B$2+C16*$B$3+D16*$B$5+E16*$B$6)</f>
        <v>0.31617014819685402</v>
      </c>
      <c r="H2">
        <f>C16*$B$3/(B16*$B$2+C16*$B$3+D16*$B$5+E16*$B$6)</f>
        <v>0.67371402559304039</v>
      </c>
      <c r="I2">
        <f>D16*$B$5/(B16*$B$2+C16*$B$3+D16*$B$5+E16*$B$6)</f>
        <v>1.011582621010571E-2</v>
      </c>
      <c r="J2">
        <f>E16*$B$6/(B16*$B$2+C16*$B$3+D16*$B$5+E16*$B$6)</f>
        <v>0</v>
      </c>
    </row>
    <row r="3" spans="1:10" x14ac:dyDescent="0.25">
      <c r="A3" s="2" t="s">
        <v>209</v>
      </c>
      <c r="B3" s="7">
        <v>1850</v>
      </c>
      <c r="C3" s="7">
        <v>1200</v>
      </c>
      <c r="D3" s="7">
        <v>0.81</v>
      </c>
      <c r="F3" t="s">
        <v>35</v>
      </c>
      <c r="G3">
        <f>B17*$B$2/(B17*$B$2+C17*$B$3+D17*$B$5+E17*$B$6)</f>
        <v>0.31617014819685402</v>
      </c>
      <c r="H3">
        <f>C17*$B$3/(B17*$B$2+C17*$B$3+D17*$B$5+E17*$B$6)</f>
        <v>0.67371402559304039</v>
      </c>
      <c r="I3">
        <f>D17*$B$5/(B17*$B$2+C17*$B$3+D17*$B$5+E17*$B$6)</f>
        <v>1.011582621010571E-2</v>
      </c>
      <c r="J3">
        <f>E17*$B$6/(B17*$B$2+C17*$B$3+D17*$B$5+E17*$B$6)</f>
        <v>0</v>
      </c>
    </row>
    <row r="4" spans="1:10" x14ac:dyDescent="0.25">
      <c r="A4" s="2" t="s">
        <v>210</v>
      </c>
      <c r="B4" s="7">
        <v>1850</v>
      </c>
      <c r="C4" s="7">
        <v>1200</v>
      </c>
      <c r="D4" s="7">
        <v>0.28999999999999998</v>
      </c>
      <c r="F4" t="s">
        <v>67</v>
      </c>
      <c r="G4">
        <f>B18*$B$2/(B18*$B$2+C18*$B$3+D18*$B$5+E18*$B$6)</f>
        <v>0.31617014819685402</v>
      </c>
      <c r="H4">
        <f>C18*$B$3/(B18*$B$2+C18*$B$3+D18*$B$5+E18*$B$6)</f>
        <v>0.67371402559304039</v>
      </c>
      <c r="I4">
        <f>D18*$B$5/(B18*$B$2+C18*$B$3+D18*$B$5+E18*$B$6)</f>
        <v>1.011582621010571E-2</v>
      </c>
      <c r="J4">
        <f>E18*$B$6/(B18*$B$2+C18*$B$3+D18*$B$5+E18*$B$6)</f>
        <v>0</v>
      </c>
    </row>
    <row r="5" spans="1:10" x14ac:dyDescent="0.25">
      <c r="A5" s="30" t="s">
        <v>199</v>
      </c>
      <c r="B5" s="31">
        <v>2000</v>
      </c>
      <c r="C5" s="31">
        <v>1000</v>
      </c>
      <c r="D5" s="31">
        <v>0.2</v>
      </c>
      <c r="E5" t="s">
        <v>211</v>
      </c>
      <c r="F5" t="s">
        <v>201</v>
      </c>
      <c r="G5">
        <f>B19*$B$2/(B19*$B$2+C19*$B$3+D19*$B$5+E19*$B$6)</f>
        <v>0.36134340437011064</v>
      </c>
      <c r="H5">
        <f>C19*$B$3/(B19*$B$2+C19*$B$3+D19*$B$5+E19*$B$6)</f>
        <v>0.63094916952483715</v>
      </c>
      <c r="I5">
        <f>D19*$B$5/(B19*$B$2+C19*$B$3+D19*$B$5+E19*$B$6)</f>
        <v>7.7074261050522177E-3</v>
      </c>
      <c r="J5">
        <f>E19*$B$6/(B19*$B$2+C19*$B$3+D19*$B$5+E19*$B$6)</f>
        <v>0</v>
      </c>
    </row>
    <row r="6" spans="1:10" x14ac:dyDescent="0.25">
      <c r="A6" s="30" t="s">
        <v>218</v>
      </c>
      <c r="B6" s="7">
        <v>2200</v>
      </c>
      <c r="C6" s="7">
        <v>960</v>
      </c>
      <c r="D6" s="7">
        <v>0.2</v>
      </c>
      <c r="F6" t="s">
        <v>202</v>
      </c>
      <c r="G6">
        <f>B20*$B$2/(B20*$B$2+C20*$B$3+D20*$B$5+E20*$B$6)</f>
        <v>0.36134340437011064</v>
      </c>
      <c r="H6">
        <f>C20*$B$3/(B20*$B$2+C20*$B$3+D20*$B$5+E20*$B$6)</f>
        <v>0.63094916952483715</v>
      </c>
      <c r="I6">
        <f>D20*$B$5/(B20*$B$2+C20*$B$3+D20*$B$5+E20*$B$6)</f>
        <v>7.7074261050522177E-3</v>
      </c>
      <c r="J6">
        <f>E20*$B$6/(B20*$B$2+C20*$B$3+D20*$B$5+E20*$B$6)</f>
        <v>0</v>
      </c>
    </row>
    <row r="7" spans="1:10" x14ac:dyDescent="0.25">
      <c r="F7" t="s">
        <v>203</v>
      </c>
      <c r="G7">
        <f>B21*$B$2/(B21*$B$2+C21*$B$3+D21*$B$5+E21*$B$6)</f>
        <v>0.36134340437011064</v>
      </c>
      <c r="H7">
        <f>C21*$B$3/(B21*$B$2+C21*$B$3+D21*$B$5+E21*$B$6)</f>
        <v>0.63094916952483715</v>
      </c>
      <c r="I7">
        <f>D21*$B$5/(B21*$B$2+C21*$B$3+D21*$B$5+E21*$B$6)</f>
        <v>7.7074261050522177E-3</v>
      </c>
      <c r="J7">
        <f>E21*$B$6/(B21*$B$2+C21*$B$3+D21*$B$5+E21*$B$6)</f>
        <v>0</v>
      </c>
    </row>
    <row r="8" spans="1:10" x14ac:dyDescent="0.25">
      <c r="F8" t="s">
        <v>65</v>
      </c>
      <c r="G8">
        <f>B22*$B$2/(B22*$B$2+C22*$B$3+D22*$B$5+E22*$B$6)</f>
        <v>0.18073787081478057</v>
      </c>
      <c r="H8">
        <f>C22*$B$3/(B22*$B$2+C22*$B$3+D22*$B$5+E22*$B$6)</f>
        <v>0.8076967559127971</v>
      </c>
      <c r="I8">
        <f>D22*$B$5/(B22*$B$2+C22*$B$3+D22*$B$5+E22*$B$6)</f>
        <v>1.1565373272422368E-2</v>
      </c>
      <c r="J8">
        <f>E22*$B$6/(B22*$B$2+C22*$B$3+D22*$B$5+E22*$B$6)</f>
        <v>0</v>
      </c>
    </row>
    <row r="9" spans="1:10" x14ac:dyDescent="0.25">
      <c r="F9" t="s">
        <v>221</v>
      </c>
      <c r="G9">
        <f>B23*$B$2/(B23*$B$2+C23*$B$3+D23*$B$5+E23*$B$6)</f>
        <v>0.47221312920202457</v>
      </c>
      <c r="H9">
        <f>C23*$B$3/(B23*$B$2+C23*$B$3+D23*$B$5+E23*$B$6)</f>
        <v>0.39130763226147613</v>
      </c>
      <c r="I9">
        <f>D23*$B$5/(B23*$B$2+C23*$B$3+D23*$B$5+E23*$B$6)</f>
        <v>2.0144537053357843E-2</v>
      </c>
      <c r="J9">
        <f>E23*$B$6/(B23*$B$2+C23*$B$3+D23*$B$5+E23*$B$6)</f>
        <v>0.11633470148314154</v>
      </c>
    </row>
    <row r="10" spans="1:10" x14ac:dyDescent="0.25">
      <c r="F10" t="s">
        <v>224</v>
      </c>
      <c r="G10" t="e">
        <f>B24*$B$2/(B24*$B$2+C24*$B$3+D24*$B$5+E24*$B$6)</f>
        <v>#DIV/0!</v>
      </c>
      <c r="H10" t="e">
        <f>C24*$B$3/(B24*$B$2+C24*$B$3+D24*$B$5+E24*$B$6)</f>
        <v>#DIV/0!</v>
      </c>
      <c r="I10" t="e">
        <f>D24*$B$5/(B24*$B$2+C24*$B$3+D24*$B$5+E24*$B$6)</f>
        <v>#DIV/0!</v>
      </c>
      <c r="J10" t="e">
        <f>E24*$B$6/(B24*$B$2+C24*$B$3+D24*$B$5+E24*$B$6)</f>
        <v>#DIV/0!</v>
      </c>
    </row>
    <row r="14" spans="1:10" ht="15.75" thickBot="1" x14ac:dyDescent="0.3"/>
    <row r="15" spans="1:10" ht="15.75" thickBot="1" x14ac:dyDescent="0.3">
      <c r="A15" s="75" t="s">
        <v>198</v>
      </c>
      <c r="B15" s="76" t="s">
        <v>204</v>
      </c>
      <c r="C15" s="76" t="s">
        <v>205</v>
      </c>
      <c r="D15" s="76" t="s">
        <v>206</v>
      </c>
      <c r="E15" s="76" t="s">
        <v>217</v>
      </c>
      <c r="F15" s="76" t="s">
        <v>4</v>
      </c>
      <c r="G15" s="76" t="s">
        <v>208</v>
      </c>
      <c r="H15" s="77" t="s">
        <v>207</v>
      </c>
    </row>
    <row r="16" spans="1:10" x14ac:dyDescent="0.25">
      <c r="A16" t="s">
        <v>200</v>
      </c>
      <c r="B16">
        <v>0.14000000000000001</v>
      </c>
      <c r="C16">
        <v>1.44</v>
      </c>
      <c r="D16">
        <v>0.02</v>
      </c>
      <c r="E16">
        <v>0</v>
      </c>
      <c r="F16">
        <f>(B16*$B$2*$C$2+C16*$B$3*$C$3+D16*$B$5*$C$5+E16*$B$6*$C$6)/(B16*$B$2+C16*$B$3+D16*$B$5+E16*$B$6)</f>
        <v>940.29816397754291</v>
      </c>
      <c r="G16">
        <f>1/(G2/$D$2+H2/$D$4+I2/$D$5+J2/$D$6)</f>
        <v>0.42113750296583358</v>
      </c>
      <c r="H16">
        <f>(B16*$D$2+C16*$D$3+D16*$D$5+E16*$D$6)*(B16+C16+D16+E16)</f>
        <v>91.472640000000013</v>
      </c>
    </row>
    <row r="17" spans="1:8" x14ac:dyDescent="0.25">
      <c r="A17" t="s">
        <v>35</v>
      </c>
      <c r="B17">
        <v>0.14000000000000001</v>
      </c>
      <c r="C17">
        <v>1.44</v>
      </c>
      <c r="D17">
        <v>0.02</v>
      </c>
      <c r="E17">
        <v>0</v>
      </c>
      <c r="F17">
        <f>(B17*$B$2*$C$2+C17*$B$3*$C$3+D17*$B$5*$C$5+E17*$B$6*$C$6)/(B17*$B$2+C17*$B$3+D17*$B$5+E17*$B$6)</f>
        <v>940.29816397754291</v>
      </c>
      <c r="G17">
        <f>1/(G3/$D$2+H3/$D$4+I3/$D$5+J3/$D$6)</f>
        <v>0.42113750296583358</v>
      </c>
      <c r="H17">
        <f>(B17*$D$2+C17*$D$3+D17*$D$5+E17*$D$6)*(B17+C17+D17+E17)</f>
        <v>91.472640000000013</v>
      </c>
    </row>
    <row r="18" spans="1:8" x14ac:dyDescent="0.25">
      <c r="A18" t="s">
        <v>67</v>
      </c>
      <c r="B18">
        <v>0.14000000000000001</v>
      </c>
      <c r="C18">
        <v>1.44</v>
      </c>
      <c r="D18">
        <v>0.02</v>
      </c>
      <c r="E18">
        <v>0</v>
      </c>
      <c r="F18">
        <f>(B18*$B$2*$C$2+C18*$B$3*$C$3+D18*$B$5*$C$5+E18*$B$6*$C$6)/(B18*$B$2+C18*$B$3+D18*$B$5+E18*$B$6)</f>
        <v>940.29816397754291</v>
      </c>
      <c r="G18">
        <f>1/(G4/$D$2+H4/$D$4+I4/$D$5+J4/$D$6)</f>
        <v>0.42113750296583358</v>
      </c>
      <c r="H18">
        <f>(B18*$D$2+C18*$D$3+D18*$D$5+E18*$D$6)*(B18+C18+D18+E18)</f>
        <v>91.472640000000013</v>
      </c>
    </row>
    <row r="19" spans="1:8" x14ac:dyDescent="0.25">
      <c r="A19" t="s">
        <v>201</v>
      </c>
      <c r="B19">
        <v>0.21000000000000002</v>
      </c>
      <c r="C19">
        <v>1.77</v>
      </c>
      <c r="D19">
        <v>0.02</v>
      </c>
      <c r="E19">
        <v>0</v>
      </c>
      <c r="F19">
        <f>(B19*$B$2*$C$2+C19*$B$3*$C$3+D19*$B$5*$C$5+E19*$B$6*$C$6)/(B19*$B$2+C19*$B$3+D19*$B$5+E19*$B$6)</f>
        <v>903.96364021734939</v>
      </c>
      <c r="G19">
        <f>1/(G5/$D$2+H5/$D$4+I5/$D$5+J5/$D$6)</f>
        <v>0.45144132745896365</v>
      </c>
      <c r="H19">
        <f>(B19*$D$2+C19*$D$3+D19*$D$5+E19*$D$6)*(B19+C19+D19+E19)</f>
        <v>170.87540000000004</v>
      </c>
    </row>
    <row r="20" spans="1:8" x14ac:dyDescent="0.25">
      <c r="A20" t="s">
        <v>202</v>
      </c>
      <c r="B20">
        <v>0.21000000000000002</v>
      </c>
      <c r="C20">
        <v>1.77</v>
      </c>
      <c r="D20">
        <v>0.02</v>
      </c>
      <c r="E20">
        <v>0</v>
      </c>
      <c r="F20">
        <f>(B20*$B$2*$C$2+C20*$B$3*$C$3+D20*$B$5*$C$5+E20*$B$6*$C$6)/(B20*$B$2+C20*$B$3+D20*$B$5+E20*$B$6)</f>
        <v>903.96364021734939</v>
      </c>
      <c r="G20">
        <f>1/(G6/$D$2+H6/$D$4+I6/$D$5+J6/$D$6)</f>
        <v>0.45144132745896365</v>
      </c>
      <c r="H20">
        <f>(B20*$D$2+C20*$D$3+D20*$D$5+E20*$D$6)*(B20+C20+D20+E20)</f>
        <v>170.87540000000004</v>
      </c>
    </row>
    <row r="21" spans="1:8" x14ac:dyDescent="0.25">
      <c r="A21" t="s">
        <v>203</v>
      </c>
      <c r="B21">
        <v>0.21000000000000002</v>
      </c>
      <c r="C21">
        <v>1.77</v>
      </c>
      <c r="D21">
        <v>0.02</v>
      </c>
      <c r="E21">
        <v>0</v>
      </c>
      <c r="F21">
        <f>(B21*$B$2*$C$2+C21*$B$3*$C$3+D21*$B$5*$C$5+E21*$B$6*$C$6)/(B21*$B$2+C21*$B$3+D21*$B$5+E21*$B$6)</f>
        <v>903.96364021734939</v>
      </c>
      <c r="G21">
        <f>1/(G7/$D$2+H7/$D$4+I7/$D$5+J7/$D$6)</f>
        <v>0.45144132745896365</v>
      </c>
      <c r="H21">
        <f>(B21*$D$2+C21*$D$3+D21*$D$5+E21*$D$6)*(B21+C21+D21+E21)</f>
        <v>170.87540000000004</v>
      </c>
    </row>
    <row r="22" spans="1:8" x14ac:dyDescent="0.25">
      <c r="A22" t="s">
        <v>65</v>
      </c>
      <c r="B22">
        <v>7.0000000000000007E-2</v>
      </c>
      <c r="C22">
        <v>1.51</v>
      </c>
      <c r="D22">
        <v>0.02</v>
      </c>
      <c r="E22">
        <v>0</v>
      </c>
      <c r="F22">
        <f>(B22*$B$2*$C$2+C22*$B$3*$C$3+D22*$B$5*$C$5+E22*$B$6*$C$6)/(B22*$B$2+C22*$B$3+D22*$B$5+E22*$B$6)</f>
        <v>1050.3855606314694</v>
      </c>
      <c r="G22">
        <f>1/(G8/$D$2+H8/$D$4+I8/$D$5+J8/$D$6)</f>
        <v>0.35168669699040533</v>
      </c>
      <c r="H22">
        <f>(B22*$D$2+C22*$D$3+D22*$D$5+E22*$D$6)*(B22+C22+D22+E22)</f>
        <v>46.763360000000006</v>
      </c>
    </row>
    <row r="23" spans="1:8" x14ac:dyDescent="0.25">
      <c r="A23" t="s">
        <v>221</v>
      </c>
      <c r="B23">
        <v>0.21000000000000002</v>
      </c>
      <c r="C23">
        <v>0.84000000000000008</v>
      </c>
      <c r="D23">
        <v>0.04</v>
      </c>
      <c r="E23">
        <v>0.21</v>
      </c>
      <c r="F23">
        <f>(B23*$B$2*$C$2+C23*$B$3*$C$3+D23*$B$5*$C$5+E23*$B$6*$C$6)/(B23*$B$2+C23*$B$3+D23*$B$5+E23*$B$6)</f>
        <v>783.19706393372451</v>
      </c>
      <c r="G23">
        <f>1/(G9/$D$2+H9/$D$4+I9/$D$5+J9/$D$6)</f>
        <v>0.49190487192846383</v>
      </c>
      <c r="H23">
        <f>(B23*$D$2+C23*$D$3+D23*$D$5+E23*$D$6)*(B23+C23+D23+E23)</f>
        <v>110.14952000000002</v>
      </c>
    </row>
    <row r="24" spans="1:8" x14ac:dyDescent="0.25">
      <c r="A24" t="s">
        <v>224</v>
      </c>
      <c r="B24">
        <v>0</v>
      </c>
      <c r="C24">
        <v>0</v>
      </c>
      <c r="D24">
        <v>0</v>
      </c>
      <c r="E24">
        <v>0</v>
      </c>
      <c r="F24" t="e">
        <f>(B24*$B$2*$C$2+C24*$B$3*$C$3+D24*$B$5*$C$5+E24*$B$6*$C$6)/(B24*$B$2+C24*$B$3+D24*$B$5+E24*$B$6)</f>
        <v>#DIV/0!</v>
      </c>
      <c r="G24" t="e">
        <f>1/(G10/$D$2+H10/$D$4+I10/$D$5+J10/$D$6)</f>
        <v>#DIV/0!</v>
      </c>
      <c r="H24">
        <f>(B24*$D$2+C24*$D$3+D24*$D$5+E24*$D$6)*(B24+C24+D24+E24)</f>
        <v>0</v>
      </c>
    </row>
    <row r="34" spans="7:7" x14ac:dyDescent="0.25">
      <c r="G3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tabSelected="1" workbookViewId="0">
      <selection activeCell="E69" sqref="E69"/>
    </sheetView>
  </sheetViews>
  <sheetFormatPr baseColWidth="10" defaultRowHeight="15" x14ac:dyDescent="0.25"/>
  <cols>
    <col min="1" max="1" width="26.28515625" customWidth="1"/>
    <col min="2" max="2" width="13.5703125" customWidth="1"/>
    <col min="3" max="4" width="17.7109375" customWidth="1"/>
    <col min="5" max="5" width="11.85546875" bestFit="1" customWidth="1"/>
    <col min="6" max="6" width="21.85546875" customWidth="1"/>
    <col min="7" max="7" width="18.5703125" customWidth="1"/>
    <col min="8" max="8" width="23.7109375" customWidth="1"/>
    <col min="9" max="9" width="27.42578125" customWidth="1"/>
    <col min="10" max="10" width="27.140625" bestFit="1" customWidth="1"/>
  </cols>
  <sheetData>
    <row r="1" spans="1:10" ht="15.75" thickBot="1" x14ac:dyDescent="0.3">
      <c r="A1" s="8" t="s">
        <v>89</v>
      </c>
    </row>
    <row r="2" spans="1:10" x14ac:dyDescent="0.25">
      <c r="A2" s="56" t="s">
        <v>98</v>
      </c>
      <c r="B2" s="34" t="s">
        <v>0</v>
      </c>
      <c r="C2" s="34" t="s">
        <v>181</v>
      </c>
      <c r="D2" s="34" t="s">
        <v>97</v>
      </c>
      <c r="E2" s="34" t="s">
        <v>95</v>
      </c>
      <c r="F2" s="34" t="s">
        <v>87</v>
      </c>
      <c r="G2" s="34" t="s">
        <v>5</v>
      </c>
      <c r="H2" s="35" t="s">
        <v>4</v>
      </c>
      <c r="I2" s="36" t="s">
        <v>3</v>
      </c>
      <c r="J2" s="22"/>
    </row>
    <row r="3" spans="1:10" x14ac:dyDescent="0.25">
      <c r="A3" s="48" t="s">
        <v>93</v>
      </c>
      <c r="B3" s="38" t="s">
        <v>22</v>
      </c>
      <c r="C3" s="38">
        <v>1.2</v>
      </c>
      <c r="D3" s="38">
        <f>C3/1000</f>
        <v>1.1999999999999999E-3</v>
      </c>
      <c r="E3" s="38">
        <v>1</v>
      </c>
      <c r="F3" s="49">
        <v>4.5600000000000001E-7</v>
      </c>
      <c r="G3" s="50">
        <f>D3/F3</f>
        <v>2631.5789473684208</v>
      </c>
      <c r="H3" s="50">
        <v>1990</v>
      </c>
      <c r="I3" s="51">
        <v>0.16200000000000001</v>
      </c>
    </row>
    <row r="4" spans="1:10" x14ac:dyDescent="0.25">
      <c r="A4" s="81" t="s">
        <v>99</v>
      </c>
      <c r="B4" s="82"/>
      <c r="C4" s="82"/>
      <c r="D4" s="82"/>
      <c r="E4" s="82"/>
      <c r="F4" s="82"/>
      <c r="G4" s="82"/>
      <c r="H4" s="82"/>
      <c r="I4" s="83"/>
    </row>
    <row r="5" spans="1:10" ht="15.75" thickBot="1" x14ac:dyDescent="0.3">
      <c r="A5" s="52" t="s">
        <v>100</v>
      </c>
      <c r="B5" s="42"/>
      <c r="C5" s="42"/>
      <c r="D5" s="42"/>
      <c r="E5" s="42"/>
      <c r="F5" s="43">
        <v>4.5600000000000001E-7</v>
      </c>
      <c r="G5" s="43">
        <v>2631.5789473684208</v>
      </c>
      <c r="H5" s="43">
        <v>1990</v>
      </c>
      <c r="I5" s="44">
        <v>0.16200000000000001</v>
      </c>
    </row>
    <row r="8" spans="1:10" ht="15.75" thickBot="1" x14ac:dyDescent="0.3"/>
    <row r="9" spans="1:10" x14ac:dyDescent="0.25">
      <c r="A9" s="56" t="s">
        <v>90</v>
      </c>
      <c r="B9" s="34" t="s">
        <v>0</v>
      </c>
      <c r="C9" s="34" t="s">
        <v>181</v>
      </c>
      <c r="D9" s="34" t="s">
        <v>97</v>
      </c>
      <c r="E9" s="34" t="s">
        <v>95</v>
      </c>
      <c r="F9" s="34" t="s">
        <v>87</v>
      </c>
      <c r="G9" s="34" t="s">
        <v>5</v>
      </c>
      <c r="H9" s="35" t="s">
        <v>4</v>
      </c>
      <c r="I9" s="35" t="s">
        <v>208</v>
      </c>
      <c r="J9" s="36" t="s">
        <v>207</v>
      </c>
    </row>
    <row r="10" spans="1:10" x14ac:dyDescent="0.25">
      <c r="A10" s="46" t="s">
        <v>91</v>
      </c>
      <c r="B10" s="38" t="s">
        <v>212</v>
      </c>
      <c r="C10" s="38">
        <v>14.2</v>
      </c>
      <c r="D10" s="38">
        <f>C10/1000</f>
        <v>1.4199999999999999E-2</v>
      </c>
      <c r="E10" s="38">
        <f>C10/C12</f>
        <v>1</v>
      </c>
      <c r="F10" s="47" t="s">
        <v>24</v>
      </c>
      <c r="G10" s="38">
        <f>D12/F12</f>
        <v>2133.4134615384614</v>
      </c>
      <c r="H10" s="38">
        <v>903.96364021734939</v>
      </c>
      <c r="I10" s="38">
        <v>0.45144132745896365</v>
      </c>
      <c r="J10" s="39">
        <v>170.87540000000004</v>
      </c>
    </row>
    <row r="11" spans="1:10" x14ac:dyDescent="0.25">
      <c r="A11" s="46" t="s">
        <v>92</v>
      </c>
      <c r="B11" s="38" t="s">
        <v>212</v>
      </c>
      <c r="C11" s="38">
        <v>0</v>
      </c>
      <c r="D11" s="38">
        <v>0</v>
      </c>
      <c r="E11" s="38">
        <v>0</v>
      </c>
      <c r="F11" s="47" t="s">
        <v>24</v>
      </c>
      <c r="G11" s="38">
        <v>2133.4134615384614</v>
      </c>
      <c r="H11" s="38">
        <v>903.96364021734939</v>
      </c>
      <c r="I11" s="38">
        <v>0.45144132745896365</v>
      </c>
      <c r="J11" s="39">
        <v>170.87540000000004</v>
      </c>
    </row>
    <row r="12" spans="1:10" ht="15.75" thickBot="1" x14ac:dyDescent="0.3">
      <c r="A12" s="41" t="s">
        <v>93</v>
      </c>
      <c r="B12" s="42" t="s">
        <v>23</v>
      </c>
      <c r="C12" s="42">
        <f>SUM(C10:C11)</f>
        <v>14.2</v>
      </c>
      <c r="D12" s="42">
        <f>C12/1000</f>
        <v>1.4199999999999999E-2</v>
      </c>
      <c r="E12" s="42">
        <f>SUM(E10:E11)</f>
        <v>1</v>
      </c>
      <c r="F12" s="42">
        <v>6.6560000000000003E-6</v>
      </c>
      <c r="G12" s="43">
        <v>2133.4134615384614</v>
      </c>
      <c r="H12" s="43">
        <f>H10*E10+H11*E11</f>
        <v>903.96364021734939</v>
      </c>
      <c r="I12" s="43">
        <f>I10*E10+I11*E11</f>
        <v>0.45144132745896365</v>
      </c>
      <c r="J12" s="44">
        <v>170.87540000000004</v>
      </c>
    </row>
    <row r="14" spans="1:10" ht="15.75" thickBot="1" x14ac:dyDescent="0.3"/>
    <row r="15" spans="1:10" x14ac:dyDescent="0.25">
      <c r="A15" s="33" t="s">
        <v>226</v>
      </c>
      <c r="B15" s="34" t="s">
        <v>0</v>
      </c>
      <c r="C15" s="34" t="s">
        <v>181</v>
      </c>
      <c r="D15" s="34" t="s">
        <v>97</v>
      </c>
      <c r="E15" s="34" t="s">
        <v>95</v>
      </c>
      <c r="F15" s="34" t="s">
        <v>87</v>
      </c>
      <c r="G15" s="34" t="s">
        <v>5</v>
      </c>
      <c r="H15" s="35" t="s">
        <v>4</v>
      </c>
      <c r="I15" s="35" t="s">
        <v>208</v>
      </c>
      <c r="J15" s="36" t="s">
        <v>207</v>
      </c>
    </row>
    <row r="16" spans="1:10" x14ac:dyDescent="0.25">
      <c r="A16" s="37" t="s">
        <v>225</v>
      </c>
      <c r="B16" s="38" t="s">
        <v>213</v>
      </c>
      <c r="C16" s="38">
        <v>8.4</v>
      </c>
      <c r="D16" s="38">
        <f>C16/1000</f>
        <v>8.4000000000000012E-3</v>
      </c>
      <c r="E16" s="38" t="s">
        <v>24</v>
      </c>
      <c r="F16" s="38" t="s">
        <v>24</v>
      </c>
      <c r="G16" s="38" t="s">
        <v>24</v>
      </c>
      <c r="H16" s="38" t="s">
        <v>24</v>
      </c>
      <c r="I16" s="38" t="s">
        <v>24</v>
      </c>
      <c r="J16" s="39" t="s">
        <v>24</v>
      </c>
    </row>
    <row r="17" spans="1:12" x14ac:dyDescent="0.25">
      <c r="A17" s="59" t="s">
        <v>96</v>
      </c>
      <c r="B17" s="38"/>
      <c r="C17" s="38"/>
      <c r="D17" s="38"/>
      <c r="E17" s="38"/>
      <c r="F17" s="38"/>
      <c r="G17" s="38"/>
      <c r="H17" s="38"/>
      <c r="I17" s="38"/>
      <c r="J17" s="39"/>
    </row>
    <row r="18" spans="1:12" x14ac:dyDescent="0.25">
      <c r="A18" s="58" t="s">
        <v>227</v>
      </c>
      <c r="B18" s="38" t="s">
        <v>213</v>
      </c>
      <c r="C18" s="38" t="s">
        <v>24</v>
      </c>
      <c r="D18" s="38" t="s">
        <v>24</v>
      </c>
      <c r="E18" s="38">
        <f>F18/($F$18+$F$19+$F$20+$F$21)</f>
        <v>0.30952380952380953</v>
      </c>
      <c r="F18" s="38">
        <v>1.3312000000000001E-6</v>
      </c>
      <c r="G18" s="38">
        <v>1953.125</v>
      </c>
      <c r="H18" s="38">
        <v>1050.3855606314694</v>
      </c>
      <c r="I18" s="38">
        <v>0.35168669699040533</v>
      </c>
      <c r="J18" s="39">
        <v>46.763360000000006</v>
      </c>
    </row>
    <row r="19" spans="1:12" x14ac:dyDescent="0.25">
      <c r="A19" s="58" t="s">
        <v>228</v>
      </c>
      <c r="B19" s="38" t="s">
        <v>213</v>
      </c>
      <c r="C19" s="38" t="s">
        <v>24</v>
      </c>
      <c r="D19" s="38" t="s">
        <v>24</v>
      </c>
      <c r="E19" s="38">
        <f t="shared" ref="E19:E21" si="0">F19/($F$18+$F$19+$F$20+$F$21)</f>
        <v>0.30952380952380953</v>
      </c>
      <c r="F19" s="38">
        <v>1.3312000000000001E-6</v>
      </c>
      <c r="G19" s="38">
        <v>1953.125</v>
      </c>
      <c r="H19" s="38">
        <v>1050.3855606314694</v>
      </c>
      <c r="I19" s="38">
        <v>0.35168669699040533</v>
      </c>
      <c r="J19" s="39">
        <v>46.763360000000006</v>
      </c>
    </row>
    <row r="20" spans="1:12" x14ac:dyDescent="0.25">
      <c r="A20" s="58" t="s">
        <v>229</v>
      </c>
      <c r="B20" s="38" t="s">
        <v>213</v>
      </c>
      <c r="C20" s="38" t="s">
        <v>24</v>
      </c>
      <c r="D20" s="38" t="s">
        <v>24</v>
      </c>
      <c r="E20" s="38">
        <f t="shared" si="0"/>
        <v>0.19047619047619047</v>
      </c>
      <c r="F20" s="38">
        <v>8.1920000000000003E-7</v>
      </c>
      <c r="G20" s="38">
        <v>1953.125</v>
      </c>
      <c r="H20" s="38">
        <v>1050.3855606314694</v>
      </c>
      <c r="I20" s="38">
        <v>0.35168669699040533</v>
      </c>
      <c r="J20" s="39">
        <v>46.763360000000006</v>
      </c>
    </row>
    <row r="21" spans="1:12" x14ac:dyDescent="0.25">
      <c r="A21" s="58" t="s">
        <v>230</v>
      </c>
      <c r="B21" s="38" t="s">
        <v>213</v>
      </c>
      <c r="C21" s="38" t="s">
        <v>24</v>
      </c>
      <c r="D21" s="38" t="s">
        <v>24</v>
      </c>
      <c r="E21" s="38">
        <f t="shared" si="0"/>
        <v>0.19047619047619047</v>
      </c>
      <c r="F21" s="38">
        <v>8.1920000000000003E-7</v>
      </c>
      <c r="G21" s="38">
        <v>1953.125</v>
      </c>
      <c r="H21" s="38">
        <v>1050.3855606314694</v>
      </c>
      <c r="I21" s="38">
        <v>0.35168669699040533</v>
      </c>
      <c r="J21" s="39">
        <v>46.763360000000006</v>
      </c>
    </row>
    <row r="22" spans="1:12" ht="15.75" thickBot="1" x14ac:dyDescent="0.3">
      <c r="A22" s="41" t="s">
        <v>93</v>
      </c>
      <c r="B22" s="42" t="s">
        <v>23</v>
      </c>
      <c r="C22" s="42">
        <v>8.4</v>
      </c>
      <c r="D22" s="42">
        <f>C22/1000</f>
        <v>8.4000000000000012E-3</v>
      </c>
      <c r="E22" s="42">
        <f>SUM(E18:E21)</f>
        <v>1</v>
      </c>
      <c r="F22" s="42">
        <f>SUM(F18:F21)</f>
        <v>4.3008000000000004E-6</v>
      </c>
      <c r="G22" s="43">
        <f>D16/F22</f>
        <v>1953.125</v>
      </c>
      <c r="H22" s="43">
        <v>1050.3855606314694</v>
      </c>
      <c r="I22" s="43">
        <v>0.35168669699040533</v>
      </c>
      <c r="J22" s="44">
        <v>46.763360000000006</v>
      </c>
    </row>
    <row r="23" spans="1:12" x14ac:dyDescent="0.25">
      <c r="A23" s="23"/>
    </row>
    <row r="24" spans="1:12" ht="15.75" thickBot="1" x14ac:dyDescent="0.3"/>
    <row r="25" spans="1:12" x14ac:dyDescent="0.25">
      <c r="A25" s="56" t="s">
        <v>101</v>
      </c>
      <c r="B25" s="34" t="s">
        <v>0</v>
      </c>
      <c r="C25" s="34" t="s">
        <v>181</v>
      </c>
      <c r="D25" s="34" t="s">
        <v>97</v>
      </c>
      <c r="E25" s="34" t="s">
        <v>95</v>
      </c>
      <c r="F25" s="34" t="s">
        <v>87</v>
      </c>
      <c r="G25" s="34" t="s">
        <v>5</v>
      </c>
      <c r="H25" s="35" t="s">
        <v>4</v>
      </c>
      <c r="I25" s="35" t="s">
        <v>208</v>
      </c>
      <c r="J25" s="36" t="s">
        <v>207</v>
      </c>
      <c r="L25" s="74" t="s">
        <v>245</v>
      </c>
    </row>
    <row r="26" spans="1:12" x14ac:dyDescent="0.25">
      <c r="A26" s="46" t="s">
        <v>102</v>
      </c>
      <c r="B26" s="38" t="s">
        <v>212</v>
      </c>
      <c r="C26" s="38">
        <v>9.8000000000000007</v>
      </c>
      <c r="D26" s="38">
        <f>C26/1000</f>
        <v>9.8000000000000014E-3</v>
      </c>
      <c r="E26" s="38">
        <f>C26/C28</f>
        <v>0.96078431372549011</v>
      </c>
      <c r="F26" s="38" t="s">
        <v>24</v>
      </c>
      <c r="G26" s="38">
        <v>2213.541666666667</v>
      </c>
      <c r="H26" s="38">
        <v>903.96364021734939</v>
      </c>
      <c r="I26" s="38">
        <v>0.45144132745896365</v>
      </c>
      <c r="J26" s="39">
        <v>170.87540000000004</v>
      </c>
    </row>
    <row r="27" spans="1:12" x14ac:dyDescent="0.25">
      <c r="A27" s="46" t="s">
        <v>92</v>
      </c>
      <c r="B27" s="38" t="s">
        <v>94</v>
      </c>
      <c r="C27" s="38">
        <v>0.4</v>
      </c>
      <c r="D27" s="38">
        <f>C27/1000</f>
        <v>4.0000000000000002E-4</v>
      </c>
      <c r="E27" s="38">
        <f>C27/C28</f>
        <v>3.9215686274509803E-2</v>
      </c>
      <c r="F27" s="38" t="s">
        <v>24</v>
      </c>
      <c r="G27" s="38">
        <v>2213.541666666667</v>
      </c>
      <c r="H27" s="38">
        <v>903.96364021734939</v>
      </c>
      <c r="I27" s="38">
        <v>0.45144132745896365</v>
      </c>
      <c r="J27" s="39">
        <v>170.87540000000004</v>
      </c>
    </row>
    <row r="28" spans="1:12" x14ac:dyDescent="0.25">
      <c r="A28" s="48" t="s">
        <v>93</v>
      </c>
      <c r="B28" s="38" t="s">
        <v>23</v>
      </c>
      <c r="C28" s="38">
        <f>SUM(C26:C27)</f>
        <v>10.200000000000001</v>
      </c>
      <c r="D28" s="38">
        <f>C28/1000</f>
        <v>1.0200000000000001E-2</v>
      </c>
      <c r="E28" s="38">
        <f>SUM(E26:E27)</f>
        <v>0.99999999999999989</v>
      </c>
      <c r="F28" s="38">
        <v>4.6079999999999998E-6</v>
      </c>
      <c r="G28" s="49">
        <f>D28/F28</f>
        <v>2213.541666666667</v>
      </c>
      <c r="H28" s="49">
        <v>903.96364021734939</v>
      </c>
      <c r="I28" s="49">
        <v>0.45144132745896365</v>
      </c>
      <c r="J28" s="53">
        <v>170.87540000000004</v>
      </c>
    </row>
    <row r="29" spans="1:12" x14ac:dyDescent="0.25">
      <c r="A29" s="81" t="s">
        <v>99</v>
      </c>
      <c r="B29" s="82"/>
      <c r="C29" s="82"/>
      <c r="D29" s="82"/>
      <c r="E29" s="82"/>
      <c r="F29" s="82"/>
      <c r="G29" s="82"/>
      <c r="H29" s="82"/>
      <c r="I29" s="82"/>
      <c r="J29" s="83"/>
    </row>
    <row r="30" spans="1:12" x14ac:dyDescent="0.25">
      <c r="A30" s="57" t="s">
        <v>123</v>
      </c>
      <c r="B30" s="38"/>
      <c r="C30" s="38">
        <v>10.200000000000001</v>
      </c>
      <c r="D30" s="38">
        <v>1.0200000000000001E-2</v>
      </c>
      <c r="E30" s="38">
        <f>SUM(E28:E29)</f>
        <v>0.99999999999999989</v>
      </c>
      <c r="F30" s="38">
        <v>4.6079999999999998E-6</v>
      </c>
      <c r="G30" s="49">
        <v>2213.541666666667</v>
      </c>
      <c r="H30" s="49">
        <v>903.96364021734939</v>
      </c>
      <c r="I30" s="49">
        <v>0.45144132745896365</v>
      </c>
      <c r="J30" s="53">
        <v>170.87540000000004</v>
      </c>
    </row>
    <row r="31" spans="1:12" ht="15.75" thickBot="1" x14ac:dyDescent="0.3">
      <c r="A31" s="60" t="s">
        <v>122</v>
      </c>
      <c r="B31" s="42"/>
      <c r="C31" s="42">
        <v>10.200000000000001</v>
      </c>
      <c r="D31" s="42">
        <v>1.0200000000000001E-2</v>
      </c>
      <c r="E31" s="42">
        <v>0.99999999999999989</v>
      </c>
      <c r="F31" s="42">
        <v>4.6079999999999998E-6</v>
      </c>
      <c r="G31" s="43">
        <v>2213.541666666667</v>
      </c>
      <c r="H31" s="43">
        <v>903.96364021734939</v>
      </c>
      <c r="I31" s="43">
        <v>0.45144132745896365</v>
      </c>
      <c r="J31" s="44">
        <v>170.87540000000004</v>
      </c>
    </row>
    <row r="32" spans="1:12" x14ac:dyDescent="0.25">
      <c r="A32" s="2"/>
    </row>
    <row r="33" spans="1:12" ht="15.75" thickBot="1" x14ac:dyDescent="0.3"/>
    <row r="34" spans="1:12" x14ac:dyDescent="0.25">
      <c r="A34" s="56" t="s">
        <v>103</v>
      </c>
      <c r="B34" s="34" t="s">
        <v>0</v>
      </c>
      <c r="C34" s="34" t="s">
        <v>181</v>
      </c>
      <c r="D34" s="34" t="s">
        <v>97</v>
      </c>
      <c r="E34" s="34" t="s">
        <v>95</v>
      </c>
      <c r="F34" s="34" t="s">
        <v>87</v>
      </c>
      <c r="G34" s="34" t="s">
        <v>5</v>
      </c>
      <c r="H34" s="35" t="s">
        <v>4</v>
      </c>
      <c r="I34" s="35" t="s">
        <v>208</v>
      </c>
      <c r="J34" s="36" t="s">
        <v>207</v>
      </c>
      <c r="L34" s="74" t="s">
        <v>245</v>
      </c>
    </row>
    <row r="35" spans="1:12" x14ac:dyDescent="0.25">
      <c r="A35" s="46" t="s">
        <v>106</v>
      </c>
      <c r="B35" s="38" t="s">
        <v>212</v>
      </c>
      <c r="C35" s="38">
        <v>9.8000000000000007</v>
      </c>
      <c r="D35" s="38">
        <f>C35/1000</f>
        <v>9.8000000000000014E-3</v>
      </c>
      <c r="E35" s="38">
        <f>C35/C37</f>
        <v>0.94230769230769229</v>
      </c>
      <c r="F35" s="38" t="s">
        <v>24</v>
      </c>
      <c r="G35" s="38">
        <v>2256.9444444444448</v>
      </c>
      <c r="H35" s="38">
        <v>903.96364021734939</v>
      </c>
      <c r="I35" s="38">
        <v>0.45144132745896365</v>
      </c>
      <c r="J35" s="39">
        <v>170.87540000000004</v>
      </c>
    </row>
    <row r="36" spans="1:12" x14ac:dyDescent="0.25">
      <c r="A36" s="46" t="s">
        <v>104</v>
      </c>
      <c r="B36" s="38" t="s">
        <v>94</v>
      </c>
      <c r="C36" s="38">
        <v>0.6</v>
      </c>
      <c r="D36" s="38">
        <f>C36/1000</f>
        <v>5.9999999999999995E-4</v>
      </c>
      <c r="E36" s="38">
        <f>C36/C37</f>
        <v>5.7692307692307689E-2</v>
      </c>
      <c r="F36" s="38" t="s">
        <v>24</v>
      </c>
      <c r="G36" s="38">
        <v>2256.9444444444448</v>
      </c>
      <c r="H36" s="38">
        <v>903.96364021734939</v>
      </c>
      <c r="I36" s="38">
        <v>0.45144132745896365</v>
      </c>
      <c r="J36" s="39">
        <v>170.87540000000004</v>
      </c>
    </row>
    <row r="37" spans="1:12" ht="15.75" thickBot="1" x14ac:dyDescent="0.3">
      <c r="A37" s="41" t="s">
        <v>93</v>
      </c>
      <c r="B37" s="42" t="s">
        <v>23</v>
      </c>
      <c r="C37" s="42">
        <f>SUM(C35:C36)</f>
        <v>10.4</v>
      </c>
      <c r="D37" s="42">
        <f>SUM(D35:D36)</f>
        <v>1.0400000000000001E-2</v>
      </c>
      <c r="E37" s="42">
        <f>SUM(E35:E36)</f>
        <v>1</v>
      </c>
      <c r="F37" s="42">
        <v>4.6079999999999998E-6</v>
      </c>
      <c r="G37" s="54">
        <f>D37/F37</f>
        <v>2256.9444444444448</v>
      </c>
      <c r="H37" s="54">
        <v>903.96364021734939</v>
      </c>
      <c r="I37" s="54">
        <v>0.45144132745896365</v>
      </c>
      <c r="J37" s="55">
        <v>170.87540000000004</v>
      </c>
    </row>
    <row r="39" spans="1:12" ht="15.75" thickBot="1" x14ac:dyDescent="0.3"/>
    <row r="40" spans="1:12" x14ac:dyDescent="0.25">
      <c r="A40" s="56" t="s">
        <v>105</v>
      </c>
      <c r="B40" s="34" t="s">
        <v>0</v>
      </c>
      <c r="C40" s="34" t="s">
        <v>181</v>
      </c>
      <c r="D40" s="34" t="s">
        <v>97</v>
      </c>
      <c r="E40" s="34" t="s">
        <v>95</v>
      </c>
      <c r="F40" s="34" t="s">
        <v>87</v>
      </c>
      <c r="G40" s="34" t="s">
        <v>5</v>
      </c>
      <c r="H40" s="35" t="s">
        <v>4</v>
      </c>
      <c r="I40" s="35" t="s">
        <v>208</v>
      </c>
      <c r="J40" s="36" t="s">
        <v>207</v>
      </c>
      <c r="L40" s="74" t="s">
        <v>245</v>
      </c>
    </row>
    <row r="41" spans="1:12" x14ac:dyDescent="0.25">
      <c r="A41" s="46" t="s">
        <v>107</v>
      </c>
      <c r="B41" s="38" t="s">
        <v>214</v>
      </c>
      <c r="C41">
        <v>7.1</v>
      </c>
      <c r="D41" s="38">
        <f>C41/1000</f>
        <v>7.0999999999999995E-3</v>
      </c>
      <c r="E41" s="38">
        <f>C41/C43</f>
        <v>1.0757575757575757</v>
      </c>
      <c r="F41" s="38" t="s">
        <v>24</v>
      </c>
      <c r="G41" s="38">
        <v>1629.6296296296296</v>
      </c>
      <c r="H41" s="38">
        <v>903.96364021734939</v>
      </c>
      <c r="I41" s="38">
        <v>0.45144132745896365</v>
      </c>
      <c r="J41" s="39">
        <v>170.87540000000004</v>
      </c>
    </row>
    <row r="42" spans="1:12" x14ac:dyDescent="0.25">
      <c r="A42" s="46" t="s">
        <v>92</v>
      </c>
      <c r="B42" s="38" t="s">
        <v>94</v>
      </c>
      <c r="C42" s="38">
        <v>0</v>
      </c>
      <c r="D42" s="38">
        <f t="shared" ref="D42:D43" si="1">C42/1000</f>
        <v>0</v>
      </c>
      <c r="E42" s="38">
        <f>C42/C43</f>
        <v>0</v>
      </c>
      <c r="F42" s="38" t="s">
        <v>24</v>
      </c>
      <c r="G42" s="38">
        <v>1629.6296296296296</v>
      </c>
      <c r="H42" s="38">
        <v>903.96364021734939</v>
      </c>
      <c r="I42" s="38">
        <v>0.45144132745896365</v>
      </c>
      <c r="J42" s="39">
        <v>170.87540000000004</v>
      </c>
    </row>
    <row r="43" spans="1:12" ht="15.75" thickBot="1" x14ac:dyDescent="0.3">
      <c r="A43" s="41" t="s">
        <v>93</v>
      </c>
      <c r="B43" s="42" t="s">
        <v>23</v>
      </c>
      <c r="C43" s="42">
        <v>6.6</v>
      </c>
      <c r="D43" s="42">
        <f t="shared" si="1"/>
        <v>6.6E-3</v>
      </c>
      <c r="E43" s="42"/>
      <c r="F43" s="42">
        <v>4.0500000000000002E-6</v>
      </c>
      <c r="G43" s="43">
        <f>D41/F43</f>
        <v>1753.0864197530861</v>
      </c>
      <c r="H43" s="43">
        <v>903.96364021734939</v>
      </c>
      <c r="I43" s="43">
        <v>0.45144132745896365</v>
      </c>
      <c r="J43" s="44">
        <v>170.87540000000004</v>
      </c>
    </row>
    <row r="45" spans="1:12" ht="15.75" thickBot="1" x14ac:dyDescent="0.3"/>
    <row r="46" spans="1:12" x14ac:dyDescent="0.25">
      <c r="A46" s="56" t="s">
        <v>108</v>
      </c>
      <c r="B46" s="34" t="s">
        <v>0</v>
      </c>
      <c r="C46" s="34" t="s">
        <v>181</v>
      </c>
      <c r="D46" s="34" t="s">
        <v>97</v>
      </c>
      <c r="E46" s="34" t="s">
        <v>95</v>
      </c>
      <c r="F46" s="34" t="s">
        <v>87</v>
      </c>
      <c r="G46" s="34" t="s">
        <v>5</v>
      </c>
      <c r="H46" s="35" t="s">
        <v>4</v>
      </c>
      <c r="I46" s="35" t="s">
        <v>208</v>
      </c>
      <c r="J46" s="36" t="s">
        <v>207</v>
      </c>
    </row>
    <row r="47" spans="1:12" x14ac:dyDescent="0.25">
      <c r="A47" s="46" t="s">
        <v>111</v>
      </c>
      <c r="B47" s="38" t="s">
        <v>215</v>
      </c>
      <c r="C47" s="38">
        <v>5.6</v>
      </c>
      <c r="D47" s="38">
        <f>C47/1000</f>
        <v>5.5999999999999999E-3</v>
      </c>
      <c r="E47" s="38">
        <f>D47/$D$49</f>
        <v>0.7</v>
      </c>
      <c r="F47" s="38" t="s">
        <v>24</v>
      </c>
      <c r="G47" s="38">
        <v>3125</v>
      </c>
      <c r="H47" s="38">
        <v>940.29816397754291</v>
      </c>
      <c r="I47" s="38">
        <v>0.42113750296583358</v>
      </c>
      <c r="J47" s="39">
        <v>91.472640000000013</v>
      </c>
    </row>
    <row r="48" spans="1:12" x14ac:dyDescent="0.25">
      <c r="A48" s="46" t="s">
        <v>92</v>
      </c>
      <c r="B48" s="38"/>
      <c r="C48" s="38">
        <v>2.4</v>
      </c>
      <c r="D48" s="38">
        <f>C48/1000</f>
        <v>2.3999999999999998E-3</v>
      </c>
      <c r="E48" s="38">
        <f>D48/$D$49</f>
        <v>0.3</v>
      </c>
      <c r="F48" s="38" t="s">
        <v>24</v>
      </c>
      <c r="G48" s="38">
        <v>3125</v>
      </c>
      <c r="H48" s="38">
        <v>940.29816397754291</v>
      </c>
      <c r="I48" s="38">
        <v>0.42113750296583358</v>
      </c>
      <c r="J48" s="39">
        <v>91.472640000000013</v>
      </c>
    </row>
    <row r="49" spans="1:10" ht="15.75" thickBot="1" x14ac:dyDescent="0.3">
      <c r="A49" s="41" t="s">
        <v>93</v>
      </c>
      <c r="B49" s="42"/>
      <c r="C49" s="42">
        <f>SUM(C47:C48)</f>
        <v>8</v>
      </c>
      <c r="D49" s="42">
        <f>SUM(D47:D48)</f>
        <v>8.0000000000000002E-3</v>
      </c>
      <c r="E49" s="42">
        <f>SUM(E47:E48)</f>
        <v>1</v>
      </c>
      <c r="F49" s="42">
        <v>2.5600000000000001E-6</v>
      </c>
      <c r="G49" s="43">
        <f>D49/F49</f>
        <v>3125</v>
      </c>
      <c r="H49" s="43">
        <v>940.29816397754291</v>
      </c>
      <c r="I49" s="43">
        <v>0.42113750296583358</v>
      </c>
      <c r="J49" s="44">
        <v>91.472640000000013</v>
      </c>
    </row>
    <row r="51" spans="1:10" ht="15.75" thickBot="1" x14ac:dyDescent="0.3"/>
    <row r="52" spans="1:10" x14ac:dyDescent="0.25">
      <c r="A52" s="56" t="s">
        <v>109</v>
      </c>
      <c r="B52" s="34" t="s">
        <v>0</v>
      </c>
      <c r="C52" s="34" t="s">
        <v>181</v>
      </c>
      <c r="D52" s="34" t="s">
        <v>97</v>
      </c>
      <c r="E52" s="34" t="s">
        <v>95</v>
      </c>
      <c r="F52" s="34" t="s">
        <v>87</v>
      </c>
      <c r="G52" s="34" t="s">
        <v>5</v>
      </c>
      <c r="H52" s="35" t="s">
        <v>4</v>
      </c>
      <c r="I52" s="35" t="s">
        <v>208</v>
      </c>
      <c r="J52" s="36" t="s">
        <v>207</v>
      </c>
    </row>
    <row r="53" spans="1:10" x14ac:dyDescent="0.25">
      <c r="A53" s="46" t="s">
        <v>112</v>
      </c>
      <c r="B53" s="38" t="s">
        <v>215</v>
      </c>
      <c r="C53" s="38">
        <v>5.5</v>
      </c>
      <c r="D53" s="38">
        <f>C53/1000</f>
        <v>5.4999999999999997E-3</v>
      </c>
      <c r="E53" s="38">
        <f>D53/D55</f>
        <v>0.77464788732394363</v>
      </c>
      <c r="F53" s="38" t="s">
        <v>24</v>
      </c>
      <c r="G53" s="38">
        <v>2773.4374999999995</v>
      </c>
      <c r="H53" s="38">
        <v>940.29816397754291</v>
      </c>
      <c r="I53" s="38">
        <v>0.42113750296583358</v>
      </c>
      <c r="J53" s="39">
        <v>91.472640000000013</v>
      </c>
    </row>
    <row r="54" spans="1:10" x14ac:dyDescent="0.25">
      <c r="A54" s="46" t="s">
        <v>92</v>
      </c>
      <c r="B54" s="38"/>
      <c r="C54" s="38">
        <v>1.6</v>
      </c>
      <c r="D54" s="38">
        <f>C54/1000</f>
        <v>1.6000000000000001E-3</v>
      </c>
      <c r="E54" s="38">
        <f>D54/$D$55</f>
        <v>0.22535211267605637</v>
      </c>
      <c r="F54" s="38" t="s">
        <v>24</v>
      </c>
      <c r="G54" s="38">
        <v>2773.4374999999995</v>
      </c>
      <c r="H54" s="38">
        <v>940.29816397754291</v>
      </c>
      <c r="I54" s="38">
        <v>0.42113750296583358</v>
      </c>
      <c r="J54" s="39">
        <v>91.472640000000013</v>
      </c>
    </row>
    <row r="55" spans="1:10" ht="15.75" thickBot="1" x14ac:dyDescent="0.3">
      <c r="A55" s="41" t="s">
        <v>93</v>
      </c>
      <c r="B55" s="42"/>
      <c r="C55" s="42">
        <f>SUM(C53:C54)</f>
        <v>7.1</v>
      </c>
      <c r="D55" s="42">
        <f>SUM(D53:D54)</f>
        <v>7.0999999999999995E-3</v>
      </c>
      <c r="E55" s="42">
        <f>SUM(E53:E54)</f>
        <v>1</v>
      </c>
      <c r="F55" s="42">
        <v>2.5600000000000001E-6</v>
      </c>
      <c r="G55" s="43">
        <f>D55/F55</f>
        <v>2773.4374999999995</v>
      </c>
      <c r="H55" s="43">
        <v>940.29816397754291</v>
      </c>
      <c r="I55" s="43">
        <v>0.42113750296583358</v>
      </c>
      <c r="J55" s="44">
        <v>91.472640000000013</v>
      </c>
    </row>
    <row r="57" spans="1:10" ht="15.75" thickBot="1" x14ac:dyDescent="0.3"/>
    <row r="58" spans="1:10" x14ac:dyDescent="0.25">
      <c r="A58" s="56" t="s">
        <v>110</v>
      </c>
      <c r="B58" s="34" t="s">
        <v>0</v>
      </c>
      <c r="C58" s="34" t="s">
        <v>181</v>
      </c>
      <c r="D58" s="34" t="s">
        <v>97</v>
      </c>
      <c r="E58" s="34" t="s">
        <v>95</v>
      </c>
      <c r="F58" s="34" t="s">
        <v>87</v>
      </c>
      <c r="G58" s="34" t="s">
        <v>5</v>
      </c>
      <c r="H58" s="35" t="s">
        <v>4</v>
      </c>
      <c r="I58" s="35" t="s">
        <v>208</v>
      </c>
      <c r="J58" s="36" t="s">
        <v>207</v>
      </c>
    </row>
    <row r="59" spans="1:10" x14ac:dyDescent="0.25">
      <c r="A59" s="46" t="s">
        <v>113</v>
      </c>
      <c r="B59" s="38" t="s">
        <v>215</v>
      </c>
      <c r="C59" s="38">
        <v>5.4</v>
      </c>
      <c r="D59" s="38">
        <f>C59/1000</f>
        <v>5.4000000000000003E-3</v>
      </c>
      <c r="E59" s="38">
        <f>D59/$D$61</f>
        <v>0.77142857142857146</v>
      </c>
      <c r="F59" s="38" t="s">
        <v>24</v>
      </c>
      <c r="G59" s="38">
        <v>2734.375</v>
      </c>
      <c r="H59" s="38">
        <v>940.29816397754291</v>
      </c>
      <c r="I59" s="38">
        <v>0.42113750296583358</v>
      </c>
      <c r="J59" s="39">
        <v>91.472640000000013</v>
      </c>
    </row>
    <row r="60" spans="1:10" x14ac:dyDescent="0.25">
      <c r="A60" s="46" t="s">
        <v>92</v>
      </c>
      <c r="B60" s="38"/>
      <c r="C60" s="38">
        <v>1.6</v>
      </c>
      <c r="D60" s="38">
        <f>C60/1000</f>
        <v>1.6000000000000001E-3</v>
      </c>
      <c r="E60" s="38">
        <f>D60/$D$61</f>
        <v>0.22857142857142856</v>
      </c>
      <c r="F60" s="38" t="s">
        <v>24</v>
      </c>
      <c r="G60" s="38">
        <v>2734.375</v>
      </c>
      <c r="H60" s="38">
        <v>940.29816397754291</v>
      </c>
      <c r="I60" s="38">
        <v>0.42113750296583358</v>
      </c>
      <c r="J60" s="39">
        <v>91.472640000000013</v>
      </c>
    </row>
    <row r="61" spans="1:10" ht="15.75" thickBot="1" x14ac:dyDescent="0.3">
      <c r="A61" s="41" t="s">
        <v>93</v>
      </c>
      <c r="B61" s="42"/>
      <c r="C61" s="42">
        <f>SUM(C59:C60)</f>
        <v>7</v>
      </c>
      <c r="D61" s="42">
        <f>SUM(D59:D60)</f>
        <v>7.0000000000000001E-3</v>
      </c>
      <c r="E61" s="42">
        <f>SUM(E59:E60)</f>
        <v>1</v>
      </c>
      <c r="F61" s="42">
        <v>2.5600000000000001E-6</v>
      </c>
      <c r="G61" s="43">
        <f>D61/F61</f>
        <v>2734.375</v>
      </c>
      <c r="H61" s="43">
        <v>940.29816397754291</v>
      </c>
      <c r="I61" s="43">
        <v>0.42113750296583358</v>
      </c>
      <c r="J61" s="44">
        <v>91.472640000000013</v>
      </c>
    </row>
    <row r="63" spans="1:10" ht="15.75" thickBot="1" x14ac:dyDescent="0.3"/>
    <row r="64" spans="1:10" x14ac:dyDescent="0.25">
      <c r="A64" s="56" t="s">
        <v>114</v>
      </c>
      <c r="B64" s="34" t="s">
        <v>0</v>
      </c>
      <c r="C64" s="34" t="s">
        <v>181</v>
      </c>
      <c r="D64" s="34" t="s">
        <v>97</v>
      </c>
      <c r="E64" s="34" t="s">
        <v>95</v>
      </c>
      <c r="F64" s="34" t="s">
        <v>87</v>
      </c>
      <c r="G64" s="34" t="s">
        <v>5</v>
      </c>
      <c r="H64" s="35" t="s">
        <v>4</v>
      </c>
      <c r="I64" s="35" t="s">
        <v>208</v>
      </c>
      <c r="J64" s="36" t="s">
        <v>207</v>
      </c>
    </row>
    <row r="65" spans="1:12" x14ac:dyDescent="0.25">
      <c r="A65" s="46" t="s">
        <v>182</v>
      </c>
      <c r="B65" s="38" t="s">
        <v>221</v>
      </c>
      <c r="C65" s="38">
        <v>9.1999999999999993</v>
      </c>
      <c r="D65" s="38">
        <f>C65/1000</f>
        <v>9.1999999999999998E-3</v>
      </c>
      <c r="E65" s="38">
        <v>1</v>
      </c>
      <c r="F65" s="38" t="s">
        <v>24</v>
      </c>
      <c r="G65" s="38">
        <v>3593.75</v>
      </c>
      <c r="H65" s="38">
        <v>783.19706393372451</v>
      </c>
      <c r="I65" s="38">
        <v>0.49190487192846383</v>
      </c>
      <c r="J65" s="39">
        <v>110.14952000000002</v>
      </c>
    </row>
    <row r="66" spans="1:12" ht="15.75" thickBot="1" x14ac:dyDescent="0.3">
      <c r="A66" s="41" t="s">
        <v>93</v>
      </c>
      <c r="B66" s="42"/>
      <c r="C66" s="42">
        <v>9.1999999999999993</v>
      </c>
      <c r="D66" s="42">
        <v>9.1999999999999998E-3</v>
      </c>
      <c r="E66" s="42">
        <v>1</v>
      </c>
      <c r="F66" s="42">
        <v>2.5600000000000001E-6</v>
      </c>
      <c r="G66" s="43">
        <f>D65/F66</f>
        <v>3593.75</v>
      </c>
      <c r="H66" s="43">
        <v>783.19706393372451</v>
      </c>
      <c r="I66" s="43">
        <v>0.49190487192846383</v>
      </c>
      <c r="J66" s="44">
        <v>110.14952000000002</v>
      </c>
    </row>
    <row r="68" spans="1:12" ht="15.75" thickBot="1" x14ac:dyDescent="0.3"/>
    <row r="69" spans="1:12" x14ac:dyDescent="0.25">
      <c r="A69" s="56" t="s">
        <v>115</v>
      </c>
      <c r="B69" s="34" t="s">
        <v>0</v>
      </c>
      <c r="C69" s="34" t="s">
        <v>181</v>
      </c>
      <c r="D69" s="34" t="s">
        <v>97</v>
      </c>
      <c r="E69" s="34" t="s">
        <v>95</v>
      </c>
      <c r="F69" s="34" t="s">
        <v>87</v>
      </c>
      <c r="G69" s="34" t="s">
        <v>5</v>
      </c>
      <c r="H69" s="35" t="s">
        <v>4</v>
      </c>
      <c r="I69" s="35" t="s">
        <v>208</v>
      </c>
      <c r="J69" s="36" t="s">
        <v>207</v>
      </c>
      <c r="L69" s="74" t="s">
        <v>245</v>
      </c>
    </row>
    <row r="70" spans="1:12" x14ac:dyDescent="0.25">
      <c r="A70" s="46" t="s">
        <v>116</v>
      </c>
      <c r="B70" s="38"/>
      <c r="C70" s="38">
        <v>7.6</v>
      </c>
      <c r="D70" s="38"/>
      <c r="E70" s="38"/>
      <c r="F70" s="38" t="s">
        <v>24</v>
      </c>
      <c r="G70" s="38"/>
      <c r="H70" s="38"/>
      <c r="I70" s="38"/>
      <c r="J70" s="39"/>
    </row>
    <row r="71" spans="1:12" x14ac:dyDescent="0.25">
      <c r="A71" s="46" t="s">
        <v>70</v>
      </c>
      <c r="B71" s="38"/>
      <c r="C71" s="38">
        <v>0.7</v>
      </c>
      <c r="D71" s="38"/>
      <c r="E71" s="38"/>
      <c r="F71" s="38" t="s">
        <v>24</v>
      </c>
      <c r="G71" s="38"/>
      <c r="H71" s="38"/>
      <c r="I71" s="38"/>
      <c r="J71" s="39"/>
    </row>
    <row r="72" spans="1:12" x14ac:dyDescent="0.25">
      <c r="A72" s="46" t="s">
        <v>92</v>
      </c>
      <c r="B72" s="38"/>
      <c r="C72" s="38"/>
      <c r="D72" s="38"/>
      <c r="E72" s="38"/>
      <c r="F72" s="38" t="s">
        <v>24</v>
      </c>
      <c r="G72" s="38"/>
      <c r="H72" s="38"/>
      <c r="I72" s="38"/>
      <c r="J72" s="39"/>
    </row>
    <row r="73" spans="1:12" ht="15.75" thickBot="1" x14ac:dyDescent="0.3">
      <c r="A73" s="41" t="s">
        <v>93</v>
      </c>
      <c r="B73" s="42"/>
      <c r="C73" s="42"/>
      <c r="D73" s="42"/>
      <c r="E73" s="42"/>
      <c r="F73" s="42">
        <v>2.5600000000000001E-6</v>
      </c>
      <c r="G73" s="79">
        <v>3593.75</v>
      </c>
      <c r="H73" s="79">
        <v>783.19706393372451</v>
      </c>
      <c r="I73" s="79">
        <v>0.49190487192846383</v>
      </c>
      <c r="J73" s="80">
        <v>110.14952000000002</v>
      </c>
    </row>
    <row r="74" spans="1:12" ht="15.75" thickBot="1" x14ac:dyDescent="0.3">
      <c r="A74" s="23"/>
    </row>
    <row r="75" spans="1:12" x14ac:dyDescent="0.25">
      <c r="A75" s="45" t="s">
        <v>127</v>
      </c>
      <c r="B75" s="34" t="s">
        <v>0</v>
      </c>
      <c r="C75" s="34" t="s">
        <v>181</v>
      </c>
      <c r="D75" s="34" t="s">
        <v>97</v>
      </c>
      <c r="E75" s="34" t="s">
        <v>95</v>
      </c>
      <c r="F75" s="34" t="s">
        <v>216</v>
      </c>
      <c r="G75" s="34" t="s">
        <v>246</v>
      </c>
      <c r="H75" s="35" t="s">
        <v>4</v>
      </c>
      <c r="I75" s="35" t="s">
        <v>208</v>
      </c>
      <c r="J75" s="36" t="s">
        <v>207</v>
      </c>
    </row>
    <row r="76" spans="1:12" ht="15.75" thickBot="1" x14ac:dyDescent="0.3">
      <c r="A76" s="41" t="s">
        <v>93</v>
      </c>
      <c r="B76" s="42"/>
      <c r="C76" s="42">
        <v>5.7</v>
      </c>
      <c r="D76" s="42">
        <f>C76/1000</f>
        <v>5.7000000000000002E-3</v>
      </c>
      <c r="E76" s="42"/>
      <c r="F76" s="42">
        <v>4.2999999999999999E-4</v>
      </c>
      <c r="G76" s="66">
        <f>D76/F76</f>
        <v>13.255813953488373</v>
      </c>
      <c r="H76" s="66">
        <v>500</v>
      </c>
      <c r="I76" s="66">
        <v>15</v>
      </c>
      <c r="J76" s="67">
        <v>15</v>
      </c>
    </row>
    <row r="77" spans="1:12" ht="15.75" thickBot="1" x14ac:dyDescent="0.3">
      <c r="A77" s="23"/>
    </row>
    <row r="78" spans="1:12" x14ac:dyDescent="0.25">
      <c r="A78" s="33" t="s">
        <v>169</v>
      </c>
      <c r="B78" s="34" t="s">
        <v>0</v>
      </c>
      <c r="C78" s="34" t="s">
        <v>181</v>
      </c>
      <c r="D78" s="34" t="s">
        <v>97</v>
      </c>
      <c r="E78" s="34" t="s">
        <v>95</v>
      </c>
      <c r="F78" s="34" t="s">
        <v>87</v>
      </c>
      <c r="G78" s="34" t="s">
        <v>5</v>
      </c>
      <c r="H78" s="35" t="s">
        <v>4</v>
      </c>
      <c r="I78" s="35" t="s">
        <v>208</v>
      </c>
      <c r="J78" s="36" t="s">
        <v>207</v>
      </c>
    </row>
    <row r="79" spans="1:12" x14ac:dyDescent="0.25">
      <c r="A79" s="37" t="s">
        <v>129</v>
      </c>
      <c r="B79" s="38" t="s">
        <v>53</v>
      </c>
      <c r="C79" s="38">
        <f>24.3+4*0.29*1.7</f>
        <v>26.272000000000002</v>
      </c>
      <c r="D79" s="38">
        <f>C79/1000</f>
        <v>2.6272000000000004E-2</v>
      </c>
      <c r="E79" s="61" t="s">
        <v>24</v>
      </c>
      <c r="F79" s="38" t="s">
        <v>24</v>
      </c>
      <c r="G79" s="38" t="s">
        <v>24</v>
      </c>
      <c r="H79" s="62">
        <v>960</v>
      </c>
      <c r="I79" s="62">
        <v>130</v>
      </c>
      <c r="J79" s="65">
        <v>130</v>
      </c>
    </row>
    <row r="80" spans="1:12" x14ac:dyDescent="0.25">
      <c r="A80" s="40" t="s">
        <v>170</v>
      </c>
      <c r="B80" s="38"/>
      <c r="C80" s="38"/>
      <c r="D80" s="38"/>
      <c r="E80" s="38"/>
      <c r="F80" s="38"/>
      <c r="G80" s="38"/>
      <c r="H80" s="38"/>
      <c r="I80" s="38"/>
      <c r="J80" s="39"/>
    </row>
    <row r="81" spans="1:10" x14ac:dyDescent="0.25">
      <c r="A81" s="58" t="s">
        <v>171</v>
      </c>
      <c r="B81" s="38" t="s">
        <v>24</v>
      </c>
      <c r="C81" s="38" t="s">
        <v>24</v>
      </c>
      <c r="D81" s="38"/>
      <c r="E81" s="38"/>
      <c r="F81" s="38">
        <v>3.1203999999999998E-6</v>
      </c>
      <c r="G81" s="38">
        <v>1417.6865462237477</v>
      </c>
      <c r="H81" s="62">
        <v>960</v>
      </c>
      <c r="I81" s="62">
        <v>130</v>
      </c>
      <c r="J81" s="65">
        <v>130</v>
      </c>
    </row>
    <row r="82" spans="1:10" x14ac:dyDescent="0.25">
      <c r="A82" s="68" t="s">
        <v>172</v>
      </c>
      <c r="B82" s="38" t="s">
        <v>24</v>
      </c>
      <c r="C82" s="38" t="s">
        <v>24</v>
      </c>
      <c r="D82" s="38"/>
      <c r="E82" s="38"/>
      <c r="F82" s="63">
        <v>1.52E-5</v>
      </c>
      <c r="G82" s="38">
        <v>1417.6865462237477</v>
      </c>
      <c r="H82" s="62">
        <v>960</v>
      </c>
      <c r="I82" s="62">
        <v>130</v>
      </c>
      <c r="J82" s="65">
        <v>130</v>
      </c>
    </row>
    <row r="83" spans="1:10" x14ac:dyDescent="0.25">
      <c r="A83" s="68" t="s">
        <v>173</v>
      </c>
      <c r="B83" s="38" t="s">
        <v>24</v>
      </c>
      <c r="C83" s="38" t="s">
        <v>24</v>
      </c>
      <c r="D83" s="38"/>
      <c r="E83" s="38"/>
      <c r="F83" s="38">
        <v>3.3600000000000003E-8</v>
      </c>
      <c r="G83" s="38">
        <v>1417.6865462237477</v>
      </c>
      <c r="H83" s="62">
        <v>960</v>
      </c>
      <c r="I83" s="62">
        <v>130</v>
      </c>
      <c r="J83" s="65">
        <v>130</v>
      </c>
    </row>
    <row r="84" spans="1:10" x14ac:dyDescent="0.25">
      <c r="A84" s="68" t="s">
        <v>174</v>
      </c>
      <c r="B84" s="38" t="s">
        <v>24</v>
      </c>
      <c r="C84" s="38" t="s">
        <v>24</v>
      </c>
      <c r="D84" s="38"/>
      <c r="E84" s="38"/>
      <c r="F84" s="38">
        <v>1.92E-8</v>
      </c>
      <c r="G84" s="38">
        <v>1417.6865462237477</v>
      </c>
      <c r="H84" s="62">
        <v>960</v>
      </c>
      <c r="I84" s="62">
        <v>130</v>
      </c>
      <c r="J84" s="65">
        <v>130</v>
      </c>
    </row>
    <row r="85" spans="1:10" x14ac:dyDescent="0.25">
      <c r="A85" s="81" t="s">
        <v>99</v>
      </c>
      <c r="B85" s="82"/>
      <c r="C85" s="82"/>
      <c r="D85" s="82"/>
      <c r="E85" s="82"/>
      <c r="F85" s="82"/>
      <c r="G85" s="82"/>
      <c r="H85" s="82"/>
      <c r="I85" s="82"/>
      <c r="J85" s="83"/>
    </row>
    <row r="86" spans="1:10" x14ac:dyDescent="0.25">
      <c r="A86" s="68" t="s">
        <v>175</v>
      </c>
      <c r="B86" s="38"/>
      <c r="C86" s="38"/>
      <c r="D86" s="38"/>
      <c r="E86" s="38"/>
      <c r="F86" s="38"/>
      <c r="G86" s="38">
        <v>1417.6865462237477</v>
      </c>
      <c r="H86" s="62">
        <v>960</v>
      </c>
      <c r="I86" s="62">
        <v>130</v>
      </c>
      <c r="J86" s="65">
        <v>130</v>
      </c>
    </row>
    <row r="87" spans="1:10" ht="15.75" thickBot="1" x14ac:dyDescent="0.3">
      <c r="A87" s="41" t="s">
        <v>93</v>
      </c>
      <c r="B87" s="42"/>
      <c r="C87" s="42"/>
      <c r="D87" s="42"/>
      <c r="E87" s="42"/>
      <c r="F87" s="42">
        <f>F81+F82+F83*4+F84*4</f>
        <v>1.8531600000000001E-5</v>
      </c>
      <c r="G87" s="43">
        <f>D79/F87</f>
        <v>1417.6865462237477</v>
      </c>
      <c r="H87" s="66">
        <v>960</v>
      </c>
      <c r="I87" s="66">
        <v>130</v>
      </c>
      <c r="J87" s="67">
        <v>130</v>
      </c>
    </row>
    <row r="91" spans="1:10" ht="15.75" thickBot="1" x14ac:dyDescent="0.3">
      <c r="A91" s="70" t="s">
        <v>42</v>
      </c>
    </row>
    <row r="92" spans="1:10" x14ac:dyDescent="0.25">
      <c r="A92" s="69" t="s">
        <v>118</v>
      </c>
      <c r="B92" s="34" t="s">
        <v>0</v>
      </c>
      <c r="C92" s="34" t="s">
        <v>181</v>
      </c>
      <c r="D92" s="34" t="s">
        <v>97</v>
      </c>
      <c r="E92" s="34" t="s">
        <v>95</v>
      </c>
      <c r="F92" s="34" t="s">
        <v>87</v>
      </c>
      <c r="G92" s="34" t="s">
        <v>5</v>
      </c>
      <c r="H92" s="35" t="s">
        <v>4</v>
      </c>
      <c r="I92" s="35" t="s">
        <v>208</v>
      </c>
      <c r="J92" s="36" t="s">
        <v>207</v>
      </c>
    </row>
    <row r="93" spans="1:10" x14ac:dyDescent="0.25">
      <c r="A93" s="48" t="s">
        <v>93</v>
      </c>
      <c r="B93" s="38"/>
      <c r="C93" s="38">
        <v>0.9</v>
      </c>
      <c r="D93" s="38">
        <f>C93/1000</f>
        <v>8.9999999999999998E-4</v>
      </c>
      <c r="E93" s="38">
        <v>1</v>
      </c>
      <c r="F93" s="38">
        <v>3.96E-7</v>
      </c>
      <c r="G93" s="49">
        <f>D93/F93</f>
        <v>2272.7272727272725</v>
      </c>
      <c r="H93" s="50">
        <v>325</v>
      </c>
      <c r="I93" s="50">
        <v>50</v>
      </c>
      <c r="J93" s="51">
        <v>50</v>
      </c>
    </row>
    <row r="94" spans="1:10" x14ac:dyDescent="0.25">
      <c r="A94" s="81" t="s">
        <v>99</v>
      </c>
      <c r="B94" s="82"/>
      <c r="C94" s="82"/>
      <c r="D94" s="82"/>
      <c r="E94" s="82"/>
      <c r="F94" s="82"/>
      <c r="G94" s="82"/>
      <c r="H94" s="82"/>
      <c r="I94" s="82"/>
      <c r="J94" s="83"/>
    </row>
    <row r="95" spans="1:10" x14ac:dyDescent="0.25">
      <c r="A95" s="40" t="s">
        <v>117</v>
      </c>
      <c r="B95" s="38"/>
      <c r="C95" s="38">
        <v>0.9</v>
      </c>
      <c r="D95" s="38">
        <f>C95/1000</f>
        <v>8.9999999999999998E-4</v>
      </c>
      <c r="E95" s="38">
        <v>1</v>
      </c>
      <c r="F95" s="38"/>
      <c r="G95" s="49">
        <v>2272.7272727272725</v>
      </c>
      <c r="H95" s="49">
        <v>325</v>
      </c>
      <c r="I95" s="49">
        <v>50</v>
      </c>
      <c r="J95" s="53">
        <v>50</v>
      </c>
    </row>
    <row r="96" spans="1:10" x14ac:dyDescent="0.25">
      <c r="A96" s="40" t="s">
        <v>119</v>
      </c>
      <c r="B96" s="38"/>
      <c r="C96" s="38">
        <v>0.9</v>
      </c>
      <c r="D96" s="38">
        <f>C96/1000</f>
        <v>8.9999999999999998E-4</v>
      </c>
      <c r="E96" s="38">
        <v>1</v>
      </c>
      <c r="F96" s="38"/>
      <c r="G96" s="49">
        <v>2272.7272727272725</v>
      </c>
      <c r="H96" s="49">
        <v>325</v>
      </c>
      <c r="I96" s="49">
        <v>50</v>
      </c>
      <c r="J96" s="53">
        <v>50</v>
      </c>
    </row>
    <row r="97" spans="1:10" x14ac:dyDescent="0.25">
      <c r="A97" s="40" t="s">
        <v>120</v>
      </c>
      <c r="B97" s="38"/>
      <c r="C97" s="38">
        <v>0.9</v>
      </c>
      <c r="D97" s="38">
        <f>C97/1000</f>
        <v>8.9999999999999998E-4</v>
      </c>
      <c r="E97" s="38">
        <v>1</v>
      </c>
      <c r="F97" s="38"/>
      <c r="G97" s="49">
        <v>2272.7272727272725</v>
      </c>
      <c r="H97" s="49">
        <v>325</v>
      </c>
      <c r="I97" s="49">
        <v>50</v>
      </c>
      <c r="J97" s="53">
        <v>50</v>
      </c>
    </row>
    <row r="98" spans="1:10" ht="15.75" thickBot="1" x14ac:dyDescent="0.3">
      <c r="A98" s="52" t="s">
        <v>121</v>
      </c>
      <c r="B98" s="42"/>
      <c r="C98" s="42">
        <v>0.9</v>
      </c>
      <c r="D98" s="42">
        <f>C98/1000</f>
        <v>8.9999999999999998E-4</v>
      </c>
      <c r="E98" s="42">
        <v>1</v>
      </c>
      <c r="F98" s="42"/>
      <c r="G98" s="43">
        <v>2272.7272727272725</v>
      </c>
      <c r="H98" s="43">
        <v>325</v>
      </c>
      <c r="I98" s="43">
        <v>50</v>
      </c>
      <c r="J98" s="44">
        <v>50</v>
      </c>
    </row>
    <row r="99" spans="1:10" ht="15.75" thickBot="1" x14ac:dyDescent="0.3"/>
    <row r="100" spans="1:10" x14ac:dyDescent="0.25">
      <c r="A100" s="69" t="s">
        <v>124</v>
      </c>
      <c r="B100" s="34" t="s">
        <v>0</v>
      </c>
      <c r="C100" s="34" t="s">
        <v>181</v>
      </c>
      <c r="D100" s="34" t="s">
        <v>97</v>
      </c>
      <c r="E100" s="34" t="s">
        <v>95</v>
      </c>
      <c r="F100" s="34" t="s">
        <v>87</v>
      </c>
      <c r="G100" s="34" t="s">
        <v>5</v>
      </c>
      <c r="H100" s="35" t="s">
        <v>4</v>
      </c>
      <c r="I100" s="35" t="s">
        <v>208</v>
      </c>
      <c r="J100" s="36" t="s">
        <v>207</v>
      </c>
    </row>
    <row r="101" spans="1:10" ht="15.75" thickBot="1" x14ac:dyDescent="0.3">
      <c r="A101" s="41" t="s">
        <v>93</v>
      </c>
      <c r="B101" s="42"/>
      <c r="C101" s="42">
        <v>34</v>
      </c>
      <c r="D101" s="42">
        <f>C101/1000</f>
        <v>3.4000000000000002E-2</v>
      </c>
      <c r="E101" s="42"/>
      <c r="F101" s="42">
        <v>1.216E-5</v>
      </c>
      <c r="G101" s="43">
        <f>D101/F101</f>
        <v>2796.0526315789475</v>
      </c>
      <c r="H101" s="66">
        <v>1000</v>
      </c>
      <c r="I101" s="43">
        <v>2.5</v>
      </c>
      <c r="J101" s="44">
        <v>0.6</v>
      </c>
    </row>
    <row r="104" spans="1:10" ht="15.75" thickBot="1" x14ac:dyDescent="0.3">
      <c r="A104" s="13" t="s">
        <v>54</v>
      </c>
    </row>
    <row r="105" spans="1:10" x14ac:dyDescent="0.25">
      <c r="A105" s="71" t="s">
        <v>125</v>
      </c>
      <c r="B105" s="34" t="s">
        <v>0</v>
      </c>
      <c r="C105" s="34" t="s">
        <v>181</v>
      </c>
      <c r="D105" s="34" t="s">
        <v>97</v>
      </c>
      <c r="E105" s="34" t="s">
        <v>95</v>
      </c>
      <c r="F105" s="34" t="s">
        <v>87</v>
      </c>
      <c r="G105" s="34" t="s">
        <v>5</v>
      </c>
      <c r="H105" s="35" t="s">
        <v>4</v>
      </c>
      <c r="I105" s="35" t="s">
        <v>208</v>
      </c>
      <c r="J105" s="36" t="s">
        <v>207</v>
      </c>
    </row>
    <row r="106" spans="1:10" x14ac:dyDescent="0.25">
      <c r="A106" s="46" t="s">
        <v>55</v>
      </c>
      <c r="B106" s="38" t="s">
        <v>18</v>
      </c>
      <c r="C106" s="38">
        <v>0.32500000000000001</v>
      </c>
      <c r="D106" s="38">
        <f>C106/1000</f>
        <v>3.2499999999999999E-4</v>
      </c>
      <c r="E106" s="38">
        <f>D106/$D$108</f>
        <v>0.44827586206896552</v>
      </c>
      <c r="F106" s="38" t="s">
        <v>24</v>
      </c>
      <c r="G106" s="62">
        <v>8800</v>
      </c>
      <c r="H106" s="62">
        <v>380</v>
      </c>
      <c r="I106" s="62">
        <v>62</v>
      </c>
      <c r="J106" s="65">
        <v>62</v>
      </c>
    </row>
    <row r="107" spans="1:10" x14ac:dyDescent="0.25">
      <c r="A107" s="46" t="s">
        <v>56</v>
      </c>
      <c r="B107" s="38" t="s">
        <v>22</v>
      </c>
      <c r="C107" s="38">
        <v>0.4</v>
      </c>
      <c r="D107" s="38">
        <f>C107/1000</f>
        <v>4.0000000000000002E-4</v>
      </c>
      <c r="E107" s="38">
        <f>D107/$D$108</f>
        <v>0.55172413793103459</v>
      </c>
      <c r="F107" s="38" t="s">
        <v>24</v>
      </c>
      <c r="G107" s="62">
        <v>1070</v>
      </c>
      <c r="H107" s="62">
        <v>1990</v>
      </c>
      <c r="I107" s="62">
        <v>0.16200000000000001</v>
      </c>
      <c r="J107" s="65">
        <v>0.16200000000000001</v>
      </c>
    </row>
    <row r="108" spans="1:10" x14ac:dyDescent="0.25">
      <c r="A108" s="48" t="s">
        <v>93</v>
      </c>
      <c r="B108" s="38"/>
      <c r="C108" s="38">
        <f>SUM(C106:C107)</f>
        <v>0.72500000000000009</v>
      </c>
      <c r="D108" s="38">
        <f>SUM(D106:D107)</f>
        <v>7.2499999999999995E-4</v>
      </c>
      <c r="E108" s="38">
        <f>SUM(E106:E107)</f>
        <v>1</v>
      </c>
      <c r="F108" s="38">
        <v>2.8980000000000001E-7</v>
      </c>
      <c r="G108" s="49">
        <f>D108/F108</f>
        <v>2501.7253278122839</v>
      </c>
      <c r="H108" s="49">
        <f>H106*$E$106+H107*$E$107</f>
        <v>1268.2758620689658</v>
      </c>
      <c r="I108" s="49">
        <f>I106*$E$106+I107*$E$107</f>
        <v>27.882482758620689</v>
      </c>
      <c r="J108" s="53">
        <f>J106*$E$106+J107*$E$107</f>
        <v>27.882482758620689</v>
      </c>
    </row>
    <row r="109" spans="1:10" x14ac:dyDescent="0.25">
      <c r="A109" s="81" t="s">
        <v>99</v>
      </c>
      <c r="B109" s="82"/>
      <c r="C109" s="82"/>
      <c r="D109" s="82"/>
      <c r="E109" s="82"/>
      <c r="F109" s="82"/>
      <c r="G109" s="82"/>
      <c r="H109" s="82"/>
      <c r="I109" s="82"/>
      <c r="J109" s="83"/>
    </row>
    <row r="110" spans="1:10" ht="15.75" thickBot="1" x14ac:dyDescent="0.3">
      <c r="A110" s="52" t="s">
        <v>126</v>
      </c>
      <c r="B110" s="42"/>
      <c r="C110" s="42"/>
      <c r="D110" s="42"/>
      <c r="E110" s="42"/>
      <c r="F110" s="42"/>
      <c r="G110" s="43">
        <v>2501.7253278122839</v>
      </c>
      <c r="H110" s="43">
        <v>1268.2758620689658</v>
      </c>
      <c r="I110" s="43">
        <v>27.882482758620689</v>
      </c>
      <c r="J110" s="44">
        <v>27.882482758620689</v>
      </c>
    </row>
    <row r="113" spans="1:10" ht="15.75" thickBot="1" x14ac:dyDescent="0.3">
      <c r="A113" s="16" t="s">
        <v>29</v>
      </c>
    </row>
    <row r="114" spans="1:10" x14ac:dyDescent="0.25">
      <c r="A114" s="33" t="s">
        <v>128</v>
      </c>
      <c r="B114" s="34" t="s">
        <v>0</v>
      </c>
      <c r="C114" s="34" t="s">
        <v>181</v>
      </c>
      <c r="D114" s="34" t="s">
        <v>97</v>
      </c>
      <c r="E114" s="34" t="s">
        <v>95</v>
      </c>
      <c r="F114" s="34" t="s">
        <v>87</v>
      </c>
      <c r="G114" s="34" t="s">
        <v>5</v>
      </c>
      <c r="H114" s="35" t="s">
        <v>4</v>
      </c>
      <c r="I114" s="35" t="s">
        <v>208</v>
      </c>
      <c r="J114" s="36" t="s">
        <v>207</v>
      </c>
    </row>
    <row r="115" spans="1:10" x14ac:dyDescent="0.25">
      <c r="A115" s="37" t="s">
        <v>129</v>
      </c>
      <c r="B115" s="38" t="s">
        <v>52</v>
      </c>
      <c r="C115" s="38">
        <v>30</v>
      </c>
      <c r="D115" s="38">
        <f>C115/1000</f>
        <v>0.03</v>
      </c>
      <c r="E115" s="63">
        <v>1</v>
      </c>
      <c r="F115" s="38" t="s">
        <v>24</v>
      </c>
      <c r="G115" s="62" t="s">
        <v>24</v>
      </c>
      <c r="H115" s="62" t="s">
        <v>24</v>
      </c>
      <c r="I115" s="62" t="s">
        <v>24</v>
      </c>
      <c r="J115" s="39" t="s">
        <v>24</v>
      </c>
    </row>
    <row r="116" spans="1:10" x14ac:dyDescent="0.25">
      <c r="A116" s="40" t="s">
        <v>131</v>
      </c>
      <c r="B116" s="38"/>
      <c r="C116" s="38"/>
      <c r="D116" s="38"/>
      <c r="E116" s="38"/>
      <c r="F116" s="38"/>
      <c r="G116" s="38"/>
      <c r="H116" s="38"/>
      <c r="I116" s="38"/>
      <c r="J116" s="39"/>
    </row>
    <row r="117" spans="1:10" x14ac:dyDescent="0.25">
      <c r="A117" s="72" t="s">
        <v>132</v>
      </c>
      <c r="B117" s="38" t="s">
        <v>24</v>
      </c>
      <c r="C117" s="38" t="s">
        <v>24</v>
      </c>
      <c r="D117" s="47" t="s">
        <v>24</v>
      </c>
      <c r="E117" s="47" t="s">
        <v>24</v>
      </c>
      <c r="F117" s="38">
        <v>2.6599999999999999E-6</v>
      </c>
      <c r="G117" s="49">
        <v>1949.571094359241</v>
      </c>
      <c r="H117" s="50">
        <v>1010</v>
      </c>
      <c r="I117" s="50">
        <v>0.27</v>
      </c>
      <c r="J117" s="51">
        <v>0.27</v>
      </c>
    </row>
    <row r="118" spans="1:10" x14ac:dyDescent="0.25">
      <c r="A118" s="72" t="s">
        <v>133</v>
      </c>
      <c r="B118" s="38" t="s">
        <v>24</v>
      </c>
      <c r="C118" s="38" t="s">
        <v>24</v>
      </c>
      <c r="D118" s="47" t="s">
        <v>24</v>
      </c>
      <c r="E118" s="47" t="s">
        <v>24</v>
      </c>
      <c r="F118" s="63">
        <v>7.9800000000000003E-7</v>
      </c>
      <c r="G118" s="49">
        <v>1949.571094359241</v>
      </c>
      <c r="H118" s="50">
        <v>1010</v>
      </c>
      <c r="I118" s="50">
        <v>0.27</v>
      </c>
      <c r="J118" s="51">
        <v>0.27</v>
      </c>
    </row>
    <row r="119" spans="1:10" x14ac:dyDescent="0.25">
      <c r="A119" s="72" t="s">
        <v>134</v>
      </c>
      <c r="B119" s="38" t="s">
        <v>24</v>
      </c>
      <c r="C119" s="38" t="s">
        <v>24</v>
      </c>
      <c r="D119" s="47" t="s">
        <v>24</v>
      </c>
      <c r="E119" s="47" t="s">
        <v>24</v>
      </c>
      <c r="F119" s="38">
        <v>7.9800000000000003E-7</v>
      </c>
      <c r="G119" s="49">
        <v>1949.571094359241</v>
      </c>
      <c r="H119" s="50">
        <v>1010</v>
      </c>
      <c r="I119" s="50">
        <v>0.27</v>
      </c>
      <c r="J119" s="51">
        <v>0.27</v>
      </c>
    </row>
    <row r="120" spans="1:10" x14ac:dyDescent="0.25">
      <c r="A120" s="72" t="s">
        <v>135</v>
      </c>
      <c r="B120" s="38" t="s">
        <v>24</v>
      </c>
      <c r="C120" s="38" t="s">
        <v>24</v>
      </c>
      <c r="D120" s="47" t="s">
        <v>24</v>
      </c>
      <c r="E120" s="47" t="s">
        <v>24</v>
      </c>
      <c r="F120" s="38">
        <v>2.9440000000000001E-6</v>
      </c>
      <c r="G120" s="49">
        <v>1949.571094359241</v>
      </c>
      <c r="H120" s="50">
        <v>1010</v>
      </c>
      <c r="I120" s="50">
        <v>0.27</v>
      </c>
      <c r="J120" s="51">
        <v>0.27</v>
      </c>
    </row>
    <row r="121" spans="1:10" x14ac:dyDescent="0.25">
      <c r="A121" s="72" t="s">
        <v>130</v>
      </c>
      <c r="B121" s="38" t="s">
        <v>24</v>
      </c>
      <c r="C121" s="38" t="s">
        <v>24</v>
      </c>
      <c r="D121" s="47" t="s">
        <v>24</v>
      </c>
      <c r="E121" s="47" t="s">
        <v>24</v>
      </c>
      <c r="F121" s="38">
        <v>2.9440000000000001E-6</v>
      </c>
      <c r="G121" s="49">
        <v>1949.571094359241</v>
      </c>
      <c r="H121" s="50">
        <v>1010</v>
      </c>
      <c r="I121" s="50">
        <v>0.27</v>
      </c>
      <c r="J121" s="51">
        <v>0.27</v>
      </c>
    </row>
    <row r="122" spans="1:10" x14ac:dyDescent="0.25">
      <c r="A122" s="72" t="s">
        <v>136</v>
      </c>
      <c r="B122" s="38" t="s">
        <v>24</v>
      </c>
      <c r="C122" s="38" t="s">
        <v>24</v>
      </c>
      <c r="D122" s="47" t="s">
        <v>24</v>
      </c>
      <c r="E122" s="47" t="s">
        <v>24</v>
      </c>
      <c r="F122" s="38">
        <v>5.2440000000000001E-6</v>
      </c>
      <c r="G122" s="49">
        <v>1949.571094359241</v>
      </c>
      <c r="H122" s="50">
        <v>1010</v>
      </c>
      <c r="I122" s="50">
        <v>0.27</v>
      </c>
      <c r="J122" s="51">
        <v>0.27</v>
      </c>
    </row>
    <row r="123" spans="1:10" ht="15.75" thickBot="1" x14ac:dyDescent="0.3">
      <c r="A123" s="41" t="s">
        <v>93</v>
      </c>
      <c r="B123" s="42"/>
      <c r="C123" s="42"/>
      <c r="D123" s="42"/>
      <c r="E123" s="42"/>
      <c r="F123" s="42">
        <f>SUM(F117:F122)</f>
        <v>1.5387999999999999E-5</v>
      </c>
      <c r="G123" s="43">
        <f>D115/F123</f>
        <v>1949.571094359241</v>
      </c>
      <c r="H123" s="66">
        <v>1010</v>
      </c>
      <c r="I123" s="66">
        <v>0.27</v>
      </c>
      <c r="J123" s="67">
        <v>0.27</v>
      </c>
    </row>
    <row r="124" spans="1:10" x14ac:dyDescent="0.25">
      <c r="A124" s="3"/>
      <c r="C124" s="3"/>
    </row>
    <row r="125" spans="1:10" ht="15.75" thickBot="1" x14ac:dyDescent="0.3">
      <c r="A125" s="2" t="s">
        <v>28</v>
      </c>
    </row>
    <row r="126" spans="1:10" x14ac:dyDescent="0.25">
      <c r="A126" s="71" t="s">
        <v>176</v>
      </c>
      <c r="B126" s="34" t="s">
        <v>0</v>
      </c>
      <c r="C126" s="34" t="s">
        <v>181</v>
      </c>
      <c r="D126" s="34" t="s">
        <v>97</v>
      </c>
      <c r="E126" s="34" t="s">
        <v>95</v>
      </c>
      <c r="F126" s="34" t="s">
        <v>87</v>
      </c>
      <c r="G126" s="34" t="s">
        <v>5</v>
      </c>
      <c r="H126" s="35" t="s">
        <v>4</v>
      </c>
      <c r="I126" s="35" t="s">
        <v>208</v>
      </c>
      <c r="J126" s="36" t="s">
        <v>207</v>
      </c>
    </row>
    <row r="127" spans="1:10" x14ac:dyDescent="0.25">
      <c r="A127" s="46" t="s">
        <v>177</v>
      </c>
      <c r="B127" s="38" t="s">
        <v>49</v>
      </c>
      <c r="C127" s="38">
        <f>1.7*0.1775</f>
        <v>0.30174999999999996</v>
      </c>
      <c r="D127" s="38">
        <f>C127/1000</f>
        <v>3.0174999999999999E-4</v>
      </c>
      <c r="E127" s="38">
        <f>D127/$D$130</f>
        <v>0.50992817912970001</v>
      </c>
      <c r="F127" s="38" t="s">
        <v>24</v>
      </c>
      <c r="G127" s="38" t="s">
        <v>24</v>
      </c>
      <c r="H127" s="62">
        <v>500</v>
      </c>
      <c r="I127" s="62">
        <v>15</v>
      </c>
      <c r="J127" s="65">
        <v>15</v>
      </c>
    </row>
    <row r="128" spans="1:10" x14ac:dyDescent="0.25">
      <c r="A128" s="46" t="s">
        <v>178</v>
      </c>
      <c r="B128" s="38" t="s">
        <v>49</v>
      </c>
      <c r="C128" s="38">
        <v>0.22</v>
      </c>
      <c r="D128" s="38">
        <f t="shared" ref="D128:E130" si="2">C128/1000</f>
        <v>2.2000000000000001E-4</v>
      </c>
      <c r="E128" s="38">
        <f t="shared" ref="E128:E129" si="3">D128/$D$130</f>
        <v>0.37177862272919304</v>
      </c>
      <c r="F128" s="38" t="s">
        <v>24</v>
      </c>
      <c r="G128" s="38" t="s">
        <v>24</v>
      </c>
      <c r="H128" s="62">
        <v>500</v>
      </c>
      <c r="I128" s="62">
        <v>15</v>
      </c>
      <c r="J128" s="65">
        <v>15</v>
      </c>
    </row>
    <row r="129" spans="1:10" x14ac:dyDescent="0.25">
      <c r="A129" s="64" t="s">
        <v>179</v>
      </c>
      <c r="B129" s="38" t="s">
        <v>50</v>
      </c>
      <c r="C129" s="38">
        <v>7.0000000000000007E-2</v>
      </c>
      <c r="D129" s="38">
        <f t="shared" si="2"/>
        <v>7.0000000000000007E-5</v>
      </c>
      <c r="E129" s="38">
        <f t="shared" si="3"/>
        <v>0.11829319814110689</v>
      </c>
      <c r="F129" s="38" t="s">
        <v>24</v>
      </c>
      <c r="G129" s="47" t="s">
        <v>24</v>
      </c>
      <c r="H129" s="62">
        <v>900</v>
      </c>
      <c r="I129" s="62">
        <v>209</v>
      </c>
      <c r="J129" s="65">
        <v>209</v>
      </c>
    </row>
    <row r="130" spans="1:10" x14ac:dyDescent="0.25">
      <c r="A130" s="48" t="s">
        <v>93</v>
      </c>
      <c r="B130" s="47" t="s">
        <v>23</v>
      </c>
      <c r="C130" s="38">
        <f>SUM(C127:C129)</f>
        <v>0.59175</v>
      </c>
      <c r="D130" s="38">
        <f t="shared" si="2"/>
        <v>5.9175000000000005E-4</v>
      </c>
      <c r="E130" s="38">
        <f>SUM(E127:E129)</f>
        <v>1</v>
      </c>
      <c r="F130" s="38">
        <v>1.3E-7</v>
      </c>
      <c r="G130" s="49">
        <f>D130/F130</f>
        <v>4551.9230769230771</v>
      </c>
      <c r="H130" s="49">
        <f>H127*$E$127+H128*$E$128+H129*$E$129</f>
        <v>547.3172792564427</v>
      </c>
      <c r="I130" s="49">
        <v>15</v>
      </c>
      <c r="J130" s="53">
        <v>15</v>
      </c>
    </row>
    <row r="131" spans="1:10" x14ac:dyDescent="0.25">
      <c r="A131" s="81" t="s">
        <v>99</v>
      </c>
      <c r="B131" s="82"/>
      <c r="C131" s="82"/>
      <c r="D131" s="82"/>
      <c r="E131" s="82"/>
      <c r="F131" s="82"/>
      <c r="G131" s="82"/>
      <c r="H131" s="82"/>
      <c r="I131" s="82"/>
      <c r="J131" s="83"/>
    </row>
    <row r="132" spans="1:10" ht="15.75" thickBot="1" x14ac:dyDescent="0.3">
      <c r="A132" s="73" t="s">
        <v>180</v>
      </c>
      <c r="B132" s="42"/>
      <c r="C132" s="42"/>
      <c r="D132" s="42"/>
      <c r="E132" s="42"/>
      <c r="F132" s="42"/>
      <c r="G132" s="43">
        <v>4551.9230769230771</v>
      </c>
      <c r="H132" s="43">
        <v>547.3172792564427</v>
      </c>
      <c r="I132" s="43">
        <v>15</v>
      </c>
      <c r="J132" s="44">
        <v>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41" zoomScaleNormal="100" workbookViewId="0">
      <selection activeCell="E65" sqref="E65"/>
    </sheetView>
  </sheetViews>
  <sheetFormatPr baseColWidth="10" defaultRowHeight="15" x14ac:dyDescent="0.25"/>
  <cols>
    <col min="1" max="1" width="20.28515625" customWidth="1"/>
  </cols>
  <sheetData>
    <row r="1" spans="1:8" ht="30" x14ac:dyDescent="0.25">
      <c r="A1" s="13" t="s">
        <v>137</v>
      </c>
      <c r="B1" s="13"/>
      <c r="C1" s="14"/>
      <c r="D1" s="14"/>
      <c r="E1" s="14">
        <f>'Masses and Volumes Old VC'!L41/1000/1000/1000</f>
        <v>0</v>
      </c>
      <c r="F1" s="14"/>
      <c r="G1" s="14"/>
      <c r="H1" s="14"/>
    </row>
    <row r="2" spans="1:8" x14ac:dyDescent="0.25">
      <c r="A2" s="15" t="s">
        <v>55</v>
      </c>
      <c r="B2" s="15" t="s">
        <v>74</v>
      </c>
      <c r="C2" s="14" t="s">
        <v>57</v>
      </c>
      <c r="D2" s="14">
        <v>8800</v>
      </c>
      <c r="E2" s="14">
        <v>0.35</v>
      </c>
      <c r="F2" s="14"/>
      <c r="G2" s="14"/>
      <c r="H2" s="14"/>
    </row>
    <row r="3" spans="1:8" x14ac:dyDescent="0.25">
      <c r="A3" s="15" t="s">
        <v>56</v>
      </c>
      <c r="B3" s="15" t="s">
        <v>74</v>
      </c>
      <c r="C3" s="14" t="s">
        <v>22</v>
      </c>
      <c r="D3" s="14">
        <v>1070</v>
      </c>
      <c r="E3" s="14">
        <v>0.4</v>
      </c>
      <c r="F3" s="14"/>
      <c r="G3" s="14"/>
      <c r="H3" s="14"/>
    </row>
    <row r="4" spans="1:8" x14ac:dyDescent="0.25">
      <c r="A4" t="s">
        <v>93</v>
      </c>
      <c r="E4" t="s">
        <v>138</v>
      </c>
    </row>
    <row r="7" spans="1:8" x14ac:dyDescent="0.25">
      <c r="A7" t="s">
        <v>139</v>
      </c>
      <c r="B7" t="s">
        <v>140</v>
      </c>
    </row>
    <row r="8" spans="1:8" x14ac:dyDescent="0.25">
      <c r="A8" t="s">
        <v>141</v>
      </c>
      <c r="B8" t="s">
        <v>142</v>
      </c>
    </row>
    <row r="9" spans="1:8" x14ac:dyDescent="0.25">
      <c r="A9" t="s">
        <v>143</v>
      </c>
      <c r="B9" t="s">
        <v>148</v>
      </c>
    </row>
    <row r="10" spans="1:8" x14ac:dyDescent="0.25">
      <c r="A10" t="s">
        <v>144</v>
      </c>
      <c r="B10" t="s">
        <v>145</v>
      </c>
    </row>
    <row r="11" spans="1:8" x14ac:dyDescent="0.25">
      <c r="A11" t="s">
        <v>150</v>
      </c>
      <c r="B11" t="s">
        <v>147</v>
      </c>
    </row>
    <row r="12" spans="1:8" x14ac:dyDescent="0.25">
      <c r="A12" t="s">
        <v>149</v>
      </c>
      <c r="B12">
        <v>9.5</v>
      </c>
    </row>
    <row r="14" spans="1:8" x14ac:dyDescent="0.25">
      <c r="A14" t="s">
        <v>164</v>
      </c>
      <c r="B14">
        <v>9.8000000000000007</v>
      </c>
    </row>
    <row r="15" spans="1:8" x14ac:dyDescent="0.25">
      <c r="A15" t="s">
        <v>165</v>
      </c>
      <c r="B15">
        <v>10.199999999999999</v>
      </c>
    </row>
    <row r="16" spans="1:8" x14ac:dyDescent="0.25">
      <c r="A16" t="s">
        <v>166</v>
      </c>
      <c r="B16">
        <v>11.2</v>
      </c>
    </row>
    <row r="17" spans="1:9" x14ac:dyDescent="0.25">
      <c r="A17" t="s">
        <v>167</v>
      </c>
      <c r="B17">
        <v>11.4</v>
      </c>
    </row>
    <row r="24" spans="1:9" x14ac:dyDescent="0.25">
      <c r="A24" t="s">
        <v>183</v>
      </c>
      <c r="D24" t="s">
        <v>191</v>
      </c>
    </row>
    <row r="25" spans="1:9" x14ac:dyDescent="0.25">
      <c r="A25" t="s">
        <v>184</v>
      </c>
      <c r="B25">
        <v>4</v>
      </c>
      <c r="C25" t="s">
        <v>185</v>
      </c>
      <c r="D25">
        <v>3.5000000000000003E-2</v>
      </c>
      <c r="E25">
        <f>D25*B25</f>
        <v>0.14000000000000001</v>
      </c>
      <c r="G25" t="s">
        <v>196</v>
      </c>
      <c r="I25" t="s">
        <v>197</v>
      </c>
    </row>
    <row r="26" spans="1:9" x14ac:dyDescent="0.25">
      <c r="A26" t="s">
        <v>186</v>
      </c>
      <c r="B26">
        <v>3</v>
      </c>
      <c r="C26" t="s">
        <v>185</v>
      </c>
      <c r="D26">
        <v>0.48</v>
      </c>
      <c r="E26">
        <f t="shared" ref="E26:E27" si="0">D26*B26</f>
        <v>1.44</v>
      </c>
    </row>
    <row r="27" spans="1:9" x14ac:dyDescent="0.25">
      <c r="A27" t="s">
        <v>187</v>
      </c>
      <c r="B27">
        <v>2</v>
      </c>
      <c r="C27" t="s">
        <v>188</v>
      </c>
      <c r="D27">
        <v>0.01</v>
      </c>
      <c r="E27">
        <f t="shared" si="0"/>
        <v>0.02</v>
      </c>
    </row>
    <row r="30" spans="1:9" x14ac:dyDescent="0.25">
      <c r="A30" t="s">
        <v>195</v>
      </c>
    </row>
    <row r="31" spans="1:9" x14ac:dyDescent="0.25">
      <c r="A31" t="s">
        <v>184</v>
      </c>
      <c r="B31">
        <v>6</v>
      </c>
      <c r="C31" t="s">
        <v>189</v>
      </c>
      <c r="D31">
        <v>3.5000000000000003E-2</v>
      </c>
      <c r="E31">
        <f>D31*B31</f>
        <v>0.21000000000000002</v>
      </c>
    </row>
    <row r="32" spans="1:9" x14ac:dyDescent="0.25">
      <c r="A32" t="s">
        <v>186</v>
      </c>
      <c r="B32">
        <v>3</v>
      </c>
      <c r="C32" t="s">
        <v>188</v>
      </c>
      <c r="D32">
        <v>0.1</v>
      </c>
      <c r="E32">
        <f t="shared" ref="E32:E33" si="1">D32*B32</f>
        <v>0.30000000000000004</v>
      </c>
    </row>
    <row r="33" spans="1:15" x14ac:dyDescent="0.25">
      <c r="A33" t="s">
        <v>186</v>
      </c>
      <c r="B33">
        <v>2</v>
      </c>
      <c r="C33" t="s">
        <v>188</v>
      </c>
      <c r="D33">
        <v>0.73499999999999999</v>
      </c>
      <c r="E33">
        <f t="shared" si="1"/>
        <v>1.47</v>
      </c>
    </row>
    <row r="34" spans="1:15" x14ac:dyDescent="0.25">
      <c r="A34" t="s">
        <v>187</v>
      </c>
      <c r="B34">
        <v>2</v>
      </c>
      <c r="C34" t="s">
        <v>188</v>
      </c>
      <c r="D34">
        <v>0.01</v>
      </c>
      <c r="E34">
        <f>D34*B34</f>
        <v>0.02</v>
      </c>
    </row>
    <row r="36" spans="1:15" x14ac:dyDescent="0.25">
      <c r="A36" t="s">
        <v>190</v>
      </c>
    </row>
    <row r="37" spans="1:15" x14ac:dyDescent="0.25">
      <c r="A37" t="s">
        <v>184</v>
      </c>
      <c r="B37">
        <v>6</v>
      </c>
      <c r="C37" t="s">
        <v>185</v>
      </c>
      <c r="D37">
        <v>3.5000000000000003E-2</v>
      </c>
      <c r="E37">
        <f>D37*B37</f>
        <v>0.21000000000000002</v>
      </c>
    </row>
    <row r="38" spans="1:15" x14ac:dyDescent="0.25">
      <c r="A38" t="s">
        <v>186</v>
      </c>
      <c r="B38">
        <v>5</v>
      </c>
      <c r="C38" t="s">
        <v>192</v>
      </c>
      <c r="D38">
        <v>0.35399999999999998</v>
      </c>
      <c r="E38">
        <f t="shared" ref="E38:E39" si="2">D38*B38</f>
        <v>1.77</v>
      </c>
    </row>
    <row r="39" spans="1:15" x14ac:dyDescent="0.25">
      <c r="A39" t="s">
        <v>187</v>
      </c>
      <c r="B39">
        <v>2</v>
      </c>
      <c r="C39" t="s">
        <v>192</v>
      </c>
      <c r="D39">
        <v>0.01</v>
      </c>
      <c r="E39">
        <f t="shared" si="2"/>
        <v>0.02</v>
      </c>
    </row>
    <row r="41" spans="1:15" x14ac:dyDescent="0.25">
      <c r="A41" t="s">
        <v>65</v>
      </c>
      <c r="O41" t="s">
        <v>197</v>
      </c>
    </row>
    <row r="42" spans="1:15" x14ac:dyDescent="0.25">
      <c r="A42" t="s">
        <v>194</v>
      </c>
      <c r="B42">
        <v>2</v>
      </c>
      <c r="C42" t="s">
        <v>192</v>
      </c>
      <c r="D42">
        <v>3.5000000000000003E-2</v>
      </c>
      <c r="E42">
        <f>D42*B42</f>
        <v>7.0000000000000007E-2</v>
      </c>
    </row>
    <row r="43" spans="1:15" x14ac:dyDescent="0.25">
      <c r="A43" t="s">
        <v>186</v>
      </c>
      <c r="B43">
        <v>1</v>
      </c>
      <c r="C43" t="s">
        <v>192</v>
      </c>
      <c r="D43">
        <v>1.51</v>
      </c>
      <c r="E43">
        <f t="shared" ref="E43:E44" si="3">D43*B43</f>
        <v>1.51</v>
      </c>
    </row>
    <row r="44" spans="1:15" x14ac:dyDescent="0.25">
      <c r="A44" t="s">
        <v>187</v>
      </c>
      <c r="B44">
        <v>2</v>
      </c>
      <c r="C44" t="s">
        <v>192</v>
      </c>
      <c r="D44">
        <v>0.01</v>
      </c>
      <c r="E44">
        <f t="shared" si="3"/>
        <v>0.02</v>
      </c>
    </row>
    <row r="46" spans="1:15" x14ac:dyDescent="0.25">
      <c r="A46" t="s">
        <v>219</v>
      </c>
    </row>
    <row r="47" spans="1:15" x14ac:dyDescent="0.25">
      <c r="A47" t="s">
        <v>186</v>
      </c>
      <c r="B47">
        <v>1</v>
      </c>
      <c r="C47" t="s">
        <v>192</v>
      </c>
      <c r="D47">
        <v>0.21</v>
      </c>
      <c r="E47">
        <f>D47*B47</f>
        <v>0.21</v>
      </c>
      <c r="G47" s="3"/>
    </row>
    <row r="48" spans="1:15" x14ac:dyDescent="0.25">
      <c r="A48" t="s">
        <v>194</v>
      </c>
      <c r="B48">
        <v>2</v>
      </c>
      <c r="C48" t="s">
        <v>192</v>
      </c>
      <c r="D48">
        <v>3.5000000000000003E-2</v>
      </c>
      <c r="E48">
        <f t="shared" ref="E48" si="4">D48*B48</f>
        <v>7.0000000000000007E-2</v>
      </c>
    </row>
    <row r="49" spans="1:16" x14ac:dyDescent="0.25">
      <c r="A49" t="s">
        <v>187</v>
      </c>
      <c r="B49">
        <v>2</v>
      </c>
      <c r="C49" t="s">
        <v>192</v>
      </c>
      <c r="D49">
        <v>0.01</v>
      </c>
      <c r="E49">
        <f>D49*B49</f>
        <v>0.02</v>
      </c>
    </row>
    <row r="51" spans="1:16" x14ac:dyDescent="0.25">
      <c r="A51" t="s">
        <v>222</v>
      </c>
    </row>
    <row r="52" spans="1:16" x14ac:dyDescent="0.25">
      <c r="A52" t="s">
        <v>186</v>
      </c>
      <c r="B52">
        <v>1</v>
      </c>
      <c r="C52" t="s">
        <v>192</v>
      </c>
      <c r="D52">
        <v>0.91</v>
      </c>
      <c r="E52">
        <f>D52*B52</f>
        <v>0.91</v>
      </c>
    </row>
    <row r="53" spans="1:16" x14ac:dyDescent="0.25">
      <c r="A53" t="s">
        <v>194</v>
      </c>
      <c r="B53">
        <v>2</v>
      </c>
      <c r="C53" t="s">
        <v>192</v>
      </c>
      <c r="D53">
        <v>3.5000000000000003E-2</v>
      </c>
      <c r="E53">
        <f t="shared" ref="E53" si="5">D53*B53</f>
        <v>7.0000000000000007E-2</v>
      </c>
      <c r="H53" t="s">
        <v>235</v>
      </c>
    </row>
    <row r="54" spans="1:16" x14ac:dyDescent="0.25">
      <c r="A54" t="s">
        <v>187</v>
      </c>
      <c r="B54">
        <v>2</v>
      </c>
      <c r="C54" t="s">
        <v>192</v>
      </c>
      <c r="D54">
        <v>0.01</v>
      </c>
      <c r="E54">
        <f>D54*B54</f>
        <v>0.02</v>
      </c>
      <c r="H54" t="s">
        <v>236</v>
      </c>
      <c r="I54" t="s">
        <v>237</v>
      </c>
    </row>
    <row r="55" spans="1:16" x14ac:dyDescent="0.25">
      <c r="H55">
        <v>24.88</v>
      </c>
      <c r="I55" t="s">
        <v>238</v>
      </c>
      <c r="K55" s="78">
        <v>7.1000000000000004E-3</v>
      </c>
      <c r="M55" t="s">
        <v>240</v>
      </c>
      <c r="O55" t="s">
        <v>242</v>
      </c>
    </row>
    <row r="56" spans="1:16" x14ac:dyDescent="0.25">
      <c r="A56" t="s">
        <v>223</v>
      </c>
      <c r="H56">
        <v>10.119999999999999</v>
      </c>
      <c r="I56" t="s">
        <v>239</v>
      </c>
      <c r="K56" s="78">
        <v>2.8999999999999998E-3</v>
      </c>
      <c r="M56" t="s">
        <v>241</v>
      </c>
      <c r="O56" t="s">
        <v>243</v>
      </c>
      <c r="P56" t="s">
        <v>244</v>
      </c>
    </row>
    <row r="57" spans="1:16" x14ac:dyDescent="0.25">
      <c r="A57" t="s">
        <v>194</v>
      </c>
    </row>
    <row r="58" spans="1:16" x14ac:dyDescent="0.25">
      <c r="A58" t="s">
        <v>218</v>
      </c>
    </row>
    <row r="59" spans="1:16" x14ac:dyDescent="0.25">
      <c r="A59" t="s">
        <v>187</v>
      </c>
    </row>
    <row r="62" spans="1:16" x14ac:dyDescent="0.25">
      <c r="A62" t="s">
        <v>224</v>
      </c>
    </row>
    <row r="63" spans="1:16" x14ac:dyDescent="0.25">
      <c r="A63" t="s">
        <v>218</v>
      </c>
    </row>
    <row r="64" spans="1:16" x14ac:dyDescent="0.25">
      <c r="A64" t="s">
        <v>186</v>
      </c>
    </row>
    <row r="65" spans="1:5" x14ac:dyDescent="0.25">
      <c r="A65" t="s">
        <v>194</v>
      </c>
    </row>
    <row r="66" spans="1:5" x14ac:dyDescent="0.25">
      <c r="A66" t="s">
        <v>187</v>
      </c>
    </row>
    <row r="69" spans="1:5" x14ac:dyDescent="0.25">
      <c r="A69" t="s">
        <v>193</v>
      </c>
    </row>
    <row r="70" spans="1:5" x14ac:dyDescent="0.25">
      <c r="A70" t="s">
        <v>218</v>
      </c>
      <c r="B70">
        <v>1</v>
      </c>
      <c r="C70" t="s">
        <v>192</v>
      </c>
      <c r="D70">
        <v>0.21</v>
      </c>
      <c r="E70">
        <f>D70*B70</f>
        <v>0.21</v>
      </c>
    </row>
    <row r="71" spans="1:5" x14ac:dyDescent="0.25">
      <c r="A71" t="s">
        <v>194</v>
      </c>
      <c r="B71">
        <v>2</v>
      </c>
      <c r="C71" t="s">
        <v>192</v>
      </c>
      <c r="D71">
        <v>3.5000000000000003E-2</v>
      </c>
      <c r="E71">
        <f t="shared" ref="E71" si="6">D71*B71</f>
        <v>7.0000000000000007E-2</v>
      </c>
    </row>
    <row r="72" spans="1:5" x14ac:dyDescent="0.25">
      <c r="A72" t="s">
        <v>187</v>
      </c>
      <c r="B72">
        <v>2</v>
      </c>
      <c r="C72" t="s">
        <v>192</v>
      </c>
      <c r="D72">
        <v>0.01</v>
      </c>
      <c r="E72">
        <f>D72*B72</f>
        <v>0.02</v>
      </c>
    </row>
    <row r="75" spans="1:5" x14ac:dyDescent="0.25">
      <c r="A75" t="s">
        <v>220</v>
      </c>
    </row>
    <row r="76" spans="1:5" x14ac:dyDescent="0.25">
      <c r="A76" t="s">
        <v>186</v>
      </c>
      <c r="B76">
        <v>3</v>
      </c>
      <c r="C76" t="s">
        <v>192</v>
      </c>
      <c r="D76">
        <v>0.28000000000000003</v>
      </c>
      <c r="E76">
        <f>D76*B76</f>
        <v>0.84000000000000008</v>
      </c>
    </row>
    <row r="77" spans="1:5" x14ac:dyDescent="0.25">
      <c r="A77" t="s">
        <v>194</v>
      </c>
      <c r="B77">
        <v>4</v>
      </c>
      <c r="C77" t="s">
        <v>192</v>
      </c>
      <c r="D77">
        <v>3.5000000000000003E-2</v>
      </c>
      <c r="E77">
        <f t="shared" ref="E77" si="7">D77*B77</f>
        <v>0.14000000000000001</v>
      </c>
    </row>
    <row r="78" spans="1:5" x14ac:dyDescent="0.25">
      <c r="A78" t="s">
        <v>187</v>
      </c>
      <c r="B78">
        <v>2</v>
      </c>
      <c r="C78" t="s">
        <v>192</v>
      </c>
      <c r="D78">
        <v>0.01</v>
      </c>
      <c r="E78">
        <f>D78*B78</f>
        <v>0.02</v>
      </c>
    </row>
    <row r="80" spans="1:5" x14ac:dyDescent="0.25">
      <c r="A80" t="s">
        <v>221</v>
      </c>
    </row>
    <row r="81" spans="1:2" x14ac:dyDescent="0.25">
      <c r="A81" t="s">
        <v>186</v>
      </c>
      <c r="B81">
        <f>E76</f>
        <v>0.84000000000000008</v>
      </c>
    </row>
    <row r="82" spans="1:2" x14ac:dyDescent="0.25">
      <c r="A82" t="s">
        <v>218</v>
      </c>
      <c r="B82">
        <f>E70</f>
        <v>0.21</v>
      </c>
    </row>
    <row r="83" spans="1:2" x14ac:dyDescent="0.25">
      <c r="A83" t="s">
        <v>194</v>
      </c>
      <c r="B83">
        <f>E71+E77</f>
        <v>0.21000000000000002</v>
      </c>
    </row>
    <row r="84" spans="1:2" x14ac:dyDescent="0.25">
      <c r="A84" t="s">
        <v>187</v>
      </c>
      <c r="B84">
        <f>E72+E78</f>
        <v>0.04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85" zoomScaleNormal="85" workbookViewId="0">
      <selection activeCell="A5" sqref="A5:F5"/>
    </sheetView>
  </sheetViews>
  <sheetFormatPr baseColWidth="10" defaultRowHeight="15" x14ac:dyDescent="0.25"/>
  <cols>
    <col min="1" max="1" width="25.85546875" bestFit="1" customWidth="1"/>
    <col min="2" max="2" width="11.85546875" bestFit="1" customWidth="1"/>
    <col min="3" max="3" width="9.7109375" bestFit="1" customWidth="1"/>
    <col min="4" max="4" width="25.28515625" bestFit="1" customWidth="1"/>
    <col min="5" max="5" width="18.28515625" bestFit="1" customWidth="1"/>
    <col min="6" max="6" width="14.140625" customWidth="1"/>
    <col min="7" max="7" width="9.28515625" customWidth="1"/>
    <col min="8" max="8" width="14.5703125" customWidth="1"/>
    <col min="9" max="9" width="14.7109375" customWidth="1"/>
    <col min="10" max="10" width="25.42578125" customWidth="1"/>
    <col min="11" max="11" width="12.85546875" bestFit="1" customWidth="1"/>
  </cols>
  <sheetData>
    <row r="1" spans="1:12" x14ac:dyDescent="0.25">
      <c r="A1" s="2" t="s">
        <v>26</v>
      </c>
      <c r="B1" s="2" t="s">
        <v>59</v>
      </c>
      <c r="C1" s="2" t="s">
        <v>0</v>
      </c>
      <c r="D1" s="2" t="s">
        <v>88</v>
      </c>
      <c r="E1" s="2" t="s">
        <v>27</v>
      </c>
      <c r="F1" s="2" t="s">
        <v>151</v>
      </c>
      <c r="G1" s="2" t="s">
        <v>152</v>
      </c>
      <c r="H1" s="2" t="s">
        <v>153</v>
      </c>
      <c r="I1" s="2" t="s">
        <v>154</v>
      </c>
      <c r="J1" s="2" t="s">
        <v>82</v>
      </c>
    </row>
    <row r="2" spans="1:12" x14ac:dyDescent="0.25">
      <c r="A2" s="8" t="s">
        <v>89</v>
      </c>
      <c r="B2" s="8"/>
      <c r="C2" s="6"/>
      <c r="D2" s="6"/>
      <c r="E2" s="6"/>
      <c r="F2" s="6"/>
      <c r="G2" s="6"/>
      <c r="H2" s="6"/>
      <c r="I2" s="6"/>
    </row>
    <row r="3" spans="1:12" x14ac:dyDescent="0.25">
      <c r="A3" s="9" t="s">
        <v>44</v>
      </c>
      <c r="B3" s="9" t="s">
        <v>65</v>
      </c>
      <c r="C3" s="6" t="s">
        <v>6</v>
      </c>
      <c r="D3" s="6">
        <v>1850</v>
      </c>
      <c r="E3" s="6">
        <f t="shared" ref="E3:E15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2" x14ac:dyDescent="0.25">
      <c r="A4" s="9" t="s">
        <v>75</v>
      </c>
      <c r="B4" s="9" t="s">
        <v>64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6" si="1">F4*G4</f>
        <v>1.66E-2</v>
      </c>
      <c r="I4" s="6">
        <f t="shared" ref="I4:I39" si="2">H4*1000</f>
        <v>16.600000000000001</v>
      </c>
      <c r="J4" s="5" t="s">
        <v>84</v>
      </c>
    </row>
    <row r="5" spans="1:12" x14ac:dyDescent="0.25">
      <c r="A5" s="9" t="s">
        <v>156</v>
      </c>
      <c r="B5" s="9" t="s">
        <v>66</v>
      </c>
      <c r="C5" s="6" t="s">
        <v>6</v>
      </c>
      <c r="D5" s="6">
        <v>1850</v>
      </c>
      <c r="E5" s="6">
        <f t="shared" si="0"/>
        <v>0</v>
      </c>
      <c r="F5" s="6">
        <v>6.6E-3</v>
      </c>
      <c r="G5" s="6">
        <v>1</v>
      </c>
      <c r="H5" s="6">
        <f t="shared" si="1"/>
        <v>6.6E-3</v>
      </c>
      <c r="I5" s="6">
        <f t="shared" si="2"/>
        <v>6.6</v>
      </c>
      <c r="J5" s="5" t="s">
        <v>84</v>
      </c>
      <c r="L5" s="3"/>
    </row>
    <row r="6" spans="1:12" x14ac:dyDescent="0.25">
      <c r="A6" s="9" t="s">
        <v>77</v>
      </c>
      <c r="B6" s="9" t="s">
        <v>67</v>
      </c>
      <c r="C6" s="6" t="s">
        <v>6</v>
      </c>
      <c r="D6" s="6">
        <v>1850</v>
      </c>
      <c r="E6" s="6">
        <f t="shared" si="0"/>
        <v>0</v>
      </c>
      <c r="F6" s="6">
        <v>1.0199999999999999E-2</v>
      </c>
      <c r="G6" s="6">
        <v>1</v>
      </c>
      <c r="H6" s="6">
        <f t="shared" si="1"/>
        <v>1.0199999999999999E-2</v>
      </c>
      <c r="I6" s="6">
        <f t="shared" si="2"/>
        <v>10.199999999999999</v>
      </c>
      <c r="J6" s="5" t="s">
        <v>83</v>
      </c>
    </row>
    <row r="7" spans="1:12" x14ac:dyDescent="0.25">
      <c r="A7" s="9" t="s">
        <v>78</v>
      </c>
      <c r="B7" s="9" t="s">
        <v>35</v>
      </c>
      <c r="C7" s="6" t="s">
        <v>6</v>
      </c>
      <c r="D7" s="6">
        <v>1850</v>
      </c>
      <c r="E7" s="6">
        <f t="shared" si="0"/>
        <v>0</v>
      </c>
      <c r="F7" s="6">
        <v>9.300000000000001E-3</v>
      </c>
      <c r="G7" s="6">
        <v>1</v>
      </c>
      <c r="H7" s="6">
        <f t="shared" si="1"/>
        <v>9.300000000000001E-3</v>
      </c>
      <c r="I7" s="6">
        <f t="shared" si="2"/>
        <v>9.3000000000000007</v>
      </c>
      <c r="J7" s="5" t="s">
        <v>83</v>
      </c>
    </row>
    <row r="8" spans="1:12" x14ac:dyDescent="0.25">
      <c r="A8" s="9" t="s">
        <v>79</v>
      </c>
      <c r="B8" s="9" t="s">
        <v>68</v>
      </c>
      <c r="C8" s="6" t="s">
        <v>6</v>
      </c>
      <c r="D8" s="6">
        <v>1850</v>
      </c>
      <c r="E8" s="6">
        <f t="shared" si="0"/>
        <v>0</v>
      </c>
      <c r="F8" s="6">
        <v>9.1999999999999998E-3</v>
      </c>
      <c r="G8" s="6">
        <v>1</v>
      </c>
      <c r="H8" s="6">
        <f t="shared" si="1"/>
        <v>9.1999999999999998E-3</v>
      </c>
      <c r="I8" s="6">
        <f t="shared" si="2"/>
        <v>9.1999999999999993</v>
      </c>
      <c r="J8" s="5" t="s">
        <v>83</v>
      </c>
    </row>
    <row r="9" spans="1:12" x14ac:dyDescent="0.25">
      <c r="A9" s="9" t="s">
        <v>76</v>
      </c>
      <c r="B9" s="9" t="s">
        <v>34</v>
      </c>
      <c r="C9" s="6" t="s">
        <v>6</v>
      </c>
      <c r="D9" s="6">
        <v>1850</v>
      </c>
      <c r="E9" s="6">
        <f t="shared" si="0"/>
        <v>0</v>
      </c>
      <c r="F9" s="6">
        <v>1.11E-2</v>
      </c>
      <c r="G9" s="6">
        <v>4</v>
      </c>
      <c r="H9" s="6">
        <f t="shared" si="1"/>
        <v>4.4400000000000002E-2</v>
      </c>
      <c r="I9" s="6">
        <f t="shared" si="2"/>
        <v>44.4</v>
      </c>
      <c r="J9" s="5" t="s">
        <v>84</v>
      </c>
    </row>
    <row r="10" spans="1:12" x14ac:dyDescent="0.25">
      <c r="A10" s="9" t="s">
        <v>85</v>
      </c>
      <c r="B10" s="9" t="s">
        <v>86</v>
      </c>
      <c r="C10" s="6" t="s">
        <v>49</v>
      </c>
      <c r="D10" s="6"/>
      <c r="E10" s="6">
        <f t="shared" si="0"/>
        <v>0</v>
      </c>
      <c r="F10" s="6">
        <v>5.7000000000000002E-3</v>
      </c>
      <c r="G10" s="6">
        <v>1</v>
      </c>
      <c r="H10" s="6">
        <f t="shared" si="1"/>
        <v>5.7000000000000002E-3</v>
      </c>
      <c r="I10" s="6">
        <f t="shared" si="2"/>
        <v>5.7</v>
      </c>
      <c r="J10" s="5"/>
    </row>
    <row r="11" spans="1:12" x14ac:dyDescent="0.25">
      <c r="A11" s="8" t="s">
        <v>30</v>
      </c>
      <c r="B11" s="8"/>
      <c r="C11" s="6"/>
      <c r="D11" s="6"/>
      <c r="E11" s="6"/>
      <c r="F11" s="6"/>
      <c r="G11" s="6"/>
      <c r="H11" s="6"/>
      <c r="I11" s="6"/>
      <c r="J11" s="5"/>
    </row>
    <row r="12" spans="1:12" x14ac:dyDescent="0.25">
      <c r="A12" s="9" t="s">
        <v>81</v>
      </c>
      <c r="B12" s="9" t="s">
        <v>73</v>
      </c>
      <c r="C12" s="6" t="s">
        <v>6</v>
      </c>
      <c r="D12" s="6">
        <v>1850</v>
      </c>
      <c r="E12" s="6">
        <f t="shared" si="0"/>
        <v>0</v>
      </c>
      <c r="F12" s="6">
        <v>9.1999999999999998E-3</v>
      </c>
      <c r="G12" s="6">
        <v>1</v>
      </c>
      <c r="H12" s="6">
        <f t="shared" si="1"/>
        <v>9.1999999999999998E-3</v>
      </c>
      <c r="I12" s="6">
        <f t="shared" si="2"/>
        <v>9.1999999999999993</v>
      </c>
      <c r="J12" s="5"/>
    </row>
    <row r="13" spans="1:12" ht="30" x14ac:dyDescent="0.25">
      <c r="A13" s="9" t="s">
        <v>80</v>
      </c>
      <c r="B13" s="9" t="s">
        <v>71</v>
      </c>
      <c r="C13" s="6" t="s">
        <v>6</v>
      </c>
      <c r="D13" s="6">
        <v>1850</v>
      </c>
      <c r="E13" s="6">
        <f t="shared" si="0"/>
        <v>0</v>
      </c>
      <c r="F13" s="6">
        <v>7.6E-3</v>
      </c>
      <c r="G13" s="6">
        <v>1</v>
      </c>
      <c r="H13" s="6">
        <f t="shared" si="1"/>
        <v>7.6E-3</v>
      </c>
      <c r="I13" s="6">
        <f t="shared" si="2"/>
        <v>7.6</v>
      </c>
      <c r="J13" s="5"/>
    </row>
    <row r="14" spans="1:12" x14ac:dyDescent="0.25">
      <c r="A14" s="9" t="s">
        <v>46</v>
      </c>
      <c r="B14" s="9" t="s">
        <v>70</v>
      </c>
      <c r="C14" s="6" t="s">
        <v>16</v>
      </c>
      <c r="D14" s="6">
        <v>2200</v>
      </c>
      <c r="E14" s="6">
        <f t="shared" si="0"/>
        <v>0</v>
      </c>
      <c r="F14" s="6">
        <v>6.9999999999999999E-4</v>
      </c>
      <c r="G14" s="6">
        <v>1</v>
      </c>
      <c r="H14" s="6">
        <f t="shared" si="1"/>
        <v>6.9999999999999999E-4</v>
      </c>
      <c r="I14" s="6">
        <f t="shared" si="2"/>
        <v>0.7</v>
      </c>
      <c r="J14" s="5"/>
    </row>
    <row r="15" spans="1:12" x14ac:dyDescent="0.25">
      <c r="A15" s="9" t="s">
        <v>47</v>
      </c>
      <c r="B15" s="9" t="s">
        <v>72</v>
      </c>
      <c r="C15" s="6" t="s">
        <v>53</v>
      </c>
      <c r="D15" s="6">
        <v>2810</v>
      </c>
      <c r="E15" s="6">
        <f t="shared" si="0"/>
        <v>0</v>
      </c>
      <c r="F15" s="6">
        <v>2.4300000000000002E-2</v>
      </c>
      <c r="G15" s="6">
        <v>1</v>
      </c>
      <c r="H15" s="6">
        <f t="shared" si="1"/>
        <v>2.4300000000000002E-2</v>
      </c>
      <c r="I15" s="6">
        <f t="shared" si="2"/>
        <v>24.3</v>
      </c>
      <c r="J15" s="5"/>
    </row>
    <row r="16" spans="1:12" x14ac:dyDescent="0.25">
      <c r="A16" s="5"/>
      <c r="B16" s="5"/>
      <c r="J16" s="5"/>
    </row>
    <row r="17" spans="1:11" x14ac:dyDescent="0.25">
      <c r="A17" s="10" t="s">
        <v>42</v>
      </c>
      <c r="B17" s="10"/>
      <c r="C17" s="11"/>
      <c r="D17" s="11"/>
      <c r="E17" s="11">
        <f>L17/1000/1000/1000</f>
        <v>0</v>
      </c>
      <c r="F17" s="11"/>
      <c r="G17" s="11"/>
      <c r="H17" s="11">
        <f t="shared" si="1"/>
        <v>0</v>
      </c>
      <c r="I17" s="11">
        <f t="shared" si="2"/>
        <v>0</v>
      </c>
      <c r="J17" s="5"/>
    </row>
    <row r="18" spans="1:11" x14ac:dyDescent="0.25">
      <c r="A18" s="12" t="s">
        <v>43</v>
      </c>
      <c r="B18" s="12" t="s">
        <v>31</v>
      </c>
      <c r="C18" s="11" t="s">
        <v>51</v>
      </c>
      <c r="D18" s="11">
        <v>5316</v>
      </c>
      <c r="E18" s="11">
        <f>L18/1000/1000/1000</f>
        <v>0</v>
      </c>
      <c r="F18" s="11">
        <v>9.5E-4</v>
      </c>
      <c r="G18" s="11">
        <v>5</v>
      </c>
      <c r="H18" s="11">
        <f t="shared" si="1"/>
        <v>4.7499999999999999E-3</v>
      </c>
      <c r="I18" s="11">
        <f t="shared" si="2"/>
        <v>4.75</v>
      </c>
      <c r="J18" s="5"/>
    </row>
    <row r="19" spans="1:11" x14ac:dyDescent="0.25">
      <c r="A19" s="12" t="s">
        <v>17</v>
      </c>
      <c r="B19" s="12" t="s">
        <v>33</v>
      </c>
      <c r="C19" s="11" t="s">
        <v>32</v>
      </c>
      <c r="D19" s="11">
        <v>2750</v>
      </c>
      <c r="E19" s="11">
        <f>L19/1000/1000/1000</f>
        <v>0</v>
      </c>
      <c r="F19" s="11">
        <v>3.4000000000000002E-2</v>
      </c>
      <c r="G19" s="11">
        <v>1</v>
      </c>
      <c r="H19" s="11">
        <f t="shared" si="1"/>
        <v>3.4000000000000002E-2</v>
      </c>
      <c r="I19" s="11">
        <f t="shared" si="2"/>
        <v>34</v>
      </c>
      <c r="J19" s="5"/>
    </row>
    <row r="20" spans="1:11" x14ac:dyDescent="0.25">
      <c r="A20" s="5"/>
      <c r="B20" s="5"/>
      <c r="J20" s="5"/>
    </row>
    <row r="21" spans="1:11" x14ac:dyDescent="0.25">
      <c r="A21" s="13" t="s">
        <v>146</v>
      </c>
      <c r="B21" s="13"/>
      <c r="C21" s="14"/>
      <c r="D21" s="14"/>
      <c r="E21" s="14"/>
      <c r="F21" s="14"/>
      <c r="G21" s="14"/>
      <c r="H21" s="14"/>
      <c r="I21" s="14">
        <f t="shared" si="2"/>
        <v>0</v>
      </c>
      <c r="J21" s="5"/>
    </row>
    <row r="22" spans="1:11" x14ac:dyDescent="0.25">
      <c r="A22" s="15" t="s">
        <v>55</v>
      </c>
      <c r="B22" s="15" t="s">
        <v>74</v>
      </c>
      <c r="C22" s="14" t="s">
        <v>57</v>
      </c>
      <c r="D22" s="14">
        <v>8800</v>
      </c>
      <c r="E22" s="14">
        <f>L22/1000/1000/1000</f>
        <v>0</v>
      </c>
      <c r="F22" s="26" t="s">
        <v>94</v>
      </c>
      <c r="G22" s="14"/>
      <c r="H22" s="14"/>
      <c r="I22" s="14">
        <f t="shared" si="2"/>
        <v>0</v>
      </c>
      <c r="J22" s="5"/>
    </row>
    <row r="23" spans="1:11" x14ac:dyDescent="0.25">
      <c r="A23" s="15" t="s">
        <v>56</v>
      </c>
      <c r="B23" s="15" t="s">
        <v>74</v>
      </c>
      <c r="C23" s="14" t="s">
        <v>22</v>
      </c>
      <c r="D23" s="14">
        <v>1070</v>
      </c>
      <c r="E23" s="14">
        <f>L23/1000/1000/1000</f>
        <v>0</v>
      </c>
      <c r="F23" s="26" t="s">
        <v>94</v>
      </c>
      <c r="G23" s="14"/>
      <c r="H23" s="14"/>
      <c r="I23" s="14">
        <f t="shared" si="2"/>
        <v>0</v>
      </c>
      <c r="J23" s="5"/>
    </row>
    <row r="24" spans="1:11" x14ac:dyDescent="0.25">
      <c r="A24" s="15" t="s">
        <v>93</v>
      </c>
      <c r="B24" s="15"/>
      <c r="C24" s="14"/>
      <c r="D24" s="14"/>
      <c r="E24" s="14"/>
      <c r="F24" s="14">
        <v>5.5000000000000003E-4</v>
      </c>
      <c r="G24" s="14">
        <v>14.75</v>
      </c>
      <c r="H24" s="14" t="s">
        <v>155</v>
      </c>
      <c r="I24" s="14" t="s">
        <v>155</v>
      </c>
      <c r="J24" s="5"/>
    </row>
    <row r="25" spans="1:11" x14ac:dyDescent="0.25">
      <c r="A25" s="5"/>
      <c r="B25" s="5"/>
      <c r="J25" s="5"/>
    </row>
    <row r="26" spans="1:11" x14ac:dyDescent="0.25">
      <c r="A26" s="16" t="s">
        <v>29</v>
      </c>
      <c r="B26" s="16"/>
      <c r="C26" s="17"/>
      <c r="D26" s="17"/>
      <c r="E26" s="17"/>
      <c r="F26" s="17"/>
      <c r="G26" s="17"/>
      <c r="H26" s="17"/>
      <c r="I26" s="17"/>
      <c r="J26" s="5"/>
    </row>
    <row r="27" spans="1:11" x14ac:dyDescent="0.25">
      <c r="A27" s="18" t="s">
        <v>45</v>
      </c>
      <c r="B27" s="18" t="s">
        <v>69</v>
      </c>
      <c r="C27" s="17" t="s">
        <v>52</v>
      </c>
      <c r="D27" s="17"/>
      <c r="E27" s="17">
        <f>L27/1000/1000/1000</f>
        <v>0</v>
      </c>
      <c r="F27" s="17">
        <v>0.03</v>
      </c>
      <c r="G27" s="17">
        <v>1</v>
      </c>
      <c r="H27" s="17">
        <f t="shared" si="1"/>
        <v>0.03</v>
      </c>
      <c r="I27" s="17">
        <f t="shared" si="2"/>
        <v>30</v>
      </c>
      <c r="J27" s="5"/>
    </row>
    <row r="28" spans="1:11" x14ac:dyDescent="0.25">
      <c r="A28" s="16" t="s">
        <v>48</v>
      </c>
      <c r="B28" s="16"/>
      <c r="C28" s="19"/>
      <c r="D28" s="19"/>
      <c r="E28" s="19"/>
      <c r="F28" s="19"/>
      <c r="G28" s="19"/>
      <c r="H28" s="19"/>
      <c r="I28" s="19"/>
      <c r="J28" s="5"/>
    </row>
    <row r="29" spans="1:11" x14ac:dyDescent="0.25">
      <c r="A29" s="18" t="s">
        <v>36</v>
      </c>
      <c r="B29" s="18" t="s">
        <v>60</v>
      </c>
      <c r="C29" s="17" t="s">
        <v>49</v>
      </c>
      <c r="D29" s="17">
        <v>8000</v>
      </c>
      <c r="E29" s="17">
        <f>L29/1000/1000/1000</f>
        <v>0</v>
      </c>
      <c r="F29" s="17">
        <v>1.4999999999999999E-4</v>
      </c>
      <c r="G29" s="17">
        <v>4</v>
      </c>
      <c r="H29" s="17">
        <f t="shared" si="1"/>
        <v>5.9999999999999995E-4</v>
      </c>
      <c r="I29" s="17">
        <f t="shared" si="2"/>
        <v>0.6</v>
      </c>
      <c r="J29" s="5"/>
      <c r="K29" s="5"/>
    </row>
    <row r="30" spans="1:11" x14ac:dyDescent="0.25">
      <c r="A30" s="18" t="s">
        <v>37</v>
      </c>
      <c r="B30" s="18" t="s">
        <v>60</v>
      </c>
      <c r="C30" s="17" t="s">
        <v>49</v>
      </c>
      <c r="D30" s="17">
        <v>8000</v>
      </c>
      <c r="E30" s="17">
        <f>L30/1000/1000/1000</f>
        <v>0</v>
      </c>
      <c r="F30" s="17">
        <v>4.6999999999999999E-4</v>
      </c>
      <c r="G30" s="17">
        <v>2</v>
      </c>
      <c r="H30" s="17">
        <f t="shared" si="1"/>
        <v>9.3999999999999997E-4</v>
      </c>
      <c r="I30" s="17">
        <f t="shared" si="2"/>
        <v>0.94</v>
      </c>
      <c r="J30" s="5"/>
      <c r="K30" s="5"/>
    </row>
    <row r="31" spans="1:11" ht="30" x14ac:dyDescent="0.25">
      <c r="A31" s="18" t="s">
        <v>38</v>
      </c>
      <c r="B31" s="18" t="s">
        <v>60</v>
      </c>
      <c r="C31" s="17" t="s">
        <v>49</v>
      </c>
      <c r="D31" s="17">
        <v>8000</v>
      </c>
      <c r="E31" s="17">
        <f>L31/1000/1000/1000</f>
        <v>0</v>
      </c>
      <c r="F31" s="17">
        <v>1.93E-4</v>
      </c>
      <c r="G31" s="17">
        <v>16</v>
      </c>
      <c r="H31" s="17">
        <f t="shared" si="1"/>
        <v>3.088E-3</v>
      </c>
      <c r="I31" s="17">
        <f t="shared" si="2"/>
        <v>3.0880000000000001</v>
      </c>
      <c r="J31" s="5" t="s">
        <v>163</v>
      </c>
      <c r="K31" s="5"/>
    </row>
    <row r="32" spans="1:11" x14ac:dyDescent="0.25">
      <c r="A32" s="18" t="s">
        <v>58</v>
      </c>
      <c r="B32" s="18" t="s">
        <v>61</v>
      </c>
      <c r="C32" s="17" t="s">
        <v>49</v>
      </c>
      <c r="D32" s="17">
        <v>8000</v>
      </c>
      <c r="E32" s="17">
        <f>L32/1000/1000/1000</f>
        <v>0</v>
      </c>
      <c r="F32" s="17">
        <f>0.0017</f>
        <v>1.6999999999999999E-3</v>
      </c>
      <c r="G32" s="17">
        <v>4</v>
      </c>
      <c r="H32" s="17">
        <f t="shared" si="1"/>
        <v>6.7999999999999996E-3</v>
      </c>
      <c r="I32" s="17">
        <f t="shared" si="2"/>
        <v>6.8</v>
      </c>
      <c r="J32" s="5"/>
    </row>
    <row r="33" spans="1:11" x14ac:dyDescent="0.25">
      <c r="A33" s="16" t="s">
        <v>28</v>
      </c>
      <c r="B33" s="16"/>
      <c r="C33" s="17"/>
      <c r="D33" s="17"/>
      <c r="E33" s="17"/>
      <c r="F33" s="17"/>
      <c r="G33" s="17"/>
      <c r="H33" s="17"/>
      <c r="I33" s="17">
        <f t="shared" si="2"/>
        <v>0</v>
      </c>
      <c r="J33" s="5"/>
    </row>
    <row r="34" spans="1:11" x14ac:dyDescent="0.25">
      <c r="A34" s="18" t="s">
        <v>39</v>
      </c>
      <c r="B34" s="18" t="s">
        <v>63</v>
      </c>
      <c r="C34" s="17" t="s">
        <v>49</v>
      </c>
      <c r="D34" s="17">
        <v>8000</v>
      </c>
      <c r="E34" s="17">
        <f>L34/1000/1000/1000</f>
        <v>0</v>
      </c>
      <c r="F34" s="17">
        <v>2.2000000000000001E-4</v>
      </c>
      <c r="G34" s="17">
        <v>12</v>
      </c>
      <c r="H34" s="17">
        <f t="shared" si="1"/>
        <v>2.64E-3</v>
      </c>
      <c r="I34" s="17">
        <f t="shared" si="2"/>
        <v>2.64</v>
      </c>
      <c r="J34" s="5"/>
    </row>
    <row r="35" spans="1:11" x14ac:dyDescent="0.25">
      <c r="A35" s="18" t="s">
        <v>40</v>
      </c>
      <c r="B35" s="18" t="s">
        <v>62</v>
      </c>
      <c r="C35" s="17" t="s">
        <v>50</v>
      </c>
      <c r="D35" s="17">
        <v>2700</v>
      </c>
      <c r="E35" s="17">
        <f>L35/1000/1000/1000</f>
        <v>0</v>
      </c>
      <c r="F35" s="17">
        <v>6.9999999999999994E-5</v>
      </c>
      <c r="G35" s="17">
        <v>12</v>
      </c>
      <c r="H35" s="17">
        <f t="shared" si="1"/>
        <v>8.3999999999999993E-4</v>
      </c>
      <c r="I35" s="17">
        <f t="shared" si="2"/>
        <v>0.84</v>
      </c>
      <c r="J35" s="5"/>
      <c r="K35" s="5"/>
    </row>
    <row r="36" spans="1:11" x14ac:dyDescent="0.25">
      <c r="A36" s="18" t="s">
        <v>41</v>
      </c>
      <c r="B36" s="18" t="s">
        <v>33</v>
      </c>
      <c r="C36" s="17" t="s">
        <v>20</v>
      </c>
      <c r="D36" s="17">
        <v>1150</v>
      </c>
      <c r="E36" s="17">
        <f>L36/1000/1000/1000</f>
        <v>0</v>
      </c>
      <c r="F36" s="17">
        <v>4.3000000000000002E-5</v>
      </c>
      <c r="G36" s="17">
        <v>0</v>
      </c>
      <c r="H36" s="17">
        <f t="shared" si="1"/>
        <v>0</v>
      </c>
      <c r="I36" s="17">
        <f t="shared" si="2"/>
        <v>0</v>
      </c>
      <c r="J36" s="5"/>
      <c r="K36" s="5"/>
    </row>
    <row r="37" spans="1:11" x14ac:dyDescent="0.25">
      <c r="A37" s="18"/>
      <c r="B37" s="18"/>
      <c r="C37" s="17"/>
      <c r="D37" s="17"/>
      <c r="E37" s="17"/>
      <c r="F37" s="17"/>
      <c r="G37" s="17"/>
      <c r="H37" s="17"/>
      <c r="I37" s="17">
        <f t="shared" si="2"/>
        <v>0</v>
      </c>
      <c r="J37" s="5"/>
      <c r="K37" s="5"/>
    </row>
    <row r="38" spans="1:11" x14ac:dyDescent="0.25">
      <c r="A38" s="5"/>
      <c r="B38" s="5"/>
      <c r="J38" s="20"/>
    </row>
    <row r="39" spans="1:11" x14ac:dyDescent="0.25">
      <c r="A39" s="24" t="s">
        <v>93</v>
      </c>
      <c r="B39" s="24"/>
      <c r="C39" s="25"/>
      <c r="D39" s="25"/>
      <c r="E39" s="25"/>
      <c r="F39" s="25"/>
      <c r="G39" s="25"/>
      <c r="H39" s="25">
        <f>SUM(H2:H37)-H31</f>
        <v>0.23277</v>
      </c>
      <c r="I39" s="25">
        <f t="shared" si="2"/>
        <v>232.77</v>
      </c>
      <c r="J39" s="20"/>
    </row>
    <row r="40" spans="1:11" x14ac:dyDescent="0.25">
      <c r="H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Materials</vt:lpstr>
      <vt:lpstr>Masses and Volumes</vt:lpstr>
      <vt:lpstr>Properties PCBs</vt:lpstr>
      <vt:lpstr>Bulks</vt:lpstr>
      <vt:lpstr>Extra</vt:lpstr>
      <vt:lpstr>Masses and Volumes Old VC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Óscar Pavón Amador</cp:lastModifiedBy>
  <dcterms:created xsi:type="dcterms:W3CDTF">2025-03-01T18:07:48Z</dcterms:created>
  <dcterms:modified xsi:type="dcterms:W3CDTF">2025-03-09T16:59:51Z</dcterms:modified>
</cp:coreProperties>
</file>