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OneDrive\Documentos\GitHub\PoCat-Thermal\"/>
    </mc:Choice>
  </mc:AlternateContent>
  <bookViews>
    <workbookView xWindow="15" yWindow="15" windowWidth="23010" windowHeight="12330" activeTab="5"/>
  </bookViews>
  <sheets>
    <sheet name="Materials" sheetId="1" r:id="rId1"/>
    <sheet name="Masses and Volumes" sheetId="8" r:id="rId2"/>
    <sheet name="Properties PCBs &amp; Spacers" sheetId="10" r:id="rId3"/>
    <sheet name="Bulks" sheetId="6" r:id="rId4"/>
    <sheet name="UDC" sheetId="11" r:id="rId5"/>
    <sheet name="Power" sheetId="12" r:id="rId6"/>
    <sheet name="TCR-CI" sheetId="16" r:id="rId7"/>
    <sheet name="TCR-Bolted" sheetId="14" r:id="rId8"/>
    <sheet name="Extra" sheetId="9" r:id="rId9"/>
  </sheets>
  <calcPr calcId="152511"/>
</workbook>
</file>

<file path=xl/calcChain.xml><?xml version="1.0" encoding="utf-8"?>
<calcChain xmlns="http://schemas.openxmlformats.org/spreadsheetml/2006/main">
  <c r="I29" i="12" l="1"/>
  <c r="I34" i="12"/>
  <c r="I35" i="12"/>
  <c r="I3" i="12"/>
  <c r="E35" i="12"/>
  <c r="F35" i="12"/>
  <c r="G35" i="12"/>
  <c r="H35" i="12"/>
  <c r="J35" i="12"/>
  <c r="K35" i="12"/>
  <c r="C35" i="12"/>
  <c r="D29" i="12"/>
  <c r="D35" i="12" s="1"/>
  <c r="I28" i="12"/>
  <c r="E53" i="11" l="1"/>
  <c r="G53" i="11" s="1"/>
  <c r="F53" i="11"/>
  <c r="E54" i="11"/>
  <c r="G54" i="11" s="1"/>
  <c r="F54" i="11"/>
  <c r="E55" i="11"/>
  <c r="G55" i="11" s="1"/>
  <c r="F55" i="11"/>
  <c r="G52" i="11"/>
  <c r="F52" i="11"/>
  <c r="E52" i="11"/>
  <c r="C53" i="11"/>
  <c r="C54" i="11"/>
  <c r="C55" i="11"/>
  <c r="C52" i="11"/>
  <c r="G49" i="11"/>
  <c r="G48" i="11"/>
  <c r="E49" i="11"/>
  <c r="F49" i="11"/>
  <c r="F48" i="11"/>
  <c r="E48" i="11"/>
  <c r="C49" i="11"/>
  <c r="C48" i="11"/>
  <c r="J107" i="6"/>
  <c r="F44" i="11"/>
  <c r="F45" i="11"/>
  <c r="F46" i="11"/>
  <c r="F43" i="11"/>
  <c r="C44" i="11"/>
  <c r="E44" i="11" s="1"/>
  <c r="G44" i="11" s="1"/>
  <c r="C45" i="11"/>
  <c r="E45" i="11" s="1"/>
  <c r="G45" i="11" s="1"/>
  <c r="C46" i="11"/>
  <c r="E46" i="11" s="1"/>
  <c r="G46" i="11" s="1"/>
  <c r="C43" i="11"/>
  <c r="E43" i="11" s="1"/>
  <c r="G43" i="11" s="1"/>
  <c r="C41" i="11"/>
  <c r="E41" i="11" s="1"/>
  <c r="C39" i="11"/>
  <c r="C40" i="11"/>
  <c r="E40" i="11" s="1"/>
  <c r="C38" i="11"/>
  <c r="E38" i="11" s="1"/>
  <c r="G38" i="11" s="1"/>
  <c r="F39" i="11"/>
  <c r="F40" i="11"/>
  <c r="F41" i="11"/>
  <c r="E39" i="11"/>
  <c r="G39" i="11" s="1"/>
  <c r="F38" i="11"/>
  <c r="G40" i="11" l="1"/>
  <c r="G41" i="11"/>
  <c r="U38" i="14"/>
  <c r="U39" i="14"/>
  <c r="U40" i="14"/>
  <c r="U37" i="14"/>
  <c r="U7" i="14"/>
  <c r="U8" i="14"/>
  <c r="U9" i="14"/>
  <c r="U10" i="14"/>
  <c r="U11" i="14"/>
  <c r="U12" i="14"/>
  <c r="U13" i="14"/>
  <c r="U6" i="14"/>
  <c r="U3" i="14"/>
  <c r="U4" i="14"/>
  <c r="U2" i="14"/>
  <c r="U15" i="14" l="1"/>
  <c r="G39" i="10"/>
  <c r="C43" i="10"/>
  <c r="B43" i="10"/>
  <c r="G40" i="10"/>
  <c r="A90" i="9"/>
  <c r="D43" i="10" l="1"/>
  <c r="C44" i="10" s="1"/>
  <c r="B44" i="10"/>
  <c r="P11" i="14"/>
  <c r="L38" i="14"/>
  <c r="L11" i="14"/>
  <c r="J35" i="14"/>
  <c r="J2" i="14"/>
  <c r="P2" i="14" s="1"/>
  <c r="J15" i="14"/>
  <c r="K15" i="14"/>
  <c r="J38" i="14"/>
  <c r="P38" i="14" s="1"/>
  <c r="J39" i="14"/>
  <c r="J40" i="14"/>
  <c r="J37" i="14"/>
  <c r="J24" i="14"/>
  <c r="J25" i="14"/>
  <c r="J26" i="14"/>
  <c r="J28" i="14"/>
  <c r="J29" i="14"/>
  <c r="P29" i="14" s="1"/>
  <c r="J30" i="14"/>
  <c r="J31" i="14"/>
  <c r="J32" i="14"/>
  <c r="P32" i="14" s="1"/>
  <c r="J34" i="14"/>
  <c r="J23" i="14"/>
  <c r="P23" i="14" s="1"/>
  <c r="J18" i="14"/>
  <c r="J19" i="14"/>
  <c r="J20" i="14"/>
  <c r="P20" i="14" s="1"/>
  <c r="J17" i="14"/>
  <c r="K3" i="14"/>
  <c r="K4" i="14"/>
  <c r="K2" i="14"/>
  <c r="K7" i="14"/>
  <c r="K8" i="14"/>
  <c r="K9" i="14"/>
  <c r="K10" i="14"/>
  <c r="K11" i="14"/>
  <c r="K12" i="14"/>
  <c r="K13" i="14"/>
  <c r="K6" i="14"/>
  <c r="K18" i="14"/>
  <c r="K19" i="14"/>
  <c r="K20" i="14"/>
  <c r="K17" i="14"/>
  <c r="K38" i="14"/>
  <c r="K39" i="14"/>
  <c r="K40" i="14"/>
  <c r="K37" i="14"/>
  <c r="K24" i="14"/>
  <c r="K25" i="14"/>
  <c r="K26" i="14"/>
  <c r="K28" i="14"/>
  <c r="K29" i="14"/>
  <c r="K30" i="14"/>
  <c r="K31" i="14"/>
  <c r="K32" i="14"/>
  <c r="K34" i="14"/>
  <c r="K35" i="14"/>
  <c r="P35" i="14" s="1"/>
  <c r="K23" i="14"/>
  <c r="J7" i="14"/>
  <c r="P7" i="14" s="1"/>
  <c r="J8" i="14"/>
  <c r="P8" i="14" s="1"/>
  <c r="J9" i="14"/>
  <c r="P9" i="14" s="1"/>
  <c r="J10" i="14"/>
  <c r="J11" i="14"/>
  <c r="J12" i="14"/>
  <c r="P12" i="14" s="1"/>
  <c r="J13" i="14"/>
  <c r="P13" i="14" s="1"/>
  <c r="J6" i="14"/>
  <c r="P6" i="14" s="1"/>
  <c r="J3" i="14"/>
  <c r="P3" i="14" s="1"/>
  <c r="J4" i="14"/>
  <c r="P4" i="14" s="1"/>
  <c r="F58" i="14"/>
  <c r="M24" i="14" s="1"/>
  <c r="F59" i="14"/>
  <c r="M19" i="14" s="1"/>
  <c r="F60" i="14"/>
  <c r="F61" i="14"/>
  <c r="F62" i="14"/>
  <c r="F63" i="14"/>
  <c r="M3" i="14" s="1"/>
  <c r="F64" i="14"/>
  <c r="L25" i="14" s="1"/>
  <c r="F65" i="14"/>
  <c r="M38" i="14" s="1"/>
  <c r="F66" i="14"/>
  <c r="M7" i="14" s="1"/>
  <c r="F67" i="14"/>
  <c r="F68" i="14"/>
  <c r="L15" i="14" s="1"/>
  <c r="I3" i="14"/>
  <c r="G38" i="14"/>
  <c r="H38" i="14"/>
  <c r="G39" i="14"/>
  <c r="H39" i="14"/>
  <c r="G40" i="14"/>
  <c r="H40" i="14"/>
  <c r="H37" i="14"/>
  <c r="G37" i="14"/>
  <c r="I37" i="14" s="1"/>
  <c r="G24" i="14"/>
  <c r="H24" i="14"/>
  <c r="G25" i="14"/>
  <c r="H25" i="14"/>
  <c r="G26" i="14"/>
  <c r="I26" i="14" s="1"/>
  <c r="H26" i="14"/>
  <c r="G28" i="14"/>
  <c r="H28" i="14"/>
  <c r="G29" i="14"/>
  <c r="H29" i="14"/>
  <c r="G30" i="14"/>
  <c r="H30" i="14"/>
  <c r="G31" i="14"/>
  <c r="H31" i="14"/>
  <c r="G32" i="14"/>
  <c r="H32" i="14"/>
  <c r="G34" i="14"/>
  <c r="H34" i="14"/>
  <c r="G35" i="14"/>
  <c r="H35" i="14"/>
  <c r="H23" i="14"/>
  <c r="G23" i="14"/>
  <c r="G18" i="14"/>
  <c r="H18" i="14"/>
  <c r="G19" i="14"/>
  <c r="H19" i="14"/>
  <c r="G20" i="14"/>
  <c r="H20" i="14"/>
  <c r="H17" i="14"/>
  <c r="G17" i="14"/>
  <c r="H15" i="14"/>
  <c r="G15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H6" i="14"/>
  <c r="G6" i="14"/>
  <c r="G3" i="14"/>
  <c r="H3" i="14"/>
  <c r="G4" i="14"/>
  <c r="H4" i="14"/>
  <c r="H2" i="14"/>
  <c r="G2" i="14"/>
  <c r="F38" i="14"/>
  <c r="F39" i="14"/>
  <c r="F40" i="14"/>
  <c r="F37" i="14"/>
  <c r="E38" i="14"/>
  <c r="I38" i="14" s="1"/>
  <c r="E39" i="14"/>
  <c r="E40" i="14"/>
  <c r="I40" i="14" s="1"/>
  <c r="E37" i="14"/>
  <c r="F26" i="14"/>
  <c r="F28" i="14"/>
  <c r="F29" i="14"/>
  <c r="F30" i="14"/>
  <c r="F31" i="14"/>
  <c r="F32" i="14"/>
  <c r="F34" i="14"/>
  <c r="F35" i="14"/>
  <c r="F25" i="14"/>
  <c r="F24" i="14"/>
  <c r="F23" i="14"/>
  <c r="E28" i="14"/>
  <c r="E29" i="14"/>
  <c r="I29" i="14" s="1"/>
  <c r="E30" i="14"/>
  <c r="I30" i="14" s="1"/>
  <c r="E31" i="14"/>
  <c r="I31" i="14" s="1"/>
  <c r="E32" i="14"/>
  <c r="E34" i="14"/>
  <c r="I34" i="14" s="1"/>
  <c r="E35" i="14"/>
  <c r="I35" i="14" s="1"/>
  <c r="E26" i="14"/>
  <c r="E25" i="14"/>
  <c r="I25" i="14" s="1"/>
  <c r="E24" i="14"/>
  <c r="E23" i="14"/>
  <c r="E18" i="14"/>
  <c r="E19" i="14"/>
  <c r="I19" i="14" s="1"/>
  <c r="E20" i="14"/>
  <c r="E17" i="14"/>
  <c r="I17" i="14" s="1"/>
  <c r="F18" i="14"/>
  <c r="F19" i="14"/>
  <c r="F20" i="14"/>
  <c r="F17" i="14"/>
  <c r="F15" i="14"/>
  <c r="E15" i="14"/>
  <c r="F7" i="14"/>
  <c r="F8" i="14"/>
  <c r="F9" i="14"/>
  <c r="F10" i="14"/>
  <c r="F11" i="14"/>
  <c r="F12" i="14"/>
  <c r="F13" i="14"/>
  <c r="F6" i="14"/>
  <c r="E7" i="14"/>
  <c r="I7" i="14" s="1"/>
  <c r="E8" i="14"/>
  <c r="I8" i="14" s="1"/>
  <c r="E9" i="14"/>
  <c r="E10" i="14"/>
  <c r="E11" i="14"/>
  <c r="I11" i="14" s="1"/>
  <c r="E12" i="14"/>
  <c r="E13" i="14"/>
  <c r="I13" i="14" s="1"/>
  <c r="E6" i="14"/>
  <c r="I6" i="14" s="1"/>
  <c r="E3" i="14"/>
  <c r="E4" i="14"/>
  <c r="I4" i="14" s="1"/>
  <c r="E2" i="14"/>
  <c r="F3" i="14"/>
  <c r="F4" i="14"/>
  <c r="F2" i="14"/>
  <c r="B7" i="14"/>
  <c r="C7" i="14" s="1"/>
  <c r="T7" i="14" s="1"/>
  <c r="V7" i="14" s="1"/>
  <c r="B8" i="14"/>
  <c r="C8" i="14" s="1"/>
  <c r="T8" i="14" s="1"/>
  <c r="V8" i="14" s="1"/>
  <c r="B9" i="14"/>
  <c r="C9" i="14" s="1"/>
  <c r="T9" i="14" s="1"/>
  <c r="V9" i="14" s="1"/>
  <c r="B10" i="14"/>
  <c r="C10" i="14" s="1"/>
  <c r="T10" i="14" s="1"/>
  <c r="V10" i="14" s="1"/>
  <c r="B11" i="14"/>
  <c r="C11" i="14" s="1"/>
  <c r="T11" i="14" s="1"/>
  <c r="V11" i="14" s="1"/>
  <c r="B12" i="14"/>
  <c r="C12" i="14" s="1"/>
  <c r="T12" i="14" s="1"/>
  <c r="V12" i="14" s="1"/>
  <c r="B13" i="14"/>
  <c r="C13" i="14" s="1"/>
  <c r="T13" i="14" s="1"/>
  <c r="V13" i="14" s="1"/>
  <c r="B6" i="14"/>
  <c r="C6" i="14" s="1"/>
  <c r="T6" i="14" s="1"/>
  <c r="V6" i="14" s="1"/>
  <c r="C3" i="14"/>
  <c r="T3" i="14" s="1"/>
  <c r="B38" i="14"/>
  <c r="C38" i="14" s="1"/>
  <c r="T38" i="14" s="1"/>
  <c r="V38" i="14" s="1"/>
  <c r="B39" i="14"/>
  <c r="C39" i="14" s="1"/>
  <c r="T39" i="14" s="1"/>
  <c r="V39" i="14" s="1"/>
  <c r="B40" i="14"/>
  <c r="C40" i="14" s="1"/>
  <c r="T40" i="14" s="1"/>
  <c r="V40" i="14" s="1"/>
  <c r="B37" i="14"/>
  <c r="C37" i="14" s="1"/>
  <c r="T37" i="14" s="1"/>
  <c r="V37" i="14" s="1"/>
  <c r="B29" i="14"/>
  <c r="C29" i="14" s="1"/>
  <c r="T29" i="14" s="1"/>
  <c r="V29" i="14" s="1"/>
  <c r="B30" i="14"/>
  <c r="C30" i="14" s="1"/>
  <c r="T30" i="14" s="1"/>
  <c r="V30" i="14" s="1"/>
  <c r="B31" i="14"/>
  <c r="C31" i="14" s="1"/>
  <c r="T31" i="14" s="1"/>
  <c r="V31" i="14" s="1"/>
  <c r="B32" i="14"/>
  <c r="C32" i="14" s="1"/>
  <c r="T32" i="14" s="1"/>
  <c r="V32" i="14" s="1"/>
  <c r="B34" i="14"/>
  <c r="C34" i="14" s="1"/>
  <c r="T34" i="14" s="1"/>
  <c r="V34" i="14" s="1"/>
  <c r="B35" i="14"/>
  <c r="C35" i="14" s="1"/>
  <c r="T35" i="14" s="1"/>
  <c r="V35" i="14" s="1"/>
  <c r="B28" i="14"/>
  <c r="C28" i="14" s="1"/>
  <c r="T28" i="14" s="1"/>
  <c r="V28" i="14" s="1"/>
  <c r="B23" i="14"/>
  <c r="C23" i="14" s="1"/>
  <c r="T23" i="14" s="1"/>
  <c r="V23" i="14" s="1"/>
  <c r="B24" i="14"/>
  <c r="C24" i="14" s="1"/>
  <c r="T24" i="14" s="1"/>
  <c r="V24" i="14" s="1"/>
  <c r="B25" i="14"/>
  <c r="C25" i="14" s="1"/>
  <c r="T25" i="14" s="1"/>
  <c r="V25" i="14" s="1"/>
  <c r="B26" i="14"/>
  <c r="C26" i="14" s="1"/>
  <c r="T26" i="14" s="1"/>
  <c r="V26" i="14" s="1"/>
  <c r="B18" i="14"/>
  <c r="C18" i="14" s="1"/>
  <c r="T18" i="14" s="1"/>
  <c r="V18" i="14" s="1"/>
  <c r="B19" i="14"/>
  <c r="C19" i="14" s="1"/>
  <c r="T19" i="14" s="1"/>
  <c r="V19" i="14" s="1"/>
  <c r="B20" i="14"/>
  <c r="C20" i="14" s="1"/>
  <c r="T20" i="14" s="1"/>
  <c r="V20" i="14" s="1"/>
  <c r="B17" i="14"/>
  <c r="C17" i="14" s="1"/>
  <c r="T17" i="14" s="1"/>
  <c r="V17" i="14" s="1"/>
  <c r="B15" i="14"/>
  <c r="C15" i="14" s="1"/>
  <c r="T15" i="14" s="1"/>
  <c r="V15" i="14" s="1"/>
  <c r="B3" i="14"/>
  <c r="B4" i="14"/>
  <c r="C4" i="14" s="1"/>
  <c r="T4" i="14" s="1"/>
  <c r="B2" i="14"/>
  <c r="C2" i="14" s="1"/>
  <c r="T2" i="14" s="1"/>
  <c r="I17" i="10"/>
  <c r="J17" i="10" s="1"/>
  <c r="I18" i="10"/>
  <c r="J18" i="10" s="1"/>
  <c r="G30" i="10" s="1"/>
  <c r="I19" i="10"/>
  <c r="J19" i="10" s="1"/>
  <c r="F31" i="10" s="1"/>
  <c r="I20" i="10"/>
  <c r="J20" i="10" s="1"/>
  <c r="F32" i="10" s="1"/>
  <c r="I21" i="10"/>
  <c r="J21" i="10" s="1"/>
  <c r="I22" i="10"/>
  <c r="J22" i="10" s="1"/>
  <c r="G34" i="10" s="1"/>
  <c r="I23" i="10"/>
  <c r="J23" i="10" s="1"/>
  <c r="G35" i="10" s="1"/>
  <c r="I24" i="10"/>
  <c r="J24" i="10" s="1"/>
  <c r="F36" i="10" s="1"/>
  <c r="I16" i="10"/>
  <c r="J16" i="10" s="1"/>
  <c r="I20" i="14" l="1"/>
  <c r="P19" i="14"/>
  <c r="P28" i="14"/>
  <c r="L8" i="14"/>
  <c r="I32" i="14"/>
  <c r="P25" i="14"/>
  <c r="P18" i="14"/>
  <c r="P26" i="14"/>
  <c r="P15" i="14"/>
  <c r="L7" i="14"/>
  <c r="Q7" i="14" s="1"/>
  <c r="I23" i="14"/>
  <c r="I39" i="14"/>
  <c r="P34" i="14"/>
  <c r="P24" i="14"/>
  <c r="L34" i="14"/>
  <c r="I24" i="14"/>
  <c r="I12" i="14"/>
  <c r="P10" i="14"/>
  <c r="P37" i="14"/>
  <c r="L4" i="14"/>
  <c r="L29" i="14"/>
  <c r="I18" i="14"/>
  <c r="L19" i="14"/>
  <c r="Q19" i="14" s="1"/>
  <c r="I10" i="14"/>
  <c r="I28" i="14"/>
  <c r="P31" i="14"/>
  <c r="P40" i="14"/>
  <c r="L3" i="14"/>
  <c r="L24" i="14"/>
  <c r="Q24" i="14" s="1"/>
  <c r="I15" i="14"/>
  <c r="I2" i="14"/>
  <c r="I9" i="14"/>
  <c r="P17" i="14"/>
  <c r="P30" i="14"/>
  <c r="P39" i="14"/>
  <c r="L12" i="14"/>
  <c r="L39" i="14"/>
  <c r="Q3" i="14"/>
  <c r="L6" i="14"/>
  <c r="M10" i="14"/>
  <c r="M18" i="14"/>
  <c r="M32" i="14"/>
  <c r="M28" i="14"/>
  <c r="L37" i="14"/>
  <c r="Q37" i="14" s="1"/>
  <c r="M6" i="14"/>
  <c r="L10" i="14"/>
  <c r="M15" i="14"/>
  <c r="Q15" i="14" s="1"/>
  <c r="L18" i="14"/>
  <c r="L32" i="14"/>
  <c r="L28" i="14"/>
  <c r="M37" i="14"/>
  <c r="Q38" i="14"/>
  <c r="L2" i="14"/>
  <c r="Q2" i="14" s="1"/>
  <c r="M13" i="14"/>
  <c r="M9" i="14"/>
  <c r="L17" i="14"/>
  <c r="L23" i="14"/>
  <c r="M31" i="14"/>
  <c r="M26" i="14"/>
  <c r="M40" i="14"/>
  <c r="M2" i="14"/>
  <c r="L13" i="14"/>
  <c r="Q13" i="14" s="1"/>
  <c r="L9" i="14"/>
  <c r="Q9" i="14" s="1"/>
  <c r="M17" i="14"/>
  <c r="M23" i="14"/>
  <c r="L31" i="14"/>
  <c r="Q31" i="14" s="1"/>
  <c r="L26" i="14"/>
  <c r="Q26" i="14" s="1"/>
  <c r="L40" i="14"/>
  <c r="Q40" i="14" s="1"/>
  <c r="M4" i="14"/>
  <c r="M12" i="14"/>
  <c r="M8" i="14"/>
  <c r="Q8" i="14" s="1"/>
  <c r="M20" i="14"/>
  <c r="M35" i="14"/>
  <c r="M30" i="14"/>
  <c r="M25" i="14"/>
  <c r="Q25" i="14" s="1"/>
  <c r="M39" i="14"/>
  <c r="Q39" i="14" s="1"/>
  <c r="L20" i="14"/>
  <c r="L35" i="14"/>
  <c r="Q35" i="14" s="1"/>
  <c r="L30" i="14"/>
  <c r="M11" i="14"/>
  <c r="Q11" i="14" s="1"/>
  <c r="M34" i="14"/>
  <c r="M29" i="14"/>
  <c r="Q29" i="14" s="1"/>
  <c r="H39" i="10"/>
  <c r="F28" i="10"/>
  <c r="G28" i="10"/>
  <c r="F33" i="10"/>
  <c r="G33" i="10"/>
  <c r="F29" i="10"/>
  <c r="G29" i="10"/>
  <c r="H40" i="10"/>
  <c r="F34" i="10"/>
  <c r="F30" i="10"/>
  <c r="G36" i="10"/>
  <c r="G32" i="10"/>
  <c r="F35" i="10"/>
  <c r="G31" i="10"/>
  <c r="I45" i="14"/>
  <c r="I46" i="14"/>
  <c r="I47" i="14"/>
  <c r="I48" i="14"/>
  <c r="I49" i="14"/>
  <c r="I44" i="14"/>
  <c r="G45" i="14"/>
  <c r="G46" i="14"/>
  <c r="G47" i="14"/>
  <c r="G48" i="14"/>
  <c r="G49" i="14"/>
  <c r="G44" i="14"/>
  <c r="Q12" i="14" l="1"/>
  <c r="Q10" i="14"/>
  <c r="Q20" i="14"/>
  <c r="Q4" i="14"/>
  <c r="Q34" i="14"/>
  <c r="Q32" i="14"/>
  <c r="J49" i="14"/>
  <c r="Q28" i="14"/>
  <c r="J44" i="14"/>
  <c r="Q17" i="14"/>
  <c r="Q18" i="14"/>
  <c r="Q23" i="14"/>
  <c r="J46" i="14"/>
  <c r="D10" i="14" s="1"/>
  <c r="S10" i="14" s="1"/>
  <c r="X10" i="14" s="1"/>
  <c r="J45" i="14"/>
  <c r="Q30" i="14"/>
  <c r="Q6" i="14"/>
  <c r="J48" i="14"/>
  <c r="J47" i="14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L14" i="11" s="1"/>
  <c r="K15" i="11"/>
  <c r="L15" i="11" s="1"/>
  <c r="K5" i="11"/>
  <c r="L5" i="11" s="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L3" i="11"/>
  <c r="L4" i="11"/>
  <c r="L2" i="11"/>
  <c r="E40" i="6"/>
  <c r="D42" i="6"/>
  <c r="D40" i="6"/>
  <c r="G40" i="6" s="1"/>
  <c r="F5" i="12"/>
  <c r="F4" i="12"/>
  <c r="K4" i="12" s="1"/>
  <c r="F3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D4" i="12"/>
  <c r="I4" i="12" s="1"/>
  <c r="D5" i="12"/>
  <c r="I5" i="12" s="1"/>
  <c r="D3" i="12"/>
  <c r="H4" i="12"/>
  <c r="J4" i="12"/>
  <c r="H5" i="12"/>
  <c r="J5" i="12"/>
  <c r="K5" i="12"/>
  <c r="H6" i="12"/>
  <c r="I6" i="12"/>
  <c r="J6" i="12"/>
  <c r="K6" i="12"/>
  <c r="H7" i="12"/>
  <c r="J7" i="12"/>
  <c r="K7" i="12"/>
  <c r="H8" i="12"/>
  <c r="J8" i="12"/>
  <c r="K8" i="12"/>
  <c r="H9" i="12"/>
  <c r="J9" i="12"/>
  <c r="K9" i="12"/>
  <c r="H10" i="12"/>
  <c r="J10" i="12"/>
  <c r="K10" i="12"/>
  <c r="H11" i="12"/>
  <c r="J11" i="12"/>
  <c r="K11" i="12"/>
  <c r="H12" i="12"/>
  <c r="J12" i="12"/>
  <c r="K12" i="12"/>
  <c r="H13" i="12"/>
  <c r="J13" i="12"/>
  <c r="K13" i="12"/>
  <c r="H14" i="12"/>
  <c r="J14" i="12"/>
  <c r="K14" i="12"/>
  <c r="H15" i="12"/>
  <c r="J15" i="12"/>
  <c r="K15" i="12"/>
  <c r="H16" i="12"/>
  <c r="J16" i="12"/>
  <c r="K16" i="12"/>
  <c r="H17" i="12"/>
  <c r="J17" i="12"/>
  <c r="K17" i="12"/>
  <c r="H18" i="12"/>
  <c r="J18" i="12"/>
  <c r="K18" i="12"/>
  <c r="H19" i="12"/>
  <c r="J19" i="12"/>
  <c r="K19" i="12"/>
  <c r="H20" i="12"/>
  <c r="J20" i="12"/>
  <c r="K20" i="12"/>
  <c r="H21" i="12"/>
  <c r="J21" i="12"/>
  <c r="K21" i="12"/>
  <c r="H22" i="12"/>
  <c r="J22" i="12"/>
  <c r="K22" i="12"/>
  <c r="H23" i="12"/>
  <c r="J23" i="12"/>
  <c r="K23" i="12"/>
  <c r="H24" i="12"/>
  <c r="J24" i="12"/>
  <c r="K24" i="12"/>
  <c r="H25" i="12"/>
  <c r="J25" i="12"/>
  <c r="K25" i="12"/>
  <c r="H26" i="12"/>
  <c r="J26" i="12"/>
  <c r="K26" i="12"/>
  <c r="H27" i="12"/>
  <c r="J27" i="12"/>
  <c r="K27" i="12"/>
  <c r="J3" i="12"/>
  <c r="K3" i="12"/>
  <c r="H3" i="12"/>
  <c r="G16" i="10"/>
  <c r="G17" i="10"/>
  <c r="G18" i="10"/>
  <c r="G19" i="10"/>
  <c r="G20" i="10"/>
  <c r="G21" i="10"/>
  <c r="G22" i="10"/>
  <c r="G23" i="10"/>
  <c r="G24" i="10"/>
  <c r="D37" i="14" l="1"/>
  <c r="S37" i="14" s="1"/>
  <c r="X37" i="14" s="1"/>
  <c r="D40" i="14"/>
  <c r="S40" i="14" s="1"/>
  <c r="X40" i="14" s="1"/>
  <c r="D25" i="14"/>
  <c r="S25" i="14" s="1"/>
  <c r="X25" i="14" s="1"/>
  <c r="D13" i="14"/>
  <c r="S13" i="14" s="1"/>
  <c r="X13" i="14" s="1"/>
  <c r="D6" i="14"/>
  <c r="S6" i="14" s="1"/>
  <c r="X6" i="14" s="1"/>
  <c r="D8" i="14"/>
  <c r="S8" i="14" s="1"/>
  <c r="X8" i="14" s="1"/>
  <c r="D11" i="14"/>
  <c r="S11" i="14" s="1"/>
  <c r="X11" i="14" s="1"/>
  <c r="D9" i="14"/>
  <c r="S9" i="14" s="1"/>
  <c r="X9" i="14" s="1"/>
  <c r="D29" i="14"/>
  <c r="S29" i="14" s="1"/>
  <c r="X29" i="14" s="1"/>
  <c r="D2" i="14"/>
  <c r="S2" i="14" s="1"/>
  <c r="D39" i="14"/>
  <c r="S39" i="14" s="1"/>
  <c r="X39" i="14" s="1"/>
  <c r="D3" i="14"/>
  <c r="S3" i="14" s="1"/>
  <c r="D34" i="14"/>
  <c r="S34" i="14" s="1"/>
  <c r="X34" i="14" s="1"/>
  <c r="D17" i="14"/>
  <c r="S17" i="14" s="1"/>
  <c r="X17" i="14" s="1"/>
  <c r="D7" i="14"/>
  <c r="S7" i="14" s="1"/>
  <c r="X7" i="14" s="1"/>
  <c r="D18" i="14"/>
  <c r="S18" i="14" s="1"/>
  <c r="X18" i="14" s="1"/>
  <c r="D24" i="14"/>
  <c r="S24" i="14" s="1"/>
  <c r="X24" i="14" s="1"/>
  <c r="D32" i="14"/>
  <c r="S32" i="14" s="1"/>
  <c r="X32" i="14" s="1"/>
  <c r="D19" i="14"/>
  <c r="S19" i="14" s="1"/>
  <c r="X19" i="14" s="1"/>
  <c r="D23" i="14"/>
  <c r="S23" i="14" s="1"/>
  <c r="X23" i="14" s="1"/>
  <c r="D20" i="14"/>
  <c r="S20" i="14" s="1"/>
  <c r="X20" i="14" s="1"/>
  <c r="D28" i="14"/>
  <c r="D38" i="14"/>
  <c r="S38" i="14" s="1"/>
  <c r="X38" i="14" s="1"/>
  <c r="D12" i="14"/>
  <c r="S12" i="14" s="1"/>
  <c r="X12" i="14" s="1"/>
  <c r="D31" i="14"/>
  <c r="S31" i="14" s="1"/>
  <c r="X31" i="14" s="1"/>
  <c r="D35" i="14"/>
  <c r="S35" i="14" s="1"/>
  <c r="X35" i="14" s="1"/>
  <c r="D4" i="14"/>
  <c r="S4" i="14" s="1"/>
  <c r="S28" i="14"/>
  <c r="X28" i="14" s="1"/>
  <c r="D15" i="14"/>
  <c r="S15" i="14" s="1"/>
  <c r="X15" i="14" s="1"/>
  <c r="D26" i="14"/>
  <c r="S26" i="14" s="1"/>
  <c r="X26" i="14" s="1"/>
  <c r="D30" i="14"/>
  <c r="S30" i="14" s="1"/>
  <c r="X30" i="14" s="1"/>
  <c r="C124" i="6"/>
  <c r="D124" i="6" s="1"/>
  <c r="F128" i="6"/>
  <c r="C78" i="6"/>
  <c r="D78" i="6" s="1"/>
  <c r="C77" i="6"/>
  <c r="D70" i="6"/>
  <c r="D69" i="6"/>
  <c r="C71" i="6"/>
  <c r="D71" i="6" s="1"/>
  <c r="G71" i="6" s="1"/>
  <c r="E59" i="9"/>
  <c r="E57" i="9"/>
  <c r="E58" i="9"/>
  <c r="B63" i="9" s="1"/>
  <c r="D133" i="6"/>
  <c r="D134" i="6"/>
  <c r="C132" i="6"/>
  <c r="D132" i="6" s="1"/>
  <c r="H24" i="10"/>
  <c r="F24" i="10"/>
  <c r="L3" i="10"/>
  <c r="L4" i="10"/>
  <c r="L5" i="10"/>
  <c r="L6" i="10"/>
  <c r="L7" i="10"/>
  <c r="L8" i="10"/>
  <c r="L9" i="10"/>
  <c r="L10" i="10"/>
  <c r="L2" i="10"/>
  <c r="K3" i="10"/>
  <c r="K4" i="10"/>
  <c r="K5" i="10"/>
  <c r="K6" i="10"/>
  <c r="K7" i="10"/>
  <c r="K8" i="10"/>
  <c r="K9" i="10"/>
  <c r="K10" i="10"/>
  <c r="J3" i="10"/>
  <c r="J4" i="10"/>
  <c r="J5" i="10"/>
  <c r="J6" i="10"/>
  <c r="J7" i="10"/>
  <c r="J8" i="10"/>
  <c r="J9" i="10"/>
  <c r="J10" i="10"/>
  <c r="K2" i="10"/>
  <c r="J2" i="10"/>
  <c r="I2" i="10"/>
  <c r="I4" i="10"/>
  <c r="I5" i="10"/>
  <c r="I6" i="10"/>
  <c r="I7" i="10"/>
  <c r="I8" i="10"/>
  <c r="I9" i="10"/>
  <c r="I10" i="10"/>
  <c r="I3" i="10"/>
  <c r="C107" i="6"/>
  <c r="D106" i="6"/>
  <c r="D97" i="6"/>
  <c r="D96" i="6"/>
  <c r="D95" i="6"/>
  <c r="D94" i="6"/>
  <c r="C60" i="6"/>
  <c r="D59" i="6"/>
  <c r="C54" i="6"/>
  <c r="D53" i="6"/>
  <c r="D41" i="6"/>
  <c r="C48" i="6"/>
  <c r="D47" i="6"/>
  <c r="E69" i="6" l="1"/>
  <c r="E70" i="6"/>
  <c r="C86" i="6"/>
  <c r="C135" i="6"/>
  <c r="D135" i="6" s="1"/>
  <c r="G135" i="6" s="1"/>
  <c r="E18" i="6"/>
  <c r="E19" i="6"/>
  <c r="E20" i="6"/>
  <c r="E17" i="6"/>
  <c r="D21" i="6"/>
  <c r="F23" i="10"/>
  <c r="F17" i="10"/>
  <c r="F18" i="10"/>
  <c r="F19" i="10"/>
  <c r="F20" i="10"/>
  <c r="F21" i="10"/>
  <c r="F22" i="10"/>
  <c r="F16" i="10"/>
  <c r="F21" i="6"/>
  <c r="D15" i="6"/>
  <c r="G21" i="6" l="1"/>
  <c r="E134" i="6"/>
  <c r="E133" i="6"/>
  <c r="E21" i="6"/>
  <c r="E132" i="6"/>
  <c r="E54" i="9"/>
  <c r="E53" i="9"/>
  <c r="E52" i="9"/>
  <c r="E78" i="9"/>
  <c r="E77" i="9"/>
  <c r="B83" i="9" s="1"/>
  <c r="E76" i="9"/>
  <c r="B81" i="9" s="1"/>
  <c r="E49" i="9"/>
  <c r="E48" i="9"/>
  <c r="E47" i="9"/>
  <c r="H23" i="10"/>
  <c r="E72" i="9"/>
  <c r="E71" i="9"/>
  <c r="E70" i="9"/>
  <c r="B82" i="9" s="1"/>
  <c r="F86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B64" i="9" l="1"/>
  <c r="H135" i="6"/>
  <c r="B84" i="9"/>
  <c r="B65" i="9"/>
  <c r="B66" i="9"/>
  <c r="E135" i="6"/>
  <c r="D35" i="6"/>
  <c r="C36" i="6"/>
  <c r="E35" i="6" s="1"/>
  <c r="C27" i="6"/>
  <c r="D27" i="6" s="1"/>
  <c r="G27" i="6" s="1"/>
  <c r="D26" i="6"/>
  <c r="D25" i="6"/>
  <c r="C11" i="6"/>
  <c r="E10" i="6" s="1"/>
  <c r="E11" i="6" s="1"/>
  <c r="D114" i="6"/>
  <c r="G128" i="6" s="1"/>
  <c r="D105" i="6"/>
  <c r="D100" i="6"/>
  <c r="G100" i="6" s="1"/>
  <c r="D92" i="6"/>
  <c r="G92" i="6" s="1"/>
  <c r="D77" i="6"/>
  <c r="D74" i="6"/>
  <c r="G74" i="6" s="1"/>
  <c r="D64" i="6"/>
  <c r="G65" i="6" s="1"/>
  <c r="D58" i="6"/>
  <c r="D52" i="6"/>
  <c r="D46" i="6"/>
  <c r="D34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E41" i="6"/>
  <c r="D86" i="6" l="1"/>
  <c r="E77" i="6" s="1"/>
  <c r="G117" i="6"/>
  <c r="G118" i="6"/>
  <c r="G119" i="6"/>
  <c r="G120" i="6"/>
  <c r="G121" i="6"/>
  <c r="C123" i="6" s="1"/>
  <c r="G116" i="6"/>
  <c r="D107" i="6"/>
  <c r="D54" i="6"/>
  <c r="E52" i="6" s="1"/>
  <c r="D60" i="6"/>
  <c r="E58" i="6" s="1"/>
  <c r="D48" i="6"/>
  <c r="E46" i="6" s="1"/>
  <c r="E34" i="6"/>
  <c r="E36" i="6" s="1"/>
  <c r="D11" i="6"/>
  <c r="G10" i="6" s="1"/>
  <c r="D36" i="6"/>
  <c r="G36" i="6" s="1"/>
  <c r="E25" i="6"/>
  <c r="E26" i="6"/>
  <c r="H40" i="8"/>
  <c r="I40" i="8" s="1"/>
  <c r="I3" i="8"/>
  <c r="G122" i="6" l="1"/>
  <c r="G86" i="6"/>
  <c r="E78" i="6"/>
  <c r="J86" i="6" s="1"/>
  <c r="G107" i="6"/>
  <c r="E106" i="6"/>
  <c r="E105" i="6"/>
  <c r="G60" i="6"/>
  <c r="E59" i="6"/>
  <c r="E60" i="6" s="1"/>
  <c r="G48" i="6"/>
  <c r="E47" i="6"/>
  <c r="E48" i="6" s="1"/>
  <c r="G54" i="6"/>
  <c r="E53" i="6"/>
  <c r="E54" i="6" s="1"/>
  <c r="E27" i="6"/>
  <c r="E29" i="6" s="1"/>
  <c r="C122" i="6" l="1"/>
  <c r="D123" i="6"/>
  <c r="H86" i="6"/>
  <c r="I86" i="6"/>
  <c r="E107" i="6"/>
  <c r="H107" i="6"/>
  <c r="I107" i="6"/>
  <c r="D122" i="6" l="1"/>
  <c r="E124" i="6" s="1"/>
  <c r="E123" i="6" l="1"/>
  <c r="H122" i="6" s="1"/>
  <c r="V3" i="14" l="1"/>
  <c r="X3" i="14" s="1"/>
  <c r="V4" i="14"/>
  <c r="X4" i="14" s="1"/>
  <c r="V2" i="14"/>
  <c r="X2" i="14" s="1"/>
</calcChain>
</file>

<file path=xl/sharedStrings.xml><?xml version="1.0" encoding="utf-8"?>
<sst xmlns="http://schemas.openxmlformats.org/spreadsheetml/2006/main" count="1453" uniqueCount="653">
  <si>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</si>
  <si>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</si>
  <si>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</si>
  <si>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</si>
  <si>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</si>
  <si>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</si>
  <si>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</si>
  <si>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</si>
  <si>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</si>
  <si>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</si>
  <si>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</si>
  <si>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</si>
  <si>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</si>
  <si>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</si>
  <si>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</si>
  <si>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</si>
  <si>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</si>
  <si>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</si>
  <si>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</si>
  <si>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</si>
  <si>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</si>
  <si>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</si>
  <si>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</si>
  <si>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</si>
  <si>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</si>
  <si>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</si>
  <si>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</si>
  <si>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</si>
  <si>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</si>
  <si>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</si>
  <si>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</si>
  <si>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</si>
  <si>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</si>
  <si>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</si>
  <si>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</si>
  <si>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</si>
  <si>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</si>
  <si>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</si>
  <si>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</si>
  <si>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</si>
  <si>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</si>
  <si>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</si>
  <si>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</si>
  <si>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</si>
  <si>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</si>
  <si>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</si>
  <si>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</si>
  <si>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</si>
  <si>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</si>
  <si>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</si>
  <si>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</si>
  <si>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</si>
  <si>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</si>
  <si>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</si>
  <si>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</si>
  <si>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</si>
  <si>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</si>
  <si>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</si>
  <si>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</si>
  <si>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</si>
  <si>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</si>
  <si>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</si>
  <si>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</si>
  <si>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</si>
  <si>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</si>
  <si>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</si>
  <si>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</si>
  <si>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</si>
  <si>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</si>
  <si>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</si>
  <si>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</si>
  <si>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</si>
  <si>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</si>
  <si>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</si>
  <si>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</si>
  <si>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</si>
  <si>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Top PL PCB</t>
  </si>
  <si>
    <t>Bot PL PCB++</t>
  </si>
  <si>
    <t>Notes: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</si>
  <si>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</si>
  <si>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</si>
  <si>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</si>
  <si>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</si>
  <si>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</si>
  <si>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</si>
  <si>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</si>
  <si>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</si>
  <si>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</si>
  <si>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</si>
  <si>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</si>
  <si>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</si>
  <si>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</si>
  <si>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</si>
  <si>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</si>
  <si>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</si>
  <si>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</si>
  <si>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</si>
  <si>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</si>
  <si>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</si>
  <si>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</si>
  <si>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</si>
  <si>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</si>
  <si>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</si>
  <si>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</si>
  <si>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</si>
  <si>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</si>
  <si>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</si>
  <si>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</si>
  <si>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</si>
  <si>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</si>
  <si>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</si>
  <si>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</si>
  <si>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</si>
  <si>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</si>
  <si>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</si>
  <si>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</si>
  <si>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</si>
  <si>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</si>
  <si>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</si>
  <si>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</si>
  <si>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</si>
  <si>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</si>
  <si>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</si>
  <si>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</si>
  <si>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</si>
  <si>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</si>
  <si>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</si>
  <si>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</si>
  <si>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</si>
  <si>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</si>
  <si>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</si>
  <si>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</si>
  <si>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</si>
  <si>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</si>
  <si>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</si>
  <si>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</si>
  <si>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</si>
  <si>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</si>
  <si>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</si>
  <si>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</si>
  <si>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</si>
  <si>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</si>
  <si>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</si>
  <si>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</si>
  <si>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</si>
  <si>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</si>
  <si>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</si>
  <si>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</si>
  <si>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Y+ Mag PCB +</t>
  </si>
  <si>
    <t>AOCS PCB+</t>
  </si>
  <si>
    <t>EPS PCB +</t>
  </si>
  <si>
    <t>OCB-COMMS PCB+</t>
  </si>
  <si>
    <t>+ (With components)</t>
  </si>
  <si>
    <t>Inner Connectors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</si>
  <si>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</si>
  <si>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</si>
  <si>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</si>
  <si>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</si>
  <si>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</si>
  <si>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</si>
  <si>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</si>
  <si>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</si>
  <si>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</si>
  <si>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</si>
  <si>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</si>
  <si>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</si>
  <si>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</si>
  <si>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</si>
  <si>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</si>
  <si>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</si>
  <si>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</si>
  <si>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</si>
  <si>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</si>
  <si>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</si>
  <si>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</si>
  <si>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</si>
  <si>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</si>
  <si>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</si>
  <si>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</si>
  <si>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</si>
  <si>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</si>
  <si>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</si>
  <si>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</si>
  <si>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</si>
  <si>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</si>
  <si>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</si>
  <si>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</si>
  <si>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</si>
  <si>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</si>
  <si>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</si>
  <si>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</si>
  <si>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</si>
  <si>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</si>
  <si>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</si>
  <si>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</si>
  <si>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</si>
  <si>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</si>
  <si>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</si>
  <si>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</si>
  <si>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</si>
  <si>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</si>
  <si>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</si>
  <si>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</si>
  <si>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</si>
  <si>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</si>
  <si>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</si>
  <si>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</si>
  <si>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</si>
  <si>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</si>
  <si>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</si>
  <si>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</si>
  <si>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</si>
  <si>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</si>
  <si>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</si>
  <si>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</si>
  <si>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</si>
  <si>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</si>
  <si>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</si>
  <si>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</si>
  <si>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</si>
  <si>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</si>
  <si>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</si>
  <si>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</si>
  <si>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</si>
  <si>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</si>
  <si>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</si>
  <si>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</si>
  <si>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</si>
  <si>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</si>
  <si>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</si>
  <si>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</si>
  <si>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</si>
  <si>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</si>
  <si>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</si>
  <si>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</si>
  <si>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</si>
  <si>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</si>
  <si>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</si>
  <si>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</si>
  <si>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</si>
  <si>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</si>
  <si>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</si>
  <si>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</si>
  <si>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</si>
  <si>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</si>
  <si>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</si>
  <si>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White Paint</t>
  </si>
  <si>
    <t>Black Coat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</si>
  <si>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</si>
  <si>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</si>
  <si>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</si>
  <si>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</si>
  <si>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</si>
  <si>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</si>
  <si>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RSV (QFN, 16)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</si>
  <si>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</si>
  <si>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</si>
  <si>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</si>
  <si>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</si>
  <si>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</si>
  <si>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</si>
  <si>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</si>
  <si>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</si>
  <si>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</si>
  <si>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</si>
  <si>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</si>
  <si>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</si>
  <si>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</si>
  <si>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</si>
  <si>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</si>
  <si>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</si>
  <si>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</si>
  <si>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</si>
  <si>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</si>
  <si>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</si>
  <si>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</si>
  <si>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</si>
  <si>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</si>
  <si>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</si>
  <si>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</si>
  <si>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</si>
  <si>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</si>
  <si>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</si>
  <si>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</si>
  <si>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</si>
  <si>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</si>
  <si>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</si>
  <si>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</si>
  <si>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</si>
  <si>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</si>
  <si>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</si>
  <si>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</si>
  <si>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</si>
  <si>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</si>
  <si>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</si>
  <si>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</si>
  <si>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</si>
  <si>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</si>
  <si>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</si>
  <si>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</si>
  <si>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</si>
  <si>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</si>
  <si>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</si>
  <si>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</si>
  <si>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</si>
  <si>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</si>
  <si>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</si>
  <si>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</si>
  <si>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</si>
  <si>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</si>
  <si>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</si>
  <si>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</si>
  <si>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</si>
  <si>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</si>
  <si>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</si>
  <si>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</si>
  <si>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</si>
  <si>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</si>
  <si>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Custom</t>
  </si>
  <si>
    <t>Init</t>
  </si>
  <si>
    <t>Nominal</t>
  </si>
  <si>
    <t>Contingency</t>
  </si>
  <si>
    <t>Survival</t>
  </si>
  <si>
    <t>Power Consumption (W)</t>
  </si>
  <si>
    <t>Power Consumption (mW)</t>
  </si>
  <si>
    <t>Measuring</t>
  </si>
  <si>
    <t>HASL (w Lead)</t>
  </si>
  <si>
    <t>https://en.wikipedia.org/wiki/FR-4</t>
  </si>
  <si>
    <t>https://www.matweb.com/search/DataSheet.aspx?MatGUID=9aebe83845c04c1db5126fada6f76f7e</t>
  </si>
  <si>
    <t>https://www.matweb.com/search/DataSheet.aspx?MatGUID=4d14eac958e5401a8fd152e1261b6843&amp;ckck=1</t>
  </si>
  <si>
    <t>https://www.matweb.com/search/datasheet_print.aspx?matguid=e2147b8f727343b0b0d51efe02a6127e</t>
  </si>
  <si>
    <t>https://www.matweb.com/search/datasheet.aspx?MatGUID=4f19a42be94546b686bbf43f79c51b7d</t>
  </si>
  <si>
    <t>https://www.rogerscorp.com/advanced-electronics-solutions/rt-duroid-laminates/rt-duroid-5880-laminates</t>
  </si>
  <si>
    <t>3Cat4</t>
  </si>
  <si>
    <t>unused</t>
  </si>
  <si>
    <t>https://www.matweb.com/search/DataSheet.aspx?MatGUID=64d7cf04332e428dbca9f755f4624a6c</t>
  </si>
  <si>
    <t>Estimation, density computed</t>
  </si>
  <si>
    <t>Placeholder values</t>
  </si>
  <si>
    <t>https://www.matweb.com/search/datasheettext.aspx?matguid=ff0c4419106b43daa306ceb3f95602df</t>
  </si>
  <si>
    <t>https://www.matweb.com/search/DataSheet.aspx?MatGUID=79875d1b30c94af39029470988004fb6</t>
  </si>
  <si>
    <t>https://www.matweb.com/search/DataSheet.aspx?MatGUID=029a4ff04bdc46d5906b29e0a36dba36</t>
  </si>
  <si>
    <t>https://www.matweb.com/search/DataSheet.aspx?MatGUID=eb7a78f5948d481c9493a67f0d089646</t>
  </si>
  <si>
    <t>https://www.engineeringtoolbox.com/emissivity-coefficients-d_447.html</t>
  </si>
  <si>
    <t>https://techsil.s3.eu-west-2.amazonaws.com/TE/TDS/MGEN00013-tds.pdf</t>
  </si>
  <si>
    <t>https://docs.google.com/spreadsheets/d/1R_e9xFnfJCxb2qx-rbQt-H134XDJjOBhBHsxn7WTe3M/edit?gid=0#gid=0</t>
  </si>
  <si>
    <t>Source:</t>
  </si>
  <si>
    <t>KiCad PQ Hardware</t>
  </si>
  <si>
    <t>https://www.ti.com/lit/ds/symlink/lpv542.pdf?ts=1745484415972&amp;ref_url=https%253A%252F%252Fwww.ti.com%252Fproduct%252Fes-mx%252FLPV542</t>
  </si>
  <si>
    <t>SQFN016V4040 (16 PIN)</t>
  </si>
  <si>
    <t>LGA (14 PIN)</t>
  </si>
  <si>
    <t>X1SON (8 PIN)</t>
  </si>
  <si>
    <t>ILSP (16)</t>
  </si>
  <si>
    <t>n</t>
  </si>
  <si>
    <t>h (mm)</t>
  </si>
  <si>
    <t>w (mm)</t>
  </si>
  <si>
    <t>RJB (°C/W)</t>
  </si>
  <si>
    <t>Thermal Pad (mm^2)</t>
  </si>
  <si>
    <t>From the known RJB on the first component (LPV) the rest are computed by weighting pin area.</t>
  </si>
  <si>
    <t>UDC= User Defined Conductor</t>
  </si>
  <si>
    <t>AOCS_J_MTQ</t>
  </si>
  <si>
    <t>AOCS_to_J1EPS</t>
  </si>
  <si>
    <t>AOCS_to_J2EPS</t>
  </si>
  <si>
    <t>AOCS_to_J3EPS</t>
  </si>
  <si>
    <t>AOCS_to_J4EPS</t>
  </si>
  <si>
    <t>AOCS_to_Spacer_EPS1</t>
  </si>
  <si>
    <t>AOCS_to_Spacer_EPS2</t>
  </si>
  <si>
    <t>AOCS_to_Spacer_EPS3</t>
  </si>
  <si>
    <t>AOCS_to_Spacer_EPS4</t>
  </si>
  <si>
    <t>BattSpacer1_to_AOCS</t>
  </si>
  <si>
    <t>BattSpacer1_to_MQT</t>
  </si>
  <si>
    <t>BattSpacer2_to_AOCS</t>
  </si>
  <si>
    <t>BattSpacer2_to_MQT</t>
  </si>
  <si>
    <t>BattSpacer3_to_AOCS</t>
  </si>
  <si>
    <t>BattSpacer3_to_MQT</t>
  </si>
  <si>
    <t>BattSpacer4_to_AOCS</t>
  </si>
  <si>
    <t>BattSpacer4_to_MQT</t>
  </si>
  <si>
    <t>BattSupp_L_to_MTQ</t>
  </si>
  <si>
    <t>BattSupp_BM_to_BattStruc_Up</t>
  </si>
  <si>
    <t>BattSupp_BM_to_BattSupp_DB</t>
  </si>
  <si>
    <t>BattSupp_BM_to_BattSupp_L</t>
  </si>
  <si>
    <t>BattSupp_BM_to_BattSupp_R</t>
  </si>
  <si>
    <t>BattSupp_DB_to_BattSupp_L</t>
  </si>
  <si>
    <t>BattSupp_DB_to_BattSupp_R</t>
  </si>
  <si>
    <t>BattSupp_DB_to_Slider_B</t>
  </si>
  <si>
    <t>BattSupp_DB_to_Slider_L</t>
  </si>
  <si>
    <t>BattSupp_DB_to_Slider_R</t>
  </si>
  <si>
    <t>BattSupp_DF_to_BattSupp_L</t>
  </si>
  <si>
    <t>BattSupp_DF_to_BattSupp_R</t>
  </si>
  <si>
    <t>Contact Name</t>
  </si>
  <si>
    <t>Type</t>
  </si>
  <si>
    <t>BattSupp_DF_to_Slider_F</t>
  </si>
  <si>
    <t>BattSupp_DF_to_Slider_L</t>
  </si>
  <si>
    <t>BattSupp_DF_to_Slider_R</t>
  </si>
  <si>
    <t>BattSupp_L_to_BattSupp_Up</t>
  </si>
  <si>
    <t>BattSupp_L_to_Slider_L</t>
  </si>
  <si>
    <t>BattSupp_R_to_BattSupp_Up</t>
  </si>
  <si>
    <t>BattSupp_R_to_Slider_R</t>
  </si>
  <si>
    <t>KSupp_1a_to_1b</t>
  </si>
  <si>
    <t>KSupp_1a_to_mid</t>
  </si>
  <si>
    <t>KSupp_1b_to_mid</t>
  </si>
  <si>
    <t>KSupp_2a_to_2b</t>
  </si>
  <si>
    <t>KSupp_2a_to_mid</t>
  </si>
  <si>
    <t>KSupp_2b_to_mid</t>
  </si>
  <si>
    <t>KSupp_3a_to_3b</t>
  </si>
  <si>
    <t>KSupp_3a_to_PX</t>
  </si>
  <si>
    <t>KSupp_3a_to_mid</t>
  </si>
  <si>
    <t>KSupp_4a_to_4b</t>
  </si>
  <si>
    <t>KSupp_4a_to_mid</t>
  </si>
  <si>
    <t>KSupp_4b_to_Mid</t>
  </si>
  <si>
    <t>KSupp_mid_to_3b</t>
  </si>
  <si>
    <t>KSupp_mid_to_top</t>
  </si>
  <si>
    <t>NX_to_KSupp_1a</t>
  </si>
  <si>
    <t>NX_to_KSupp_1b</t>
  </si>
  <si>
    <t>NX_to_KSupp_2a</t>
  </si>
  <si>
    <t>NX_to_KSupp_Mid</t>
  </si>
  <si>
    <t>NZ_to_KSupp_1a</t>
  </si>
  <si>
    <t>NZ_to_KSupp_4a</t>
  </si>
  <si>
    <t>NZ_to_KSupp_4b</t>
  </si>
  <si>
    <t>NX_to_Slider_L</t>
  </si>
  <si>
    <t>EPS_to_Spacer_AOCS1</t>
  </si>
  <si>
    <t>EPS_to_Spacer_AOCS2</t>
  </si>
  <si>
    <t>EPS_to_Spacer_AOCS3</t>
  </si>
  <si>
    <t>EPS_to_Spacer_AOCS4</t>
  </si>
  <si>
    <t>EPS_to_Spacer_OBC1</t>
  </si>
  <si>
    <t>EPS_to_Spacer_OBC3</t>
  </si>
  <si>
    <t>EPS_to_Spacer_OBC2</t>
  </si>
  <si>
    <t>EPS_to_Spacer_OBC4</t>
  </si>
  <si>
    <t>BattSupp_R_to_MTQ</t>
  </si>
  <si>
    <t>BattSupp_Up_to_MTQ</t>
  </si>
  <si>
    <t>Battery_To_BattSupp_L</t>
  </si>
  <si>
    <t>EPS_to_J1AOCS</t>
  </si>
  <si>
    <t>EPS_to_J1OBC</t>
  </si>
  <si>
    <t>EPS_to_J2AOCS</t>
  </si>
  <si>
    <t>EPS_to_J2OBC</t>
  </si>
  <si>
    <t>EPS_to_J3AOCS</t>
  </si>
  <si>
    <t>EPS_to_J3OBC</t>
  </si>
  <si>
    <t>EPS_to_J4AOCS</t>
  </si>
  <si>
    <t>EPS_to_J4OBC</t>
  </si>
  <si>
    <t>MTQ_J_AOCS</t>
  </si>
  <si>
    <t>NX_to_BattSupp_L</t>
  </si>
  <si>
    <t>NZ_to_BattSupp_BM</t>
  </si>
  <si>
    <t>NZ_to_BattSupp_DB</t>
  </si>
  <si>
    <t>NZ_to_BattSupp_L</t>
  </si>
  <si>
    <t>NZ_to_BattSupp_R</t>
  </si>
  <si>
    <t>NZ_to_BattSupp_Up</t>
  </si>
  <si>
    <t>NZ_to_Slider_B</t>
  </si>
  <si>
    <t>NZ_to_Slider_R</t>
  </si>
  <si>
    <t>OBC_to_J1EPS</t>
  </si>
  <si>
    <t>OBC_to_J1PL</t>
  </si>
  <si>
    <t>OBC_to_J2EPS</t>
  </si>
  <si>
    <t>OBC_to_J2PL</t>
  </si>
  <si>
    <t>OBC_to_J3EPS</t>
  </si>
  <si>
    <t>OBC_to_J3PL</t>
  </si>
  <si>
    <t>OBC_to_J4EPS</t>
  </si>
  <si>
    <t>OBC_to_J4PL</t>
  </si>
  <si>
    <t>OBC_to_Spacer_EPS1</t>
  </si>
  <si>
    <t>OBC_to_Spacer_EPS2</t>
  </si>
  <si>
    <t>OBC_to_Spacer_EPS3</t>
  </si>
  <si>
    <t>OBC_to_Spacer_EPS4</t>
  </si>
  <si>
    <t>OBC_to_Spacer_PL1</t>
  </si>
  <si>
    <t>OBC_to_Spacer_PL2</t>
  </si>
  <si>
    <t>OBC_to_Spacer_PL3</t>
  </si>
  <si>
    <t>OBC_to_Spacer_PL4</t>
  </si>
  <si>
    <t>PLAntenna_to_KSuppTop</t>
  </si>
  <si>
    <t>PL_to_J1OBC</t>
  </si>
  <si>
    <t>PL_to_J2OBC</t>
  </si>
  <si>
    <t>PL_to_J3OBC</t>
  </si>
  <si>
    <t>PL_to_J4OBC</t>
  </si>
  <si>
    <t>PL_to_KSupp1a</t>
  </si>
  <si>
    <t>PL_to_KSupp1b</t>
  </si>
  <si>
    <t>PL_to_KSupp3a</t>
  </si>
  <si>
    <t>PL_to_KSupp3b</t>
  </si>
  <si>
    <t>NZ_to_Ksupp_Mid</t>
  </si>
  <si>
    <t>PL_to_KSupp4b</t>
  </si>
  <si>
    <t>PL_to_KSupp2a</t>
  </si>
  <si>
    <t>PL_to_KSupp2b</t>
  </si>
  <si>
    <t>PL_to_KSupp4a</t>
  </si>
  <si>
    <t>PL_to_Spacer_OBC1</t>
  </si>
  <si>
    <t>PL_to_Spacer_OBC2</t>
  </si>
  <si>
    <t>PL_to_Spacer_OBC3</t>
  </si>
  <si>
    <t>PL_to_Spacer_OBC4</t>
  </si>
  <si>
    <t>PX_to_KSupp_3b</t>
  </si>
  <si>
    <t>PX_to_KSupp_4a</t>
  </si>
  <si>
    <t>PX_to_KSupp_Mid</t>
  </si>
  <si>
    <t>PX_to_Slider_R</t>
  </si>
  <si>
    <t>PZ_to_BattSupp_DF</t>
  </si>
  <si>
    <t>PZ_to_BattSupp_L</t>
  </si>
  <si>
    <t>PZ_to_BattSupp_R</t>
  </si>
  <si>
    <t>PZ_to_BattSupp_Up</t>
  </si>
  <si>
    <t>PZ_to_KSupp2a</t>
  </si>
  <si>
    <t>PZ_to_KSupp_2b</t>
  </si>
  <si>
    <t>PZ_to_KSupp_3a</t>
  </si>
  <si>
    <t>PZ_to_KSupp_Mid</t>
  </si>
  <si>
    <t>PZ_to_Slider_F</t>
  </si>
  <si>
    <t>PZ_to_Slider_L</t>
  </si>
  <si>
    <t>PZ_to_Slider_R</t>
  </si>
  <si>
    <t>Slider_B_to_Bottom</t>
  </si>
  <si>
    <t>Slider_B_to_L</t>
  </si>
  <si>
    <t>Slider_B_to_R</t>
  </si>
  <si>
    <t>Slider_F_to_Bottom</t>
  </si>
  <si>
    <t>Slider_F_to_L</t>
  </si>
  <si>
    <t>Slider_F_to_R</t>
  </si>
  <si>
    <t>Slider_L_to_Bottom</t>
  </si>
  <si>
    <t>Slider_R_to_Bottom</t>
  </si>
  <si>
    <t>Contact</t>
  </si>
  <si>
    <t>NR</t>
  </si>
  <si>
    <t>NC</t>
  </si>
  <si>
    <t>Fused</t>
  </si>
  <si>
    <t>Battety_to_BattSupp_R</t>
  </si>
  <si>
    <t>Battery_to_BattSupp_BM</t>
  </si>
  <si>
    <t>Interface</t>
  </si>
  <si>
    <t>Thickness (m)</t>
  </si>
  <si>
    <t>Axial Force (N)</t>
  </si>
  <si>
    <t>ro (m)</t>
  </si>
  <si>
    <t>v1</t>
  </si>
  <si>
    <t>v2</t>
  </si>
  <si>
    <t>Screw Information</t>
  </si>
  <si>
    <t>Name</t>
  </si>
  <si>
    <t>M2X5 INOX A2 ISO 14580</t>
  </si>
  <si>
    <t>Link</t>
  </si>
  <si>
    <t>https://www.cergy-vis.fr/tchc-m2x20-inox-a2-ef-din-912.html</t>
  </si>
  <si>
    <t>https://www.cergy-vis.fr/tete-basse-torx-m2x5-inox-a2-iso-14580.html</t>
  </si>
  <si>
    <t>https://www.cergy-vis.fr/tete-cylindrique-torx-extremement-basse-m2x5-inox-a2.html</t>
  </si>
  <si>
    <t>https://www.cergy-vis.fr/tchc-m3x35-inox-a4-pf-din-912.html</t>
  </si>
  <si>
    <t>do (mm)</t>
  </si>
  <si>
    <t>di (mm)</t>
  </si>
  <si>
    <t>M2x20 ISO14581</t>
  </si>
  <si>
    <t>M2x5 ISO14580</t>
  </si>
  <si>
    <t>M2x6 ISO14580</t>
  </si>
  <si>
    <t>M2x4 ISO14580</t>
  </si>
  <si>
    <t>M3x35 DIN 912</t>
  </si>
  <si>
    <t>batt</t>
  </si>
  <si>
    <t>stack</t>
  </si>
  <si>
    <t>laterals</t>
  </si>
  <si>
    <t>antenna</t>
  </si>
  <si>
    <t>mtq</t>
  </si>
  <si>
    <t>bottom</t>
  </si>
  <si>
    <t>Where</t>
  </si>
  <si>
    <t>https://www.cergy-vis.fr/tete-basse-torx-m2x4-inox-a2-iso-14580.html</t>
  </si>
  <si>
    <t>https://www.cergy-vis.fr/tete-basse-torx-m2x6-inox-a2-iso-14580.html</t>
  </si>
  <si>
    <t>mu* (ad)</t>
  </si>
  <si>
    <t>* ICES-2019-335</t>
  </si>
  <si>
    <t>mu_b* (ad)</t>
  </si>
  <si>
    <t>Pt (mm)</t>
  </si>
  <si>
    <t>rm (mm)</t>
  </si>
  <si>
    <t>d2 (mm)</t>
  </si>
  <si>
    <t>Torque (N*mm)</t>
  </si>
  <si>
    <t>k1  [W/m·K]</t>
  </si>
  <si>
    <t>k2  [W/m·K]</t>
  </si>
  <si>
    <t>m2 [m]</t>
  </si>
  <si>
    <t>m1 [m]</t>
  </si>
  <si>
    <t>ks  [W/m·K]</t>
  </si>
  <si>
    <t>hc [W/m^2·K]</t>
  </si>
  <si>
    <t>E' [N/m^2]</t>
  </si>
  <si>
    <t>E2 [N/m^2]</t>
  </si>
  <si>
    <t>E1 [N/m^2]</t>
  </si>
  <si>
    <t>Pressure [N/m]</t>
  </si>
  <si>
    <t>Total len (mm)</t>
  </si>
  <si>
    <t>Poisson Ratio [ad]</t>
  </si>
  <si>
    <t>Young's Modulus [N/m^2]</t>
  </si>
  <si>
    <t>https://www.raypcb.com/rogers-5880-pcb/</t>
  </si>
  <si>
    <t>Total len - mask (mm)</t>
  </si>
  <si>
    <t>PFTE</t>
  </si>
  <si>
    <t>Material/PCB</t>
  </si>
  <si>
    <t>v [ad]</t>
  </si>
  <si>
    <t>m</t>
  </si>
  <si>
    <t>0.81 (ip) 0.29 (cp)</t>
  </si>
  <si>
    <t>m***</t>
  </si>
  <si>
    <t xml:space="preserve">***Mikic simplification by weak influence </t>
  </si>
  <si>
    <t>**https://doi.org/10.1007/s40194-023-01505-7</t>
  </si>
  <si>
    <t>Ra** (um)</t>
  </si>
  <si>
    <t>sigma (um)</t>
  </si>
  <si>
    <t>k  [W/m·K]</t>
  </si>
  <si>
    <t>sigma1 [um]</t>
  </si>
  <si>
    <t>sigma2 [um]</t>
  </si>
  <si>
    <t>sigma [um]</t>
  </si>
  <si>
    <t>inf</t>
  </si>
  <si>
    <t>Used for E' and poisson</t>
  </si>
  <si>
    <t>inf-&gt;</t>
  </si>
  <si>
    <t>Mikic:</t>
  </si>
  <si>
    <t>ICES-2019-335</t>
  </si>
  <si>
    <t>Spacers:</t>
  </si>
  <si>
    <t>ICES-2019-335 Stack Calculus:</t>
  </si>
  <si>
    <t>Config A, considering the maximum lower boundary of error and reducing 20% due to torque differences</t>
  </si>
  <si>
    <t>Spacer</t>
  </si>
  <si>
    <t>Stack</t>
  </si>
  <si>
    <t>Screw ri (mm)</t>
  </si>
  <si>
    <t>Spacer ro (mm)</t>
  </si>
  <si>
    <t>Spacer ri (mm)</t>
  </si>
  <si>
    <t>Screw k  [W/m·K]</t>
  </si>
  <si>
    <t>Spacer k  [W/m·K]</t>
  </si>
  <si>
    <t>Poisson Ratio [ad] (load perpend)</t>
  </si>
  <si>
    <t>Area screw</t>
  </si>
  <si>
    <t>Area Spacer</t>
  </si>
  <si>
    <t>Area total</t>
  </si>
  <si>
    <t>CPA [mm^2]</t>
  </si>
  <si>
    <t>ROS [ad]</t>
  </si>
  <si>
    <t>/hc [W/m^2·K]</t>
  </si>
  <si>
    <t>Expert suggestion</t>
  </si>
  <si>
    <t>Fused geometries</t>
  </si>
  <si>
    <t>Next excel page</t>
  </si>
  <si>
    <t>Others:</t>
  </si>
  <si>
    <t>NOS</t>
  </si>
  <si>
    <t>CPA</t>
  </si>
  <si>
    <t>Contact pressure area (Shigley)</t>
  </si>
  <si>
    <t>ROS</t>
  </si>
  <si>
    <t>Ratio of Surface</t>
  </si>
  <si>
    <t>Number of screws</t>
  </si>
  <si>
    <t>ESIA [mm^2]</t>
  </si>
  <si>
    <t>ESATAN Sum of Interface Area</t>
  </si>
  <si>
    <t>ESIA</t>
  </si>
  <si>
    <t>PX_to_BattSupp_R</t>
  </si>
  <si>
    <t>Same</t>
  </si>
  <si>
    <t>*</t>
  </si>
  <si>
    <t>*Some NGTN don't have a power budget assigned and have been, therefore, not been given boundary conditions.</t>
  </si>
  <si>
    <t>**NGTN on PLTOP collide with the Kband support, they are instead modeled as heat loads on the corresponding connecting surface</t>
  </si>
  <si>
    <t>*,**</t>
  </si>
  <si>
    <t>PLUNDER_to_PLTOP_J1</t>
  </si>
  <si>
    <t>PLUNDER_to_PLTOP_J2</t>
  </si>
  <si>
    <t>PLUNDER_to_PLTOP_J3</t>
  </si>
  <si>
    <t>PLUNDER_to_PLTOP_J4</t>
  </si>
  <si>
    <t>Document by:</t>
  </si>
  <si>
    <t>Óscar Pavón Amador</t>
  </si>
  <si>
    <t>Contact:</t>
  </si>
  <si>
    <t>oscarpavon2003@gmail.com</t>
  </si>
  <si>
    <t>oscar.pavon@estudiantat.upc.edu</t>
  </si>
  <si>
    <t>PoCat-Lektron Team:</t>
  </si>
  <si>
    <t>pocat.lektron@gmail.com</t>
  </si>
  <si>
    <t>Cross Section [m^2]</t>
  </si>
  <si>
    <t>Path Lenght [m]</t>
  </si>
  <si>
    <t>S***</t>
  </si>
  <si>
    <t>***S</t>
  </si>
  <si>
    <t>Shape Factor</t>
  </si>
  <si>
    <t>Cross Section [mm^2]</t>
  </si>
  <si>
    <t>Path Lenght [mm]</t>
  </si>
  <si>
    <t>PLTOP_to_PLUNDER_S1</t>
  </si>
  <si>
    <t>Screw</t>
  </si>
  <si>
    <t>VC</t>
  </si>
  <si>
    <t>PLTOP_to_PLUNDER_S2</t>
  </si>
  <si>
    <t>PLTOP_to_PLUNDER_S3</t>
  </si>
  <si>
    <t>PLTOP_to_PLUNDER_S4</t>
  </si>
  <si>
    <t>KS_L_to_Slider</t>
  </si>
  <si>
    <t>KS_R_to_Slider</t>
  </si>
  <si>
    <t>250/1000-&gt;</t>
  </si>
  <si>
    <t>*Also accounted for _a/b areas</t>
  </si>
  <si>
    <t>BattSpacer_to_BattSupp_1</t>
  </si>
  <si>
    <t>BattSpacer_to_BattSupp_2</t>
  </si>
  <si>
    <t>BattSpacer_to_BattSupp_3</t>
  </si>
  <si>
    <t>BattSpacer_to_BattSupp_4</t>
  </si>
  <si>
    <t>AOCS</t>
  </si>
  <si>
    <t>1 measure per orbit?</t>
  </si>
  <si>
    <t>PP</t>
  </si>
  <si>
    <t>Batt hear laod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</si>
</sst>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8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1" fillId="0" borderId="8" xfId="0" applyFont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12" borderId="6" xfId="0" applyFill="1" applyBorder="1"/>
    <xf numFmtId="0" fontId="1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vertical="top" wrapText="1"/>
    </xf>
    <xf numFmtId="11" fontId="6" fillId="8" borderId="0" xfId="1" applyNumberFormat="1" applyFont="1" applyBorder="1"/>
    <xf numFmtId="11" fontId="0" fillId="4" borderId="0" xfId="0" applyNumberFormat="1" applyFill="1"/>
    <xf numFmtId="11" fontId="6" fillId="8" borderId="9" xfId="1" applyNumberFormat="1" applyFont="1" applyBorder="1"/>
    <xf numFmtId="11" fontId="1" fillId="0" borderId="4" xfId="0" applyNumberFormat="1" applyFont="1" applyBorder="1"/>
    <xf numFmtId="11" fontId="0" fillId="0" borderId="0" xfId="0" applyNumberFormat="1"/>
    <xf numFmtId="11" fontId="0" fillId="0" borderId="9" xfId="0" applyNumberFormat="1" applyBorder="1"/>
    <xf numFmtId="11" fontId="2" fillId="0" borderId="0" xfId="0" applyNumberFormat="1" applyFont="1"/>
    <xf numFmtId="2" fontId="0" fillId="0" borderId="0" xfId="0" applyNumberFormat="1"/>
    <xf numFmtId="2" fontId="6" fillId="8" borderId="0" xfId="1" applyNumberFormat="1" applyFont="1" applyBorder="1" applyAlignment="1">
      <alignment horizontal="right"/>
    </xf>
    <xf numFmtId="2" fontId="0" fillId="4" borderId="0" xfId="0" applyNumberFormat="1" applyFill="1"/>
    <xf numFmtId="2" fontId="6" fillId="8" borderId="9" xfId="1" applyNumberFormat="1" applyFont="1" applyBorder="1"/>
    <xf numFmtId="2" fontId="6" fillId="8" borderId="0" xfId="1" applyNumberFormat="1" applyFont="1" applyBorder="1"/>
    <xf numFmtId="2" fontId="5" fillId="8" borderId="9" xfId="1" applyNumberFormat="1" applyBorder="1"/>
    <xf numFmtId="2" fontId="6" fillId="8" borderId="9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4" xfId="0" applyNumberFormat="1" applyFont="1" applyBorder="1"/>
    <xf numFmtId="1" fontId="6" fillId="8" borderId="0" xfId="1" applyNumberFormat="1" applyFont="1" applyBorder="1" applyAlignment="1">
      <alignment horizontal="right"/>
    </xf>
    <xf numFmtId="1" fontId="0" fillId="4" borderId="0" xfId="0" applyNumberFormat="1" applyFill="1"/>
    <xf numFmtId="1" fontId="6" fillId="8" borderId="9" xfId="1" applyNumberFormat="1" applyFont="1" applyBorder="1"/>
    <xf numFmtId="1" fontId="0" fillId="0" borderId="0" xfId="0" applyNumberFormat="1"/>
    <xf numFmtId="1" fontId="6" fillId="8" borderId="0" xfId="1" applyNumberFormat="1" applyFont="1" applyBorder="1"/>
    <xf numFmtId="1" fontId="5" fillId="8" borderId="9" xfId="1" applyNumberFormat="1" applyBorder="1"/>
    <xf numFmtId="1" fontId="6" fillId="8" borderId="9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6" fillId="0" borderId="0" xfId="1" applyNumberFormat="1" applyFont="1" applyFill="1" applyBorder="1"/>
    <xf numFmtId="2" fontId="1" fillId="0" borderId="4" xfId="0" applyNumberFormat="1" applyFont="1" applyBorder="1" applyAlignment="1">
      <alignment horizontal="center" vertical="top"/>
    </xf>
    <xf numFmtId="1" fontId="1" fillId="0" borderId="4" xfId="0" applyNumberFormat="1" applyFont="1" applyBorder="1" applyAlignment="1">
      <alignment horizontal="center" vertical="top"/>
    </xf>
    <xf numFmtId="2" fontId="6" fillId="8" borderId="7" xfId="1" applyNumberFormat="1" applyFont="1" applyBorder="1" applyAlignment="1">
      <alignment horizontal="right"/>
    </xf>
    <xf numFmtId="2" fontId="0" fillId="4" borderId="7" xfId="0" applyNumberFormat="1" applyFill="1" applyBorder="1"/>
    <xf numFmtId="2" fontId="6" fillId="8" borderId="10" xfId="1" applyNumberFormat="1" applyFont="1" applyBorder="1"/>
    <xf numFmtId="2" fontId="0" fillId="0" borderId="7" xfId="0" applyNumberFormat="1" applyBorder="1"/>
    <xf numFmtId="2" fontId="1" fillId="0" borderId="5" xfId="0" applyNumberFormat="1" applyFont="1" applyBorder="1" applyAlignment="1">
      <alignment horizontal="center" vertical="top"/>
    </xf>
    <xf numFmtId="2" fontId="6" fillId="8" borderId="7" xfId="1" applyNumberFormat="1" applyFont="1" applyBorder="1"/>
    <xf numFmtId="2" fontId="5" fillId="8" borderId="10" xfId="1" applyNumberFormat="1" applyBorder="1"/>
    <xf numFmtId="2" fontId="6" fillId="8" borderId="10" xfId="1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0" fontId="0" fillId="7" borderId="0" xfId="0" applyFill="1"/>
    <xf numFmtId="0" fontId="1" fillId="7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14" xfId="0" applyBorder="1"/>
    <xf numFmtId="0" fontId="0" fillId="0" borderId="9" xfId="0" quotePrefix="1" applyBorder="1"/>
    <xf numFmtId="1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0" fillId="0" borderId="0" xfId="2"/>
    <xf numFmtId="0" fontId="0" fillId="13" borderId="0" xfId="0" applyFill="1"/>
    <xf numFmtId="0" fontId="0" fillId="9" borderId="0" xfId="0" applyFill="1"/>
    <xf numFmtId="0" fontId="0" fillId="11" borderId="0" xfId="0" applyFill="1"/>
    <xf numFmtId="1" fontId="0" fillId="13" borderId="0" xfId="0" applyNumberFormat="1" applyFill="1"/>
    <xf numFmtId="1" fontId="0" fillId="11" borderId="0" xfId="0" applyNumberFormat="1" applyFill="1"/>
    <xf numFmtId="1" fontId="0" fillId="3" borderId="0" xfId="0" applyNumberFormat="1" applyFill="1"/>
    <xf numFmtId="0" fontId="10" fillId="0" borderId="0" xfId="2" applyFill="1"/>
    <xf numFmtId="1" fontId="0" fillId="9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6" fillId="8" borderId="7" xfId="1" applyNumberFormat="1" applyFont="1" applyBorder="1"/>
    <xf numFmtId="1" fontId="6" fillId="8" borderId="10" xfId="1" applyNumberFormat="1" applyFont="1" applyBorder="1"/>
    <xf numFmtId="0" fontId="1" fillId="0" borderId="0" xfId="0" applyFont="1" applyAlignment="1">
      <alignment horizontal="center" wrapText="1"/>
    </xf>
  </cellXfs>
  <cellStyles count="3">
    <cellStyle name="Buena" xfId="1" builtinId="26"/>
    <cellStyle name="Hipervínculo" xfId="2" builtinId="8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66</xdr:row>
      <xdr:rowOff>0</xdr:rowOff>
    </xdr:from>
    <xdr:to>
      <xdr:col>11</xdr:col>
      <xdr:colOff>304800</xdr:colOff>
      <xdr:row>67</xdr:row>
      <xdr:rowOff>114300</xdr:rowOff>
    </xdr:to>
    <xdr:sp macro="" textlink="">
      <xdr:nvSpPr>
        <xdr:cNvPr id="1025" name="AutoShape 1" descr="bone tissue. (a) the Voigt model ...">
          <a:extLst>
            <a:ext uri="{FF2B5EF4-FFF2-40B4-BE49-F238E27FC236}">
              <a16:creationId xmlns:a16="http://schemas.microsoft.com/office/drawing/2014/main" xmlns="" id="{00000000-0008-0000-08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317501</xdr:colOff>
      <xdr:row>59</xdr:row>
      <xdr:rowOff>36374</xdr:rowOff>
    </xdr:from>
    <xdr:to>
      <xdr:col>17</xdr:col>
      <xdr:colOff>501316</xdr:colOff>
      <xdr:row>86</xdr:row>
      <xdr:rowOff>100096</xdr:rowOff>
    </xdr:to>
    <xdr:pic>
      <xdr:nvPicPr>
        <xdr:cNvPr id="5" name="Imagen 4" descr="C:\Users\oscar\OneDrive\Escritorio\The-first-material-models-for-bone-tissue-a-the-Voigt-model-corresponds-to-two.png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3159" y="11082032"/>
          <a:ext cx="7870657" cy="5026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F20" totalsRowShown="0" headerRowDxfId="9" dataDxfId="7" headerRowBorderDxfId="8" tableBorderDxfId="6">
  <autoFilter ref="A1:F20"/>
  <tableColumns count="6">
    <tableColumn id="1" name="Material" dataDxfId="5"/>
    <tableColumn id="2" name="IR Emissivity (εIR)" dataDxfId="4"/>
    <tableColumn id="3" name="Solar Absorptivity (αs)" dataDxfId="3"/>
    <tableColumn id="4" name="Density (ρ) [kg/m³]" dataDxfId="2"/>
    <tableColumn id="5" name="Specific heat (cp) [J/kg·K]" dataDxfId="1"/>
    <tableColumn id="6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tweb.com/search/DataSheet.aspx?MatGUID=64d7cf04332e428dbca9f755f4624a6c" TargetMode="External"/><Relationship Id="rId13" Type="http://schemas.openxmlformats.org/officeDocument/2006/relationships/hyperlink" Target="https://www.engineeringtoolbox.com/emissivity-coefficients-d_447.html" TargetMode="External"/><Relationship Id="rId18" Type="http://schemas.openxmlformats.org/officeDocument/2006/relationships/hyperlink" Target="mailto:pocat.lektron@gmail.com" TargetMode="External"/><Relationship Id="rId3" Type="http://schemas.openxmlformats.org/officeDocument/2006/relationships/hyperlink" Target="https://www.rogerscorp.com/advanced-electronics-solutions/rt-duroid-laminates/rt-duroid-5880-laminates" TargetMode="External"/><Relationship Id="rId7" Type="http://schemas.openxmlformats.org/officeDocument/2006/relationships/hyperlink" Target="https://www.matweb.com/search/datasheet_print.aspx?matguid=e2147b8f727343b0b0d51efe02a6127e" TargetMode="External"/><Relationship Id="rId12" Type="http://schemas.openxmlformats.org/officeDocument/2006/relationships/hyperlink" Target="https://www.matweb.com/search/DataSheet.aspx?MatGUID=eb7a78f5948d481c9493a67f0d089646" TargetMode="External"/><Relationship Id="rId17" Type="http://schemas.openxmlformats.org/officeDocument/2006/relationships/hyperlink" Target="mailto:oscar.pavon@estudiantat.upc.edu" TargetMode="External"/><Relationship Id="rId2" Type="http://schemas.openxmlformats.org/officeDocument/2006/relationships/hyperlink" Target="https://www.matweb.com/search/DataSheet.aspx?MatGUID=9aebe83845c04c1db5126fada6f76f7e" TargetMode="External"/><Relationship Id="rId16" Type="http://schemas.openxmlformats.org/officeDocument/2006/relationships/hyperlink" Target="mailto:oscarpavon2003@gmail.com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en.wikipedia.org/wiki/FR-4" TargetMode="External"/><Relationship Id="rId6" Type="http://schemas.openxmlformats.org/officeDocument/2006/relationships/hyperlink" Target="https://www.matweb.com/search/datasheet.aspx?MatGUID=4f19a42be94546b686bbf43f79c51b7d" TargetMode="External"/><Relationship Id="rId11" Type="http://schemas.openxmlformats.org/officeDocument/2006/relationships/hyperlink" Target="https://www.matweb.com/search/DataSheet.aspx?MatGUID=029a4ff04bdc46d5906b29e0a36dba36" TargetMode="External"/><Relationship Id="rId5" Type="http://schemas.openxmlformats.org/officeDocument/2006/relationships/hyperlink" Target="https://www.matweb.com/search/DataSheet.aspx?MatGUID=4d14eac958e5401a8fd152e1261b6843&amp;ckck=1" TargetMode="External"/><Relationship Id="rId15" Type="http://schemas.openxmlformats.org/officeDocument/2006/relationships/hyperlink" Target="https://techsil.s3.eu-west-2.amazonaws.com/TE/TDS/MGEN00013-tds.pdf" TargetMode="External"/><Relationship Id="rId10" Type="http://schemas.openxmlformats.org/officeDocument/2006/relationships/hyperlink" Target="https://www.matweb.com/search/DataSheet.aspx?MatGUID=79875d1b30c94af39029470988004fb6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raypcb.com/rogers-5880-pcb/" TargetMode="External"/><Relationship Id="rId9" Type="http://schemas.openxmlformats.org/officeDocument/2006/relationships/hyperlink" Target="https://www.matweb.com/search/datasheettext.aspx?matguid=ff0c4419106b43daa306ceb3f95602df" TargetMode="External"/><Relationship Id="rId14" Type="http://schemas.openxmlformats.org/officeDocument/2006/relationships/hyperlink" Target="https://www.engineeringtoolbox.com/emissivity-coefficients-d_44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rgy-vis.fr/tchc-m3x35-inox-a4-pf-din-912.html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cergy-vis.fr/tchc-m2x20-inox-a2-ef-din-912.html" TargetMode="External"/><Relationship Id="rId1" Type="http://schemas.openxmlformats.org/officeDocument/2006/relationships/hyperlink" Target="https://www.cergy-vis.fr/tete-basse-torx-m2x6-inox-a2-iso-14580.html" TargetMode="External"/><Relationship Id="rId6" Type="http://schemas.openxmlformats.org/officeDocument/2006/relationships/hyperlink" Target="https://www.cergy-vis.fr/tete-basse-torx-m2x5-inox-a2-iso-14580.html" TargetMode="External"/><Relationship Id="rId5" Type="http://schemas.openxmlformats.org/officeDocument/2006/relationships/hyperlink" Target="https://www.cergy-vis.fr/tete-basse-torx-m2x4-inox-a2-iso-14580.html" TargetMode="External"/><Relationship Id="rId4" Type="http://schemas.openxmlformats.org/officeDocument/2006/relationships/hyperlink" Target="https://www.cergy-vis.fr/tete-cylindrique-torx-extremement-basse-m2x5-inox-a2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85" zoomScaleNormal="85" workbookViewId="0">
      <selection activeCell="F4" sqref="F4"/>
    </sheetView>
  </sheetViews>
  <sheetFormatPr baseColWidth="10" defaultColWidth="8.85546875" defaultRowHeight="15" x14ac:dyDescent="0.25"/>
  <cols>
    <col min="1" max="1" width="36.140625" customWidth="1"/>
    <col min="2" max="2" width="29.140625" customWidth="1"/>
    <col min="3" max="3" width="32.140625" customWidth="1"/>
    <col min="4" max="4" width="22.28515625" customWidth="1"/>
    <col min="5" max="5" width="26.5703125" customWidth="1"/>
    <col min="6" max="6" width="23.7109375" customWidth="1"/>
    <col min="8" max="8" width="6.42578125" customWidth="1"/>
    <col min="9" max="9" width="8.140625" customWidth="1"/>
  </cols>
  <sheetData>
    <row r="1" spans="1:12" x14ac:dyDescent="0.25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12" x14ac:dyDescent="0.25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 t="s">
        <v>566</v>
      </c>
      <c r="H2" s="105" t="s">
        <v>327</v>
      </c>
    </row>
    <row r="3" spans="1:12" x14ac:dyDescent="0.25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  <c r="H3" s="105" t="s">
        <v>328</v>
      </c>
    </row>
    <row r="4" spans="1:12" x14ac:dyDescent="0.25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  <c r="H4" s="105" t="s">
        <v>329</v>
      </c>
    </row>
    <row r="5" spans="1:12" x14ac:dyDescent="0.25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  <c r="H5" s="105" t="s">
        <v>330</v>
      </c>
    </row>
    <row r="6" spans="1:12" x14ac:dyDescent="0.25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  <c r="H6" s="105" t="s">
        <v>331</v>
      </c>
    </row>
    <row r="7" spans="1:12" x14ac:dyDescent="0.25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  <c r="H7" s="105" t="s">
        <v>332</v>
      </c>
    </row>
    <row r="8" spans="1:12" x14ac:dyDescent="0.25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  <c r="H8" t="s">
        <v>333</v>
      </c>
      <c r="I8" t="s">
        <v>334</v>
      </c>
    </row>
    <row r="9" spans="1:12" x14ac:dyDescent="0.25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  <c r="H9" t="s">
        <v>333</v>
      </c>
      <c r="I9" t="s">
        <v>334</v>
      </c>
    </row>
    <row r="10" spans="1:12" x14ac:dyDescent="0.25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  <c r="H10" s="105" t="s">
        <v>335</v>
      </c>
    </row>
    <row r="11" spans="1:12" x14ac:dyDescent="0.25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  <c r="H11" t="s">
        <v>333</v>
      </c>
      <c r="I11" t="s">
        <v>334</v>
      </c>
    </row>
    <row r="12" spans="1:12" x14ac:dyDescent="0.25">
      <c r="A12" s="2" t="s">
        <v>248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  <c r="H12" t="s">
        <v>336</v>
      </c>
      <c r="L12" t="s">
        <v>337</v>
      </c>
    </row>
    <row r="13" spans="1:12" x14ac:dyDescent="0.25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  <c r="H13" s="105" t="s">
        <v>338</v>
      </c>
    </row>
    <row r="14" spans="1:12" x14ac:dyDescent="0.25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  <c r="H14" s="105" t="s">
        <v>339</v>
      </c>
    </row>
    <row r="15" spans="1:12" x14ac:dyDescent="0.25">
      <c r="A15" s="4" t="s">
        <v>20</v>
      </c>
      <c r="B15" s="7">
        <v>0.85</v>
      </c>
      <c r="C15" s="7">
        <v>0.91</v>
      </c>
      <c r="D15" s="7">
        <v>5316</v>
      </c>
      <c r="E15" s="7">
        <v>325</v>
      </c>
      <c r="F15" s="7">
        <v>50</v>
      </c>
      <c r="H15" s="105" t="s">
        <v>340</v>
      </c>
    </row>
    <row r="16" spans="1:12" x14ac:dyDescent="0.25">
      <c r="A16" s="2" t="s">
        <v>21</v>
      </c>
      <c r="B16" s="7">
        <v>0.82</v>
      </c>
      <c r="C16" s="7">
        <v>0.94</v>
      </c>
      <c r="D16" s="7">
        <v>1070</v>
      </c>
      <c r="E16" s="7">
        <v>1990</v>
      </c>
      <c r="F16" s="7">
        <v>0.16200000000000001</v>
      </c>
      <c r="H16" s="105" t="s">
        <v>341</v>
      </c>
    </row>
    <row r="17" spans="1:9" x14ac:dyDescent="0.25">
      <c r="A17" s="2" t="s">
        <v>246</v>
      </c>
      <c r="B17">
        <v>0.94</v>
      </c>
      <c r="C17">
        <v>0.19</v>
      </c>
      <c r="D17" s="7" t="s">
        <v>23</v>
      </c>
      <c r="E17" s="7" t="s">
        <v>23</v>
      </c>
      <c r="F17" s="7" t="s">
        <v>23</v>
      </c>
      <c r="H17" s="105" t="s">
        <v>342</v>
      </c>
    </row>
    <row r="18" spans="1:9" x14ac:dyDescent="0.25">
      <c r="A18" s="2" t="s">
        <v>247</v>
      </c>
      <c r="B18">
        <v>0.94</v>
      </c>
      <c r="C18">
        <v>0.96</v>
      </c>
      <c r="D18" s="7" t="s">
        <v>23</v>
      </c>
      <c r="E18" s="7" t="s">
        <v>23</v>
      </c>
      <c r="F18" s="7" t="s">
        <v>23</v>
      </c>
      <c r="H18" s="105" t="s">
        <v>342</v>
      </c>
    </row>
    <row r="19" spans="1:9" x14ac:dyDescent="0.25">
      <c r="A19" s="2" t="s">
        <v>326</v>
      </c>
      <c r="B19" s="7" t="s">
        <v>23</v>
      </c>
      <c r="C19" s="7" t="s">
        <v>23</v>
      </c>
      <c r="D19" s="7" t="s">
        <v>23</v>
      </c>
      <c r="E19" s="7" t="s">
        <v>23</v>
      </c>
      <c r="F19" s="7">
        <v>50</v>
      </c>
      <c r="H19" s="105" t="s">
        <v>343</v>
      </c>
    </row>
    <row r="20" spans="1:9" x14ac:dyDescent="0.25">
      <c r="A20" s="2"/>
      <c r="B20" s="7"/>
      <c r="C20" s="7"/>
      <c r="D20" s="7"/>
      <c r="E20" s="7"/>
      <c r="F20" s="7"/>
    </row>
    <row r="21" spans="1:9" x14ac:dyDescent="0.25">
      <c r="I21" s="3"/>
    </row>
    <row r="23" spans="1:9" x14ac:dyDescent="0.25">
      <c r="A23" t="s">
        <v>249</v>
      </c>
    </row>
    <row r="25" spans="1:9" x14ac:dyDescent="0.25">
      <c r="D25" s="3"/>
    </row>
    <row r="26" spans="1:9" x14ac:dyDescent="0.25">
      <c r="A26" s="2" t="s">
        <v>0</v>
      </c>
      <c r="B26" s="2" t="s">
        <v>559</v>
      </c>
      <c r="C26" s="2" t="s">
        <v>558</v>
      </c>
      <c r="E26" s="3"/>
    </row>
    <row r="27" spans="1:9" x14ac:dyDescent="0.25">
      <c r="A27" t="s">
        <v>6</v>
      </c>
      <c r="B27" s="65">
        <v>21000000000</v>
      </c>
      <c r="C27">
        <v>0.11799999999999999</v>
      </c>
      <c r="D27" t="s">
        <v>612</v>
      </c>
    </row>
    <row r="28" spans="1:9" x14ac:dyDescent="0.25">
      <c r="A28" t="s">
        <v>7</v>
      </c>
      <c r="B28" s="65">
        <v>1100000000000</v>
      </c>
      <c r="C28">
        <v>0.34300000000000003</v>
      </c>
      <c r="D28" t="s">
        <v>612</v>
      </c>
    </row>
    <row r="29" spans="1:9" x14ac:dyDescent="0.25">
      <c r="A29" t="s">
        <v>15</v>
      </c>
      <c r="B29" s="65">
        <v>3716000000</v>
      </c>
      <c r="C29">
        <v>0.17</v>
      </c>
      <c r="D29" s="105" t="s">
        <v>560</v>
      </c>
    </row>
    <row r="30" spans="1:9" x14ac:dyDescent="0.25">
      <c r="A30" t="s">
        <v>562</v>
      </c>
      <c r="B30" s="65">
        <v>750000000</v>
      </c>
      <c r="C30">
        <v>0.46</v>
      </c>
      <c r="D30" t="s">
        <v>612</v>
      </c>
    </row>
    <row r="31" spans="1:9" x14ac:dyDescent="0.25">
      <c r="A31" t="s">
        <v>52</v>
      </c>
      <c r="B31" s="65">
        <v>71700000000</v>
      </c>
      <c r="C31">
        <v>0.33</v>
      </c>
      <c r="D31" t="s">
        <v>612</v>
      </c>
    </row>
    <row r="34" spans="1:3" x14ac:dyDescent="0.25">
      <c r="A34" t="s">
        <v>621</v>
      </c>
    </row>
    <row r="35" spans="1:3" x14ac:dyDescent="0.25">
      <c r="A35" t="s">
        <v>622</v>
      </c>
      <c r="C35" s="3"/>
    </row>
    <row r="36" spans="1:3" x14ac:dyDescent="0.25">
      <c r="A36" t="s">
        <v>623</v>
      </c>
    </row>
    <row r="37" spans="1:3" x14ac:dyDescent="0.25">
      <c r="A37" s="105" t="s">
        <v>624</v>
      </c>
    </row>
    <row r="38" spans="1:3" x14ac:dyDescent="0.25">
      <c r="A38" s="105" t="s">
        <v>625</v>
      </c>
    </row>
    <row r="39" spans="1:3" x14ac:dyDescent="0.25">
      <c r="A39" t="s">
        <v>626</v>
      </c>
    </row>
    <row r="40" spans="1:3" x14ac:dyDescent="0.25">
      <c r="A40" s="105" t="s">
        <v>627</v>
      </c>
    </row>
  </sheetData>
  <hyperlinks>
    <hyperlink ref="H2" r:id="rId1"/>
    <hyperlink ref="H3" r:id="rId2"/>
    <hyperlink ref="H7" r:id="rId3"/>
    <hyperlink ref="D29" r:id="rId4"/>
    <hyperlink ref="H4" r:id="rId5"/>
    <hyperlink ref="H6" r:id="rId6"/>
    <hyperlink ref="H5" r:id="rId7"/>
    <hyperlink ref="H10" r:id="rId8"/>
    <hyperlink ref="H13" r:id="rId9"/>
    <hyperlink ref="H14" r:id="rId10"/>
    <hyperlink ref="H15" r:id="rId11"/>
    <hyperlink ref="H16" r:id="rId12"/>
    <hyperlink ref="H18" r:id="rId13"/>
    <hyperlink ref="H17" r:id="rId14"/>
    <hyperlink ref="H19" r:id="rId15"/>
    <hyperlink ref="A37" r:id="rId16"/>
    <hyperlink ref="A38" r:id="rId17"/>
    <hyperlink ref="A40" r:id="rId18"/>
  </hyperlinks>
  <pageMargins left="0.7" right="0.7" top="0.75" bottom="0.75" header="0.3" footer="0.3"/>
  <pageSetup paperSize="9" orientation="portrait" r:id="rId19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85" zoomScaleNormal="85" workbookViewId="0">
      <selection activeCell="J29" sqref="J29"/>
    </sheetView>
  </sheetViews>
  <sheetFormatPr baseColWidth="10" defaultRowHeight="15" x14ac:dyDescent="0.25"/>
  <cols>
    <col min="1" max="1" width="25.7109375" customWidth="1"/>
    <col min="2" max="2" width="12.5703125" customWidth="1"/>
    <col min="3" max="3" width="10.28515625" bestFit="1" customWidth="1"/>
    <col min="4" max="4" width="25.28515625" bestFit="1" customWidth="1"/>
    <col min="5" max="5" width="18.42578125" bestFit="1" customWidth="1"/>
    <col min="6" max="6" width="13.85546875" bestFit="1" customWidth="1"/>
    <col min="7" max="7" width="6.140625" bestFit="1" customWidth="1"/>
    <col min="8" max="8" width="14.140625" customWidth="1"/>
    <col min="9" max="9" width="13.140625" customWidth="1"/>
    <col min="10" max="10" width="27.5703125" customWidth="1"/>
    <col min="11" max="11" width="20.28515625" customWidth="1"/>
  </cols>
  <sheetData>
    <row r="1" spans="1:10" x14ac:dyDescent="0.25">
      <c r="A1" s="2" t="s">
        <v>25</v>
      </c>
      <c r="B1" s="2" t="s">
        <v>58</v>
      </c>
      <c r="C1" s="2" t="s">
        <v>0</v>
      </c>
      <c r="D1" s="2" t="s">
        <v>82</v>
      </c>
      <c r="E1" s="2" t="s">
        <v>26</v>
      </c>
      <c r="F1" s="2" t="s">
        <v>144</v>
      </c>
      <c r="G1" s="2" t="s">
        <v>145</v>
      </c>
      <c r="H1" s="2" t="s">
        <v>146</v>
      </c>
      <c r="I1" s="2" t="s">
        <v>147</v>
      </c>
      <c r="J1" s="2" t="s">
        <v>78</v>
      </c>
    </row>
    <row r="2" spans="1:10" x14ac:dyDescent="0.25">
      <c r="A2" s="8" t="s">
        <v>83</v>
      </c>
      <c r="B2" s="8"/>
      <c r="C2" s="6"/>
      <c r="D2" s="6"/>
      <c r="E2" s="6"/>
      <c r="F2" s="6"/>
      <c r="G2" s="6"/>
      <c r="H2" s="6"/>
      <c r="I2" s="6"/>
      <c r="J2" s="27" t="s">
        <v>152</v>
      </c>
    </row>
    <row r="3" spans="1:10" x14ac:dyDescent="0.25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25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25">
      <c r="A5" s="9" t="s">
        <v>148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25">
      <c r="A6" s="9" t="s">
        <v>149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25">
      <c r="A7" s="9" t="s">
        <v>150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25">
      <c r="A8" s="9" t="s">
        <v>151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25">
      <c r="A9" s="9" t="s">
        <v>159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25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25">
      <c r="A11" s="9" t="s">
        <v>79</v>
      </c>
      <c r="B11" s="9" t="s">
        <v>80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25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25">
      <c r="A13" s="9" t="s">
        <v>77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25">
      <c r="A14" s="9" t="s">
        <v>76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25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25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25">
      <c r="A17" s="5"/>
      <c r="B17" s="5"/>
      <c r="J17" s="5"/>
    </row>
    <row r="18" spans="1:11" x14ac:dyDescent="0.25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25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25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25">
      <c r="A21" s="5"/>
      <c r="B21" s="5"/>
      <c r="J21" s="5"/>
    </row>
    <row r="22" spans="1:11" x14ac:dyDescent="0.25">
      <c r="A22" s="13" t="s">
        <v>131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25">
      <c r="A23" s="15" t="s">
        <v>153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/>
    </row>
    <row r="24" spans="1:11" x14ac:dyDescent="0.25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/>
    </row>
    <row r="25" spans="1:11" x14ac:dyDescent="0.25">
      <c r="A25" s="15" t="s">
        <v>87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25">
      <c r="A26" s="5"/>
      <c r="B26" s="5"/>
      <c r="J26" s="5"/>
    </row>
    <row r="27" spans="1:11" x14ac:dyDescent="0.25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25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25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25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25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25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154</v>
      </c>
      <c r="K32" s="5"/>
    </row>
    <row r="33" spans="1:11" x14ac:dyDescent="0.25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25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25">
      <c r="A35" s="18" t="s">
        <v>38</v>
      </c>
      <c r="B35" s="18" t="s">
        <v>62</v>
      </c>
      <c r="C35" s="17" t="s">
        <v>49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25">
      <c r="A36" s="18" t="s">
        <v>39</v>
      </c>
      <c r="B36" s="18" t="s">
        <v>61</v>
      </c>
      <c r="C36" s="17" t="s">
        <v>48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25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25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25">
      <c r="A39" s="5"/>
      <c r="B39" s="5"/>
      <c r="J39" s="20"/>
    </row>
    <row r="40" spans="1:11" x14ac:dyDescent="0.25">
      <c r="A40" s="24" t="s">
        <v>87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25">
      <c r="A41" s="3"/>
    </row>
    <row r="44" spans="1:11" x14ac:dyDescent="0.25">
      <c r="A44" s="29"/>
      <c r="B44" s="29"/>
    </row>
    <row r="45" spans="1:11" x14ac:dyDescent="0.25">
      <c r="A45" s="5"/>
      <c r="B45" s="5"/>
      <c r="D45" s="3"/>
    </row>
    <row r="46" spans="1:11" x14ac:dyDescent="0.25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7" zoomScale="70" zoomScaleNormal="70" workbookViewId="0">
      <selection activeCell="G21" sqref="G21"/>
    </sheetView>
  </sheetViews>
  <sheetFormatPr baseColWidth="10" defaultRowHeight="15" x14ac:dyDescent="0.25"/>
  <cols>
    <col min="1" max="1" width="13.85546875" customWidth="1"/>
    <col min="2" max="2" width="14.140625" customWidth="1"/>
    <col min="3" max="3" width="21" customWidth="1"/>
    <col min="4" max="4" width="23.140625" customWidth="1"/>
    <col min="5" max="5" width="25.7109375" customWidth="1"/>
    <col min="6" max="6" width="27.42578125" customWidth="1"/>
    <col min="7" max="7" width="29.28515625" customWidth="1"/>
    <col min="8" max="8" width="36" customWidth="1"/>
    <col min="9" max="9" width="39.140625" customWidth="1"/>
    <col min="10" max="10" width="35.85546875" customWidth="1"/>
    <col min="11" max="11" width="13.5703125" customWidth="1"/>
    <col min="12" max="12" width="18" customWidth="1"/>
    <col min="13" max="13" width="23.5703125" customWidth="1"/>
    <col min="14" max="14" width="30.85546875" customWidth="1"/>
  </cols>
  <sheetData>
    <row r="1" spans="1:12" x14ac:dyDescent="0.25">
      <c r="A1" s="22" t="s">
        <v>0</v>
      </c>
      <c r="B1" s="22" t="s">
        <v>5</v>
      </c>
      <c r="C1" s="22" t="s">
        <v>4</v>
      </c>
      <c r="D1" s="22" t="s">
        <v>3</v>
      </c>
      <c r="E1" s="2"/>
      <c r="H1" s="2" t="s">
        <v>189</v>
      </c>
      <c r="I1" s="2" t="s">
        <v>221</v>
      </c>
      <c r="J1" s="2" t="s">
        <v>222</v>
      </c>
      <c r="K1" s="2" t="s">
        <v>223</v>
      </c>
      <c r="L1" s="2" t="s">
        <v>224</v>
      </c>
    </row>
    <row r="2" spans="1:12" x14ac:dyDescent="0.25">
      <c r="A2" s="2" t="s">
        <v>7</v>
      </c>
      <c r="B2" s="7">
        <v>8930</v>
      </c>
      <c r="C2" s="7">
        <v>385</v>
      </c>
      <c r="D2" s="7">
        <v>400</v>
      </c>
      <c r="H2" t="s">
        <v>191</v>
      </c>
      <c r="I2">
        <f t="shared" ref="I2:I10" si="0">B16*$B$2/(B16*$B$2+C16*$B$3+D16*$B$5+E16*$B$6)</f>
        <v>0.31617014819685402</v>
      </c>
      <c r="J2">
        <f t="shared" ref="J2:J10" si="1">C16*$B$3/(B16*$B$2+C16*$B$3+D16*$B$5+E16*$B$6)</f>
        <v>0.67371402559304039</v>
      </c>
      <c r="K2">
        <f t="shared" ref="K2:K10" si="2">D16*$B$5/(B16*$B$2+C16*$B$3+D16*$B$5+E16*$B$6)</f>
        <v>1.011582621010571E-2</v>
      </c>
      <c r="L2">
        <f t="shared" ref="L2:L10" si="3">E16*$B$6/(B16*$B$2+C16*$B$3+D16*$B$5+E16*$B$6)</f>
        <v>0</v>
      </c>
    </row>
    <row r="3" spans="1:12" x14ac:dyDescent="0.25">
      <c r="A3" s="2" t="s">
        <v>200</v>
      </c>
      <c r="B3" s="7">
        <v>1850</v>
      </c>
      <c r="C3" s="7">
        <v>1200</v>
      </c>
      <c r="D3" s="7">
        <v>0.81</v>
      </c>
      <c r="H3" t="s">
        <v>34</v>
      </c>
      <c r="I3">
        <f t="shared" si="0"/>
        <v>0.31617014819685402</v>
      </c>
      <c r="J3">
        <f t="shared" si="1"/>
        <v>0.67371402559304039</v>
      </c>
      <c r="K3">
        <f t="shared" si="2"/>
        <v>1.011582621010571E-2</v>
      </c>
      <c r="L3">
        <f t="shared" si="3"/>
        <v>0</v>
      </c>
    </row>
    <row r="4" spans="1:12" x14ac:dyDescent="0.25">
      <c r="A4" s="2" t="s">
        <v>201</v>
      </c>
      <c r="B4" s="7">
        <v>1850</v>
      </c>
      <c r="C4" s="7">
        <v>1200</v>
      </c>
      <c r="D4" s="7">
        <v>0.28999999999999998</v>
      </c>
      <c r="H4" t="s">
        <v>66</v>
      </c>
      <c r="I4">
        <f t="shared" si="0"/>
        <v>0.31617014819685402</v>
      </c>
      <c r="J4">
        <f t="shared" si="1"/>
        <v>0.67371402559304039</v>
      </c>
      <c r="K4">
        <f t="shared" si="2"/>
        <v>1.011582621010571E-2</v>
      </c>
      <c r="L4">
        <f t="shared" si="3"/>
        <v>0</v>
      </c>
    </row>
    <row r="5" spans="1:12" x14ac:dyDescent="0.25">
      <c r="A5" s="2" t="s">
        <v>190</v>
      </c>
      <c r="B5" s="7">
        <v>2000</v>
      </c>
      <c r="C5" s="7">
        <v>1000</v>
      </c>
      <c r="D5" s="7">
        <v>0.2</v>
      </c>
      <c r="H5" t="s">
        <v>192</v>
      </c>
      <c r="I5">
        <f t="shared" si="0"/>
        <v>0.36134340437011064</v>
      </c>
      <c r="J5">
        <f t="shared" si="1"/>
        <v>0.63094916952483715</v>
      </c>
      <c r="K5">
        <f t="shared" si="2"/>
        <v>7.7074261050522177E-3</v>
      </c>
      <c r="L5">
        <f t="shared" si="3"/>
        <v>0</v>
      </c>
    </row>
    <row r="6" spans="1:12" x14ac:dyDescent="0.25">
      <c r="A6" s="2" t="s">
        <v>208</v>
      </c>
      <c r="B6" s="7">
        <v>2200</v>
      </c>
      <c r="C6" s="7">
        <v>960</v>
      </c>
      <c r="D6" s="7">
        <v>0.2</v>
      </c>
      <c r="H6" t="s">
        <v>193</v>
      </c>
      <c r="I6">
        <f t="shared" si="0"/>
        <v>0.36134340437011064</v>
      </c>
      <c r="J6">
        <f t="shared" si="1"/>
        <v>0.63094916952483715</v>
      </c>
      <c r="K6">
        <f t="shared" si="2"/>
        <v>7.7074261050522177E-3</v>
      </c>
      <c r="L6">
        <f t="shared" si="3"/>
        <v>0</v>
      </c>
    </row>
    <row r="7" spans="1:12" x14ac:dyDescent="0.25">
      <c r="H7" t="s">
        <v>194</v>
      </c>
      <c r="I7">
        <f t="shared" si="0"/>
        <v>0.36134340437011064</v>
      </c>
      <c r="J7">
        <f t="shared" si="1"/>
        <v>0.63094916952483715</v>
      </c>
      <c r="K7">
        <f t="shared" si="2"/>
        <v>7.7074261050522177E-3</v>
      </c>
      <c r="L7">
        <f t="shared" si="3"/>
        <v>0</v>
      </c>
    </row>
    <row r="8" spans="1:12" x14ac:dyDescent="0.25">
      <c r="A8" s="2" t="s">
        <v>0</v>
      </c>
      <c r="B8" s="2" t="s">
        <v>559</v>
      </c>
      <c r="C8" s="2" t="s">
        <v>558</v>
      </c>
      <c r="H8" t="s">
        <v>64</v>
      </c>
      <c r="I8">
        <f t="shared" si="0"/>
        <v>0.18073787081478057</v>
      </c>
      <c r="J8">
        <f t="shared" si="1"/>
        <v>0.8076967559127971</v>
      </c>
      <c r="K8">
        <f t="shared" si="2"/>
        <v>1.1565373272422368E-2</v>
      </c>
      <c r="L8">
        <f t="shared" si="3"/>
        <v>0</v>
      </c>
    </row>
    <row r="9" spans="1:12" x14ac:dyDescent="0.25">
      <c r="A9" t="s">
        <v>6</v>
      </c>
      <c r="B9" s="65">
        <v>21000000000</v>
      </c>
      <c r="C9">
        <v>0.11799999999999999</v>
      </c>
      <c r="H9" t="s">
        <v>211</v>
      </c>
      <c r="I9">
        <f t="shared" si="0"/>
        <v>0.47221312920202457</v>
      </c>
      <c r="J9">
        <f t="shared" si="1"/>
        <v>0.39130763226147613</v>
      </c>
      <c r="K9">
        <f t="shared" si="2"/>
        <v>2.0144537053357843E-2</v>
      </c>
      <c r="L9">
        <f t="shared" si="3"/>
        <v>0.11633470148314154</v>
      </c>
    </row>
    <row r="10" spans="1:12" x14ac:dyDescent="0.25">
      <c r="A10" t="s">
        <v>7</v>
      </c>
      <c r="B10" s="65">
        <v>1100000000000</v>
      </c>
      <c r="C10">
        <v>0.34300000000000003</v>
      </c>
      <c r="H10" t="s">
        <v>214</v>
      </c>
      <c r="I10">
        <f t="shared" si="0"/>
        <v>0.31562736682655895</v>
      </c>
      <c r="J10">
        <f t="shared" si="1"/>
        <v>0.52310022721534966</v>
      </c>
      <c r="K10">
        <f t="shared" si="2"/>
        <v>2.0196919969704619E-2</v>
      </c>
      <c r="L10">
        <f t="shared" si="3"/>
        <v>0.14107548598838676</v>
      </c>
    </row>
    <row r="11" spans="1:12" x14ac:dyDescent="0.25">
      <c r="A11" t="s">
        <v>15</v>
      </c>
      <c r="B11" s="65">
        <v>3716000000</v>
      </c>
      <c r="C11">
        <v>0.17</v>
      </c>
    </row>
    <row r="14" spans="1:12" ht="15.75" thickBot="1" x14ac:dyDescent="0.3"/>
    <row r="15" spans="1:12" ht="15.75" thickBot="1" x14ac:dyDescent="0.3">
      <c r="A15" s="51" t="s">
        <v>189</v>
      </c>
      <c r="B15" s="52" t="s">
        <v>195</v>
      </c>
      <c r="C15" s="52" t="s">
        <v>196</v>
      </c>
      <c r="D15" s="52" t="s">
        <v>197</v>
      </c>
      <c r="E15" s="52" t="s">
        <v>207</v>
      </c>
      <c r="F15" s="52" t="s">
        <v>4</v>
      </c>
      <c r="G15" s="52" t="s">
        <v>199</v>
      </c>
      <c r="H15" s="53" t="s">
        <v>198</v>
      </c>
      <c r="I15" s="2" t="s">
        <v>557</v>
      </c>
      <c r="J15" s="2" t="s">
        <v>561</v>
      </c>
    </row>
    <row r="16" spans="1:12" x14ac:dyDescent="0.25">
      <c r="A16" t="s">
        <v>191</v>
      </c>
      <c r="B16">
        <v>0.14000000000000001</v>
      </c>
      <c r="C16">
        <v>1.44</v>
      </c>
      <c r="D16">
        <v>0.02</v>
      </c>
      <c r="E16">
        <v>0</v>
      </c>
      <c r="F16" s="68">
        <f t="shared" ref="F16:F24" si="4">(B16*$B$2*$C$2+C16*$B$3*$C$3+D16*$B$5*$C$5+E16*$B$6*$C$6)/(B16*$B$2+C16*$B$3+D16*$B$5+E16*$B$6)</f>
        <v>940.29816397754291</v>
      </c>
      <c r="G16" s="68">
        <f t="shared" ref="G16:G24" si="5">1/(B16/$D$2+C16/$D$4+D16/$D$5+E16/$D$6)*(B16+C16+D16+E16)</f>
        <v>0.31583930722281617</v>
      </c>
      <c r="H16" s="68">
        <f t="shared" ref="H16:H24" si="6">(B16*$D$2+C16*$D$3+D16*$D$5+E16*$D$6)*(B16+C16+D16+E16)</f>
        <v>91.472640000000013</v>
      </c>
      <c r="I16">
        <f t="shared" ref="I16:I24" si="7">B16+C16+D16+E16</f>
        <v>1.6</v>
      </c>
      <c r="J16">
        <f t="shared" ref="J16:J24" si="8">I16-D16</f>
        <v>1.58</v>
      </c>
    </row>
    <row r="17" spans="1:10" x14ac:dyDescent="0.25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 s="68">
        <f t="shared" si="4"/>
        <v>940.29816397754291</v>
      </c>
      <c r="G17" s="68">
        <f t="shared" si="5"/>
        <v>0.31583930722281617</v>
      </c>
      <c r="H17" s="68">
        <f t="shared" si="6"/>
        <v>91.472640000000013</v>
      </c>
      <c r="I17">
        <f t="shared" si="7"/>
        <v>1.6</v>
      </c>
      <c r="J17">
        <f t="shared" si="8"/>
        <v>1.58</v>
      </c>
    </row>
    <row r="18" spans="1:10" x14ac:dyDescent="0.25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 s="68">
        <f t="shared" si="4"/>
        <v>940.29816397754291</v>
      </c>
      <c r="G18" s="68">
        <f t="shared" si="5"/>
        <v>0.31583930722281617</v>
      </c>
      <c r="H18" s="68">
        <f t="shared" si="6"/>
        <v>91.472640000000013</v>
      </c>
      <c r="I18">
        <f t="shared" si="7"/>
        <v>1.6</v>
      </c>
      <c r="J18">
        <f t="shared" si="8"/>
        <v>1.58</v>
      </c>
    </row>
    <row r="19" spans="1:10" x14ac:dyDescent="0.25">
      <c r="A19" t="s">
        <v>192</v>
      </c>
      <c r="B19">
        <v>0.21000000000000002</v>
      </c>
      <c r="C19">
        <v>1.77</v>
      </c>
      <c r="D19">
        <v>0.02</v>
      </c>
      <c r="E19">
        <v>0</v>
      </c>
      <c r="F19" s="68">
        <f t="shared" si="4"/>
        <v>903.96364021734939</v>
      </c>
      <c r="G19" s="68">
        <f t="shared" si="5"/>
        <v>0.32237405144561837</v>
      </c>
      <c r="H19" s="68">
        <f t="shared" si="6"/>
        <v>170.87540000000004</v>
      </c>
      <c r="I19">
        <f t="shared" si="7"/>
        <v>2</v>
      </c>
      <c r="J19">
        <f t="shared" si="8"/>
        <v>1.98</v>
      </c>
    </row>
    <row r="20" spans="1:10" x14ac:dyDescent="0.25">
      <c r="A20" t="s">
        <v>193</v>
      </c>
      <c r="B20">
        <v>0.21000000000000002</v>
      </c>
      <c r="C20">
        <v>1.77</v>
      </c>
      <c r="D20">
        <v>0.02</v>
      </c>
      <c r="E20">
        <v>0</v>
      </c>
      <c r="F20" s="68">
        <f t="shared" si="4"/>
        <v>903.96364021734939</v>
      </c>
      <c r="G20" s="68">
        <f t="shared" si="5"/>
        <v>0.32237405144561837</v>
      </c>
      <c r="H20" s="68">
        <f t="shared" si="6"/>
        <v>170.87540000000004</v>
      </c>
      <c r="I20">
        <f t="shared" si="7"/>
        <v>2</v>
      </c>
      <c r="J20">
        <f t="shared" si="8"/>
        <v>1.98</v>
      </c>
    </row>
    <row r="21" spans="1:10" x14ac:dyDescent="0.25">
      <c r="A21" t="s">
        <v>194</v>
      </c>
      <c r="B21">
        <v>0.21000000000000002</v>
      </c>
      <c r="C21">
        <v>1.77</v>
      </c>
      <c r="D21">
        <v>0.02</v>
      </c>
      <c r="E21">
        <v>0</v>
      </c>
      <c r="F21" s="68">
        <f t="shared" si="4"/>
        <v>903.96364021734939</v>
      </c>
      <c r="G21" s="68">
        <f t="shared" si="5"/>
        <v>0.32237405144561837</v>
      </c>
      <c r="H21" s="68">
        <f t="shared" si="6"/>
        <v>170.87540000000004</v>
      </c>
      <c r="I21">
        <f t="shared" si="7"/>
        <v>2</v>
      </c>
      <c r="J21">
        <f t="shared" si="8"/>
        <v>1.98</v>
      </c>
    </row>
    <row r="22" spans="1:10" x14ac:dyDescent="0.25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 s="68">
        <f t="shared" si="4"/>
        <v>1050.3855606314694</v>
      </c>
      <c r="G22" s="68">
        <f t="shared" si="5"/>
        <v>0.30148453519157836</v>
      </c>
      <c r="H22" s="68">
        <f t="shared" si="6"/>
        <v>46.763360000000006</v>
      </c>
      <c r="I22">
        <f t="shared" si="7"/>
        <v>1.6</v>
      </c>
      <c r="J22">
        <f t="shared" si="8"/>
        <v>1.58</v>
      </c>
    </row>
    <row r="23" spans="1:10" x14ac:dyDescent="0.25">
      <c r="A23" t="s">
        <v>211</v>
      </c>
      <c r="B23">
        <v>0.21000000000000002</v>
      </c>
      <c r="C23">
        <v>0.84000000000000008</v>
      </c>
      <c r="D23">
        <v>0.04</v>
      </c>
      <c r="E23">
        <v>0.21</v>
      </c>
      <c r="F23" s="68">
        <f t="shared" si="4"/>
        <v>783.19706393372451</v>
      </c>
      <c r="G23" s="68">
        <f t="shared" si="5"/>
        <v>0.31347382420811998</v>
      </c>
      <c r="H23" s="68">
        <f t="shared" si="6"/>
        <v>110.14952000000002</v>
      </c>
      <c r="I23">
        <f t="shared" si="7"/>
        <v>1.3</v>
      </c>
      <c r="J23">
        <f t="shared" si="8"/>
        <v>1.26</v>
      </c>
    </row>
    <row r="24" spans="1:10" x14ac:dyDescent="0.25">
      <c r="A24" t="s">
        <v>214</v>
      </c>
      <c r="B24">
        <v>0.14000000000000001</v>
      </c>
      <c r="C24">
        <v>1.1200000000000001</v>
      </c>
      <c r="D24">
        <v>0.04</v>
      </c>
      <c r="E24">
        <v>0.254</v>
      </c>
      <c r="F24" s="68">
        <f t="shared" si="4"/>
        <v>904.86619540520076</v>
      </c>
      <c r="G24" s="68">
        <f t="shared" si="5"/>
        <v>0.29142496305131627</v>
      </c>
      <c r="H24" s="68">
        <f t="shared" si="6"/>
        <v>88.525164000000032</v>
      </c>
      <c r="I24">
        <f t="shared" si="7"/>
        <v>1.5540000000000003</v>
      </c>
      <c r="J24">
        <f t="shared" si="8"/>
        <v>1.5140000000000002</v>
      </c>
    </row>
    <row r="26" spans="1:10" ht="15.75" thickBot="1" x14ac:dyDescent="0.3">
      <c r="F26" s="36"/>
      <c r="G26" s="36"/>
    </row>
    <row r="27" spans="1:10" ht="15.75" thickBot="1" x14ac:dyDescent="0.3">
      <c r="A27" s="51" t="s">
        <v>189</v>
      </c>
      <c r="B27" s="52" t="s">
        <v>195</v>
      </c>
      <c r="C27" s="52" t="s">
        <v>196</v>
      </c>
      <c r="D27" s="52" t="s">
        <v>197</v>
      </c>
      <c r="E27" s="52" t="s">
        <v>207</v>
      </c>
      <c r="F27" s="52" t="s">
        <v>559</v>
      </c>
      <c r="G27" s="52" t="s">
        <v>591</v>
      </c>
    </row>
    <row r="28" spans="1:10" x14ac:dyDescent="0.25">
      <c r="A28" t="s">
        <v>191</v>
      </c>
      <c r="B28">
        <v>0.14000000000000001</v>
      </c>
      <c r="C28">
        <v>1.44</v>
      </c>
      <c r="D28">
        <v>0.02</v>
      </c>
      <c r="E28">
        <v>0</v>
      </c>
      <c r="F28" s="65">
        <f t="shared" ref="F28:F36" si="9">1/((B28/$B$10+C28/$B$9+E28/$B$11)/J16)</f>
        <v>22998979167.45435</v>
      </c>
      <c r="G28" s="100">
        <f t="shared" ref="G28:G36" si="10">1/((B28/$C$10+C28/$C$9+E28/$C$11)/J16)</f>
        <v>0.12528195282501373</v>
      </c>
    </row>
    <row r="29" spans="1:10" x14ac:dyDescent="0.25">
      <c r="A29" t="s">
        <v>34</v>
      </c>
      <c r="B29">
        <v>0.14000000000000001</v>
      </c>
      <c r="C29">
        <v>1.44</v>
      </c>
      <c r="D29">
        <v>0.02</v>
      </c>
      <c r="E29">
        <v>0</v>
      </c>
      <c r="F29" s="65">
        <f t="shared" si="9"/>
        <v>22998979167.45435</v>
      </c>
      <c r="G29" s="100">
        <f t="shared" si="10"/>
        <v>0.12528195282501373</v>
      </c>
    </row>
    <row r="30" spans="1:10" x14ac:dyDescent="0.25">
      <c r="A30" t="s">
        <v>66</v>
      </c>
      <c r="B30">
        <v>0.14000000000000001</v>
      </c>
      <c r="C30">
        <v>1.44</v>
      </c>
      <c r="D30">
        <v>0.02</v>
      </c>
      <c r="E30">
        <v>0</v>
      </c>
      <c r="F30" s="65">
        <f t="shared" si="9"/>
        <v>22998979167.45435</v>
      </c>
      <c r="G30" s="100">
        <f t="shared" si="10"/>
        <v>0.12528195282501373</v>
      </c>
    </row>
    <row r="31" spans="1:10" x14ac:dyDescent="0.25">
      <c r="A31" t="s">
        <v>192</v>
      </c>
      <c r="B31">
        <v>0.21000000000000002</v>
      </c>
      <c r="C31">
        <v>1.77</v>
      </c>
      <c r="D31">
        <v>0.02</v>
      </c>
      <c r="E31">
        <v>0</v>
      </c>
      <c r="F31" s="65">
        <f t="shared" si="9"/>
        <v>23438436822.605194</v>
      </c>
      <c r="G31" s="100">
        <f t="shared" si="10"/>
        <v>0.1268235294117647</v>
      </c>
    </row>
    <row r="32" spans="1:10" x14ac:dyDescent="0.25">
      <c r="A32" t="s">
        <v>193</v>
      </c>
      <c r="B32">
        <v>0.21000000000000002</v>
      </c>
      <c r="C32">
        <v>1.77</v>
      </c>
      <c r="D32">
        <v>0.02</v>
      </c>
      <c r="E32">
        <v>0</v>
      </c>
      <c r="F32" s="65">
        <f t="shared" si="9"/>
        <v>23438436822.605194</v>
      </c>
      <c r="G32" s="100">
        <f t="shared" si="10"/>
        <v>0.1268235294117647</v>
      </c>
    </row>
    <row r="33" spans="1:9" x14ac:dyDescent="0.25">
      <c r="A33" t="s">
        <v>194</v>
      </c>
      <c r="B33">
        <v>0.21000000000000002</v>
      </c>
      <c r="C33">
        <v>1.77</v>
      </c>
      <c r="D33">
        <v>0.02</v>
      </c>
      <c r="E33">
        <v>0</v>
      </c>
      <c r="F33" s="65">
        <f t="shared" si="9"/>
        <v>23438436822.605194</v>
      </c>
      <c r="G33" s="100">
        <f t="shared" si="10"/>
        <v>0.1268235294117647</v>
      </c>
    </row>
    <row r="34" spans="1:9" x14ac:dyDescent="0.25">
      <c r="A34" t="s">
        <v>64</v>
      </c>
      <c r="B34">
        <v>7.0000000000000007E-2</v>
      </c>
      <c r="C34">
        <v>1.51</v>
      </c>
      <c r="D34">
        <v>0.02</v>
      </c>
      <c r="E34">
        <v>0</v>
      </c>
      <c r="F34" s="65">
        <f t="shared" si="9"/>
        <v>21954080374.382694</v>
      </c>
      <c r="G34" s="100">
        <f t="shared" si="10"/>
        <v>0.12153199414660104</v>
      </c>
      <c r="I34" s="3"/>
    </row>
    <row r="35" spans="1:9" x14ac:dyDescent="0.25">
      <c r="A35" t="s">
        <v>211</v>
      </c>
      <c r="B35">
        <v>0.21000000000000002</v>
      </c>
      <c r="C35">
        <v>0.84000000000000008</v>
      </c>
      <c r="D35">
        <v>0.04</v>
      </c>
      <c r="E35">
        <v>0.21</v>
      </c>
      <c r="F35" s="65">
        <f t="shared" si="9"/>
        <v>13029546628.153971</v>
      </c>
      <c r="G35" s="100">
        <f t="shared" si="10"/>
        <v>0.14052802494434496</v>
      </c>
    </row>
    <row r="36" spans="1:9" x14ac:dyDescent="0.25">
      <c r="A36" t="s">
        <v>214</v>
      </c>
      <c r="B36">
        <v>0.14000000000000001</v>
      </c>
      <c r="C36">
        <v>1.1200000000000001</v>
      </c>
      <c r="D36">
        <v>0.04</v>
      </c>
      <c r="E36">
        <v>0.254</v>
      </c>
      <c r="F36" s="65">
        <f t="shared" si="9"/>
        <v>12428818143.584404</v>
      </c>
      <c r="G36" s="100">
        <f t="shared" si="10"/>
        <v>0.13287921133115013</v>
      </c>
    </row>
    <row r="37" spans="1:9" ht="15.75" thickBot="1" x14ac:dyDescent="0.3"/>
    <row r="38" spans="1:9" ht="15.75" thickBot="1" x14ac:dyDescent="0.3">
      <c r="A38" s="52" t="s">
        <v>584</v>
      </c>
      <c r="B38" s="52" t="s">
        <v>586</v>
      </c>
      <c r="C38" s="52" t="s">
        <v>587</v>
      </c>
      <c r="D38" s="52" t="s">
        <v>588</v>
      </c>
      <c r="E38" s="52" t="s">
        <v>589</v>
      </c>
      <c r="F38" s="52" t="s">
        <v>590</v>
      </c>
      <c r="G38" s="52" t="s">
        <v>198</v>
      </c>
      <c r="H38" s="52" t="s">
        <v>199</v>
      </c>
    </row>
    <row r="39" spans="1:9" x14ac:dyDescent="0.25">
      <c r="A39" t="s">
        <v>585</v>
      </c>
      <c r="B39">
        <v>1.5</v>
      </c>
      <c r="C39">
        <v>3</v>
      </c>
      <c r="D39">
        <v>1.5</v>
      </c>
      <c r="E39" s="75">
        <v>15</v>
      </c>
      <c r="F39" s="84">
        <v>209</v>
      </c>
      <c r="G39">
        <f>(E39*B39+(C39-D39)*F39)/3</f>
        <v>112</v>
      </c>
      <c r="H39">
        <f>E39*$B$44+F39*$C$44</f>
        <v>160.5</v>
      </c>
    </row>
    <row r="40" spans="1:9" x14ac:dyDescent="0.25">
      <c r="A40" t="s">
        <v>32</v>
      </c>
      <c r="B40">
        <v>1.5</v>
      </c>
      <c r="C40">
        <v>3</v>
      </c>
      <c r="D40">
        <v>1.5</v>
      </c>
      <c r="E40" s="75">
        <v>15</v>
      </c>
      <c r="F40" s="75">
        <v>0.27</v>
      </c>
      <c r="G40">
        <f>(E40*B40+(C40-D40)*F40)/3</f>
        <v>7.6350000000000007</v>
      </c>
      <c r="H40">
        <f>E40*$B$44+F40*$C$44</f>
        <v>3.9525000000000001</v>
      </c>
    </row>
    <row r="42" spans="1:9" x14ac:dyDescent="0.25">
      <c r="B42" s="2" t="s">
        <v>592</v>
      </c>
      <c r="C42" s="2" t="s">
        <v>593</v>
      </c>
      <c r="D42" s="2" t="s">
        <v>594</v>
      </c>
    </row>
    <row r="43" spans="1:9" x14ac:dyDescent="0.25">
      <c r="B43">
        <f>PI()*B39^2</f>
        <v>7.0685834705770345</v>
      </c>
      <c r="C43">
        <f>PI()*(C39^2-D39^2)</f>
        <v>21.205750411731103</v>
      </c>
      <c r="D43">
        <f>B43+C43</f>
        <v>28.274333882308138</v>
      </c>
    </row>
    <row r="44" spans="1:9" x14ac:dyDescent="0.25">
      <c r="B44">
        <f>B43/D43</f>
        <v>0.25</v>
      </c>
      <c r="C44">
        <f>C43/D43</f>
        <v>0.75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topLeftCell="A100" zoomScale="70" zoomScaleNormal="70" workbookViewId="0">
      <selection activeCell="I66" sqref="I66"/>
    </sheetView>
  </sheetViews>
  <sheetFormatPr baseColWidth="10" defaultRowHeight="15" x14ac:dyDescent="0.25"/>
  <cols>
    <col min="1" max="1" width="26.28515625" customWidth="1"/>
    <col min="2" max="2" width="13.5703125" customWidth="1"/>
    <col min="3" max="4" width="17.7109375" customWidth="1"/>
    <col min="5" max="5" width="11.85546875" bestFit="1" customWidth="1"/>
    <col min="6" max="6" width="21.85546875" customWidth="1"/>
    <col min="7" max="7" width="18.5703125" customWidth="1"/>
    <col min="8" max="8" width="23.7109375" customWidth="1"/>
    <col min="9" max="9" width="27.42578125" customWidth="1"/>
    <col min="10" max="10" width="27.140625" bestFit="1" customWidth="1"/>
    <col min="12" max="12" width="11.42578125" customWidth="1"/>
  </cols>
  <sheetData>
    <row r="1" spans="1:12" ht="15.75" thickBot="1" x14ac:dyDescent="0.3">
      <c r="A1" s="8" t="s">
        <v>83</v>
      </c>
      <c r="H1" s="80"/>
      <c r="L1" s="2" t="s">
        <v>240</v>
      </c>
    </row>
    <row r="2" spans="1:12" x14ac:dyDescent="0.25">
      <c r="A2" s="41" t="s">
        <v>92</v>
      </c>
      <c r="B2" s="31" t="s">
        <v>0</v>
      </c>
      <c r="C2" s="31" t="s">
        <v>172</v>
      </c>
      <c r="D2" s="31" t="s">
        <v>91</v>
      </c>
      <c r="E2" s="31" t="s">
        <v>89</v>
      </c>
      <c r="F2" s="31" t="s">
        <v>81</v>
      </c>
      <c r="G2" s="76" t="s">
        <v>5</v>
      </c>
      <c r="H2" s="87" t="s">
        <v>4</v>
      </c>
      <c r="I2" s="32" t="s">
        <v>3</v>
      </c>
      <c r="J2" s="22"/>
    </row>
    <row r="3" spans="1:12" x14ac:dyDescent="0.25">
      <c r="A3" s="39" t="s">
        <v>87</v>
      </c>
      <c r="B3" t="s">
        <v>21</v>
      </c>
      <c r="C3">
        <v>1.2</v>
      </c>
      <c r="D3" s="65">
        <f>C3/1000</f>
        <v>1.1999999999999999E-3</v>
      </c>
      <c r="E3">
        <v>1</v>
      </c>
      <c r="F3" s="61">
        <v>4.5600000000000001E-7</v>
      </c>
      <c r="G3" s="77">
        <f>D3/F3</f>
        <v>2631.5789473684208</v>
      </c>
      <c r="H3" s="77">
        <v>1990</v>
      </c>
      <c r="I3" s="88">
        <v>0.16200000000000001</v>
      </c>
    </row>
    <row r="4" spans="1:12" x14ac:dyDescent="0.25">
      <c r="A4" s="55" t="s">
        <v>93</v>
      </c>
      <c r="B4" s="17"/>
      <c r="C4" s="17"/>
      <c r="D4" s="62"/>
      <c r="E4" s="17"/>
      <c r="F4" s="62"/>
      <c r="G4" s="78"/>
      <c r="H4" s="78"/>
      <c r="I4" s="89"/>
    </row>
    <row r="5" spans="1:12" ht="15.75" thickBot="1" x14ac:dyDescent="0.3">
      <c r="A5" s="40" t="s">
        <v>94</v>
      </c>
      <c r="B5" s="36"/>
      <c r="C5" s="36"/>
      <c r="D5" s="66"/>
      <c r="E5" s="36"/>
      <c r="F5" s="63">
        <v>4.5600000000000001E-7</v>
      </c>
      <c r="G5" s="79">
        <v>2631.5789473684208</v>
      </c>
      <c r="H5" s="79">
        <v>1990</v>
      </c>
      <c r="I5" s="90">
        <v>0.16200000000000001</v>
      </c>
    </row>
    <row r="6" spans="1:12" x14ac:dyDescent="0.25">
      <c r="D6" s="65"/>
      <c r="G6" s="80"/>
      <c r="H6" s="80"/>
      <c r="I6" s="68"/>
    </row>
    <row r="7" spans="1:12" x14ac:dyDescent="0.25">
      <c r="D7" s="65"/>
      <c r="G7" s="80"/>
      <c r="H7" s="80"/>
      <c r="I7" s="68"/>
    </row>
    <row r="8" spans="1:12" ht="15.75" thickBot="1" x14ac:dyDescent="0.3">
      <c r="D8" s="65"/>
      <c r="G8" s="80"/>
      <c r="H8" s="80"/>
      <c r="I8" s="68"/>
    </row>
    <row r="9" spans="1:12" x14ac:dyDescent="0.25">
      <c r="A9" s="41" t="s">
        <v>84</v>
      </c>
      <c r="B9" s="31" t="s">
        <v>0</v>
      </c>
      <c r="C9" s="31" t="s">
        <v>172</v>
      </c>
      <c r="D9" s="64" t="s">
        <v>91</v>
      </c>
      <c r="E9" s="31" t="s">
        <v>89</v>
      </c>
      <c r="F9" s="64" t="s">
        <v>81</v>
      </c>
      <c r="G9" s="76" t="s">
        <v>5</v>
      </c>
      <c r="H9" s="87" t="s">
        <v>4</v>
      </c>
      <c r="I9" s="86" t="s">
        <v>199</v>
      </c>
      <c r="J9" s="32" t="s">
        <v>198</v>
      </c>
    </row>
    <row r="10" spans="1:12" x14ac:dyDescent="0.25">
      <c r="A10" s="38" t="s">
        <v>85</v>
      </c>
      <c r="B10" t="s">
        <v>318</v>
      </c>
      <c r="C10">
        <v>14.2</v>
      </c>
      <c r="D10" s="65">
        <f>C10/1000</f>
        <v>1.4199999999999999E-2</v>
      </c>
      <c r="E10">
        <f>C10/C11</f>
        <v>1</v>
      </c>
      <c r="F10" s="65" t="s">
        <v>23</v>
      </c>
      <c r="G10" s="80">
        <f>D11/F11</f>
        <v>2133.4134615384614</v>
      </c>
      <c r="H10" s="80">
        <v>903.96364021734939</v>
      </c>
      <c r="I10" s="68">
        <v>0.32237405144561837</v>
      </c>
      <c r="J10" s="91">
        <v>170.87540000000004</v>
      </c>
    </row>
    <row r="11" spans="1:12" ht="15.75" thickBot="1" x14ac:dyDescent="0.3">
      <c r="A11" s="35" t="s">
        <v>87</v>
      </c>
      <c r="B11" s="36" t="s">
        <v>23</v>
      </c>
      <c r="C11" s="36">
        <f>SUM(C10:C10)</f>
        <v>14.2</v>
      </c>
      <c r="D11" s="66">
        <f>C11/1000</f>
        <v>1.4199999999999999E-2</v>
      </c>
      <c r="E11" s="36">
        <f>SUM(E10:E10)</f>
        <v>1</v>
      </c>
      <c r="F11" s="66">
        <v>6.6560000000000003E-6</v>
      </c>
      <c r="G11" s="79">
        <v>2133.4134615384614</v>
      </c>
      <c r="H11" s="79">
        <v>903.96364021734939</v>
      </c>
      <c r="I11" s="71">
        <v>0.32237405144561837</v>
      </c>
      <c r="J11" s="90">
        <v>170.87540000000004</v>
      </c>
    </row>
    <row r="12" spans="1:12" x14ac:dyDescent="0.25">
      <c r="D12" s="65"/>
      <c r="F12" s="65"/>
      <c r="G12" s="80"/>
      <c r="H12" s="80"/>
      <c r="I12" s="68"/>
      <c r="J12" s="68"/>
    </row>
    <row r="13" spans="1:12" ht="15.75" thickBot="1" x14ac:dyDescent="0.3">
      <c r="D13" s="65"/>
      <c r="F13" s="65"/>
      <c r="G13" s="80"/>
      <c r="H13" s="80"/>
      <c r="I13" s="68"/>
      <c r="J13" s="68"/>
    </row>
    <row r="14" spans="1:12" x14ac:dyDescent="0.25">
      <c r="A14" s="30" t="s">
        <v>216</v>
      </c>
      <c r="B14" s="31" t="s">
        <v>0</v>
      </c>
      <c r="C14" s="31" t="s">
        <v>172</v>
      </c>
      <c r="D14" s="64" t="s">
        <v>91</v>
      </c>
      <c r="E14" s="31" t="s">
        <v>89</v>
      </c>
      <c r="F14" s="64" t="s">
        <v>81</v>
      </c>
      <c r="G14" s="76" t="s">
        <v>5</v>
      </c>
      <c r="H14" s="87" t="s">
        <v>4</v>
      </c>
      <c r="I14" s="86" t="s">
        <v>199</v>
      </c>
      <c r="J14" s="92" t="s">
        <v>198</v>
      </c>
    </row>
    <row r="15" spans="1:12" x14ac:dyDescent="0.25">
      <c r="A15" s="33" t="s">
        <v>215</v>
      </c>
      <c r="B15" t="s">
        <v>203</v>
      </c>
      <c r="C15">
        <v>8.4</v>
      </c>
      <c r="D15" s="65">
        <f>C15/1000</f>
        <v>8.4000000000000012E-3</v>
      </c>
      <c r="E15" t="s">
        <v>23</v>
      </c>
      <c r="F15" s="65" t="s">
        <v>23</v>
      </c>
      <c r="G15" s="80" t="s">
        <v>23</v>
      </c>
      <c r="H15" s="80" t="s">
        <v>23</v>
      </c>
      <c r="I15" s="68" t="s">
        <v>23</v>
      </c>
      <c r="J15" s="91" t="s">
        <v>23</v>
      </c>
    </row>
    <row r="16" spans="1:12" x14ac:dyDescent="0.25">
      <c r="A16" s="34" t="s">
        <v>90</v>
      </c>
      <c r="D16" s="65"/>
      <c r="F16" s="65"/>
      <c r="G16" s="80"/>
      <c r="H16" s="80"/>
      <c r="I16" s="68"/>
      <c r="J16" s="91"/>
    </row>
    <row r="17" spans="1:12" x14ac:dyDescent="0.25">
      <c r="A17" s="43" t="s">
        <v>217</v>
      </c>
      <c r="B17" t="s">
        <v>203</v>
      </c>
      <c r="C17" t="s">
        <v>23</v>
      </c>
      <c r="D17" s="65" t="s">
        <v>23</v>
      </c>
      <c r="E17">
        <f>F17/($F$17+$F$18+$F$19+$F$20)</f>
        <v>0.30952380952380953</v>
      </c>
      <c r="F17" s="65">
        <v>1.3312000000000001E-6</v>
      </c>
      <c r="G17" s="80">
        <v>1953.125</v>
      </c>
      <c r="H17" s="80">
        <v>1050.3855606314694</v>
      </c>
      <c r="I17" s="68">
        <v>0.3</v>
      </c>
      <c r="J17" s="91">
        <v>46.763360000000006</v>
      </c>
    </row>
    <row r="18" spans="1:12" x14ac:dyDescent="0.25">
      <c r="A18" s="43" t="s">
        <v>218</v>
      </c>
      <c r="B18" t="s">
        <v>203</v>
      </c>
      <c r="C18" t="s">
        <v>23</v>
      </c>
      <c r="D18" s="65" t="s">
        <v>23</v>
      </c>
      <c r="E18">
        <f t="shared" ref="E18:E20" si="0">F18/($F$17+$F$18+$F$19+$F$20)</f>
        <v>0.30952380952380953</v>
      </c>
      <c r="F18" s="65">
        <v>1.3312000000000001E-6</v>
      </c>
      <c r="G18" s="80">
        <v>1953.125</v>
      </c>
      <c r="H18" s="80">
        <v>1050.3855606314694</v>
      </c>
      <c r="I18" s="68">
        <v>0.3</v>
      </c>
      <c r="J18" s="91">
        <v>46.763360000000006</v>
      </c>
    </row>
    <row r="19" spans="1:12" x14ac:dyDescent="0.25">
      <c r="A19" s="43" t="s">
        <v>219</v>
      </c>
      <c r="B19" t="s">
        <v>203</v>
      </c>
      <c r="C19" t="s">
        <v>23</v>
      </c>
      <c r="D19" s="65" t="s">
        <v>23</v>
      </c>
      <c r="E19">
        <f t="shared" si="0"/>
        <v>0.19047619047619047</v>
      </c>
      <c r="F19" s="65">
        <v>8.1920000000000003E-7</v>
      </c>
      <c r="G19" s="80">
        <v>1953.125</v>
      </c>
      <c r="H19" s="80">
        <v>1050.3855606314694</v>
      </c>
      <c r="I19" s="68">
        <v>0.3</v>
      </c>
      <c r="J19" s="91">
        <v>46.763360000000006</v>
      </c>
    </row>
    <row r="20" spans="1:12" x14ac:dyDescent="0.25">
      <c r="A20" s="43" t="s">
        <v>220</v>
      </c>
      <c r="B20" t="s">
        <v>203</v>
      </c>
      <c r="C20" t="s">
        <v>23</v>
      </c>
      <c r="D20" s="65" t="s">
        <v>23</v>
      </c>
      <c r="E20">
        <f t="shared" si="0"/>
        <v>0.19047619047619047</v>
      </c>
      <c r="F20" s="65">
        <v>8.1920000000000003E-7</v>
      </c>
      <c r="G20" s="80">
        <v>1953.125</v>
      </c>
      <c r="H20" s="80">
        <v>1050.3855606314694</v>
      </c>
      <c r="I20" s="68">
        <v>0.3</v>
      </c>
      <c r="J20" s="91">
        <v>46.763360000000006</v>
      </c>
    </row>
    <row r="21" spans="1:12" ht="15.75" thickBot="1" x14ac:dyDescent="0.3">
      <c r="A21" s="35" t="s">
        <v>87</v>
      </c>
      <c r="B21" s="36" t="s">
        <v>22</v>
      </c>
      <c r="C21" s="36">
        <v>8.4</v>
      </c>
      <c r="D21" s="66">
        <f>C21/1000</f>
        <v>8.4000000000000012E-3</v>
      </c>
      <c r="E21" s="36">
        <f>SUM(E17:E20)</f>
        <v>1</v>
      </c>
      <c r="F21" s="66">
        <f>SUM(F17:F20)</f>
        <v>4.3008000000000004E-6</v>
      </c>
      <c r="G21" s="79">
        <f>D15/F21</f>
        <v>1953.125</v>
      </c>
      <c r="H21" s="79">
        <v>1050.3855606314694</v>
      </c>
      <c r="I21" s="71">
        <v>0.3</v>
      </c>
      <c r="J21" s="90">
        <v>46.763360000000006</v>
      </c>
    </row>
    <row r="22" spans="1:12" x14ac:dyDescent="0.25">
      <c r="A22" s="23"/>
      <c r="D22" s="65"/>
      <c r="F22" s="65"/>
      <c r="G22" s="80"/>
      <c r="H22" s="80"/>
      <c r="I22" s="68"/>
      <c r="J22" s="68"/>
    </row>
    <row r="23" spans="1:12" ht="15.75" thickBot="1" x14ac:dyDescent="0.3">
      <c r="D23" s="65"/>
      <c r="F23" s="65"/>
      <c r="G23" s="80"/>
      <c r="H23" s="80"/>
      <c r="I23" s="68"/>
      <c r="J23" s="68"/>
    </row>
    <row r="24" spans="1:12" x14ac:dyDescent="0.25">
      <c r="A24" s="41" t="s">
        <v>95</v>
      </c>
      <c r="B24" s="31" t="s">
        <v>0</v>
      </c>
      <c r="C24" s="31" t="s">
        <v>172</v>
      </c>
      <c r="D24" s="64" t="s">
        <v>91</v>
      </c>
      <c r="E24" s="31" t="s">
        <v>89</v>
      </c>
      <c r="F24" s="64" t="s">
        <v>81</v>
      </c>
      <c r="G24" s="76" t="s">
        <v>5</v>
      </c>
      <c r="H24" s="87" t="s">
        <v>4</v>
      </c>
      <c r="I24" s="86" t="s">
        <v>199</v>
      </c>
      <c r="J24" s="92" t="s">
        <v>198</v>
      </c>
      <c r="L24" s="22"/>
    </row>
    <row r="25" spans="1:12" x14ac:dyDescent="0.25">
      <c r="A25" s="38" t="s">
        <v>96</v>
      </c>
      <c r="B25" t="s">
        <v>202</v>
      </c>
      <c r="C25">
        <v>9.8000000000000007</v>
      </c>
      <c r="D25" s="65">
        <f>C25/1000</f>
        <v>9.8000000000000014E-3</v>
      </c>
      <c r="E25">
        <f>C25/C27</f>
        <v>0.96078431372549011</v>
      </c>
      <c r="F25" s="65" t="s">
        <v>23</v>
      </c>
      <c r="G25" s="80">
        <v>2213.541666666667</v>
      </c>
      <c r="H25" s="80">
        <v>903.96364021734939</v>
      </c>
      <c r="I25" s="68">
        <v>0.45144132745896365</v>
      </c>
      <c r="J25" s="91">
        <v>170.87540000000004</v>
      </c>
    </row>
    <row r="26" spans="1:12" x14ac:dyDescent="0.25">
      <c r="A26" s="38" t="s">
        <v>86</v>
      </c>
      <c r="B26" t="s">
        <v>88</v>
      </c>
      <c r="C26">
        <v>0.4</v>
      </c>
      <c r="D26" s="65">
        <f>C26/1000</f>
        <v>4.0000000000000002E-4</v>
      </c>
      <c r="E26">
        <f>C26/C27</f>
        <v>3.9215686274509803E-2</v>
      </c>
      <c r="F26" s="65" t="s">
        <v>23</v>
      </c>
      <c r="G26" s="80">
        <v>2213.541666666667</v>
      </c>
      <c r="H26" s="80">
        <v>903.96364021734939</v>
      </c>
      <c r="I26" s="68">
        <v>0.45144132745896365</v>
      </c>
      <c r="J26" s="91">
        <v>170.87540000000004</v>
      </c>
    </row>
    <row r="27" spans="1:12" x14ac:dyDescent="0.25">
      <c r="A27" s="39" t="s">
        <v>87</v>
      </c>
      <c r="B27" t="s">
        <v>22</v>
      </c>
      <c r="C27">
        <f>SUM(C25:C26)</f>
        <v>10.200000000000001</v>
      </c>
      <c r="D27" s="65">
        <f>C27/1000</f>
        <v>1.0200000000000001E-2</v>
      </c>
      <c r="E27">
        <f>SUM(E25:E26)</f>
        <v>0.99999999999999989</v>
      </c>
      <c r="F27" s="65">
        <v>4.6079999999999998E-6</v>
      </c>
      <c r="G27" s="81">
        <f>D27/F27</f>
        <v>2213.541666666667</v>
      </c>
      <c r="H27" s="81">
        <v>903.96364021734939</v>
      </c>
      <c r="I27" s="72">
        <v>0.45144132745896365</v>
      </c>
      <c r="J27" s="93">
        <v>170.87540000000004</v>
      </c>
    </row>
    <row r="28" spans="1:12" x14ac:dyDescent="0.25">
      <c r="A28" s="55" t="s">
        <v>93</v>
      </c>
      <c r="B28" s="17"/>
      <c r="C28" s="17"/>
      <c r="D28" s="62"/>
      <c r="E28" s="17"/>
      <c r="F28" s="62"/>
      <c r="G28" s="78"/>
      <c r="H28" s="78"/>
      <c r="I28" s="70"/>
      <c r="J28" s="89"/>
    </row>
    <row r="29" spans="1:12" x14ac:dyDescent="0.25">
      <c r="A29" s="42" t="s">
        <v>117</v>
      </c>
      <c r="C29">
        <v>10.200000000000001</v>
      </c>
      <c r="D29" s="65">
        <v>1.0200000000000001E-2</v>
      </c>
      <c r="E29">
        <f>SUM(E27:E28)</f>
        <v>0.99999999999999989</v>
      </c>
      <c r="F29" s="65">
        <v>4.6079999999999998E-6</v>
      </c>
      <c r="G29" s="81">
        <v>2213.541666666667</v>
      </c>
      <c r="H29" s="81">
        <v>903.96364021734939</v>
      </c>
      <c r="I29" s="72">
        <v>0.45144132745896365</v>
      </c>
      <c r="J29" s="93">
        <v>170.87540000000004</v>
      </c>
    </row>
    <row r="30" spans="1:12" ht="15.75" thickBot="1" x14ac:dyDescent="0.3">
      <c r="A30" s="44" t="s">
        <v>116</v>
      </c>
      <c r="B30" s="36"/>
      <c r="C30" s="36">
        <v>10.200000000000001</v>
      </c>
      <c r="D30" s="66">
        <v>1.0200000000000001E-2</v>
      </c>
      <c r="E30" s="36">
        <v>0.99999999999999989</v>
      </c>
      <c r="F30" s="66">
        <v>4.6079999999999998E-6</v>
      </c>
      <c r="G30" s="79">
        <v>2213.541666666667</v>
      </c>
      <c r="H30" s="79">
        <v>903.96364021734939</v>
      </c>
      <c r="I30" s="71">
        <v>0.45144132745896365</v>
      </c>
      <c r="J30" s="90">
        <v>170.87540000000004</v>
      </c>
    </row>
    <row r="31" spans="1:12" x14ac:dyDescent="0.25">
      <c r="A31" s="2"/>
      <c r="D31" s="65"/>
      <c r="F31" s="65"/>
      <c r="G31" s="80"/>
      <c r="H31" s="80"/>
      <c r="I31" s="68"/>
      <c r="J31" s="68"/>
    </row>
    <row r="32" spans="1:12" ht="15.75" thickBot="1" x14ac:dyDescent="0.3">
      <c r="D32" s="65"/>
      <c r="F32" s="65"/>
      <c r="G32" s="80"/>
      <c r="H32" s="80"/>
      <c r="I32" s="68"/>
      <c r="J32" s="68"/>
    </row>
    <row r="33" spans="1:12" x14ac:dyDescent="0.25">
      <c r="A33" s="41" t="s">
        <v>97</v>
      </c>
      <c r="B33" s="31" t="s">
        <v>0</v>
      </c>
      <c r="C33" s="31" t="s">
        <v>172</v>
      </c>
      <c r="D33" s="64" t="s">
        <v>91</v>
      </c>
      <c r="E33" s="31" t="s">
        <v>89</v>
      </c>
      <c r="F33" s="64" t="s">
        <v>81</v>
      </c>
      <c r="G33" s="76" t="s">
        <v>5</v>
      </c>
      <c r="H33" s="87" t="s">
        <v>4</v>
      </c>
      <c r="I33" s="86" t="s">
        <v>199</v>
      </c>
      <c r="J33" s="92" t="s">
        <v>198</v>
      </c>
      <c r="L33" s="22"/>
    </row>
    <row r="34" spans="1:12" x14ac:dyDescent="0.25">
      <c r="A34" s="38" t="s">
        <v>100</v>
      </c>
      <c r="B34" t="s">
        <v>202</v>
      </c>
      <c r="C34">
        <v>9.8000000000000007</v>
      </c>
      <c r="D34" s="65">
        <f>C34/1000</f>
        <v>9.8000000000000014E-3</v>
      </c>
      <c r="E34">
        <f>C34/C36</f>
        <v>0.94230769230769229</v>
      </c>
      <c r="F34" s="65" t="s">
        <v>23</v>
      </c>
      <c r="G34" s="80">
        <v>2256.9444444444448</v>
      </c>
      <c r="H34" s="80">
        <v>903.96364021734939</v>
      </c>
      <c r="I34" s="68">
        <v>0.45144132745896365</v>
      </c>
      <c r="J34" s="91">
        <v>170.87540000000004</v>
      </c>
    </row>
    <row r="35" spans="1:12" x14ac:dyDescent="0.25">
      <c r="A35" s="38" t="s">
        <v>98</v>
      </c>
      <c r="B35" t="s">
        <v>88</v>
      </c>
      <c r="C35">
        <v>0.6</v>
      </c>
      <c r="D35" s="65">
        <f>C35/1000</f>
        <v>5.9999999999999995E-4</v>
      </c>
      <c r="E35">
        <f>C35/C36</f>
        <v>5.7692307692307689E-2</v>
      </c>
      <c r="F35" s="65" t="s">
        <v>23</v>
      </c>
      <c r="G35" s="80">
        <v>2256.9444444444448</v>
      </c>
      <c r="H35" s="80">
        <v>903.96364021734939</v>
      </c>
      <c r="I35" s="68">
        <v>0.45144132745896365</v>
      </c>
      <c r="J35" s="91">
        <v>170.87540000000004</v>
      </c>
    </row>
    <row r="36" spans="1:12" ht="15.75" thickBot="1" x14ac:dyDescent="0.3">
      <c r="A36" s="35" t="s">
        <v>87</v>
      </c>
      <c r="B36" s="36" t="s">
        <v>22</v>
      </c>
      <c r="C36" s="36">
        <f>SUM(C34:C35)</f>
        <v>10.4</v>
      </c>
      <c r="D36" s="66">
        <f>SUM(D34:D35)</f>
        <v>1.0400000000000001E-2</v>
      </c>
      <c r="E36" s="36">
        <f>SUM(E34:E35)</f>
        <v>1</v>
      </c>
      <c r="F36" s="66">
        <v>4.6079999999999998E-6</v>
      </c>
      <c r="G36" s="82">
        <f>D36/F36</f>
        <v>2256.9444444444448</v>
      </c>
      <c r="H36" s="82">
        <v>903.96364021734939</v>
      </c>
      <c r="I36" s="73">
        <v>0.45144132745896365</v>
      </c>
      <c r="J36" s="94">
        <v>170.87540000000004</v>
      </c>
    </row>
    <row r="37" spans="1:12" x14ac:dyDescent="0.25">
      <c r="D37" s="65"/>
      <c r="F37" s="65"/>
      <c r="G37" s="80"/>
      <c r="H37" s="80"/>
      <c r="I37" s="68"/>
      <c r="J37" s="68"/>
    </row>
    <row r="38" spans="1:12" ht="15.75" thickBot="1" x14ac:dyDescent="0.3">
      <c r="D38" s="65"/>
      <c r="F38" s="65"/>
      <c r="G38" s="80"/>
      <c r="H38" s="80"/>
      <c r="I38" s="68"/>
      <c r="J38" s="68"/>
    </row>
    <row r="39" spans="1:12" x14ac:dyDescent="0.25">
      <c r="A39" s="41" t="s">
        <v>99</v>
      </c>
      <c r="B39" s="31" t="s">
        <v>0</v>
      </c>
      <c r="C39" s="31" t="s">
        <v>172</v>
      </c>
      <c r="D39" s="64" t="s">
        <v>91</v>
      </c>
      <c r="E39" s="31" t="s">
        <v>89</v>
      </c>
      <c r="F39" s="64" t="s">
        <v>81</v>
      </c>
      <c r="G39" s="76" t="s">
        <v>5</v>
      </c>
      <c r="H39" s="87" t="s">
        <v>4</v>
      </c>
      <c r="I39" s="86" t="s">
        <v>199</v>
      </c>
      <c r="J39" s="92" t="s">
        <v>198</v>
      </c>
      <c r="L39" s="22"/>
    </row>
    <row r="40" spans="1:12" x14ac:dyDescent="0.25">
      <c r="A40" s="38" t="s">
        <v>101</v>
      </c>
      <c r="B40" t="s">
        <v>204</v>
      </c>
      <c r="C40">
        <v>6.6</v>
      </c>
      <c r="D40" s="65">
        <f>C40/1000</f>
        <v>6.6E-3</v>
      </c>
      <c r="E40">
        <f>C40/C42</f>
        <v>0.92957746478873238</v>
      </c>
      <c r="F40" s="65" t="s">
        <v>23</v>
      </c>
      <c r="G40" s="80">
        <f>D40/F42</f>
        <v>1629.6296296296296</v>
      </c>
      <c r="H40" s="80">
        <v>903.96364021734939</v>
      </c>
      <c r="I40" s="68">
        <v>0.45144132745896365</v>
      </c>
      <c r="J40" s="91">
        <v>170.87540000000004</v>
      </c>
    </row>
    <row r="41" spans="1:12" x14ac:dyDescent="0.25">
      <c r="A41" s="38" t="s">
        <v>86</v>
      </c>
      <c r="B41" t="s">
        <v>88</v>
      </c>
      <c r="C41">
        <v>0.5</v>
      </c>
      <c r="D41" s="65">
        <f t="shared" ref="D41" si="1">C41/1000</f>
        <v>5.0000000000000001E-4</v>
      </c>
      <c r="E41">
        <f>C41/C40</f>
        <v>7.575757575757576E-2</v>
      </c>
      <c r="F41" s="65" t="s">
        <v>23</v>
      </c>
      <c r="G41" s="80">
        <v>1629.6296296296296</v>
      </c>
      <c r="H41" s="80">
        <v>903.96364021734939</v>
      </c>
      <c r="I41" s="68">
        <v>0.45144132745896365</v>
      </c>
      <c r="J41" s="91">
        <v>170.87540000000004</v>
      </c>
    </row>
    <row r="42" spans="1:12" ht="15.75" thickBot="1" x14ac:dyDescent="0.3">
      <c r="A42" s="35" t="s">
        <v>87</v>
      </c>
      <c r="B42" s="36" t="s">
        <v>22</v>
      </c>
      <c r="C42" s="101">
        <v>7.1</v>
      </c>
      <c r="D42" s="66">
        <f>C42/1000</f>
        <v>7.0999999999999995E-3</v>
      </c>
      <c r="E42" s="36"/>
      <c r="F42" s="66">
        <v>4.0500000000000002E-6</v>
      </c>
      <c r="G42" s="79">
        <v>1629.6296296296296</v>
      </c>
      <c r="H42" s="79">
        <v>903.96364021734939</v>
      </c>
      <c r="I42" s="71">
        <v>0.45144132745896365</v>
      </c>
      <c r="J42" s="90">
        <v>170.87540000000004</v>
      </c>
    </row>
    <row r="43" spans="1:12" x14ac:dyDescent="0.25">
      <c r="D43" s="65"/>
      <c r="F43" s="65"/>
      <c r="G43" s="80"/>
      <c r="H43" s="80"/>
      <c r="I43" s="68"/>
      <c r="J43" s="68"/>
    </row>
    <row r="44" spans="1:12" ht="15.75" thickBot="1" x14ac:dyDescent="0.3">
      <c r="D44" s="65"/>
      <c r="F44" s="65"/>
      <c r="G44" s="80"/>
      <c r="H44" s="80"/>
      <c r="I44" s="68"/>
      <c r="J44" s="68"/>
    </row>
    <row r="45" spans="1:12" x14ac:dyDescent="0.25">
      <c r="A45" s="41" t="s">
        <v>102</v>
      </c>
      <c r="B45" s="31" t="s">
        <v>0</v>
      </c>
      <c r="C45" s="31" t="s">
        <v>172</v>
      </c>
      <c r="D45" s="64" t="s">
        <v>91</v>
      </c>
      <c r="E45" s="31" t="s">
        <v>89</v>
      </c>
      <c r="F45" s="64" t="s">
        <v>81</v>
      </c>
      <c r="G45" s="76" t="s">
        <v>5</v>
      </c>
      <c r="H45" s="87" t="s">
        <v>4</v>
      </c>
      <c r="I45" s="86" t="s">
        <v>199</v>
      </c>
      <c r="J45" s="92" t="s">
        <v>198</v>
      </c>
    </row>
    <row r="46" spans="1:12" x14ac:dyDescent="0.25">
      <c r="A46" s="38" t="s">
        <v>105</v>
      </c>
      <c r="B46" t="s">
        <v>205</v>
      </c>
      <c r="C46">
        <v>5.6</v>
      </c>
      <c r="D46" s="65">
        <f>C46/1000</f>
        <v>5.5999999999999999E-3</v>
      </c>
      <c r="E46">
        <f>D46/$D$48</f>
        <v>0.7</v>
      </c>
      <c r="F46" s="65" t="s">
        <v>23</v>
      </c>
      <c r="G46" s="80">
        <v>3125</v>
      </c>
      <c r="H46" s="80">
        <v>940.29816397754291</v>
      </c>
      <c r="I46" s="68">
        <v>0.31583930722281617</v>
      </c>
      <c r="J46" s="91">
        <v>91.472640000000013</v>
      </c>
    </row>
    <row r="47" spans="1:12" x14ac:dyDescent="0.25">
      <c r="A47" s="38" t="s">
        <v>86</v>
      </c>
      <c r="B47" t="s">
        <v>205</v>
      </c>
      <c r="C47">
        <v>2.4</v>
      </c>
      <c r="D47" s="65">
        <f>C47/1000</f>
        <v>2.3999999999999998E-3</v>
      </c>
      <c r="E47">
        <f>D47/$D$48</f>
        <v>0.3</v>
      </c>
      <c r="F47" s="65" t="s">
        <v>23</v>
      </c>
      <c r="G47" s="80">
        <v>3125</v>
      </c>
      <c r="H47" s="80">
        <v>940.29816397754291</v>
      </c>
      <c r="I47" s="68">
        <v>0.31583930722281617</v>
      </c>
      <c r="J47" s="91">
        <v>91.472640000000013</v>
      </c>
    </row>
    <row r="48" spans="1:12" ht="15.75" thickBot="1" x14ac:dyDescent="0.3">
      <c r="A48" s="35" t="s">
        <v>87</v>
      </c>
      <c r="B48" s="102" t="s">
        <v>22</v>
      </c>
      <c r="C48" s="36">
        <f>SUM(C46:C47)</f>
        <v>8</v>
      </c>
      <c r="D48" s="66">
        <f>SUM(D46:D47)</f>
        <v>8.0000000000000002E-3</v>
      </c>
      <c r="E48" s="36">
        <f>SUM(E46:E47)</f>
        <v>1</v>
      </c>
      <c r="F48" s="66">
        <v>2.5600000000000001E-6</v>
      </c>
      <c r="G48" s="79">
        <f>D48/F48</f>
        <v>3125</v>
      </c>
      <c r="H48" s="79">
        <v>940.29816397754291</v>
      </c>
      <c r="I48" s="71">
        <v>0.31583930722281617</v>
      </c>
      <c r="J48" s="90">
        <v>91.472640000000013</v>
      </c>
    </row>
    <row r="49" spans="1:10" x14ac:dyDescent="0.25">
      <c r="D49" s="65"/>
      <c r="F49" s="65"/>
      <c r="G49" s="80"/>
      <c r="H49" s="80"/>
      <c r="I49" s="68"/>
      <c r="J49" s="68"/>
    </row>
    <row r="50" spans="1:10" ht="15.75" thickBot="1" x14ac:dyDescent="0.3">
      <c r="D50" s="65"/>
      <c r="F50" s="65"/>
      <c r="G50" s="80"/>
      <c r="H50" s="80"/>
      <c r="I50" s="68"/>
      <c r="J50" s="68"/>
    </row>
    <row r="51" spans="1:10" x14ac:dyDescent="0.25">
      <c r="A51" s="41" t="s">
        <v>103</v>
      </c>
      <c r="B51" s="31" t="s">
        <v>0</v>
      </c>
      <c r="C51" s="31" t="s">
        <v>172</v>
      </c>
      <c r="D51" s="64" t="s">
        <v>91</v>
      </c>
      <c r="E51" s="31" t="s">
        <v>89</v>
      </c>
      <c r="F51" s="64" t="s">
        <v>81</v>
      </c>
      <c r="G51" s="76" t="s">
        <v>5</v>
      </c>
      <c r="H51" s="87" t="s">
        <v>4</v>
      </c>
      <c r="I51" s="86" t="s">
        <v>199</v>
      </c>
      <c r="J51" s="92" t="s">
        <v>198</v>
      </c>
    </row>
    <row r="52" spans="1:10" x14ac:dyDescent="0.25">
      <c r="A52" s="38" t="s">
        <v>106</v>
      </c>
      <c r="B52" t="s">
        <v>205</v>
      </c>
      <c r="C52">
        <v>5.5</v>
      </c>
      <c r="D52" s="65">
        <f>C52/1000</f>
        <v>5.4999999999999997E-3</v>
      </c>
      <c r="E52">
        <f>D52/D54</f>
        <v>0.77464788732394363</v>
      </c>
      <c r="F52" s="65" t="s">
        <v>23</v>
      </c>
      <c r="G52" s="80">
        <v>2773.4374999999995</v>
      </c>
      <c r="H52" s="80">
        <v>940.29816397754291</v>
      </c>
      <c r="I52" s="68">
        <v>0.31583930722281617</v>
      </c>
      <c r="J52" s="91">
        <v>91.472640000000013</v>
      </c>
    </row>
    <row r="53" spans="1:10" x14ac:dyDescent="0.25">
      <c r="A53" s="38" t="s">
        <v>86</v>
      </c>
      <c r="B53" t="s">
        <v>205</v>
      </c>
      <c r="C53">
        <v>1.6</v>
      </c>
      <c r="D53" s="65">
        <f>C53/1000</f>
        <v>1.6000000000000001E-3</v>
      </c>
      <c r="E53">
        <f>D53/$D$54</f>
        <v>0.22535211267605637</v>
      </c>
      <c r="F53" s="65" t="s">
        <v>23</v>
      </c>
      <c r="G53" s="80">
        <v>2773.4374999999995</v>
      </c>
      <c r="H53" s="80">
        <v>940.29816397754291</v>
      </c>
      <c r="I53" s="68">
        <v>0.31583930722281617</v>
      </c>
      <c r="J53" s="91">
        <v>91.472640000000013</v>
      </c>
    </row>
    <row r="54" spans="1:10" ht="15.75" thickBot="1" x14ac:dyDescent="0.3">
      <c r="A54" s="35" t="s">
        <v>87</v>
      </c>
      <c r="B54" s="36"/>
      <c r="C54" s="36">
        <f>SUM(C52:C53)</f>
        <v>7.1</v>
      </c>
      <c r="D54" s="66">
        <f>SUM(D52:D53)</f>
        <v>7.0999999999999995E-3</v>
      </c>
      <c r="E54" s="36">
        <f>SUM(E52:E53)</f>
        <v>1</v>
      </c>
      <c r="F54" s="66">
        <v>2.5600000000000001E-6</v>
      </c>
      <c r="G54" s="79">
        <f>D54/F54</f>
        <v>2773.4374999999995</v>
      </c>
      <c r="H54" s="79">
        <v>940.29816397754291</v>
      </c>
      <c r="I54" s="71">
        <v>0.31583930722281617</v>
      </c>
      <c r="J54" s="90">
        <v>91.472640000000013</v>
      </c>
    </row>
    <row r="55" spans="1:10" x14ac:dyDescent="0.25">
      <c r="D55" s="65"/>
      <c r="F55" s="65"/>
      <c r="G55" s="80"/>
      <c r="H55" s="80"/>
      <c r="I55" s="68"/>
      <c r="J55" s="68"/>
    </row>
    <row r="56" spans="1:10" ht="15.75" thickBot="1" x14ac:dyDescent="0.3">
      <c r="D56" s="65"/>
      <c r="F56" s="65"/>
      <c r="G56" s="80"/>
      <c r="H56" s="80"/>
      <c r="I56" s="68"/>
      <c r="J56" s="68"/>
    </row>
    <row r="57" spans="1:10" x14ac:dyDescent="0.25">
      <c r="A57" s="41" t="s">
        <v>104</v>
      </c>
      <c r="B57" s="31" t="s">
        <v>0</v>
      </c>
      <c r="C57" s="31" t="s">
        <v>172</v>
      </c>
      <c r="D57" s="64" t="s">
        <v>91</v>
      </c>
      <c r="E57" s="31" t="s">
        <v>89</v>
      </c>
      <c r="F57" s="64" t="s">
        <v>81</v>
      </c>
      <c r="G57" s="76" t="s">
        <v>5</v>
      </c>
      <c r="H57" s="87" t="s">
        <v>4</v>
      </c>
      <c r="I57" s="86" t="s">
        <v>199</v>
      </c>
      <c r="J57" s="92" t="s">
        <v>198</v>
      </c>
    </row>
    <row r="58" spans="1:10" x14ac:dyDescent="0.25">
      <c r="A58" s="38" t="s">
        <v>107</v>
      </c>
      <c r="B58" t="s">
        <v>205</v>
      </c>
      <c r="C58">
        <v>5.4</v>
      </c>
      <c r="D58" s="65">
        <f>C58/1000</f>
        <v>5.4000000000000003E-3</v>
      </c>
      <c r="E58">
        <f>D58/$D$60</f>
        <v>0.77142857142857146</v>
      </c>
      <c r="F58" s="65" t="s">
        <v>23</v>
      </c>
      <c r="G58" s="80">
        <v>2734.375</v>
      </c>
      <c r="H58" s="80">
        <v>940.29816397754291</v>
      </c>
      <c r="I58" s="68">
        <v>0.31583930722281617</v>
      </c>
      <c r="J58" s="91">
        <v>91.472640000000013</v>
      </c>
    </row>
    <row r="59" spans="1:10" x14ac:dyDescent="0.25">
      <c r="A59" s="38" t="s">
        <v>86</v>
      </c>
      <c r="C59">
        <v>1.6</v>
      </c>
      <c r="D59" s="65">
        <f>C59/1000</f>
        <v>1.6000000000000001E-3</v>
      </c>
      <c r="E59">
        <f>D59/$D$60</f>
        <v>0.22857142857142856</v>
      </c>
      <c r="F59" s="65" t="s">
        <v>23</v>
      </c>
      <c r="G59" s="80">
        <v>2734.375</v>
      </c>
      <c r="H59" s="80">
        <v>940.29816397754291</v>
      </c>
      <c r="I59" s="68">
        <v>0.31583930722281617</v>
      </c>
      <c r="J59" s="91">
        <v>91.472640000000013</v>
      </c>
    </row>
    <row r="60" spans="1:10" ht="15.75" thickBot="1" x14ac:dyDescent="0.3">
      <c r="A60" s="35" t="s">
        <v>87</v>
      </c>
      <c r="B60" s="36"/>
      <c r="C60" s="36">
        <f>SUM(C58:C59)</f>
        <v>7</v>
      </c>
      <c r="D60" s="66">
        <f>SUM(D58:D59)</f>
        <v>7.0000000000000001E-3</v>
      </c>
      <c r="E60" s="36">
        <f>SUM(E58:E59)</f>
        <v>1</v>
      </c>
      <c r="F60" s="66">
        <v>2.5600000000000001E-6</v>
      </c>
      <c r="G60" s="79">
        <f>D60/F60</f>
        <v>2734.375</v>
      </c>
      <c r="H60" s="79">
        <v>940.29816397754291</v>
      </c>
      <c r="I60" s="71">
        <v>0.31583930722281617</v>
      </c>
      <c r="J60" s="90">
        <v>91.472640000000013</v>
      </c>
    </row>
    <row r="61" spans="1:10" x14ac:dyDescent="0.25">
      <c r="D61" s="65"/>
      <c r="F61" s="65"/>
      <c r="G61" s="80"/>
      <c r="H61" s="80"/>
      <c r="I61" s="68"/>
      <c r="J61" s="68"/>
    </row>
    <row r="62" spans="1:10" ht="15.75" thickBot="1" x14ac:dyDescent="0.3">
      <c r="D62" s="65"/>
      <c r="F62" s="65"/>
      <c r="G62" s="80"/>
      <c r="H62" s="80"/>
      <c r="I62" s="68"/>
      <c r="J62" s="68"/>
    </row>
    <row r="63" spans="1:10" x14ac:dyDescent="0.25">
      <c r="A63" s="41" t="s">
        <v>108</v>
      </c>
      <c r="B63" s="31" t="s">
        <v>0</v>
      </c>
      <c r="C63" s="31" t="s">
        <v>172</v>
      </c>
      <c r="D63" s="64" t="s">
        <v>91</v>
      </c>
      <c r="E63" s="31" t="s">
        <v>89</v>
      </c>
      <c r="F63" s="64" t="s">
        <v>81</v>
      </c>
      <c r="G63" s="76" t="s">
        <v>5</v>
      </c>
      <c r="H63" s="87" t="s">
        <v>4</v>
      </c>
      <c r="I63" s="86" t="s">
        <v>199</v>
      </c>
      <c r="J63" s="92" t="s">
        <v>198</v>
      </c>
    </row>
    <row r="64" spans="1:10" x14ac:dyDescent="0.25">
      <c r="A64" s="38" t="s">
        <v>173</v>
      </c>
      <c r="B64" t="s">
        <v>211</v>
      </c>
      <c r="C64">
        <v>9.1999999999999993</v>
      </c>
      <c r="D64" s="65">
        <f>C64/1000</f>
        <v>9.1999999999999998E-3</v>
      </c>
      <c r="E64">
        <v>1</v>
      </c>
      <c r="F64" s="65" t="s">
        <v>23</v>
      </c>
      <c r="G64" s="80">
        <v>3593.75</v>
      </c>
      <c r="H64" s="80">
        <v>783.19706393372451</v>
      </c>
      <c r="I64" s="68">
        <v>0.31</v>
      </c>
      <c r="J64" s="91">
        <v>110.14952000000002</v>
      </c>
    </row>
    <row r="65" spans="1:12" ht="15.75" thickBot="1" x14ac:dyDescent="0.3">
      <c r="A65" s="35" t="s">
        <v>87</v>
      </c>
      <c r="B65" s="36"/>
      <c r="C65" s="36">
        <v>9.1999999999999993</v>
      </c>
      <c r="D65" s="66">
        <v>9.1999999999999998E-3</v>
      </c>
      <c r="E65" s="36">
        <v>1</v>
      </c>
      <c r="F65" s="66">
        <v>2.5600000000000001E-6</v>
      </c>
      <c r="G65" s="79">
        <f>D64/F65</f>
        <v>3593.75</v>
      </c>
      <c r="H65" s="79">
        <v>783.19706393372451</v>
      </c>
      <c r="I65" s="71">
        <v>0.31</v>
      </c>
      <c r="J65" s="90">
        <v>110.14952000000002</v>
      </c>
    </row>
    <row r="66" spans="1:12" x14ac:dyDescent="0.25">
      <c r="D66" s="65"/>
      <c r="F66" s="65"/>
      <c r="G66" s="80"/>
      <c r="H66" s="80"/>
      <c r="I66" s="68"/>
      <c r="J66" s="68"/>
    </row>
    <row r="67" spans="1:12" ht="15.75" thickBot="1" x14ac:dyDescent="0.3">
      <c r="D67" s="65"/>
      <c r="F67" s="65"/>
      <c r="G67" s="80"/>
      <c r="H67" s="80"/>
      <c r="I67" s="68"/>
      <c r="J67" s="68"/>
    </row>
    <row r="68" spans="1:12" x14ac:dyDescent="0.25">
      <c r="A68" s="41" t="s">
        <v>109</v>
      </c>
      <c r="B68" s="31" t="s">
        <v>0</v>
      </c>
      <c r="C68" s="31" t="s">
        <v>172</v>
      </c>
      <c r="D68" s="64" t="s">
        <v>91</v>
      </c>
      <c r="E68" s="31" t="s">
        <v>89</v>
      </c>
      <c r="F68" s="64" t="s">
        <v>81</v>
      </c>
      <c r="G68" s="76" t="s">
        <v>5</v>
      </c>
      <c r="H68" s="87" t="s">
        <v>4</v>
      </c>
      <c r="I68" s="86" t="s">
        <v>199</v>
      </c>
      <c r="J68" s="92" t="s">
        <v>198</v>
      </c>
      <c r="L68" s="22"/>
    </row>
    <row r="69" spans="1:12" x14ac:dyDescent="0.25">
      <c r="A69" s="38" t="s">
        <v>110</v>
      </c>
      <c r="B69" t="s">
        <v>238</v>
      </c>
      <c r="C69">
        <v>7.6</v>
      </c>
      <c r="D69" s="65">
        <f>C69/1000</f>
        <v>7.6E-3</v>
      </c>
      <c r="E69">
        <f>D69/D71</f>
        <v>0.91566265060240981</v>
      </c>
      <c r="F69" s="65" t="s">
        <v>23</v>
      </c>
      <c r="G69" s="80">
        <v>3242.1874999999991</v>
      </c>
      <c r="H69" s="80">
        <v>904.86619540520076</v>
      </c>
      <c r="I69" s="68">
        <v>0.29142496305131627</v>
      </c>
      <c r="J69" s="91">
        <v>88.525164000000032</v>
      </c>
    </row>
    <row r="70" spans="1:12" x14ac:dyDescent="0.25">
      <c r="A70" s="38" t="s">
        <v>69</v>
      </c>
      <c r="B70" t="s">
        <v>239</v>
      </c>
      <c r="C70">
        <v>0.7</v>
      </c>
      <c r="D70" s="65">
        <f t="shared" ref="D70:D71" si="2">C70/1000</f>
        <v>6.9999999999999999E-4</v>
      </c>
      <c r="E70">
        <f>D70/D71</f>
        <v>8.4337349397590383E-2</v>
      </c>
      <c r="F70" s="65" t="s">
        <v>23</v>
      </c>
      <c r="G70" s="80">
        <v>3242.1874999999991</v>
      </c>
      <c r="H70" s="80">
        <v>904.86619540520076</v>
      </c>
      <c r="I70" s="68">
        <v>0.29142496305131627</v>
      </c>
      <c r="J70" s="91">
        <v>88.525164000000032</v>
      </c>
    </row>
    <row r="71" spans="1:12" ht="15.75" thickBot="1" x14ac:dyDescent="0.3">
      <c r="A71" s="35" t="s">
        <v>87</v>
      </c>
      <c r="B71" s="36"/>
      <c r="C71" s="36">
        <f>SUM(C69:C70)</f>
        <v>8.2999999999999989</v>
      </c>
      <c r="D71" s="65">
        <f t="shared" si="2"/>
        <v>8.2999999999999984E-3</v>
      </c>
      <c r="E71" s="36"/>
      <c r="F71" s="66">
        <v>2.5600000000000001E-6</v>
      </c>
      <c r="G71" s="79">
        <f>D71/F71</f>
        <v>3242.1874999999991</v>
      </c>
      <c r="H71" s="79">
        <v>904.86619540520076</v>
      </c>
      <c r="I71" s="71">
        <v>0.31347382420811998</v>
      </c>
      <c r="J71" s="90">
        <v>88.525164000000032</v>
      </c>
    </row>
    <row r="72" spans="1:12" ht="15.75" thickBot="1" x14ac:dyDescent="0.3">
      <c r="A72" s="23"/>
      <c r="D72" s="65"/>
      <c r="F72" s="65"/>
      <c r="G72" s="80"/>
      <c r="H72" s="80"/>
      <c r="I72" s="68"/>
      <c r="J72" s="68"/>
    </row>
    <row r="73" spans="1:12" x14ac:dyDescent="0.25">
      <c r="A73" s="37" t="s">
        <v>121</v>
      </c>
      <c r="B73" s="31" t="s">
        <v>0</v>
      </c>
      <c r="C73" s="31" t="s">
        <v>172</v>
      </c>
      <c r="D73" s="64" t="s">
        <v>91</v>
      </c>
      <c r="E73" s="31" t="s">
        <v>89</v>
      </c>
      <c r="F73" s="64" t="s">
        <v>206</v>
      </c>
      <c r="G73" s="76" t="s">
        <v>235</v>
      </c>
      <c r="H73" s="87" t="s">
        <v>4</v>
      </c>
      <c r="I73" s="86" t="s">
        <v>199</v>
      </c>
      <c r="J73" s="92" t="s">
        <v>198</v>
      </c>
    </row>
    <row r="74" spans="1:12" ht="15.75" thickBot="1" x14ac:dyDescent="0.3">
      <c r="A74" s="35" t="s">
        <v>87</v>
      </c>
      <c r="B74" s="36"/>
      <c r="C74" s="36">
        <v>5.7</v>
      </c>
      <c r="D74" s="66">
        <f>C74/1000</f>
        <v>5.7000000000000002E-3</v>
      </c>
      <c r="E74" s="36"/>
      <c r="F74" s="66">
        <v>4.2999999999999999E-4</v>
      </c>
      <c r="G74" s="83">
        <f>D74/F74</f>
        <v>13.255813953488373</v>
      </c>
      <c r="H74" s="83">
        <v>500</v>
      </c>
      <c r="I74" s="83">
        <v>15</v>
      </c>
      <c r="J74" s="95">
        <v>15</v>
      </c>
    </row>
    <row r="75" spans="1:12" ht="15.75" thickBot="1" x14ac:dyDescent="0.3">
      <c r="A75" s="23"/>
      <c r="D75" s="65"/>
      <c r="F75" s="65"/>
      <c r="G75" s="80"/>
      <c r="H75" s="80"/>
      <c r="I75" s="68"/>
      <c r="J75" s="68"/>
    </row>
    <row r="76" spans="1:12" x14ac:dyDescent="0.25">
      <c r="A76" s="30" t="s">
        <v>160</v>
      </c>
      <c r="B76" s="31" t="s">
        <v>0</v>
      </c>
      <c r="C76" s="31" t="s">
        <v>172</v>
      </c>
      <c r="D76" s="64" t="s">
        <v>91</v>
      </c>
      <c r="E76" s="31" t="s">
        <v>89</v>
      </c>
      <c r="F76" s="64" t="s">
        <v>81</v>
      </c>
      <c r="G76" s="76" t="s">
        <v>5</v>
      </c>
      <c r="H76" s="87" t="s">
        <v>4</v>
      </c>
      <c r="I76" s="86" t="s">
        <v>199</v>
      </c>
      <c r="J76" s="92" t="s">
        <v>198</v>
      </c>
    </row>
    <row r="77" spans="1:12" x14ac:dyDescent="0.25">
      <c r="A77" s="33" t="s">
        <v>123</v>
      </c>
      <c r="B77" t="s">
        <v>52</v>
      </c>
      <c r="C77">
        <f>24</f>
        <v>24</v>
      </c>
      <c r="D77" s="65">
        <f>C77/1000</f>
        <v>2.4E-2</v>
      </c>
      <c r="E77">
        <f>D77/D86</f>
        <v>0.92407207762205446</v>
      </c>
      <c r="F77" s="65" t="s">
        <v>23</v>
      </c>
      <c r="G77" s="80" t="s">
        <v>23</v>
      </c>
      <c r="H77" s="84">
        <v>960</v>
      </c>
      <c r="I77" s="75">
        <v>130</v>
      </c>
      <c r="J77" s="96">
        <v>130</v>
      </c>
    </row>
    <row r="78" spans="1:12" x14ac:dyDescent="0.25">
      <c r="A78" s="33" t="s">
        <v>241</v>
      </c>
      <c r="B78" t="s">
        <v>48</v>
      </c>
      <c r="C78">
        <f>4*0.29*1.7</f>
        <v>1.9719999999999998</v>
      </c>
      <c r="D78" s="65">
        <f>C78/1000</f>
        <v>1.9719999999999998E-3</v>
      </c>
      <c r="E78">
        <f>D78/D86</f>
        <v>7.5927922377945462E-2</v>
      </c>
      <c r="F78" s="65"/>
      <c r="G78" s="80" t="s">
        <v>23</v>
      </c>
      <c r="H78" s="84">
        <v>500</v>
      </c>
      <c r="I78" s="75">
        <v>15</v>
      </c>
      <c r="J78" s="96">
        <v>15</v>
      </c>
    </row>
    <row r="79" spans="1:12" x14ac:dyDescent="0.25">
      <c r="A79" s="34" t="s">
        <v>161</v>
      </c>
      <c r="D79" s="65"/>
      <c r="F79" s="65"/>
      <c r="G79" s="80"/>
      <c r="H79" s="80"/>
      <c r="I79" s="68"/>
      <c r="J79" s="91"/>
    </row>
    <row r="80" spans="1:12" x14ac:dyDescent="0.25">
      <c r="A80" s="43" t="s">
        <v>162</v>
      </c>
      <c r="B80" t="s">
        <v>23</v>
      </c>
      <c r="C80" t="s">
        <v>23</v>
      </c>
      <c r="D80" s="65"/>
      <c r="F80" s="65">
        <v>3.1203999999999998E-6</v>
      </c>
      <c r="G80" s="80">
        <v>1401.4979818256384</v>
      </c>
      <c r="H80" s="84">
        <v>925.07315570614492</v>
      </c>
      <c r="I80" s="75">
        <v>121.26828892653627</v>
      </c>
      <c r="J80" s="96">
        <v>121.26828892653627</v>
      </c>
    </row>
    <row r="81" spans="1:10" x14ac:dyDescent="0.25">
      <c r="A81" s="43" t="s">
        <v>163</v>
      </c>
      <c r="B81" t="s">
        <v>23</v>
      </c>
      <c r="C81" t="s">
        <v>23</v>
      </c>
      <c r="D81" s="65"/>
      <c r="F81" s="65">
        <v>1.52E-5</v>
      </c>
      <c r="G81" s="80">
        <v>1401.4979818256384</v>
      </c>
      <c r="H81" s="84">
        <v>925.07315570614492</v>
      </c>
      <c r="I81" s="75">
        <v>121.26828892653627</v>
      </c>
      <c r="J81" s="96">
        <v>121.26828892653627</v>
      </c>
    </row>
    <row r="82" spans="1:10" x14ac:dyDescent="0.25">
      <c r="A82" s="43" t="s">
        <v>164</v>
      </c>
      <c r="B82" t="s">
        <v>23</v>
      </c>
      <c r="C82" t="s">
        <v>23</v>
      </c>
      <c r="D82" s="65"/>
      <c r="F82" s="65">
        <v>3.3600000000000003E-8</v>
      </c>
      <c r="G82" s="80">
        <v>1401.4979818256384</v>
      </c>
      <c r="H82" s="84">
        <v>925.07315570614492</v>
      </c>
      <c r="I82" s="75">
        <v>121.26828892653627</v>
      </c>
      <c r="J82" s="96">
        <v>121.26828892653627</v>
      </c>
    </row>
    <row r="83" spans="1:10" x14ac:dyDescent="0.25">
      <c r="A83" s="43" t="s">
        <v>165</v>
      </c>
      <c r="B83" t="s">
        <v>23</v>
      </c>
      <c r="C83" t="s">
        <v>23</v>
      </c>
      <c r="D83" s="65"/>
      <c r="F83" s="65">
        <v>1.92E-8</v>
      </c>
      <c r="G83" s="80">
        <v>1401.4979818256384</v>
      </c>
      <c r="H83" s="84">
        <v>925.07315570614492</v>
      </c>
      <c r="I83" s="75">
        <v>121.26828892653627</v>
      </c>
      <c r="J83" s="96">
        <v>121.26828892653627</v>
      </c>
    </row>
    <row r="84" spans="1:10" x14ac:dyDescent="0.25">
      <c r="A84" s="55" t="s">
        <v>93</v>
      </c>
      <c r="B84" s="17"/>
      <c r="C84" s="17"/>
      <c r="D84" s="62"/>
      <c r="E84" s="17"/>
      <c r="F84" s="62"/>
      <c r="G84" s="78"/>
      <c r="H84" s="78"/>
      <c r="I84" s="70"/>
      <c r="J84" s="89"/>
    </row>
    <row r="85" spans="1:10" x14ac:dyDescent="0.25">
      <c r="A85" s="43" t="s">
        <v>166</v>
      </c>
      <c r="D85" s="65"/>
      <c r="F85" s="65"/>
      <c r="G85" s="80">
        <v>1401.4979818256384</v>
      </c>
      <c r="H85" s="84">
        <v>925.07315570614492</v>
      </c>
      <c r="I85" s="75">
        <v>121.26828892653627</v>
      </c>
      <c r="J85" s="96">
        <v>121.26828892653627</v>
      </c>
    </row>
    <row r="86" spans="1:10" ht="15.75" thickBot="1" x14ac:dyDescent="0.3">
      <c r="A86" s="35" t="s">
        <v>87</v>
      </c>
      <c r="B86" s="36"/>
      <c r="C86" s="36">
        <f>SUM(C77:C78)</f>
        <v>25.972000000000001</v>
      </c>
      <c r="D86" s="66">
        <f>SUM(D77:D78)</f>
        <v>2.5972000000000002E-2</v>
      </c>
      <c r="E86" s="36"/>
      <c r="F86" s="66">
        <f>F80+F81+F82*4+F83*4</f>
        <v>1.8531600000000001E-5</v>
      </c>
      <c r="G86" s="79">
        <f>D86/F86</f>
        <v>1401.4979818256384</v>
      </c>
      <c r="H86" s="83">
        <f>H77*$E$77+H78*$E$78</f>
        <v>925.07315570614492</v>
      </c>
      <c r="I86" s="74">
        <f>I77*$E$77+I78*$E$78</f>
        <v>121.26828892653627</v>
      </c>
      <c r="J86" s="95">
        <f>J77*$E$77+J78*$E$78</f>
        <v>121.26828892653627</v>
      </c>
    </row>
    <row r="87" spans="1:10" x14ac:dyDescent="0.25">
      <c r="D87" s="65"/>
      <c r="F87" s="65"/>
      <c r="G87" s="80"/>
      <c r="H87" s="80"/>
      <c r="I87" s="68"/>
      <c r="J87" s="68"/>
    </row>
    <row r="88" spans="1:10" x14ac:dyDescent="0.25">
      <c r="D88" s="65"/>
      <c r="F88" s="65"/>
      <c r="G88" s="80"/>
      <c r="H88" s="80"/>
      <c r="I88" s="68"/>
      <c r="J88" s="68"/>
    </row>
    <row r="89" spans="1:10" x14ac:dyDescent="0.25">
      <c r="D89" s="65"/>
      <c r="F89" s="65"/>
      <c r="G89" s="80"/>
      <c r="H89" s="80"/>
      <c r="I89" s="68"/>
      <c r="J89" s="68"/>
    </row>
    <row r="90" spans="1:10" ht="15.75" thickBot="1" x14ac:dyDescent="0.3">
      <c r="A90" s="47" t="s">
        <v>41</v>
      </c>
      <c r="D90" s="65"/>
      <c r="F90" s="65"/>
      <c r="G90" s="80"/>
      <c r="H90" s="80"/>
      <c r="I90" s="68"/>
      <c r="J90" s="68"/>
    </row>
    <row r="91" spans="1:10" x14ac:dyDescent="0.25">
      <c r="A91" s="46" t="s">
        <v>112</v>
      </c>
      <c r="B91" s="31" t="s">
        <v>0</v>
      </c>
      <c r="C91" s="31" t="s">
        <v>172</v>
      </c>
      <c r="D91" s="64" t="s">
        <v>91</v>
      </c>
      <c r="E91" s="31" t="s">
        <v>89</v>
      </c>
      <c r="F91" s="64" t="s">
        <v>81</v>
      </c>
      <c r="G91" s="76" t="s">
        <v>5</v>
      </c>
      <c r="H91" s="87" t="s">
        <v>4</v>
      </c>
      <c r="I91" s="86" t="s">
        <v>199</v>
      </c>
      <c r="J91" s="92" t="s">
        <v>198</v>
      </c>
    </row>
    <row r="92" spans="1:10" x14ac:dyDescent="0.25">
      <c r="A92" s="39" t="s">
        <v>87</v>
      </c>
      <c r="C92">
        <v>0.9</v>
      </c>
      <c r="D92" s="65">
        <f>C92/1000</f>
        <v>8.9999999999999998E-4</v>
      </c>
      <c r="E92">
        <v>1</v>
      </c>
      <c r="F92" s="65">
        <v>3.96E-7</v>
      </c>
      <c r="G92" s="81">
        <f>D92/F92</f>
        <v>2272.7272727272725</v>
      </c>
      <c r="H92" s="77">
        <v>325</v>
      </c>
      <c r="I92" s="77">
        <v>50</v>
      </c>
      <c r="J92" s="88">
        <v>50</v>
      </c>
    </row>
    <row r="93" spans="1:10" x14ac:dyDescent="0.25">
      <c r="A93" s="55" t="s">
        <v>93</v>
      </c>
      <c r="B93" s="17"/>
      <c r="C93" s="17"/>
      <c r="D93" s="62"/>
      <c r="E93" s="17"/>
      <c r="F93" s="62"/>
      <c r="G93" s="78"/>
      <c r="H93" s="78"/>
      <c r="I93" s="78"/>
      <c r="J93" s="89"/>
    </row>
    <row r="94" spans="1:10" x14ac:dyDescent="0.25">
      <c r="A94" s="34" t="s">
        <v>111</v>
      </c>
      <c r="C94">
        <v>0.9</v>
      </c>
      <c r="D94" s="65">
        <f>C94/1000</f>
        <v>8.9999999999999998E-4</v>
      </c>
      <c r="E94">
        <v>1</v>
      </c>
      <c r="F94" s="65"/>
      <c r="G94" s="81">
        <v>2272.7272727272725</v>
      </c>
      <c r="H94" s="81">
        <v>325</v>
      </c>
      <c r="I94" s="81">
        <v>50</v>
      </c>
      <c r="J94" s="93">
        <v>50</v>
      </c>
    </row>
    <row r="95" spans="1:10" x14ac:dyDescent="0.25">
      <c r="A95" s="34" t="s">
        <v>113</v>
      </c>
      <c r="C95">
        <v>0.9</v>
      </c>
      <c r="D95" s="65">
        <f>C95/1000</f>
        <v>8.9999999999999998E-4</v>
      </c>
      <c r="E95">
        <v>1</v>
      </c>
      <c r="F95" s="65"/>
      <c r="G95" s="81">
        <v>2272.7272727272725</v>
      </c>
      <c r="H95" s="81">
        <v>325</v>
      </c>
      <c r="I95" s="81">
        <v>50</v>
      </c>
      <c r="J95" s="93">
        <v>50</v>
      </c>
    </row>
    <row r="96" spans="1:10" x14ac:dyDescent="0.25">
      <c r="A96" s="34" t="s">
        <v>114</v>
      </c>
      <c r="C96">
        <v>0.9</v>
      </c>
      <c r="D96" s="65">
        <f>C96/1000</f>
        <v>8.9999999999999998E-4</v>
      </c>
      <c r="E96">
        <v>1</v>
      </c>
      <c r="F96" s="65"/>
      <c r="G96" s="81">
        <v>2272.7272727272725</v>
      </c>
      <c r="H96" s="81">
        <v>325</v>
      </c>
      <c r="I96" s="81">
        <v>50</v>
      </c>
      <c r="J96" s="93">
        <v>50</v>
      </c>
    </row>
    <row r="97" spans="1:11" ht="15.75" thickBot="1" x14ac:dyDescent="0.3">
      <c r="A97" s="40" t="s">
        <v>115</v>
      </c>
      <c r="B97" s="36"/>
      <c r="C97" s="36">
        <v>0.9</v>
      </c>
      <c r="D97" s="66">
        <f>C97/1000</f>
        <v>8.9999999999999998E-4</v>
      </c>
      <c r="E97" s="36">
        <v>1</v>
      </c>
      <c r="F97" s="66"/>
      <c r="G97" s="79">
        <v>2272.7272727272725</v>
      </c>
      <c r="H97" s="79">
        <v>325</v>
      </c>
      <c r="I97" s="79">
        <v>50</v>
      </c>
      <c r="J97" s="90">
        <v>50</v>
      </c>
    </row>
    <row r="98" spans="1:11" ht="15.75" thickBot="1" x14ac:dyDescent="0.3">
      <c r="D98" s="65"/>
      <c r="F98" s="65"/>
      <c r="G98" s="80"/>
      <c r="H98" s="80"/>
      <c r="I98" s="68"/>
      <c r="J98" s="68"/>
    </row>
    <row r="99" spans="1:11" x14ac:dyDescent="0.25">
      <c r="A99" s="46" t="s">
        <v>118</v>
      </c>
      <c r="B99" s="31" t="s">
        <v>0</v>
      </c>
      <c r="C99" s="31" t="s">
        <v>172</v>
      </c>
      <c r="D99" s="64" t="s">
        <v>91</v>
      </c>
      <c r="E99" s="31" t="s">
        <v>89</v>
      </c>
      <c r="F99" s="64" t="s">
        <v>81</v>
      </c>
      <c r="G99" s="76" t="s">
        <v>5</v>
      </c>
      <c r="H99" s="87" t="s">
        <v>4</v>
      </c>
      <c r="I99" s="86" t="s">
        <v>199</v>
      </c>
      <c r="J99" s="92" t="s">
        <v>198</v>
      </c>
      <c r="K99" s="22"/>
    </row>
    <row r="100" spans="1:11" ht="15.75" thickBot="1" x14ac:dyDescent="0.3">
      <c r="A100" s="35" t="s">
        <v>87</v>
      </c>
      <c r="B100" s="36"/>
      <c r="C100" s="36">
        <v>34</v>
      </c>
      <c r="D100" s="66">
        <f>C100/1000</f>
        <v>3.4000000000000002E-2</v>
      </c>
      <c r="E100" s="36"/>
      <c r="F100" s="66">
        <v>1.216E-5</v>
      </c>
      <c r="G100" s="79">
        <f>D100/F100</f>
        <v>2796.0526315789475</v>
      </c>
      <c r="H100" s="83">
        <v>1000</v>
      </c>
      <c r="I100" s="71">
        <v>0.6</v>
      </c>
      <c r="J100" s="90">
        <v>2.5</v>
      </c>
    </row>
    <row r="101" spans="1:11" x14ac:dyDescent="0.25">
      <c r="D101" s="65"/>
      <c r="F101" s="65"/>
      <c r="G101" s="80"/>
      <c r="H101" s="80"/>
      <c r="I101" s="68"/>
      <c r="J101" s="68"/>
    </row>
    <row r="102" spans="1:11" x14ac:dyDescent="0.25">
      <c r="D102" s="65"/>
      <c r="F102" s="65"/>
      <c r="G102" s="80"/>
      <c r="H102" s="80"/>
      <c r="I102" s="68"/>
      <c r="J102" s="68"/>
    </row>
    <row r="103" spans="1:11" ht="15.75" thickBot="1" x14ac:dyDescent="0.3">
      <c r="A103" s="13" t="s">
        <v>53</v>
      </c>
      <c r="D103" s="65"/>
      <c r="F103" s="65"/>
      <c r="G103" s="80"/>
      <c r="H103" s="80"/>
      <c r="I103" s="68">
        <v>2</v>
      </c>
      <c r="J103" s="68"/>
    </row>
    <row r="104" spans="1:11" x14ac:dyDescent="0.25">
      <c r="A104" s="48" t="s">
        <v>119</v>
      </c>
      <c r="B104" s="31" t="s">
        <v>0</v>
      </c>
      <c r="C104" s="31" t="s">
        <v>172</v>
      </c>
      <c r="D104" s="64" t="s">
        <v>91</v>
      </c>
      <c r="E104" s="31" t="s">
        <v>89</v>
      </c>
      <c r="F104" s="64" t="s">
        <v>81</v>
      </c>
      <c r="G104" s="76" t="s">
        <v>5</v>
      </c>
      <c r="H104" s="87" t="s">
        <v>4</v>
      </c>
      <c r="I104" s="86" t="s">
        <v>199</v>
      </c>
      <c r="J104" s="92" t="s">
        <v>198</v>
      </c>
    </row>
    <row r="105" spans="1:11" x14ac:dyDescent="0.25">
      <c r="A105" s="38" t="s">
        <v>54</v>
      </c>
      <c r="B105" t="s">
        <v>17</v>
      </c>
      <c r="C105">
        <v>0.32500000000000001</v>
      </c>
      <c r="D105" s="65">
        <f>C105/1000</f>
        <v>3.2499999999999999E-4</v>
      </c>
      <c r="E105">
        <f>D105/$D$107</f>
        <v>0.44827586206896552</v>
      </c>
      <c r="F105" s="65" t="s">
        <v>23</v>
      </c>
      <c r="G105" s="84">
        <v>8800</v>
      </c>
      <c r="H105" s="84">
        <v>380</v>
      </c>
      <c r="I105" s="75">
        <v>62</v>
      </c>
      <c r="J105" s="96">
        <v>62</v>
      </c>
    </row>
    <row r="106" spans="1:11" x14ac:dyDescent="0.25">
      <c r="A106" s="38" t="s">
        <v>55</v>
      </c>
      <c r="B106" t="s">
        <v>21</v>
      </c>
      <c r="C106">
        <v>0.4</v>
      </c>
      <c r="D106" s="65">
        <f>C106/1000</f>
        <v>4.0000000000000002E-4</v>
      </c>
      <c r="E106">
        <f>D106/$D$107</f>
        <v>0.55172413793103459</v>
      </c>
      <c r="F106" s="65" t="s">
        <v>23</v>
      </c>
      <c r="G106" s="84">
        <v>1070</v>
      </c>
      <c r="H106" s="84">
        <v>1990</v>
      </c>
      <c r="I106" s="75">
        <v>0.16200000000000001</v>
      </c>
      <c r="J106" s="96">
        <v>0.16200000000000001</v>
      </c>
    </row>
    <row r="107" spans="1:11" x14ac:dyDescent="0.25">
      <c r="A107" s="39" t="s">
        <v>87</v>
      </c>
      <c r="C107">
        <f>SUM(C105:C106)</f>
        <v>0.72500000000000009</v>
      </c>
      <c r="D107" s="65">
        <f>SUM(D105:D106)</f>
        <v>7.2499999999999995E-4</v>
      </c>
      <c r="E107">
        <f>SUM(E105:E106)</f>
        <v>1</v>
      </c>
      <c r="F107" s="65">
        <v>2.8980000000000001E-7</v>
      </c>
      <c r="G107" s="81">
        <f>D107/F107</f>
        <v>2501.7253278122839</v>
      </c>
      <c r="H107" s="81">
        <f>H105*$E$105+H106*$E$106</f>
        <v>1268.2758620689658</v>
      </c>
      <c r="I107" s="72">
        <f>I105*$E$105+I106*$E$106</f>
        <v>27.882482758620689</v>
      </c>
      <c r="J107" s="93">
        <f>J105*$E$105+J106*$E$106</f>
        <v>27.882482758620689</v>
      </c>
    </row>
    <row r="108" spans="1:11" x14ac:dyDescent="0.25">
      <c r="A108" s="55" t="s">
        <v>93</v>
      </c>
      <c r="B108" s="17"/>
      <c r="C108" s="17"/>
      <c r="D108" s="62"/>
      <c r="E108" s="17"/>
      <c r="F108" s="62"/>
      <c r="G108" s="78"/>
      <c r="H108" s="78"/>
      <c r="I108" s="70"/>
      <c r="J108" s="89"/>
    </row>
    <row r="109" spans="1:11" ht="15.75" thickBot="1" x14ac:dyDescent="0.3">
      <c r="A109" s="40" t="s">
        <v>120</v>
      </c>
      <c r="B109" s="36"/>
      <c r="C109" s="36"/>
      <c r="D109" s="66"/>
      <c r="E109" s="36"/>
      <c r="F109" s="66"/>
      <c r="G109" s="79">
        <v>2501.7253278122839</v>
      </c>
      <c r="H109" s="79">
        <v>1268.2758620689658</v>
      </c>
      <c r="I109" s="71">
        <v>27.882482758620689</v>
      </c>
      <c r="J109" s="90">
        <v>27.882482758620689</v>
      </c>
    </row>
    <row r="110" spans="1:11" x14ac:dyDescent="0.25">
      <c r="D110" s="65"/>
      <c r="F110" s="65"/>
      <c r="G110" s="80"/>
      <c r="H110" s="80"/>
      <c r="I110" s="68"/>
      <c r="J110" s="68"/>
    </row>
    <row r="111" spans="1:11" x14ac:dyDescent="0.25">
      <c r="D111" s="65"/>
      <c r="F111" s="65"/>
      <c r="G111" s="80"/>
      <c r="H111" s="80"/>
      <c r="I111" s="68"/>
      <c r="J111" s="68"/>
    </row>
    <row r="112" spans="1:11" ht="15.75" thickBot="1" x14ac:dyDescent="0.3">
      <c r="A112" s="16" t="s">
        <v>28</v>
      </c>
      <c r="D112" s="65"/>
      <c r="F112" s="65"/>
      <c r="G112" s="80"/>
      <c r="H112" s="80"/>
      <c r="I112" s="68"/>
      <c r="J112" s="68"/>
    </row>
    <row r="113" spans="1:12" x14ac:dyDescent="0.25">
      <c r="A113" s="30" t="s">
        <v>122</v>
      </c>
      <c r="B113" s="31" t="s">
        <v>0</v>
      </c>
      <c r="C113" s="31" t="s">
        <v>172</v>
      </c>
      <c r="D113" s="64" t="s">
        <v>91</v>
      </c>
      <c r="E113" s="31" t="s">
        <v>89</v>
      </c>
      <c r="F113" s="64" t="s">
        <v>81</v>
      </c>
      <c r="G113" s="76" t="s">
        <v>5</v>
      </c>
      <c r="H113" s="87" t="s">
        <v>4</v>
      </c>
      <c r="I113" s="86" t="s">
        <v>199</v>
      </c>
      <c r="J113" s="92" t="s">
        <v>198</v>
      </c>
      <c r="L113" s="22"/>
    </row>
    <row r="114" spans="1:12" x14ac:dyDescent="0.25">
      <c r="A114" s="33" t="s">
        <v>123</v>
      </c>
      <c r="B114" t="s">
        <v>51</v>
      </c>
      <c r="C114">
        <v>30</v>
      </c>
      <c r="D114" s="65">
        <f>C114/1000</f>
        <v>0.03</v>
      </c>
      <c r="E114">
        <v>1</v>
      </c>
      <c r="F114" s="65" t="s">
        <v>23</v>
      </c>
      <c r="G114" s="84" t="s">
        <v>23</v>
      </c>
      <c r="H114" s="84">
        <v>1010</v>
      </c>
      <c r="I114" s="75">
        <v>0.27</v>
      </c>
      <c r="J114" s="91">
        <v>0.27</v>
      </c>
      <c r="L114" s="7"/>
    </row>
    <row r="115" spans="1:12" x14ac:dyDescent="0.25">
      <c r="A115" s="34" t="s">
        <v>125</v>
      </c>
      <c r="D115" s="65"/>
      <c r="F115" s="65"/>
      <c r="G115" s="80"/>
      <c r="H115" s="80"/>
      <c r="I115" s="68"/>
      <c r="J115" s="91"/>
    </row>
    <row r="116" spans="1:12" x14ac:dyDescent="0.25">
      <c r="A116" s="49" t="s">
        <v>126</v>
      </c>
      <c r="B116" t="s">
        <v>23</v>
      </c>
      <c r="C116" t="s">
        <v>23</v>
      </c>
      <c r="D116" s="65" t="s">
        <v>23</v>
      </c>
      <c r="E116" t="s">
        <v>23</v>
      </c>
      <c r="F116" s="65">
        <v>2.6599999999999999E-6</v>
      </c>
      <c r="G116" s="81">
        <f>$G$128</f>
        <v>1885.8436007040482</v>
      </c>
      <c r="H116" s="77">
        <v>1010</v>
      </c>
      <c r="I116" s="69">
        <v>0.27</v>
      </c>
      <c r="J116" s="88">
        <v>0.27</v>
      </c>
    </row>
    <row r="117" spans="1:12" x14ac:dyDescent="0.25">
      <c r="A117" s="49" t="s">
        <v>127</v>
      </c>
      <c r="B117" t="s">
        <v>23</v>
      </c>
      <c r="C117" t="s">
        <v>23</v>
      </c>
      <c r="D117" s="65" t="s">
        <v>23</v>
      </c>
      <c r="E117" t="s">
        <v>23</v>
      </c>
      <c r="F117" s="65">
        <v>7.9800000000000003E-7</v>
      </c>
      <c r="G117" s="81">
        <f t="shared" ref="G117:G121" si="3">$G$128</f>
        <v>1885.8436007040482</v>
      </c>
      <c r="H117" s="77">
        <v>1010</v>
      </c>
      <c r="I117" s="69">
        <v>0.27</v>
      </c>
      <c r="J117" s="88">
        <v>0.27</v>
      </c>
    </row>
    <row r="118" spans="1:12" x14ac:dyDescent="0.25">
      <c r="A118" s="49" t="s">
        <v>128</v>
      </c>
      <c r="B118" t="s">
        <v>23</v>
      </c>
      <c r="C118" t="s">
        <v>23</v>
      </c>
      <c r="D118" s="65" t="s">
        <v>23</v>
      </c>
      <c r="E118" t="s">
        <v>23</v>
      </c>
      <c r="F118" s="65">
        <v>7.9800000000000003E-7</v>
      </c>
      <c r="G118" s="81">
        <f t="shared" si="3"/>
        <v>1885.8436007040482</v>
      </c>
      <c r="H118" s="77">
        <v>1010</v>
      </c>
      <c r="I118" s="69">
        <v>0.27</v>
      </c>
      <c r="J118" s="88">
        <v>0.27</v>
      </c>
    </row>
    <row r="119" spans="1:12" x14ac:dyDescent="0.25">
      <c r="A119" s="49" t="s">
        <v>129</v>
      </c>
      <c r="B119" t="s">
        <v>23</v>
      </c>
      <c r="C119" t="s">
        <v>23</v>
      </c>
      <c r="D119" s="65" t="s">
        <v>23</v>
      </c>
      <c r="E119" t="s">
        <v>23</v>
      </c>
      <c r="F119" s="65">
        <v>2.9440000000000001E-6</v>
      </c>
      <c r="G119" s="81">
        <f t="shared" si="3"/>
        <v>1885.8436007040482</v>
      </c>
      <c r="H119" s="77">
        <v>1010</v>
      </c>
      <c r="I119" s="69">
        <v>0.27</v>
      </c>
      <c r="J119" s="88">
        <v>0.27</v>
      </c>
    </row>
    <row r="120" spans="1:12" x14ac:dyDescent="0.25">
      <c r="A120" s="49" t="s">
        <v>124</v>
      </c>
      <c r="B120" t="s">
        <v>23</v>
      </c>
      <c r="C120" t="s">
        <v>23</v>
      </c>
      <c r="D120" s="65" t="s">
        <v>23</v>
      </c>
      <c r="E120" t="s">
        <v>23</v>
      </c>
      <c r="F120" s="65">
        <v>2.9440000000000001E-6</v>
      </c>
      <c r="G120" s="81">
        <f t="shared" si="3"/>
        <v>1885.8436007040482</v>
      </c>
      <c r="H120" s="77">
        <v>1010</v>
      </c>
      <c r="I120" s="69">
        <v>0.27</v>
      </c>
      <c r="J120" s="88">
        <v>0.27</v>
      </c>
    </row>
    <row r="121" spans="1:12" x14ac:dyDescent="0.25">
      <c r="A121" s="49" t="s">
        <v>130</v>
      </c>
      <c r="B121" t="s">
        <v>23</v>
      </c>
      <c r="C121" t="s">
        <v>23</v>
      </c>
      <c r="D121" s="65" t="s">
        <v>23</v>
      </c>
      <c r="E121" t="s">
        <v>23</v>
      </c>
      <c r="F121" s="65">
        <v>5.2440000000000001E-6</v>
      </c>
      <c r="G121" s="81">
        <f t="shared" si="3"/>
        <v>1885.8436007040482</v>
      </c>
      <c r="H121" s="77">
        <v>1010</v>
      </c>
      <c r="I121" s="69">
        <v>0.27</v>
      </c>
      <c r="J121" s="88">
        <v>0.27</v>
      </c>
    </row>
    <row r="122" spans="1:12" x14ac:dyDescent="0.25">
      <c r="A122" s="56" t="s">
        <v>243</v>
      </c>
      <c r="B122" t="s">
        <v>23</v>
      </c>
      <c r="C122">
        <f>SUM(C123:C124)</f>
        <v>0.54690966809152619</v>
      </c>
      <c r="D122" s="65">
        <f>SUM(D123:D124)</f>
        <v>5.4690966809152627E-4</v>
      </c>
      <c r="E122">
        <v>1</v>
      </c>
      <c r="F122" s="65">
        <v>1.3E-7</v>
      </c>
      <c r="G122" s="81">
        <f>(1.7*0.1775/1000)/F122+G121</f>
        <v>4206.9974468578948</v>
      </c>
      <c r="H122" s="77">
        <f>H123*$E$123+H124*$E$124</f>
        <v>728.61440932829544</v>
      </c>
      <c r="I122" s="69">
        <v>7.6350000000000007</v>
      </c>
      <c r="J122" s="88">
        <v>3.9525000000000001</v>
      </c>
    </row>
    <row r="123" spans="1:12" x14ac:dyDescent="0.25">
      <c r="A123" s="49" t="s">
        <v>51</v>
      </c>
      <c r="B123" t="s">
        <v>51</v>
      </c>
      <c r="C123" s="65">
        <f>F122*G121*1000</f>
        <v>0.24515966809152628</v>
      </c>
      <c r="D123" s="65">
        <f>C123/1000</f>
        <v>2.4515966809152628E-4</v>
      </c>
      <c r="E123">
        <f>D123/D122</f>
        <v>0.44826354770254012</v>
      </c>
      <c r="F123" s="65"/>
      <c r="G123" s="85"/>
      <c r="H123" s="84">
        <v>1010</v>
      </c>
      <c r="I123" s="75">
        <v>0.27</v>
      </c>
      <c r="J123" s="91">
        <v>0.27</v>
      </c>
    </row>
    <row r="124" spans="1:12" x14ac:dyDescent="0.25">
      <c r="A124" s="49" t="s">
        <v>168</v>
      </c>
      <c r="B124" t="s">
        <v>48</v>
      </c>
      <c r="C124">
        <f>1.7*0.1775</f>
        <v>0.30174999999999996</v>
      </c>
      <c r="D124" s="65">
        <f>C124/1000</f>
        <v>3.0174999999999999E-4</v>
      </c>
      <c r="E124">
        <f>D124/D122</f>
        <v>0.55173645229745982</v>
      </c>
      <c r="F124" s="65"/>
      <c r="G124" s="85" t="s">
        <v>23</v>
      </c>
      <c r="H124" s="84">
        <v>500</v>
      </c>
      <c r="I124" s="75">
        <v>15</v>
      </c>
      <c r="J124" s="96">
        <v>15</v>
      </c>
    </row>
    <row r="125" spans="1:12" x14ac:dyDescent="0.25">
      <c r="A125" s="49" t="s">
        <v>242</v>
      </c>
      <c r="B125" t="s">
        <v>23</v>
      </c>
      <c r="C125" t="s">
        <v>23</v>
      </c>
      <c r="D125" s="65" t="s">
        <v>23</v>
      </c>
      <c r="E125" t="s">
        <v>23</v>
      </c>
      <c r="F125" s="65">
        <v>1.3E-7</v>
      </c>
      <c r="G125" s="81">
        <v>4206.9974468578948</v>
      </c>
      <c r="H125" s="77">
        <v>728.61440932829544</v>
      </c>
      <c r="I125" s="69">
        <v>7.6350000000000007</v>
      </c>
      <c r="J125" s="88">
        <v>3.9525000000000001</v>
      </c>
    </row>
    <row r="126" spans="1:12" x14ac:dyDescent="0.25">
      <c r="A126" s="49" t="s">
        <v>245</v>
      </c>
      <c r="B126" t="s">
        <v>23</v>
      </c>
      <c r="C126" t="s">
        <v>23</v>
      </c>
      <c r="D126" s="65" t="s">
        <v>23</v>
      </c>
      <c r="E126" t="s">
        <v>23</v>
      </c>
      <c r="F126" s="65">
        <v>1.3E-7</v>
      </c>
      <c r="G126" s="81">
        <v>4206.9974468578948</v>
      </c>
      <c r="H126" s="77">
        <v>728.61440932829544</v>
      </c>
      <c r="I126" s="69">
        <v>7.6350000000000007</v>
      </c>
      <c r="J126" s="88">
        <v>3.9525000000000001</v>
      </c>
    </row>
    <row r="127" spans="1:12" x14ac:dyDescent="0.25">
      <c r="A127" s="49" t="s">
        <v>244</v>
      </c>
      <c r="B127" t="s">
        <v>23</v>
      </c>
      <c r="C127" t="s">
        <v>23</v>
      </c>
      <c r="D127" s="65" t="s">
        <v>23</v>
      </c>
      <c r="E127" t="s">
        <v>23</v>
      </c>
      <c r="F127" s="65">
        <v>1.3E-7</v>
      </c>
      <c r="G127" s="81">
        <v>4206.9974468578948</v>
      </c>
      <c r="H127" s="77">
        <v>728.61440932829544</v>
      </c>
      <c r="I127" s="69">
        <v>7.6350000000000007</v>
      </c>
      <c r="J127" s="88">
        <v>3.9525000000000001</v>
      </c>
    </row>
    <row r="128" spans="1:12" ht="15.75" thickBot="1" x14ac:dyDescent="0.3">
      <c r="A128" s="35" t="s">
        <v>87</v>
      </c>
      <c r="B128" s="36"/>
      <c r="C128" s="36"/>
      <c r="D128" s="66"/>
      <c r="E128" s="36"/>
      <c r="F128" s="66">
        <f>SUM(F116:F127)</f>
        <v>1.5908000000000001E-5</v>
      </c>
      <c r="G128" s="79">
        <f>D114/F128</f>
        <v>1885.8436007040482</v>
      </c>
      <c r="H128" s="83">
        <v>1010</v>
      </c>
      <c r="I128" s="74">
        <v>7.6350000000000007</v>
      </c>
      <c r="J128" s="95">
        <v>3.9525000000000001</v>
      </c>
    </row>
    <row r="129" spans="1:12" x14ac:dyDescent="0.25">
      <c r="A129" s="3"/>
      <c r="C129" s="3"/>
      <c r="D129" s="65"/>
      <c r="F129" s="65"/>
      <c r="H129" s="80"/>
      <c r="I129" s="68"/>
      <c r="J129" s="68"/>
    </row>
    <row r="130" spans="1:12" ht="15.75" thickBot="1" x14ac:dyDescent="0.3">
      <c r="A130" s="2" t="s">
        <v>27</v>
      </c>
      <c r="D130" s="65"/>
      <c r="F130" s="67"/>
      <c r="H130" s="80"/>
      <c r="I130" s="68"/>
      <c r="J130" s="68"/>
    </row>
    <row r="131" spans="1:12" x14ac:dyDescent="0.25">
      <c r="A131" s="48" t="s">
        <v>167</v>
      </c>
      <c r="B131" s="31" t="s">
        <v>0</v>
      </c>
      <c r="C131" s="31" t="s">
        <v>172</v>
      </c>
      <c r="D131" s="64" t="s">
        <v>91</v>
      </c>
      <c r="E131" s="31" t="s">
        <v>89</v>
      </c>
      <c r="F131" s="64" t="s">
        <v>81</v>
      </c>
      <c r="G131" s="31" t="s">
        <v>5</v>
      </c>
      <c r="H131" s="87" t="s">
        <v>4</v>
      </c>
      <c r="I131" s="86" t="s">
        <v>199</v>
      </c>
      <c r="J131" s="92" t="s">
        <v>198</v>
      </c>
      <c r="L131" s="22"/>
    </row>
    <row r="132" spans="1:12" x14ac:dyDescent="0.25">
      <c r="A132" s="38" t="s">
        <v>168</v>
      </c>
      <c r="B132" t="s">
        <v>48</v>
      </c>
      <c r="C132">
        <f>1.7*0.1775</f>
        <v>0.30174999999999996</v>
      </c>
      <c r="D132" s="65">
        <f>C132/1000</f>
        <v>3.0174999999999999E-4</v>
      </c>
      <c r="E132">
        <f>D132/$D$135</f>
        <v>0.50992817912970001</v>
      </c>
      <c r="F132" s="65" t="s">
        <v>23</v>
      </c>
      <c r="G132" t="s">
        <v>23</v>
      </c>
      <c r="H132" s="84">
        <v>500</v>
      </c>
      <c r="I132" s="84">
        <v>15</v>
      </c>
      <c r="J132" s="96">
        <v>15</v>
      </c>
    </row>
    <row r="133" spans="1:12" x14ac:dyDescent="0.25">
      <c r="A133" s="38" t="s">
        <v>169</v>
      </c>
      <c r="B133" t="s">
        <v>49</v>
      </c>
      <c r="C133">
        <v>0.22</v>
      </c>
      <c r="D133" s="65">
        <f t="shared" ref="D133:D135" si="4">C133/1000</f>
        <v>2.2000000000000001E-4</v>
      </c>
      <c r="E133">
        <f t="shared" ref="E133:E134" si="5">D133/$D$135</f>
        <v>0.37177862272919304</v>
      </c>
      <c r="F133" s="65" t="s">
        <v>23</v>
      </c>
      <c r="G133" t="s">
        <v>23</v>
      </c>
      <c r="H133" s="84">
        <v>900</v>
      </c>
      <c r="I133" s="84">
        <v>209</v>
      </c>
      <c r="J133" s="96">
        <v>209</v>
      </c>
    </row>
    <row r="134" spans="1:12" x14ac:dyDescent="0.25">
      <c r="A134" s="45" t="s">
        <v>170</v>
      </c>
      <c r="B134" t="s">
        <v>48</v>
      </c>
      <c r="C134">
        <v>7.0000000000000007E-2</v>
      </c>
      <c r="D134" s="65">
        <f t="shared" si="4"/>
        <v>7.0000000000000007E-5</v>
      </c>
      <c r="E134">
        <f t="shared" si="5"/>
        <v>0.11829319814110689</v>
      </c>
      <c r="F134" s="65" t="s">
        <v>23</v>
      </c>
      <c r="G134" t="s">
        <v>23</v>
      </c>
      <c r="H134" s="84">
        <v>500</v>
      </c>
      <c r="I134" s="84">
        <v>15</v>
      </c>
      <c r="J134" s="96">
        <v>15</v>
      </c>
    </row>
    <row r="135" spans="1:12" x14ac:dyDescent="0.25">
      <c r="A135" s="39" t="s">
        <v>87</v>
      </c>
      <c r="B135" t="s">
        <v>22</v>
      </c>
      <c r="C135">
        <f>SUM(C132:C134)</f>
        <v>0.59175</v>
      </c>
      <c r="D135" s="65">
        <f t="shared" si="4"/>
        <v>5.9175000000000005E-4</v>
      </c>
      <c r="E135">
        <f>SUM(E132:E134)</f>
        <v>1</v>
      </c>
      <c r="F135" s="65">
        <v>1.3E-7</v>
      </c>
      <c r="G135" s="81">
        <f>D135/F135</f>
        <v>4551.9230769230771</v>
      </c>
      <c r="H135" s="81">
        <f>H132*$E$132+H133*$E$133+H134*$E$134</f>
        <v>648.7114490916772</v>
      </c>
      <c r="I135" s="81">
        <v>112</v>
      </c>
      <c r="J135" s="117">
        <v>160.5</v>
      </c>
    </row>
    <row r="136" spans="1:12" x14ac:dyDescent="0.25">
      <c r="A136" s="55" t="s">
        <v>93</v>
      </c>
      <c r="B136" s="17"/>
      <c r="C136" s="17"/>
      <c r="D136" s="62"/>
      <c r="E136" s="17"/>
      <c r="F136" s="62"/>
      <c r="G136" s="17"/>
      <c r="H136" s="78"/>
      <c r="I136" s="78"/>
      <c r="J136" s="89"/>
    </row>
    <row r="137" spans="1:12" ht="15.75" thickBot="1" x14ac:dyDescent="0.3">
      <c r="A137" s="50" t="s">
        <v>171</v>
      </c>
      <c r="B137" s="36"/>
      <c r="C137" s="36"/>
      <c r="D137" s="66"/>
      <c r="E137" s="36"/>
      <c r="F137" s="66"/>
      <c r="G137" s="79">
        <v>4551.9230769230771</v>
      </c>
      <c r="H137" s="79">
        <v>547.3172792564427</v>
      </c>
      <c r="I137" s="79">
        <v>112</v>
      </c>
      <c r="J137" s="118">
        <v>160.5</v>
      </c>
    </row>
    <row r="138" spans="1:12" x14ac:dyDescent="0.25">
      <c r="J138" s="68"/>
    </row>
    <row r="140" spans="1:12" x14ac:dyDescent="0.25">
      <c r="H140" s="84"/>
      <c r="I140" s="84"/>
      <c r="J140" s="75"/>
    </row>
    <row r="141" spans="1:12" x14ac:dyDescent="0.25">
      <c r="H141" s="84"/>
      <c r="I141" s="84"/>
      <c r="J141" s="7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29" zoomScale="66" zoomScaleNormal="40" workbookViewId="0">
      <selection activeCell="F64" sqref="F64"/>
    </sheetView>
  </sheetViews>
  <sheetFormatPr baseColWidth="10" defaultRowHeight="15" x14ac:dyDescent="0.25"/>
  <cols>
    <col min="1" max="1" width="25.85546875" customWidth="1"/>
    <col min="2" max="2" width="47.5703125" bestFit="1" customWidth="1"/>
    <col min="3" max="3" width="21.42578125" bestFit="1" customWidth="1"/>
    <col min="4" max="4" width="17.42578125" customWidth="1"/>
    <col min="5" max="5" width="20.5703125" customWidth="1"/>
    <col min="6" max="6" width="16.28515625" customWidth="1"/>
    <col min="7" max="7" width="8.42578125" bestFit="1" customWidth="1"/>
    <col min="8" max="8" width="9" customWidth="1"/>
    <col min="9" max="9" width="3" bestFit="1" customWidth="1"/>
    <col min="10" max="10" width="12.140625" bestFit="1" customWidth="1"/>
    <col min="11" max="11" width="10.28515625" bestFit="1" customWidth="1"/>
    <col min="12" max="12" width="20.28515625" bestFit="1" customWidth="1"/>
    <col min="13" max="13" width="8" customWidth="1"/>
    <col min="14" max="14" width="36" customWidth="1"/>
  </cols>
  <sheetData>
    <row r="1" spans="1:17" ht="30" x14ac:dyDescent="0.25">
      <c r="A1" s="2" t="s">
        <v>294</v>
      </c>
      <c r="B1" s="2" t="s">
        <v>268</v>
      </c>
      <c r="C1" s="57" t="s">
        <v>250</v>
      </c>
      <c r="D1" s="57" t="s">
        <v>251</v>
      </c>
      <c r="E1" s="57" t="s">
        <v>252</v>
      </c>
      <c r="F1" s="57" t="s">
        <v>253</v>
      </c>
      <c r="G1" s="57" t="s">
        <v>353</v>
      </c>
      <c r="H1" s="57" t="s">
        <v>354</v>
      </c>
      <c r="I1" s="57" t="s">
        <v>352</v>
      </c>
      <c r="J1" s="57" t="s">
        <v>356</v>
      </c>
      <c r="K1" s="2" t="s">
        <v>355</v>
      </c>
      <c r="L1" s="57" t="s">
        <v>267</v>
      </c>
      <c r="O1" s="5"/>
    </row>
    <row r="2" spans="1:17" x14ac:dyDescent="0.25">
      <c r="A2" t="s">
        <v>269</v>
      </c>
      <c r="B2" s="58" t="s">
        <v>295</v>
      </c>
      <c r="C2" s="5" t="s">
        <v>350</v>
      </c>
      <c r="D2" s="5">
        <v>3</v>
      </c>
      <c r="E2" s="5">
        <v>3</v>
      </c>
      <c r="F2" s="5">
        <v>0.45</v>
      </c>
      <c r="G2" s="5">
        <v>0.3</v>
      </c>
      <c r="H2" s="5">
        <v>0.45</v>
      </c>
      <c r="I2" s="5">
        <v>8</v>
      </c>
      <c r="J2" s="5">
        <v>3.93</v>
      </c>
      <c r="K2" s="103">
        <v>21</v>
      </c>
      <c r="L2" s="104">
        <f>1/K2</f>
        <v>4.7619047619047616E-2</v>
      </c>
      <c r="M2" t="s">
        <v>613</v>
      </c>
      <c r="N2" t="s">
        <v>347</v>
      </c>
    </row>
    <row r="3" spans="1:17" x14ac:dyDescent="0.25">
      <c r="A3" t="s">
        <v>270</v>
      </c>
      <c r="B3" s="58" t="s">
        <v>295</v>
      </c>
      <c r="C3" s="5" t="s">
        <v>350</v>
      </c>
      <c r="D3" s="5">
        <v>3</v>
      </c>
      <c r="E3" s="5">
        <v>3</v>
      </c>
      <c r="F3" s="5">
        <v>0.45</v>
      </c>
      <c r="G3" s="5">
        <v>0.3</v>
      </c>
      <c r="H3" s="5">
        <v>0.45</v>
      </c>
      <c r="I3" s="5">
        <v>8</v>
      </c>
      <c r="J3" s="5">
        <v>3.93</v>
      </c>
      <c r="K3" s="103">
        <v>21</v>
      </c>
      <c r="L3" s="104">
        <f t="shared" ref="L3:L25" si="0">1/K3</f>
        <v>4.7619047619047616E-2</v>
      </c>
      <c r="M3" t="s">
        <v>613</v>
      </c>
    </row>
    <row r="4" spans="1:17" x14ac:dyDescent="0.25">
      <c r="A4" t="s">
        <v>271</v>
      </c>
      <c r="B4" s="58" t="s">
        <v>295</v>
      </c>
      <c r="C4" s="5" t="s">
        <v>350</v>
      </c>
      <c r="D4" s="5">
        <v>3</v>
      </c>
      <c r="E4" s="5">
        <v>3</v>
      </c>
      <c r="F4" s="5">
        <v>0.45</v>
      </c>
      <c r="G4" s="5">
        <v>0.3</v>
      </c>
      <c r="H4" s="5">
        <v>0.45</v>
      </c>
      <c r="I4" s="5">
        <v>8</v>
      </c>
      <c r="J4" s="5">
        <v>3.93</v>
      </c>
      <c r="K4" s="103">
        <v>21</v>
      </c>
      <c r="L4" s="104">
        <f t="shared" si="0"/>
        <v>4.7619047619047616E-2</v>
      </c>
      <c r="M4" t="s">
        <v>613</v>
      </c>
    </row>
    <row r="5" spans="1:17" x14ac:dyDescent="0.25">
      <c r="A5" t="s">
        <v>272</v>
      </c>
      <c r="B5" t="s">
        <v>296</v>
      </c>
      <c r="C5" s="5" t="s">
        <v>349</v>
      </c>
      <c r="D5" s="5">
        <v>2.5</v>
      </c>
      <c r="E5" s="5">
        <v>3</v>
      </c>
      <c r="F5" s="5">
        <v>0.91</v>
      </c>
      <c r="G5" s="5">
        <v>0.25</v>
      </c>
      <c r="H5" s="5">
        <v>0.47499999999999998</v>
      </c>
      <c r="I5" s="5">
        <v>14</v>
      </c>
      <c r="J5" s="5">
        <v>0</v>
      </c>
      <c r="K5" s="103">
        <f>$K$2*($G$2*$H$2*$I$2+$J$2)/(G5*H5*I5+J5)</f>
        <v>63.284210526315789</v>
      </c>
      <c r="L5" s="104">
        <f t="shared" si="0"/>
        <v>1.5801729873586162E-2</v>
      </c>
      <c r="M5" t="s">
        <v>613</v>
      </c>
    </row>
    <row r="6" spans="1:17" ht="21.75" customHeight="1" x14ac:dyDescent="0.25">
      <c r="A6" t="s">
        <v>273</v>
      </c>
      <c r="B6" t="s">
        <v>297</v>
      </c>
      <c r="C6" s="5" t="s">
        <v>348</v>
      </c>
      <c r="D6" s="5">
        <v>4</v>
      </c>
      <c r="E6" s="5">
        <v>4</v>
      </c>
      <c r="F6" s="5">
        <v>1</v>
      </c>
      <c r="G6" s="5">
        <v>0.3</v>
      </c>
      <c r="H6" s="5">
        <v>0.55000000000000004</v>
      </c>
      <c r="I6" s="5">
        <v>16</v>
      </c>
      <c r="J6" s="5">
        <v>4.41</v>
      </c>
      <c r="K6" s="103">
        <f t="shared" ref="K6:K15" si="1">$K$2*($G$2*$H$2*$I$2+$J$2)/(G6*H6*I6+J6)</f>
        <v>14.923404255319147</v>
      </c>
      <c r="L6" s="104">
        <f t="shared" si="0"/>
        <v>6.7008839463929298E-2</v>
      </c>
      <c r="M6" t="s">
        <v>613</v>
      </c>
      <c r="N6" s="119" t="s">
        <v>357</v>
      </c>
    </row>
    <row r="7" spans="1:17" x14ac:dyDescent="0.25">
      <c r="A7" t="s">
        <v>274</v>
      </c>
      <c r="B7" t="s">
        <v>298</v>
      </c>
      <c r="C7" s="5" t="s">
        <v>254</v>
      </c>
      <c r="D7" s="5">
        <v>2.6</v>
      </c>
      <c r="E7" s="5">
        <v>1.8</v>
      </c>
      <c r="F7" s="5">
        <v>0.5</v>
      </c>
      <c r="G7" s="5">
        <v>0.2</v>
      </c>
      <c r="H7" s="5">
        <v>0.7</v>
      </c>
      <c r="I7" s="5">
        <v>16</v>
      </c>
      <c r="J7" s="5">
        <v>0</v>
      </c>
      <c r="K7" s="103">
        <f t="shared" si="1"/>
        <v>46.96875</v>
      </c>
      <c r="L7" s="104">
        <f t="shared" si="0"/>
        <v>2.1290751829673986E-2</v>
      </c>
      <c r="M7" t="s">
        <v>613</v>
      </c>
      <c r="N7" s="119"/>
    </row>
    <row r="8" spans="1:17" x14ac:dyDescent="0.25">
      <c r="A8" t="s">
        <v>275</v>
      </c>
      <c r="B8" t="s">
        <v>299</v>
      </c>
      <c r="C8" s="5" t="s">
        <v>351</v>
      </c>
      <c r="D8" s="5">
        <v>3</v>
      </c>
      <c r="E8" s="5">
        <v>3</v>
      </c>
      <c r="F8" s="5">
        <v>1</v>
      </c>
      <c r="G8" s="5">
        <v>0.25</v>
      </c>
      <c r="H8" s="5">
        <v>0.32500000000000001</v>
      </c>
      <c r="I8" s="5">
        <v>16</v>
      </c>
      <c r="J8" s="5">
        <v>0</v>
      </c>
      <c r="K8" s="103">
        <f t="shared" si="1"/>
        <v>80.930769230769229</v>
      </c>
      <c r="L8" s="104">
        <f t="shared" si="0"/>
        <v>1.2356239901150081E-2</v>
      </c>
      <c r="M8" t="s">
        <v>613</v>
      </c>
      <c r="N8" s="119"/>
    </row>
    <row r="9" spans="1:17" x14ac:dyDescent="0.25">
      <c r="A9" t="s">
        <v>277</v>
      </c>
      <c r="B9" t="s">
        <v>300</v>
      </c>
      <c r="C9" s="5" t="s">
        <v>255</v>
      </c>
      <c r="D9" s="5">
        <v>3</v>
      </c>
      <c r="E9" s="5">
        <v>4</v>
      </c>
      <c r="F9" s="5">
        <v>0.5</v>
      </c>
      <c r="G9" s="5">
        <v>0.2</v>
      </c>
      <c r="H9" s="5">
        <v>0.35</v>
      </c>
      <c r="I9" s="5">
        <v>10</v>
      </c>
      <c r="J9" s="5">
        <v>5</v>
      </c>
      <c r="K9" s="103">
        <f t="shared" si="1"/>
        <v>18.457894736842103</v>
      </c>
      <c r="L9" s="104">
        <f t="shared" si="0"/>
        <v>5.4177359566581131E-2</v>
      </c>
      <c r="M9" t="s">
        <v>613</v>
      </c>
    </row>
    <row r="10" spans="1:17" x14ac:dyDescent="0.25">
      <c r="A10" t="s">
        <v>278</v>
      </c>
      <c r="B10" t="s">
        <v>301</v>
      </c>
      <c r="C10" s="5" t="s">
        <v>256</v>
      </c>
      <c r="D10" s="5">
        <v>3</v>
      </c>
      <c r="E10" s="5">
        <v>3</v>
      </c>
      <c r="F10" s="5">
        <v>0.5</v>
      </c>
      <c r="G10" s="5">
        <v>0.25</v>
      </c>
      <c r="H10" s="5">
        <v>0.6</v>
      </c>
      <c r="I10" s="5">
        <v>12</v>
      </c>
      <c r="J10" s="5">
        <v>2.1</v>
      </c>
      <c r="K10" s="103">
        <f t="shared" si="1"/>
        <v>26.976923076923075</v>
      </c>
      <c r="L10" s="104">
        <f t="shared" si="0"/>
        <v>3.7068719703450242E-2</v>
      </c>
      <c r="M10" t="s">
        <v>613</v>
      </c>
      <c r="N10" s="59"/>
    </row>
    <row r="11" spans="1:17" x14ac:dyDescent="0.25">
      <c r="A11" t="s">
        <v>279</v>
      </c>
      <c r="B11" s="58" t="s">
        <v>302</v>
      </c>
      <c r="C11" s="5" t="s">
        <v>257</v>
      </c>
      <c r="D11" s="5">
        <v>3</v>
      </c>
      <c r="E11" s="5">
        <v>4.4000000000000004</v>
      </c>
      <c r="F11" s="5">
        <v>0.5</v>
      </c>
      <c r="G11" s="5">
        <v>0.2</v>
      </c>
      <c r="H11" s="5">
        <v>0.6</v>
      </c>
      <c r="I11" s="5">
        <v>8</v>
      </c>
      <c r="J11" s="5">
        <v>0</v>
      </c>
      <c r="K11" s="103">
        <f t="shared" si="1"/>
        <v>109.59375</v>
      </c>
      <c r="L11" s="104">
        <f t="shared" si="0"/>
        <v>9.1246079270031373E-3</v>
      </c>
      <c r="M11" t="s">
        <v>613</v>
      </c>
      <c r="N11" s="60"/>
      <c r="O11" s="60"/>
      <c r="P11" s="60"/>
      <c r="Q11" s="60"/>
    </row>
    <row r="12" spans="1:17" x14ac:dyDescent="0.25">
      <c r="A12" t="s">
        <v>280</v>
      </c>
      <c r="B12" s="58" t="s">
        <v>302</v>
      </c>
      <c r="C12" s="5" t="s">
        <v>257</v>
      </c>
      <c r="D12" s="5">
        <v>3</v>
      </c>
      <c r="E12" s="5">
        <v>4.4000000000000004</v>
      </c>
      <c r="F12" s="5">
        <v>0.5</v>
      </c>
      <c r="G12" s="5">
        <v>0.2</v>
      </c>
      <c r="H12" s="5">
        <v>0.6</v>
      </c>
      <c r="I12" s="5">
        <v>8</v>
      </c>
      <c r="J12" s="5">
        <v>0</v>
      </c>
      <c r="K12" s="103">
        <f t="shared" si="1"/>
        <v>109.59375</v>
      </c>
      <c r="L12" s="104">
        <f t="shared" si="0"/>
        <v>9.1246079270031373E-3</v>
      </c>
      <c r="M12" t="s">
        <v>613</v>
      </c>
      <c r="N12" s="60"/>
      <c r="O12" s="60"/>
      <c r="P12" s="60"/>
      <c r="Q12" s="60"/>
    </row>
    <row r="13" spans="1:17" x14ac:dyDescent="0.25">
      <c r="A13" t="s">
        <v>281</v>
      </c>
      <c r="B13" s="58" t="s">
        <v>302</v>
      </c>
      <c r="C13" s="5" t="s">
        <v>257</v>
      </c>
      <c r="D13" s="5">
        <v>3</v>
      </c>
      <c r="E13" s="5">
        <v>4.4000000000000004</v>
      </c>
      <c r="F13" s="5">
        <v>0.5</v>
      </c>
      <c r="G13" s="5">
        <v>0.2</v>
      </c>
      <c r="H13" s="5">
        <v>0.6</v>
      </c>
      <c r="I13" s="5">
        <v>8</v>
      </c>
      <c r="J13" s="5">
        <v>0</v>
      </c>
      <c r="K13" s="103">
        <f t="shared" si="1"/>
        <v>109.59375</v>
      </c>
      <c r="L13" s="104">
        <f t="shared" si="0"/>
        <v>9.1246079270031373E-3</v>
      </c>
      <c r="M13" t="s">
        <v>613</v>
      </c>
      <c r="N13" s="60"/>
      <c r="O13" s="60"/>
      <c r="P13" s="60"/>
      <c r="Q13" s="60"/>
    </row>
    <row r="14" spans="1:17" x14ac:dyDescent="0.25">
      <c r="A14" t="s">
        <v>282</v>
      </c>
      <c r="B14" s="58" t="s">
        <v>303</v>
      </c>
      <c r="C14" s="5" t="s">
        <v>258</v>
      </c>
      <c r="D14" s="5">
        <v>4</v>
      </c>
      <c r="E14" s="5">
        <v>5</v>
      </c>
      <c r="F14" s="5">
        <v>0.75</v>
      </c>
      <c r="G14" s="5">
        <v>0.25</v>
      </c>
      <c r="H14" s="5">
        <v>0.4</v>
      </c>
      <c r="I14" s="5">
        <v>24</v>
      </c>
      <c r="J14" s="5">
        <v>9.67</v>
      </c>
      <c r="K14" s="103">
        <f t="shared" si="1"/>
        <v>8.7166528583264284</v>
      </c>
      <c r="L14" s="104">
        <f t="shared" si="0"/>
        <v>0.11472293508221652</v>
      </c>
      <c r="M14" t="s">
        <v>613</v>
      </c>
      <c r="N14" s="60"/>
    </row>
    <row r="15" spans="1:17" x14ac:dyDescent="0.25">
      <c r="A15" t="s">
        <v>283</v>
      </c>
      <c r="B15" s="58" t="s">
        <v>304</v>
      </c>
      <c r="C15" s="5" t="s">
        <v>259</v>
      </c>
      <c r="D15" s="5">
        <v>10</v>
      </c>
      <c r="E15" s="5">
        <v>10</v>
      </c>
      <c r="F15" s="5">
        <v>1.6</v>
      </c>
      <c r="G15" s="5">
        <v>0.35</v>
      </c>
      <c r="H15" s="5">
        <v>1.35</v>
      </c>
      <c r="I15" s="5">
        <v>64</v>
      </c>
      <c r="J15" s="5">
        <v>0</v>
      </c>
      <c r="K15" s="103">
        <f t="shared" si="1"/>
        <v>3.4791666666666665</v>
      </c>
      <c r="L15" s="104">
        <f t="shared" si="0"/>
        <v>0.28742514970059879</v>
      </c>
      <c r="M15" t="s">
        <v>613</v>
      </c>
      <c r="O15" s="60"/>
      <c r="P15" s="60"/>
      <c r="Q15" s="60"/>
    </row>
    <row r="16" spans="1:17" x14ac:dyDescent="0.25">
      <c r="A16" t="s">
        <v>284</v>
      </c>
      <c r="B16" s="58" t="s">
        <v>305</v>
      </c>
      <c r="C16" s="5" t="s">
        <v>260</v>
      </c>
      <c r="D16" s="5">
        <v>4</v>
      </c>
      <c r="E16" s="5">
        <v>4</v>
      </c>
      <c r="F16" s="5">
        <v>0.5</v>
      </c>
      <c r="G16" s="5">
        <v>0.3</v>
      </c>
      <c r="H16" s="5">
        <v>0.8</v>
      </c>
      <c r="I16" s="5">
        <v>24</v>
      </c>
      <c r="J16" s="5">
        <v>10.4</v>
      </c>
      <c r="K16" s="103">
        <f t="shared" ref="K16:K25" si="2">$K$2*(5)/(G16*H16*I16+J16)</f>
        <v>6.4975247524752477</v>
      </c>
      <c r="L16" s="104">
        <f t="shared" si="0"/>
        <v>0.15390476190476191</v>
      </c>
      <c r="M16" t="s">
        <v>613</v>
      </c>
      <c r="O16" s="60"/>
      <c r="P16" s="60"/>
      <c r="Q16" s="60"/>
    </row>
    <row r="17" spans="1:17" x14ac:dyDescent="0.25">
      <c r="A17" t="s">
        <v>285</v>
      </c>
      <c r="B17" t="s">
        <v>306</v>
      </c>
      <c r="C17" s="5" t="s">
        <v>261</v>
      </c>
      <c r="D17" s="5">
        <v>4</v>
      </c>
      <c r="E17" s="5">
        <v>4</v>
      </c>
      <c r="F17" s="5">
        <v>0.5</v>
      </c>
      <c r="G17" s="5">
        <v>0.3</v>
      </c>
      <c r="H17" s="5">
        <v>0.3</v>
      </c>
      <c r="I17" s="5">
        <v>24</v>
      </c>
      <c r="J17" s="5">
        <v>6.25</v>
      </c>
      <c r="K17" s="103">
        <f t="shared" si="2"/>
        <v>12.485136741973841</v>
      </c>
      <c r="L17" s="104">
        <f t="shared" si="0"/>
        <v>8.0095238095238094E-2</v>
      </c>
      <c r="M17" t="s">
        <v>616</v>
      </c>
      <c r="N17" s="60"/>
      <c r="O17" s="60"/>
      <c r="P17" s="60"/>
      <c r="Q17" s="60"/>
    </row>
    <row r="18" spans="1:17" x14ac:dyDescent="0.25">
      <c r="A18" t="s">
        <v>286</v>
      </c>
      <c r="B18" t="s">
        <v>307</v>
      </c>
      <c r="C18" s="5" t="s">
        <v>262</v>
      </c>
      <c r="D18" s="5">
        <v>5</v>
      </c>
      <c r="E18" s="5">
        <v>5</v>
      </c>
      <c r="F18" s="5">
        <v>0.5</v>
      </c>
      <c r="G18" s="5">
        <v>0.3</v>
      </c>
      <c r="H18" s="5">
        <v>0.3</v>
      </c>
      <c r="I18" s="5">
        <v>32</v>
      </c>
      <c r="J18" s="5">
        <v>12.3</v>
      </c>
      <c r="K18" s="103">
        <f t="shared" si="2"/>
        <v>6.9169960474308301</v>
      </c>
      <c r="L18" s="104">
        <f t="shared" si="0"/>
        <v>0.14457142857142857</v>
      </c>
      <c r="M18" t="s">
        <v>616</v>
      </c>
    </row>
    <row r="19" spans="1:17" x14ac:dyDescent="0.25">
      <c r="A19" t="s">
        <v>287</v>
      </c>
      <c r="B19" t="s">
        <v>308</v>
      </c>
      <c r="C19" s="5" t="s">
        <v>258</v>
      </c>
      <c r="D19" s="5">
        <v>4</v>
      </c>
      <c r="E19" s="5">
        <v>4</v>
      </c>
      <c r="F19" s="5">
        <v>0.5</v>
      </c>
      <c r="G19" s="5">
        <v>0.3</v>
      </c>
      <c r="H19" s="5">
        <v>0.4</v>
      </c>
      <c r="I19" s="5">
        <v>24</v>
      </c>
      <c r="J19" s="5">
        <v>7.55</v>
      </c>
      <c r="K19" s="103">
        <f t="shared" si="2"/>
        <v>10.067114093959733</v>
      </c>
      <c r="L19" s="104">
        <f t="shared" si="0"/>
        <v>9.9333333333333329E-2</v>
      </c>
      <c r="M19" t="s">
        <v>616</v>
      </c>
    </row>
    <row r="20" spans="1:17" x14ac:dyDescent="0.25">
      <c r="A20" t="s">
        <v>288</v>
      </c>
      <c r="B20" t="s">
        <v>309</v>
      </c>
      <c r="C20" s="5" t="s">
        <v>258</v>
      </c>
      <c r="D20" s="5">
        <v>3</v>
      </c>
      <c r="E20" s="5">
        <v>3</v>
      </c>
      <c r="F20" s="5">
        <v>0.5</v>
      </c>
      <c r="G20" s="5">
        <v>0.23</v>
      </c>
      <c r="H20" s="5">
        <v>0.4</v>
      </c>
      <c r="I20" s="5">
        <v>8</v>
      </c>
      <c r="J20" s="5">
        <v>2.25</v>
      </c>
      <c r="K20" s="103">
        <f t="shared" si="2"/>
        <v>35.164099129269921</v>
      </c>
      <c r="L20" s="104">
        <f t="shared" si="0"/>
        <v>2.8438095238095241E-2</v>
      </c>
      <c r="M20" t="s">
        <v>613</v>
      </c>
    </row>
    <row r="21" spans="1:17" x14ac:dyDescent="0.25">
      <c r="A21" t="s">
        <v>289</v>
      </c>
      <c r="B21" t="s">
        <v>310</v>
      </c>
      <c r="C21" s="5" t="s">
        <v>263</v>
      </c>
      <c r="D21" s="5">
        <v>5.08</v>
      </c>
      <c r="E21" s="5">
        <v>4.57</v>
      </c>
      <c r="F21" s="5">
        <v>2.0299999999999998</v>
      </c>
      <c r="G21" s="5">
        <v>0.76</v>
      </c>
      <c r="H21" s="5">
        <v>1.0900000000000001</v>
      </c>
      <c r="I21" s="5">
        <v>8</v>
      </c>
      <c r="J21" s="5">
        <v>0</v>
      </c>
      <c r="K21" s="103">
        <f t="shared" si="2"/>
        <v>15.843795267986479</v>
      </c>
      <c r="L21" s="104">
        <f t="shared" si="0"/>
        <v>6.3116190476190479E-2</v>
      </c>
      <c r="M21" t="s">
        <v>613</v>
      </c>
    </row>
    <row r="22" spans="1:17" x14ac:dyDescent="0.25">
      <c r="A22" t="s">
        <v>290</v>
      </c>
      <c r="B22" t="s">
        <v>311</v>
      </c>
      <c r="C22" s="5" t="s">
        <v>264</v>
      </c>
      <c r="D22" s="5">
        <v>3</v>
      </c>
      <c r="E22" s="5">
        <v>2</v>
      </c>
      <c r="F22" s="5">
        <v>0.5</v>
      </c>
      <c r="G22" s="5">
        <v>0.25</v>
      </c>
      <c r="H22" s="5">
        <v>0.67500000000000004</v>
      </c>
      <c r="I22" s="5">
        <v>8</v>
      </c>
      <c r="J22" s="5">
        <v>1.34</v>
      </c>
      <c r="K22" s="103">
        <f t="shared" si="2"/>
        <v>39.033457249070629</v>
      </c>
      <c r="L22" s="104">
        <f t="shared" si="0"/>
        <v>2.5619047619047621E-2</v>
      </c>
      <c r="M22" t="s">
        <v>613</v>
      </c>
    </row>
    <row r="23" spans="1:17" x14ac:dyDescent="0.25">
      <c r="A23" t="s">
        <v>291</v>
      </c>
      <c r="B23" t="s">
        <v>312</v>
      </c>
      <c r="C23" s="5" t="s">
        <v>265</v>
      </c>
      <c r="D23" s="5">
        <v>2</v>
      </c>
      <c r="E23" s="5">
        <v>2</v>
      </c>
      <c r="F23" s="5">
        <v>0.89</v>
      </c>
      <c r="G23" s="5">
        <v>0.25</v>
      </c>
      <c r="H23" s="5">
        <v>0.35</v>
      </c>
      <c r="I23" s="5">
        <v>8</v>
      </c>
      <c r="J23" s="5">
        <v>0.72</v>
      </c>
      <c r="K23" s="103">
        <f t="shared" si="2"/>
        <v>73.943661971830991</v>
      </c>
      <c r="L23" s="104">
        <f t="shared" si="0"/>
        <v>1.3523809523809523E-2</v>
      </c>
      <c r="M23" t="s">
        <v>613</v>
      </c>
    </row>
    <row r="24" spans="1:17" x14ac:dyDescent="0.25">
      <c r="A24" t="s">
        <v>292</v>
      </c>
      <c r="B24" t="s">
        <v>312</v>
      </c>
      <c r="C24" s="5" t="s">
        <v>265</v>
      </c>
      <c r="D24" s="5">
        <v>2</v>
      </c>
      <c r="E24" s="5">
        <v>2</v>
      </c>
      <c r="F24" s="5">
        <v>0.89</v>
      </c>
      <c r="G24" s="5">
        <v>0.25</v>
      </c>
      <c r="H24" s="5">
        <v>0.35</v>
      </c>
      <c r="I24" s="5">
        <v>8</v>
      </c>
      <c r="J24" s="5">
        <v>0.72</v>
      </c>
      <c r="K24" s="103">
        <f t="shared" si="2"/>
        <v>73.943661971830991</v>
      </c>
      <c r="L24" s="104">
        <f t="shared" si="0"/>
        <v>1.3523809523809523E-2</v>
      </c>
      <c r="M24" t="s">
        <v>613</v>
      </c>
    </row>
    <row r="25" spans="1:17" x14ac:dyDescent="0.25">
      <c r="A25" t="s">
        <v>293</v>
      </c>
      <c r="B25" t="s">
        <v>313</v>
      </c>
      <c r="C25" s="5" t="s">
        <v>266</v>
      </c>
      <c r="D25" s="5">
        <v>3</v>
      </c>
      <c r="E25" s="5">
        <v>3</v>
      </c>
      <c r="F25" s="5">
        <v>0.5</v>
      </c>
      <c r="G25" s="5">
        <v>0.38</v>
      </c>
      <c r="H25" s="5">
        <v>0.6</v>
      </c>
      <c r="I25" s="5">
        <v>8</v>
      </c>
      <c r="J25" s="5">
        <v>0</v>
      </c>
      <c r="K25" s="103">
        <f t="shared" si="2"/>
        <v>57.565789473684212</v>
      </c>
      <c r="L25" s="104">
        <f t="shared" si="0"/>
        <v>1.7371428571428572E-2</v>
      </c>
      <c r="M25" t="s">
        <v>613</v>
      </c>
    </row>
    <row r="26" spans="1:17" x14ac:dyDescent="0.25">
      <c r="J26" s="3"/>
    </row>
    <row r="27" spans="1:17" x14ac:dyDescent="0.25">
      <c r="A27" s="2" t="s">
        <v>317</v>
      </c>
    </row>
    <row r="28" spans="1:17" x14ac:dyDescent="0.25">
      <c r="A28" t="s">
        <v>314</v>
      </c>
      <c r="J28" t="s">
        <v>358</v>
      </c>
    </row>
    <row r="29" spans="1:17" x14ac:dyDescent="0.25">
      <c r="A29" t="s">
        <v>315</v>
      </c>
      <c r="N29" s="5"/>
    </row>
    <row r="30" spans="1:17" x14ac:dyDescent="0.25">
      <c r="A30" t="s">
        <v>314</v>
      </c>
      <c r="C30" s="2"/>
      <c r="F30" s="2"/>
      <c r="G30" s="2"/>
      <c r="H30" s="2"/>
      <c r="I30" s="2"/>
      <c r="J30" s="2"/>
    </row>
    <row r="31" spans="1:17" x14ac:dyDescent="0.25">
      <c r="A31" t="s">
        <v>316</v>
      </c>
    </row>
    <row r="33" spans="1:8" x14ac:dyDescent="0.25">
      <c r="A33" t="s">
        <v>631</v>
      </c>
      <c r="B33" t="s">
        <v>632</v>
      </c>
    </row>
    <row r="34" spans="1:8" x14ac:dyDescent="0.25">
      <c r="A34" t="s">
        <v>615</v>
      </c>
    </row>
    <row r="35" spans="1:8" x14ac:dyDescent="0.25">
      <c r="A35" t="s">
        <v>614</v>
      </c>
    </row>
    <row r="37" spans="1:8" x14ac:dyDescent="0.25">
      <c r="A37" s="2" t="s">
        <v>294</v>
      </c>
      <c r="B37" s="57" t="s">
        <v>3</v>
      </c>
      <c r="C37" s="2" t="s">
        <v>633</v>
      </c>
      <c r="D37" s="2" t="s">
        <v>634</v>
      </c>
      <c r="E37" s="2" t="s">
        <v>628</v>
      </c>
      <c r="F37" s="2" t="s">
        <v>629</v>
      </c>
      <c r="G37" s="2" t="s">
        <v>630</v>
      </c>
      <c r="H37" t="s">
        <v>637</v>
      </c>
    </row>
    <row r="38" spans="1:8" x14ac:dyDescent="0.25">
      <c r="A38" t="s">
        <v>617</v>
      </c>
      <c r="B38">
        <v>27.882482758620689</v>
      </c>
      <c r="C38">
        <f>(12.77+12.63)*(17.77-15.23)</f>
        <v>64.515999999999977</v>
      </c>
      <c r="D38">
        <v>4.5999999999999996</v>
      </c>
      <c r="E38">
        <f>C38/1000000</f>
        <v>6.4515999999999977E-5</v>
      </c>
      <c r="F38">
        <f>D38/1000</f>
        <v>4.5999999999999999E-3</v>
      </c>
      <c r="G38">
        <f>E38/F38</f>
        <v>1.4025217391304343E-2</v>
      </c>
    </row>
    <row r="39" spans="1:8" x14ac:dyDescent="0.25">
      <c r="A39" t="s">
        <v>618</v>
      </c>
      <c r="B39">
        <v>27.882482758620689</v>
      </c>
      <c r="C39">
        <f t="shared" ref="C39:C40" si="3">(12.77+12.63)*(17.77-15.23)</f>
        <v>64.515999999999977</v>
      </c>
      <c r="D39">
        <v>4.5999999999999996</v>
      </c>
      <c r="E39">
        <f t="shared" ref="E39:E41" si="4">C39/1000000</f>
        <v>6.4515999999999977E-5</v>
      </c>
      <c r="F39">
        <f t="shared" ref="F39:F41" si="5">D39/1000</f>
        <v>4.5999999999999999E-3</v>
      </c>
      <c r="G39">
        <f t="shared" ref="G39:G43" si="6">E39/F39</f>
        <v>1.4025217391304343E-2</v>
      </c>
    </row>
    <row r="40" spans="1:8" x14ac:dyDescent="0.25">
      <c r="A40" t="s">
        <v>619</v>
      </c>
      <c r="B40">
        <v>27.882482758620689</v>
      </c>
      <c r="C40">
        <f t="shared" si="3"/>
        <v>64.515999999999977</v>
      </c>
      <c r="D40">
        <v>4.5999999999999996</v>
      </c>
      <c r="E40">
        <f t="shared" si="4"/>
        <v>6.4515999999999977E-5</v>
      </c>
      <c r="F40">
        <f t="shared" si="5"/>
        <v>4.5999999999999999E-3</v>
      </c>
      <c r="G40">
        <f t="shared" si="6"/>
        <v>1.4025217391304343E-2</v>
      </c>
    </row>
    <row r="41" spans="1:8" x14ac:dyDescent="0.25">
      <c r="A41" t="s">
        <v>620</v>
      </c>
      <c r="B41">
        <v>27.882482758620689</v>
      </c>
      <c r="C41">
        <f>(12.77+12.63)*(17.77-15.23)/2</f>
        <v>32.257999999999988</v>
      </c>
      <c r="D41">
        <v>4.5999999999999996</v>
      </c>
      <c r="E41">
        <f t="shared" si="4"/>
        <v>3.2257999999999988E-5</v>
      </c>
      <c r="F41">
        <f t="shared" si="5"/>
        <v>4.5999999999999999E-3</v>
      </c>
      <c r="G41">
        <f t="shared" si="6"/>
        <v>7.0126086956521713E-3</v>
      </c>
    </row>
    <row r="43" spans="1:8" x14ac:dyDescent="0.25">
      <c r="A43" t="s">
        <v>635</v>
      </c>
      <c r="B43" s="75">
        <v>15</v>
      </c>
      <c r="C43">
        <f>PI()*1.5^2</f>
        <v>7.0685834705770345</v>
      </c>
      <c r="D43">
        <v>10.75</v>
      </c>
      <c r="E43">
        <f t="shared" ref="E43" si="7">C43/1000000</f>
        <v>7.0685834705770344E-6</v>
      </c>
      <c r="F43">
        <f t="shared" ref="F43" si="8">D43/1000</f>
        <v>1.0749999999999999E-2</v>
      </c>
      <c r="G43">
        <f t="shared" si="6"/>
        <v>6.5754264842577065E-4</v>
      </c>
      <c r="H43" t="s">
        <v>636</v>
      </c>
    </row>
    <row r="44" spans="1:8" x14ac:dyDescent="0.25">
      <c r="A44" t="s">
        <v>638</v>
      </c>
      <c r="B44" s="75">
        <v>15</v>
      </c>
      <c r="C44">
        <f t="shared" ref="C44:C46" si="9">PI()*1.5^2</f>
        <v>7.0685834705770345</v>
      </c>
      <c r="D44">
        <v>10.75</v>
      </c>
      <c r="E44">
        <f t="shared" ref="E44:E46" si="10">C44/1000000</f>
        <v>7.0685834705770344E-6</v>
      </c>
      <c r="F44">
        <f t="shared" ref="F44:F46" si="11">D44/1000</f>
        <v>1.0749999999999999E-2</v>
      </c>
      <c r="G44">
        <f t="shared" ref="G44:G49" si="12">E44/F44</f>
        <v>6.5754264842577065E-4</v>
      </c>
    </row>
    <row r="45" spans="1:8" x14ac:dyDescent="0.25">
      <c r="A45" t="s">
        <v>639</v>
      </c>
      <c r="B45" s="75">
        <v>15</v>
      </c>
      <c r="C45">
        <f t="shared" si="9"/>
        <v>7.0685834705770345</v>
      </c>
      <c r="D45">
        <v>10.75</v>
      </c>
      <c r="E45">
        <f t="shared" si="10"/>
        <v>7.0685834705770344E-6</v>
      </c>
      <c r="F45">
        <f t="shared" si="11"/>
        <v>1.0749999999999999E-2</v>
      </c>
      <c r="G45">
        <f t="shared" si="12"/>
        <v>6.5754264842577065E-4</v>
      </c>
    </row>
    <row r="46" spans="1:8" x14ac:dyDescent="0.25">
      <c r="A46" t="s">
        <v>640</v>
      </c>
      <c r="B46" s="75">
        <v>15</v>
      </c>
      <c r="C46">
        <f t="shared" si="9"/>
        <v>7.0685834705770345</v>
      </c>
      <c r="D46">
        <v>10.75</v>
      </c>
      <c r="E46">
        <f t="shared" si="10"/>
        <v>7.0685834705770344E-6</v>
      </c>
      <c r="F46">
        <f t="shared" si="11"/>
        <v>1.0749999999999999E-2</v>
      </c>
      <c r="G46">
        <f t="shared" si="12"/>
        <v>6.5754264842577065E-4</v>
      </c>
    </row>
    <row r="48" spans="1:8" x14ac:dyDescent="0.25">
      <c r="A48" t="s">
        <v>641</v>
      </c>
      <c r="B48">
        <v>400</v>
      </c>
      <c r="C48">
        <f>PI()*0.6^2</f>
        <v>1.1309733552923256</v>
      </c>
      <c r="D48">
        <v>6</v>
      </c>
      <c r="E48">
        <f t="shared" ref="E48" si="13">C48/1000000</f>
        <v>1.1309733552923255E-6</v>
      </c>
      <c r="F48">
        <f t="shared" ref="F48" si="14">D48/1000</f>
        <v>6.0000000000000001E-3</v>
      </c>
      <c r="G48">
        <f t="shared" si="12"/>
        <v>1.884955592153876E-4</v>
      </c>
      <c r="H48" t="s">
        <v>7</v>
      </c>
    </row>
    <row r="49" spans="1:7" x14ac:dyDescent="0.25">
      <c r="A49" t="s">
        <v>642</v>
      </c>
      <c r="B49" s="7">
        <v>400</v>
      </c>
      <c r="C49">
        <f>PI()*0.6^2</f>
        <v>1.1309733552923256</v>
      </c>
      <c r="D49">
        <v>6</v>
      </c>
      <c r="E49">
        <f t="shared" ref="E49" si="15">C49/1000000</f>
        <v>1.1309733552923255E-6</v>
      </c>
      <c r="F49">
        <f t="shared" ref="F49" si="16">D49/1000</f>
        <v>6.0000000000000001E-3</v>
      </c>
      <c r="G49">
        <f t="shared" si="12"/>
        <v>1.884955592153876E-4</v>
      </c>
    </row>
    <row r="52" spans="1:7" x14ac:dyDescent="0.25">
      <c r="A52" t="s">
        <v>645</v>
      </c>
      <c r="B52" s="7">
        <v>0.27</v>
      </c>
      <c r="C52">
        <f>PI()*(3^2-1.5^2)</f>
        <v>21.205750411731103</v>
      </c>
      <c r="D52">
        <v>2</v>
      </c>
      <c r="E52">
        <f t="shared" ref="E52" si="17">C52/1000000</f>
        <v>2.1205750411731104E-5</v>
      </c>
      <c r="F52">
        <f t="shared" ref="F52" si="18">D52/1000</f>
        <v>2E-3</v>
      </c>
      <c r="G52">
        <f t="shared" ref="G52" si="19">E52/F52</f>
        <v>1.0602875205865551E-2</v>
      </c>
    </row>
    <row r="53" spans="1:7" x14ac:dyDescent="0.25">
      <c r="A53" t="s">
        <v>646</v>
      </c>
      <c r="B53" s="7">
        <v>0.27</v>
      </c>
      <c r="C53">
        <f t="shared" ref="C53:C55" si="20">PI()*(3^2-1.5^2)</f>
        <v>21.205750411731103</v>
      </c>
      <c r="D53">
        <v>2</v>
      </c>
      <c r="E53">
        <f t="shared" ref="E53:E55" si="21">C53/1000000</f>
        <v>2.1205750411731104E-5</v>
      </c>
      <c r="F53">
        <f t="shared" ref="F53:F55" si="22">D53/1000</f>
        <v>2E-3</v>
      </c>
      <c r="G53">
        <f t="shared" ref="G53:G55" si="23">E53/F53</f>
        <v>1.0602875205865551E-2</v>
      </c>
    </row>
    <row r="54" spans="1:7" x14ac:dyDescent="0.25">
      <c r="A54" t="s">
        <v>647</v>
      </c>
      <c r="B54" s="7">
        <v>0.27</v>
      </c>
      <c r="C54">
        <f t="shared" si="20"/>
        <v>21.205750411731103</v>
      </c>
      <c r="D54">
        <v>2</v>
      </c>
      <c r="E54">
        <f t="shared" si="21"/>
        <v>2.1205750411731104E-5</v>
      </c>
      <c r="F54">
        <f t="shared" si="22"/>
        <v>2E-3</v>
      </c>
      <c r="G54">
        <f t="shared" si="23"/>
        <v>1.0602875205865551E-2</v>
      </c>
    </row>
    <row r="55" spans="1:7" x14ac:dyDescent="0.25">
      <c r="A55" t="s">
        <v>648</v>
      </c>
      <c r="B55" s="7">
        <v>0.27</v>
      </c>
      <c r="C55">
        <f t="shared" si="20"/>
        <v>21.205750411731103</v>
      </c>
      <c r="D55">
        <v>2</v>
      </c>
      <c r="E55">
        <f t="shared" si="21"/>
        <v>2.1205750411731104E-5</v>
      </c>
      <c r="F55">
        <f t="shared" si="22"/>
        <v>2E-3</v>
      </c>
      <c r="G55">
        <f t="shared" si="23"/>
        <v>1.0602875205865551E-2</v>
      </c>
    </row>
  </sheetData>
  <mergeCells count="1">
    <mergeCell ref="N6:N8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zoomScale="55" zoomScaleNormal="55" workbookViewId="0">
      <selection activeCell="A19" sqref="A19:J21"/>
    </sheetView>
  </sheetViews>
  <sheetFormatPr baseColWidth="10" defaultRowHeight="15" x14ac:dyDescent="0.25"/>
  <cols>
    <col min="1" max="1" width="30.85546875" customWidth="1"/>
    <col min="2" max="2" width="22.7109375" customWidth="1"/>
  </cols>
  <sheetData>
    <row r="1" spans="1:13" x14ac:dyDescent="0.25">
      <c r="C1" s="119" t="s">
        <v>324</v>
      </c>
      <c r="D1" s="119"/>
      <c r="E1" s="119"/>
      <c r="F1" s="119"/>
      <c r="H1" s="119" t="s">
        <v>323</v>
      </c>
      <c r="I1" s="119"/>
      <c r="J1" s="119"/>
      <c r="K1" s="119"/>
    </row>
    <row r="2" spans="1:13" x14ac:dyDescent="0.25">
      <c r="A2" s="2" t="s">
        <v>294</v>
      </c>
      <c r="B2" s="2" t="s">
        <v>268</v>
      </c>
      <c r="C2" t="s">
        <v>319</v>
      </c>
      <c r="D2" s="59" t="s">
        <v>320</v>
      </c>
      <c r="E2" t="s">
        <v>321</v>
      </c>
      <c r="F2" s="59" t="s">
        <v>322</v>
      </c>
      <c r="H2" t="s">
        <v>319</v>
      </c>
      <c r="I2" s="59" t="s">
        <v>320</v>
      </c>
      <c r="J2" t="s">
        <v>321</v>
      </c>
      <c r="K2" s="59" t="s">
        <v>322</v>
      </c>
    </row>
    <row r="3" spans="1:13" x14ac:dyDescent="0.25">
      <c r="A3" t="s">
        <v>269</v>
      </c>
      <c r="B3" t="s">
        <v>295</v>
      </c>
      <c r="D3" s="100">
        <f>0.02/3</f>
        <v>6.6666666666666671E-3</v>
      </c>
      <c r="E3" s="100"/>
      <c r="F3" s="100">
        <f>0.02/3</f>
        <v>6.6666666666666671E-3</v>
      </c>
      <c r="G3" s="100"/>
      <c r="H3" s="99">
        <f>C3/1000</f>
        <v>0</v>
      </c>
      <c r="I3" s="99">
        <f>D3/1000</f>
        <v>6.6666666666666675E-6</v>
      </c>
      <c r="J3" s="99">
        <f t="shared" ref="I3:K3" si="0">E3/1000</f>
        <v>0</v>
      </c>
      <c r="K3" s="99">
        <f t="shared" si="0"/>
        <v>6.6666666666666675E-6</v>
      </c>
      <c r="M3" t="s">
        <v>650</v>
      </c>
    </row>
    <row r="4" spans="1:13" x14ac:dyDescent="0.25">
      <c r="A4" t="s">
        <v>270</v>
      </c>
      <c r="B4" t="s">
        <v>295</v>
      </c>
      <c r="D4" s="100">
        <f t="shared" ref="D4:F5" si="1">0.02/3</f>
        <v>6.6666666666666671E-3</v>
      </c>
      <c r="E4" s="100"/>
      <c r="F4" s="100">
        <f t="shared" si="1"/>
        <v>6.6666666666666671E-3</v>
      </c>
      <c r="G4" s="100"/>
      <c r="H4" s="99">
        <f t="shared" ref="H4:H27" si="2">C4/1000</f>
        <v>0</v>
      </c>
      <c r="I4" s="99">
        <f t="shared" ref="I4:I35" si="3">D4/1000</f>
        <v>6.6666666666666675E-6</v>
      </c>
      <c r="J4" s="99">
        <f t="shared" ref="J4:J27" si="4">E4/1000</f>
        <v>0</v>
      </c>
      <c r="K4" s="99">
        <f t="shared" ref="K4:K27" si="5">F4/1000</f>
        <v>6.6666666666666675E-6</v>
      </c>
    </row>
    <row r="5" spans="1:13" x14ac:dyDescent="0.25">
      <c r="A5" t="s">
        <v>271</v>
      </c>
      <c r="B5" t="s">
        <v>295</v>
      </c>
      <c r="D5" s="100">
        <f t="shared" si="1"/>
        <v>6.6666666666666671E-3</v>
      </c>
      <c r="E5" s="100"/>
      <c r="F5" s="100">
        <f t="shared" si="1"/>
        <v>6.6666666666666671E-3</v>
      </c>
      <c r="G5" s="100"/>
      <c r="H5" s="99">
        <f t="shared" si="2"/>
        <v>0</v>
      </c>
      <c r="I5" s="99">
        <f t="shared" si="3"/>
        <v>6.6666666666666675E-6</v>
      </c>
      <c r="J5" s="99">
        <f t="shared" si="4"/>
        <v>0</v>
      </c>
      <c r="K5" s="99">
        <f t="shared" si="5"/>
        <v>6.6666666666666675E-6</v>
      </c>
    </row>
    <row r="6" spans="1:13" x14ac:dyDescent="0.25">
      <c r="A6" t="s">
        <v>272</v>
      </c>
      <c r="B6" t="s">
        <v>296</v>
      </c>
      <c r="D6">
        <v>1.91</v>
      </c>
      <c r="F6">
        <v>1.91</v>
      </c>
      <c r="H6">
        <f t="shared" si="2"/>
        <v>0</v>
      </c>
      <c r="I6">
        <f t="shared" si="3"/>
        <v>1.91E-3</v>
      </c>
      <c r="J6">
        <f t="shared" si="4"/>
        <v>0</v>
      </c>
      <c r="K6">
        <f t="shared" si="5"/>
        <v>1.91E-3</v>
      </c>
    </row>
    <row r="7" spans="1:13" x14ac:dyDescent="0.25">
      <c r="A7" t="s">
        <v>273</v>
      </c>
      <c r="B7" t="s">
        <v>297</v>
      </c>
      <c r="D7" s="97">
        <v>317.76</v>
      </c>
      <c r="F7" s="97">
        <v>0</v>
      </c>
      <c r="H7">
        <f t="shared" si="2"/>
        <v>0</v>
      </c>
      <c r="I7">
        <f t="shared" si="3"/>
        <v>0.31775999999999999</v>
      </c>
      <c r="J7">
        <f t="shared" si="4"/>
        <v>0</v>
      </c>
      <c r="K7">
        <f t="shared" si="5"/>
        <v>0</v>
      </c>
    </row>
    <row r="8" spans="1:13" x14ac:dyDescent="0.25">
      <c r="A8" t="s">
        <v>274</v>
      </c>
      <c r="B8" t="s">
        <v>298</v>
      </c>
      <c r="D8">
        <v>0</v>
      </c>
      <c r="F8"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3" x14ac:dyDescent="0.25">
      <c r="A9" t="s">
        <v>275</v>
      </c>
      <c r="B9" t="s">
        <v>299</v>
      </c>
      <c r="D9">
        <v>0.2</v>
      </c>
      <c r="F9">
        <v>0.2</v>
      </c>
      <c r="H9">
        <f t="shared" si="2"/>
        <v>0</v>
      </c>
      <c r="I9">
        <f t="shared" si="3"/>
        <v>2.0000000000000001E-4</v>
      </c>
      <c r="J9">
        <f t="shared" si="4"/>
        <v>0</v>
      </c>
      <c r="K9">
        <f t="shared" si="5"/>
        <v>2.0000000000000001E-4</v>
      </c>
    </row>
    <row r="10" spans="1:13" x14ac:dyDescent="0.25">
      <c r="A10" t="s">
        <v>276</v>
      </c>
      <c r="D10" s="98">
        <v>0</v>
      </c>
      <c r="F10" s="98"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3" x14ac:dyDescent="0.25">
      <c r="A11" t="s">
        <v>277</v>
      </c>
      <c r="B11" t="s">
        <v>300</v>
      </c>
      <c r="D11">
        <v>0.24</v>
      </c>
      <c r="F11">
        <v>0.24</v>
      </c>
      <c r="H11">
        <f t="shared" si="2"/>
        <v>0</v>
      </c>
      <c r="I11">
        <f t="shared" si="3"/>
        <v>2.3999999999999998E-4</v>
      </c>
      <c r="J11">
        <f t="shared" si="4"/>
        <v>0</v>
      </c>
      <c r="K11">
        <f t="shared" si="5"/>
        <v>2.3999999999999998E-4</v>
      </c>
    </row>
    <row r="12" spans="1:13" x14ac:dyDescent="0.25">
      <c r="A12" t="s">
        <v>278</v>
      </c>
      <c r="B12" t="s">
        <v>301</v>
      </c>
      <c r="D12">
        <v>0.15</v>
      </c>
      <c r="F12">
        <v>0.15</v>
      </c>
      <c r="H12">
        <f t="shared" si="2"/>
        <v>0</v>
      </c>
      <c r="I12">
        <f t="shared" si="3"/>
        <v>1.4999999999999999E-4</v>
      </c>
      <c r="J12">
        <f t="shared" si="4"/>
        <v>0</v>
      </c>
      <c r="K12">
        <f t="shared" si="5"/>
        <v>1.4999999999999999E-4</v>
      </c>
    </row>
    <row r="13" spans="1:13" x14ac:dyDescent="0.25">
      <c r="A13" t="s">
        <v>279</v>
      </c>
      <c r="B13" t="s">
        <v>302</v>
      </c>
      <c r="D13" s="97">
        <v>0</v>
      </c>
      <c r="F13" s="97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3" x14ac:dyDescent="0.25">
      <c r="A14" t="s">
        <v>280</v>
      </c>
      <c r="B14" t="s">
        <v>302</v>
      </c>
      <c r="D14" s="97">
        <v>0</v>
      </c>
      <c r="F14" s="97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3" x14ac:dyDescent="0.25">
      <c r="A15" t="s">
        <v>281</v>
      </c>
      <c r="B15" t="s">
        <v>302</v>
      </c>
      <c r="D15" s="97">
        <v>0</v>
      </c>
      <c r="F15" s="97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3" x14ac:dyDescent="0.25">
      <c r="A16" t="s">
        <v>282</v>
      </c>
      <c r="B16" t="s">
        <v>303</v>
      </c>
      <c r="D16" s="97">
        <v>0</v>
      </c>
      <c r="F16" s="97"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25">
      <c r="A17" t="s">
        <v>283</v>
      </c>
      <c r="B17" t="s">
        <v>304</v>
      </c>
      <c r="D17">
        <v>44</v>
      </c>
      <c r="F17">
        <v>5.64</v>
      </c>
      <c r="H17">
        <f t="shared" si="2"/>
        <v>0</v>
      </c>
      <c r="I17">
        <f t="shared" si="3"/>
        <v>4.3999999999999997E-2</v>
      </c>
      <c r="J17">
        <f t="shared" si="4"/>
        <v>0</v>
      </c>
      <c r="K17">
        <f t="shared" si="5"/>
        <v>5.64E-3</v>
      </c>
    </row>
    <row r="18" spans="1:11" x14ac:dyDescent="0.25">
      <c r="A18" t="s">
        <v>284</v>
      </c>
      <c r="B18" t="s">
        <v>305</v>
      </c>
      <c r="D18">
        <v>3.89</v>
      </c>
      <c r="F18" s="97">
        <v>0</v>
      </c>
      <c r="H18">
        <f t="shared" si="2"/>
        <v>0</v>
      </c>
      <c r="I18">
        <f t="shared" si="3"/>
        <v>3.8900000000000002E-3</v>
      </c>
      <c r="J18">
        <f t="shared" si="4"/>
        <v>0</v>
      </c>
      <c r="K18">
        <f t="shared" si="5"/>
        <v>0</v>
      </c>
    </row>
    <row r="19" spans="1:11" x14ac:dyDescent="0.25">
      <c r="A19" t="s">
        <v>285</v>
      </c>
      <c r="B19" t="s">
        <v>306</v>
      </c>
      <c r="D19" s="97">
        <v>39.409999999999997</v>
      </c>
      <c r="F19" s="97">
        <v>0</v>
      </c>
      <c r="H19">
        <f t="shared" si="2"/>
        <v>0</v>
      </c>
      <c r="I19">
        <f t="shared" si="3"/>
        <v>3.9409999999999994E-2</v>
      </c>
      <c r="J19">
        <f t="shared" si="4"/>
        <v>0</v>
      </c>
      <c r="K19">
        <f t="shared" si="5"/>
        <v>0</v>
      </c>
    </row>
    <row r="20" spans="1:11" x14ac:dyDescent="0.25">
      <c r="A20" t="s">
        <v>286</v>
      </c>
      <c r="B20" t="s">
        <v>307</v>
      </c>
      <c r="D20" s="97">
        <v>61.8</v>
      </c>
      <c r="F20" s="97">
        <v>0</v>
      </c>
      <c r="H20">
        <f t="shared" si="2"/>
        <v>0</v>
      </c>
      <c r="I20">
        <f t="shared" si="3"/>
        <v>6.1799999999999994E-2</v>
      </c>
      <c r="J20">
        <f t="shared" si="4"/>
        <v>0</v>
      </c>
      <c r="K20">
        <f t="shared" si="5"/>
        <v>0</v>
      </c>
    </row>
    <row r="21" spans="1:11" x14ac:dyDescent="0.25">
      <c r="A21" t="s">
        <v>287</v>
      </c>
      <c r="B21" t="s">
        <v>308</v>
      </c>
      <c r="D21" s="97">
        <v>78.819999999999993</v>
      </c>
      <c r="F21" s="97">
        <v>0</v>
      </c>
      <c r="H21">
        <f t="shared" si="2"/>
        <v>0</v>
      </c>
      <c r="I21">
        <f t="shared" si="3"/>
        <v>7.8819999999999987E-2</v>
      </c>
      <c r="J21">
        <f t="shared" si="4"/>
        <v>0</v>
      </c>
      <c r="K21">
        <f t="shared" si="5"/>
        <v>0</v>
      </c>
    </row>
    <row r="22" spans="1:11" x14ac:dyDescent="0.25">
      <c r="A22" t="s">
        <v>288</v>
      </c>
      <c r="B22" t="s">
        <v>309</v>
      </c>
      <c r="D22" s="97">
        <v>59.11</v>
      </c>
      <c r="F22" s="97">
        <v>0</v>
      </c>
      <c r="H22">
        <f t="shared" si="2"/>
        <v>0</v>
      </c>
      <c r="I22">
        <f t="shared" si="3"/>
        <v>5.9110000000000003E-2</v>
      </c>
      <c r="J22">
        <f t="shared" si="4"/>
        <v>0</v>
      </c>
      <c r="K22">
        <f t="shared" si="5"/>
        <v>0</v>
      </c>
    </row>
    <row r="23" spans="1:11" x14ac:dyDescent="0.25">
      <c r="A23" t="s">
        <v>289</v>
      </c>
      <c r="B23" t="s">
        <v>310</v>
      </c>
      <c r="D23" s="97">
        <v>0</v>
      </c>
      <c r="F23" s="97"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25">
      <c r="A24" t="s">
        <v>290</v>
      </c>
      <c r="B24" t="s">
        <v>311</v>
      </c>
      <c r="D24" s="97">
        <v>12.21</v>
      </c>
      <c r="F24" s="97">
        <v>0</v>
      </c>
      <c r="H24">
        <f t="shared" si="2"/>
        <v>0</v>
      </c>
      <c r="I24">
        <f t="shared" si="3"/>
        <v>1.221E-2</v>
      </c>
      <c r="J24">
        <f t="shared" si="4"/>
        <v>0</v>
      </c>
      <c r="K24">
        <f t="shared" si="5"/>
        <v>0</v>
      </c>
    </row>
    <row r="25" spans="1:11" x14ac:dyDescent="0.25">
      <c r="A25" t="s">
        <v>291</v>
      </c>
      <c r="B25" t="s">
        <v>312</v>
      </c>
      <c r="D25" s="97">
        <v>135.71</v>
      </c>
      <c r="F25" s="97">
        <v>0</v>
      </c>
      <c r="H25">
        <f t="shared" si="2"/>
        <v>0</v>
      </c>
      <c r="I25">
        <f t="shared" si="3"/>
        <v>0.13571</v>
      </c>
      <c r="J25">
        <f t="shared" si="4"/>
        <v>0</v>
      </c>
      <c r="K25">
        <f t="shared" si="5"/>
        <v>0</v>
      </c>
    </row>
    <row r="26" spans="1:11" x14ac:dyDescent="0.25">
      <c r="A26" t="s">
        <v>292</v>
      </c>
      <c r="B26" t="s">
        <v>312</v>
      </c>
      <c r="D26" s="97">
        <v>135.71</v>
      </c>
      <c r="F26" s="97">
        <v>0</v>
      </c>
      <c r="H26">
        <f t="shared" si="2"/>
        <v>0</v>
      </c>
      <c r="I26">
        <f t="shared" si="3"/>
        <v>0.13571</v>
      </c>
      <c r="J26">
        <f t="shared" si="4"/>
        <v>0</v>
      </c>
      <c r="K26">
        <f t="shared" si="5"/>
        <v>0</v>
      </c>
    </row>
    <row r="27" spans="1:11" x14ac:dyDescent="0.25">
      <c r="A27" t="s">
        <v>293</v>
      </c>
      <c r="B27" t="s">
        <v>313</v>
      </c>
      <c r="D27" s="97">
        <v>103</v>
      </c>
      <c r="F27" s="97">
        <v>0</v>
      </c>
      <c r="H27">
        <f t="shared" si="2"/>
        <v>0</v>
      </c>
      <c r="I27">
        <f t="shared" si="3"/>
        <v>0.10299999999999999</v>
      </c>
      <c r="J27">
        <f t="shared" si="4"/>
        <v>0</v>
      </c>
      <c r="K27">
        <f t="shared" si="5"/>
        <v>0</v>
      </c>
    </row>
    <row r="28" spans="1:11" x14ac:dyDescent="0.25">
      <c r="A28" t="s">
        <v>651</v>
      </c>
      <c r="D28" s="97">
        <v>68</v>
      </c>
      <c r="I28">
        <f t="shared" si="3"/>
        <v>6.8000000000000005E-2</v>
      </c>
    </row>
    <row r="29" spans="1:11" x14ac:dyDescent="0.25">
      <c r="A29" s="2" t="s">
        <v>87</v>
      </c>
      <c r="D29">
        <f>SUM(D3:D28)</f>
        <v>1061.94</v>
      </c>
      <c r="I29">
        <f t="shared" si="3"/>
        <v>1.0619400000000001</v>
      </c>
    </row>
    <row r="30" spans="1:11" x14ac:dyDescent="0.25">
      <c r="D30" t="s">
        <v>325</v>
      </c>
    </row>
    <row r="31" spans="1:11" x14ac:dyDescent="0.25">
      <c r="D31" t="s">
        <v>649</v>
      </c>
    </row>
    <row r="32" spans="1:11" x14ac:dyDescent="0.25">
      <c r="A32" t="s">
        <v>344</v>
      </c>
    </row>
    <row r="34" spans="1:11" x14ac:dyDescent="0.25">
      <c r="I34">
        <f t="shared" si="3"/>
        <v>0</v>
      </c>
    </row>
    <row r="35" spans="1:11" x14ac:dyDescent="0.25">
      <c r="A35" t="s">
        <v>652</v>
      </c>
      <c r="C35">
        <f>C29*0.2</f>
        <v>0</v>
      </c>
      <c r="D35">
        <f t="shared" ref="D35:K35" si="6">D29*0.2</f>
        <v>212.38800000000003</v>
      </c>
      <c r="E35">
        <f t="shared" si="6"/>
        <v>0</v>
      </c>
      <c r="F35">
        <f t="shared" si="6"/>
        <v>0</v>
      </c>
      <c r="G35">
        <f t="shared" si="6"/>
        <v>0</v>
      </c>
      <c r="H35">
        <f t="shared" si="6"/>
        <v>0</v>
      </c>
      <c r="I35">
        <f t="shared" si="3"/>
        <v>0.21238800000000002</v>
      </c>
      <c r="J35">
        <f t="shared" si="6"/>
        <v>0</v>
      </c>
      <c r="K35">
        <f t="shared" si="6"/>
        <v>0</v>
      </c>
    </row>
  </sheetData>
  <mergeCells count="2">
    <mergeCell ref="C1:F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opLeftCell="A123" workbookViewId="0">
      <selection activeCell="B136" sqref="B136:C136"/>
    </sheetView>
  </sheetViews>
  <sheetFormatPr baseColWidth="10" defaultRowHeight="15" x14ac:dyDescent="0.25"/>
  <cols>
    <col min="1" max="1" width="28.5703125" bestFit="1" customWidth="1"/>
    <col min="2" max="2" width="7.7109375" style="115" bestFit="1" customWidth="1"/>
    <col min="3" max="3" width="15.5703125" style="115" bestFit="1" customWidth="1"/>
    <col min="5" max="5" width="13.7109375" customWidth="1"/>
    <col min="6" max="6" width="13.28515625" customWidth="1"/>
  </cols>
  <sheetData>
    <row r="1" spans="1:6" x14ac:dyDescent="0.25">
      <c r="A1" s="2" t="s">
        <v>388</v>
      </c>
      <c r="B1" s="114" t="s">
        <v>389</v>
      </c>
      <c r="C1" s="114" t="s">
        <v>552</v>
      </c>
      <c r="E1" t="s">
        <v>643</v>
      </c>
      <c r="F1" t="s">
        <v>598</v>
      </c>
    </row>
    <row r="2" spans="1:6" x14ac:dyDescent="0.25">
      <c r="A2" t="s">
        <v>359</v>
      </c>
      <c r="B2" s="115" t="s">
        <v>504</v>
      </c>
      <c r="C2" s="115">
        <v>250</v>
      </c>
      <c r="E2" t="s">
        <v>578</v>
      </c>
      <c r="F2" t="s">
        <v>599</v>
      </c>
    </row>
    <row r="3" spans="1:6" x14ac:dyDescent="0.25">
      <c r="A3" t="s">
        <v>360</v>
      </c>
      <c r="B3" s="115" t="s">
        <v>504</v>
      </c>
      <c r="C3" s="115">
        <v>250</v>
      </c>
      <c r="E3" t="s">
        <v>601</v>
      </c>
    </row>
    <row r="4" spans="1:6" x14ac:dyDescent="0.25">
      <c r="A4" t="s">
        <v>361</v>
      </c>
      <c r="B4" s="115" t="s">
        <v>504</v>
      </c>
      <c r="C4" s="115">
        <v>250</v>
      </c>
      <c r="E4" t="s">
        <v>579</v>
      </c>
      <c r="F4" t="s">
        <v>600</v>
      </c>
    </row>
    <row r="5" spans="1:6" x14ac:dyDescent="0.25">
      <c r="A5" t="s">
        <v>362</v>
      </c>
      <c r="B5" s="115" t="s">
        <v>504</v>
      </c>
      <c r="C5" s="115">
        <v>250</v>
      </c>
      <c r="E5" t="s">
        <v>581</v>
      </c>
      <c r="F5" t="s">
        <v>580</v>
      </c>
    </row>
    <row r="6" spans="1:6" x14ac:dyDescent="0.25">
      <c r="A6" t="s">
        <v>363</v>
      </c>
      <c r="B6" s="115" t="s">
        <v>504</v>
      </c>
      <c r="C6" s="115">
        <v>250</v>
      </c>
    </row>
    <row r="7" spans="1:6" x14ac:dyDescent="0.25">
      <c r="A7" t="s">
        <v>364</v>
      </c>
      <c r="B7" s="115" t="s">
        <v>504</v>
      </c>
      <c r="C7" s="115">
        <v>7000</v>
      </c>
    </row>
    <row r="8" spans="1:6" x14ac:dyDescent="0.25">
      <c r="A8" t="s">
        <v>365</v>
      </c>
      <c r="B8" s="115" t="s">
        <v>504</v>
      </c>
      <c r="C8" s="115">
        <v>7000</v>
      </c>
    </row>
    <row r="9" spans="1:6" x14ac:dyDescent="0.25">
      <c r="A9" t="s">
        <v>366</v>
      </c>
      <c r="B9" s="115" t="s">
        <v>504</v>
      </c>
      <c r="C9" s="115">
        <v>7000</v>
      </c>
    </row>
    <row r="10" spans="1:6" x14ac:dyDescent="0.25">
      <c r="A10" t="s">
        <v>367</v>
      </c>
      <c r="B10" s="115" t="s">
        <v>504</v>
      </c>
      <c r="C10" s="115">
        <v>7000</v>
      </c>
    </row>
    <row r="11" spans="1:6" x14ac:dyDescent="0.25">
      <c r="A11" t="s">
        <v>368</v>
      </c>
      <c r="B11" s="115" t="s">
        <v>506</v>
      </c>
      <c r="C11" s="115">
        <v>1000</v>
      </c>
    </row>
    <row r="12" spans="1:6" x14ac:dyDescent="0.25">
      <c r="A12" t="s">
        <v>369</v>
      </c>
      <c r="B12" s="115" t="s">
        <v>506</v>
      </c>
      <c r="C12" s="115">
        <v>0</v>
      </c>
    </row>
    <row r="13" spans="1:6" x14ac:dyDescent="0.25">
      <c r="A13" t="s">
        <v>370</v>
      </c>
      <c r="B13" s="115" t="s">
        <v>506</v>
      </c>
      <c r="C13" s="115">
        <v>1000</v>
      </c>
    </row>
    <row r="14" spans="1:6" x14ac:dyDescent="0.25">
      <c r="A14" t="s">
        <v>371</v>
      </c>
      <c r="B14" s="115" t="s">
        <v>506</v>
      </c>
      <c r="C14" s="115">
        <v>0</v>
      </c>
    </row>
    <row r="15" spans="1:6" x14ac:dyDescent="0.25">
      <c r="A15" t="s">
        <v>372</v>
      </c>
      <c r="B15" s="115" t="s">
        <v>506</v>
      </c>
      <c r="C15" s="115">
        <v>1000</v>
      </c>
    </row>
    <row r="16" spans="1:6" x14ac:dyDescent="0.25">
      <c r="A16" t="s">
        <v>373</v>
      </c>
      <c r="B16" s="115" t="s">
        <v>506</v>
      </c>
      <c r="C16" s="115">
        <v>0</v>
      </c>
    </row>
    <row r="17" spans="1:3" x14ac:dyDescent="0.25">
      <c r="A17" t="s">
        <v>374</v>
      </c>
      <c r="B17" s="115" t="s">
        <v>506</v>
      </c>
      <c r="C17" s="115">
        <v>0</v>
      </c>
    </row>
    <row r="18" spans="1:3" x14ac:dyDescent="0.25">
      <c r="A18" t="s">
        <v>375</v>
      </c>
      <c r="B18" s="115" t="s">
        <v>506</v>
      </c>
      <c r="C18" s="115">
        <v>0</v>
      </c>
    </row>
    <row r="19" spans="1:3" x14ac:dyDescent="0.25">
      <c r="A19" t="s">
        <v>373</v>
      </c>
      <c r="B19" s="115" t="s">
        <v>506</v>
      </c>
      <c r="C19" s="115">
        <v>0</v>
      </c>
    </row>
    <row r="20" spans="1:3" x14ac:dyDescent="0.25">
      <c r="A20" t="s">
        <v>376</v>
      </c>
      <c r="B20" s="115" t="s">
        <v>504</v>
      </c>
      <c r="C20" s="116">
        <v>492</v>
      </c>
    </row>
    <row r="21" spans="1:3" x14ac:dyDescent="0.25">
      <c r="A21" t="s">
        <v>377</v>
      </c>
      <c r="B21" s="115" t="s">
        <v>507</v>
      </c>
      <c r="C21" s="116" t="s">
        <v>576</v>
      </c>
    </row>
    <row r="22" spans="1:3" x14ac:dyDescent="0.25">
      <c r="A22" t="s">
        <v>378</v>
      </c>
      <c r="B22" s="115" t="s">
        <v>507</v>
      </c>
      <c r="C22" s="116" t="s">
        <v>576</v>
      </c>
    </row>
    <row r="23" spans="1:3" x14ac:dyDescent="0.25">
      <c r="A23" t="s">
        <v>379</v>
      </c>
      <c r="B23" s="115" t="s">
        <v>507</v>
      </c>
      <c r="C23" s="116" t="s">
        <v>576</v>
      </c>
    </row>
    <row r="24" spans="1:3" x14ac:dyDescent="0.25">
      <c r="A24" t="s">
        <v>380</v>
      </c>
      <c r="B24" s="115" t="s">
        <v>507</v>
      </c>
      <c r="C24" s="116" t="s">
        <v>576</v>
      </c>
    </row>
    <row r="25" spans="1:3" x14ac:dyDescent="0.25">
      <c r="A25" t="s">
        <v>381</v>
      </c>
      <c r="B25" s="115" t="s">
        <v>507</v>
      </c>
      <c r="C25" s="116" t="s">
        <v>576</v>
      </c>
    </row>
    <row r="26" spans="1:3" x14ac:dyDescent="0.25">
      <c r="A26" t="s">
        <v>382</v>
      </c>
      <c r="B26" s="115" t="s">
        <v>507</v>
      </c>
      <c r="C26" s="116" t="s">
        <v>576</v>
      </c>
    </row>
    <row r="27" spans="1:3" x14ac:dyDescent="0.25">
      <c r="A27" t="s">
        <v>383</v>
      </c>
      <c r="B27" s="115" t="s">
        <v>504</v>
      </c>
      <c r="C27" s="116">
        <v>1517</v>
      </c>
    </row>
    <row r="28" spans="1:3" x14ac:dyDescent="0.25">
      <c r="A28" t="s">
        <v>384</v>
      </c>
      <c r="B28" s="115" t="s">
        <v>504</v>
      </c>
      <c r="C28" s="116">
        <v>1517</v>
      </c>
    </row>
    <row r="29" spans="1:3" x14ac:dyDescent="0.25">
      <c r="A29" t="s">
        <v>385</v>
      </c>
      <c r="B29" s="115" t="s">
        <v>504</v>
      </c>
      <c r="C29" s="116">
        <v>1517</v>
      </c>
    </row>
    <row r="30" spans="1:3" x14ac:dyDescent="0.25">
      <c r="A30" t="s">
        <v>386</v>
      </c>
      <c r="B30" s="115" t="s">
        <v>507</v>
      </c>
      <c r="C30" s="116" t="s">
        <v>576</v>
      </c>
    </row>
    <row r="31" spans="1:3" x14ac:dyDescent="0.25">
      <c r="A31" t="s">
        <v>387</v>
      </c>
      <c r="B31" s="115" t="s">
        <v>507</v>
      </c>
      <c r="C31" s="116" t="s">
        <v>576</v>
      </c>
    </row>
    <row r="32" spans="1:3" x14ac:dyDescent="0.25">
      <c r="A32" t="s">
        <v>390</v>
      </c>
      <c r="B32" s="115" t="s">
        <v>504</v>
      </c>
      <c r="C32" s="116">
        <v>1517</v>
      </c>
    </row>
    <row r="33" spans="1:3" x14ac:dyDescent="0.25">
      <c r="A33" t="s">
        <v>391</v>
      </c>
      <c r="B33" s="115" t="s">
        <v>504</v>
      </c>
      <c r="C33" s="116">
        <v>1517</v>
      </c>
    </row>
    <row r="34" spans="1:3" x14ac:dyDescent="0.25">
      <c r="A34" t="s">
        <v>392</v>
      </c>
      <c r="B34" s="115" t="s">
        <v>504</v>
      </c>
      <c r="C34" s="116">
        <v>1517</v>
      </c>
    </row>
    <row r="35" spans="1:3" x14ac:dyDescent="0.25">
      <c r="A35" t="s">
        <v>393</v>
      </c>
      <c r="B35" s="115" t="s">
        <v>507</v>
      </c>
      <c r="C35" s="116" t="s">
        <v>576</v>
      </c>
    </row>
    <row r="36" spans="1:3" x14ac:dyDescent="0.25">
      <c r="A36" t="s">
        <v>394</v>
      </c>
      <c r="B36" s="115" t="s">
        <v>504</v>
      </c>
      <c r="C36" s="116">
        <v>1517</v>
      </c>
    </row>
    <row r="37" spans="1:3" x14ac:dyDescent="0.25">
      <c r="A37" t="s">
        <v>395</v>
      </c>
      <c r="B37" s="115" t="s">
        <v>507</v>
      </c>
      <c r="C37" s="116" t="s">
        <v>576</v>
      </c>
    </row>
    <row r="38" spans="1:3" x14ac:dyDescent="0.25">
      <c r="A38" t="s">
        <v>427</v>
      </c>
      <c r="B38" s="115" t="s">
        <v>504</v>
      </c>
      <c r="C38" s="116">
        <v>492</v>
      </c>
    </row>
    <row r="39" spans="1:3" x14ac:dyDescent="0.25">
      <c r="A39" t="s">
        <v>396</v>
      </c>
      <c r="B39" s="115" t="s">
        <v>504</v>
      </c>
      <c r="C39" s="116">
        <v>1517</v>
      </c>
    </row>
    <row r="40" spans="1:3" x14ac:dyDescent="0.25">
      <c r="A40" t="s">
        <v>428</v>
      </c>
      <c r="B40" s="115" t="s">
        <v>504</v>
      </c>
      <c r="C40" s="116">
        <v>492</v>
      </c>
    </row>
    <row r="41" spans="1:3" x14ac:dyDescent="0.25">
      <c r="A41" t="s">
        <v>508</v>
      </c>
      <c r="B41" s="115" t="s">
        <v>505</v>
      </c>
      <c r="C41" s="115">
        <v>0</v>
      </c>
    </row>
    <row r="42" spans="1:3" x14ac:dyDescent="0.25">
      <c r="A42" t="s">
        <v>429</v>
      </c>
      <c r="B42" s="115" t="s">
        <v>505</v>
      </c>
      <c r="C42" s="115">
        <v>0</v>
      </c>
    </row>
    <row r="43" spans="1:3" x14ac:dyDescent="0.25">
      <c r="A43" t="s">
        <v>509</v>
      </c>
      <c r="B43" s="115" t="s">
        <v>505</v>
      </c>
      <c r="C43" s="115">
        <v>0</v>
      </c>
    </row>
    <row r="44" spans="1:3" x14ac:dyDescent="0.25">
      <c r="A44" t="s">
        <v>430</v>
      </c>
      <c r="B44" s="115" t="s">
        <v>504</v>
      </c>
      <c r="C44" s="115">
        <v>250</v>
      </c>
    </row>
    <row r="45" spans="1:3" x14ac:dyDescent="0.25">
      <c r="A45" t="s">
        <v>431</v>
      </c>
      <c r="B45" s="115" t="s">
        <v>504</v>
      </c>
      <c r="C45" s="115">
        <v>250</v>
      </c>
    </row>
    <row r="46" spans="1:3" x14ac:dyDescent="0.25">
      <c r="A46" t="s">
        <v>432</v>
      </c>
      <c r="B46" s="115" t="s">
        <v>504</v>
      </c>
      <c r="C46" s="115">
        <v>250</v>
      </c>
    </row>
    <row r="47" spans="1:3" x14ac:dyDescent="0.25">
      <c r="A47" t="s">
        <v>433</v>
      </c>
      <c r="B47" s="115" t="s">
        <v>504</v>
      </c>
      <c r="C47" s="115">
        <v>250</v>
      </c>
    </row>
    <row r="48" spans="1:3" x14ac:dyDescent="0.25">
      <c r="A48" t="s">
        <v>434</v>
      </c>
      <c r="B48" s="115" t="s">
        <v>504</v>
      </c>
      <c r="C48" s="115">
        <v>250</v>
      </c>
    </row>
    <row r="49" spans="1:3" x14ac:dyDescent="0.25">
      <c r="A49" t="s">
        <v>435</v>
      </c>
      <c r="B49" s="115" t="s">
        <v>504</v>
      </c>
      <c r="C49" s="115">
        <v>250</v>
      </c>
    </row>
    <row r="50" spans="1:3" x14ac:dyDescent="0.25">
      <c r="A50" t="s">
        <v>436</v>
      </c>
      <c r="B50" s="115" t="s">
        <v>504</v>
      </c>
      <c r="C50" s="115">
        <v>250</v>
      </c>
    </row>
    <row r="51" spans="1:3" x14ac:dyDescent="0.25">
      <c r="A51" t="s">
        <v>437</v>
      </c>
      <c r="B51" s="115" t="s">
        <v>504</v>
      </c>
      <c r="C51" s="115">
        <v>250</v>
      </c>
    </row>
    <row r="52" spans="1:3" x14ac:dyDescent="0.25">
      <c r="A52" t="s">
        <v>419</v>
      </c>
      <c r="B52" s="115" t="s">
        <v>504</v>
      </c>
      <c r="C52" s="115">
        <v>7000</v>
      </c>
    </row>
    <row r="53" spans="1:3" x14ac:dyDescent="0.25">
      <c r="A53" t="s">
        <v>420</v>
      </c>
      <c r="B53" s="115" t="s">
        <v>504</v>
      </c>
      <c r="C53" s="115">
        <v>7000</v>
      </c>
    </row>
    <row r="54" spans="1:3" x14ac:dyDescent="0.25">
      <c r="A54" t="s">
        <v>421</v>
      </c>
      <c r="B54" s="115" t="s">
        <v>504</v>
      </c>
      <c r="C54" s="115">
        <v>7000</v>
      </c>
    </row>
    <row r="55" spans="1:3" x14ac:dyDescent="0.25">
      <c r="A55" t="s">
        <v>422</v>
      </c>
      <c r="B55" s="115" t="s">
        <v>504</v>
      </c>
      <c r="C55" s="115">
        <v>7000</v>
      </c>
    </row>
    <row r="56" spans="1:3" x14ac:dyDescent="0.25">
      <c r="A56" t="s">
        <v>423</v>
      </c>
      <c r="B56" s="115" t="s">
        <v>504</v>
      </c>
      <c r="C56" s="115">
        <v>7000</v>
      </c>
    </row>
    <row r="57" spans="1:3" x14ac:dyDescent="0.25">
      <c r="A57" t="s">
        <v>425</v>
      </c>
      <c r="B57" s="115" t="s">
        <v>504</v>
      </c>
      <c r="C57" s="115">
        <v>7000</v>
      </c>
    </row>
    <row r="58" spans="1:3" x14ac:dyDescent="0.25">
      <c r="A58" t="s">
        <v>424</v>
      </c>
      <c r="B58" s="115" t="s">
        <v>504</v>
      </c>
      <c r="C58" s="115">
        <v>7000</v>
      </c>
    </row>
    <row r="59" spans="1:3" x14ac:dyDescent="0.25">
      <c r="A59" t="s">
        <v>426</v>
      </c>
      <c r="B59" s="115" t="s">
        <v>504</v>
      </c>
      <c r="C59" s="115">
        <v>7000</v>
      </c>
    </row>
    <row r="60" spans="1:3" x14ac:dyDescent="0.25">
      <c r="A60" t="s">
        <v>397</v>
      </c>
      <c r="B60" s="115" t="s">
        <v>507</v>
      </c>
      <c r="C60" s="115" t="s">
        <v>576</v>
      </c>
    </row>
    <row r="61" spans="1:3" x14ac:dyDescent="0.25">
      <c r="A61" t="s">
        <v>398</v>
      </c>
      <c r="B61" s="115" t="s">
        <v>507</v>
      </c>
      <c r="C61" s="115" t="s">
        <v>576</v>
      </c>
    </row>
    <row r="62" spans="1:3" x14ac:dyDescent="0.25">
      <c r="A62" t="s">
        <v>399</v>
      </c>
      <c r="B62" s="115" t="s">
        <v>507</v>
      </c>
      <c r="C62" s="115" t="s">
        <v>576</v>
      </c>
    </row>
    <row r="63" spans="1:3" x14ac:dyDescent="0.25">
      <c r="A63" t="s">
        <v>400</v>
      </c>
      <c r="B63" s="115" t="s">
        <v>507</v>
      </c>
      <c r="C63" s="115" t="s">
        <v>576</v>
      </c>
    </row>
    <row r="64" spans="1:3" x14ac:dyDescent="0.25">
      <c r="A64" t="s">
        <v>401</v>
      </c>
      <c r="B64" s="115" t="s">
        <v>507</v>
      </c>
      <c r="C64" s="115" t="s">
        <v>576</v>
      </c>
    </row>
    <row r="65" spans="1:3" x14ac:dyDescent="0.25">
      <c r="A65" t="s">
        <v>402</v>
      </c>
      <c r="B65" s="115" t="s">
        <v>507</v>
      </c>
      <c r="C65" s="115" t="s">
        <v>576</v>
      </c>
    </row>
    <row r="66" spans="1:3" x14ac:dyDescent="0.25">
      <c r="A66" t="s">
        <v>403</v>
      </c>
      <c r="B66" s="115" t="s">
        <v>507</v>
      </c>
      <c r="C66" s="115" t="s">
        <v>576</v>
      </c>
    </row>
    <row r="67" spans="1:3" x14ac:dyDescent="0.25">
      <c r="A67" t="s">
        <v>404</v>
      </c>
      <c r="B67" s="115" t="s">
        <v>504</v>
      </c>
      <c r="C67" s="115">
        <v>268</v>
      </c>
    </row>
    <row r="68" spans="1:3" x14ac:dyDescent="0.25">
      <c r="A68" t="s">
        <v>405</v>
      </c>
      <c r="B68" s="115" t="s">
        <v>507</v>
      </c>
      <c r="C68" s="115" t="s">
        <v>576</v>
      </c>
    </row>
    <row r="69" spans="1:3" x14ac:dyDescent="0.25">
      <c r="A69" t="s">
        <v>406</v>
      </c>
      <c r="B69" s="115" t="s">
        <v>507</v>
      </c>
      <c r="C69" s="115" t="s">
        <v>576</v>
      </c>
    </row>
    <row r="70" spans="1:3" x14ac:dyDescent="0.25">
      <c r="A70" t="s">
        <v>407</v>
      </c>
      <c r="B70" s="115" t="s">
        <v>507</v>
      </c>
      <c r="C70" s="115" t="s">
        <v>576</v>
      </c>
    </row>
    <row r="71" spans="1:3" x14ac:dyDescent="0.25">
      <c r="A71" t="s">
        <v>408</v>
      </c>
      <c r="B71" s="115" t="s">
        <v>507</v>
      </c>
      <c r="C71" s="115" t="s">
        <v>576</v>
      </c>
    </row>
    <row r="72" spans="1:3" x14ac:dyDescent="0.25">
      <c r="A72" t="s">
        <v>409</v>
      </c>
      <c r="B72" s="115" t="s">
        <v>507</v>
      </c>
      <c r="C72" s="115" t="s">
        <v>576</v>
      </c>
    </row>
    <row r="73" spans="1:3" x14ac:dyDescent="0.25">
      <c r="A73" t="s">
        <v>410</v>
      </c>
      <c r="B73" s="115" t="s">
        <v>507</v>
      </c>
      <c r="C73" s="115" t="s">
        <v>576</v>
      </c>
    </row>
    <row r="74" spans="1:3" x14ac:dyDescent="0.25">
      <c r="A74" t="s">
        <v>438</v>
      </c>
      <c r="B74" s="115" t="s">
        <v>504</v>
      </c>
      <c r="C74" s="115">
        <v>250</v>
      </c>
    </row>
    <row r="75" spans="1:3" x14ac:dyDescent="0.25">
      <c r="A75" t="s">
        <v>439</v>
      </c>
      <c r="B75" s="115" t="s">
        <v>504</v>
      </c>
      <c r="C75" s="116">
        <v>744</v>
      </c>
    </row>
    <row r="76" spans="1:3" x14ac:dyDescent="0.25">
      <c r="A76" t="s">
        <v>411</v>
      </c>
      <c r="B76" s="115" t="s">
        <v>504</v>
      </c>
      <c r="C76" s="115">
        <v>268</v>
      </c>
    </row>
    <row r="77" spans="1:3" x14ac:dyDescent="0.25">
      <c r="A77" t="s">
        <v>412</v>
      </c>
      <c r="B77" s="115" t="s">
        <v>504</v>
      </c>
      <c r="C77" s="115">
        <v>268</v>
      </c>
    </row>
    <row r="78" spans="1:3" x14ac:dyDescent="0.25">
      <c r="A78" t="s">
        <v>413</v>
      </c>
      <c r="B78" s="115" t="s">
        <v>504</v>
      </c>
      <c r="C78" s="115">
        <v>268</v>
      </c>
    </row>
    <row r="79" spans="1:3" x14ac:dyDescent="0.25">
      <c r="A79" t="s">
        <v>414</v>
      </c>
      <c r="B79" s="115" t="s">
        <v>504</v>
      </c>
      <c r="C79" s="116">
        <v>268</v>
      </c>
    </row>
    <row r="80" spans="1:3" x14ac:dyDescent="0.25">
      <c r="A80" t="s">
        <v>418</v>
      </c>
      <c r="B80" s="115" t="s">
        <v>505</v>
      </c>
      <c r="C80" s="116">
        <v>0</v>
      </c>
    </row>
    <row r="81" spans="1:3" x14ac:dyDescent="0.25">
      <c r="A81" t="s">
        <v>440</v>
      </c>
      <c r="B81" s="115" t="s">
        <v>504</v>
      </c>
      <c r="C81" s="116">
        <v>744</v>
      </c>
    </row>
    <row r="82" spans="1:3" x14ac:dyDescent="0.25">
      <c r="A82" t="s">
        <v>441</v>
      </c>
      <c r="B82" s="115" t="s">
        <v>504</v>
      </c>
      <c r="C82" s="116">
        <v>744</v>
      </c>
    </row>
    <row r="83" spans="1:3" x14ac:dyDescent="0.25">
      <c r="A83" t="s">
        <v>442</v>
      </c>
      <c r="B83" s="115" t="s">
        <v>504</v>
      </c>
      <c r="C83" s="116">
        <v>744</v>
      </c>
    </row>
    <row r="84" spans="1:3" x14ac:dyDescent="0.25">
      <c r="A84" t="s">
        <v>443</v>
      </c>
      <c r="B84" s="115" t="s">
        <v>504</v>
      </c>
      <c r="C84" s="116">
        <v>744</v>
      </c>
    </row>
    <row r="85" spans="1:3" x14ac:dyDescent="0.25">
      <c r="A85" t="s">
        <v>444</v>
      </c>
      <c r="B85" s="115" t="s">
        <v>504</v>
      </c>
      <c r="C85" s="116">
        <v>744</v>
      </c>
    </row>
    <row r="86" spans="1:3" x14ac:dyDescent="0.25">
      <c r="A86" t="s">
        <v>415</v>
      </c>
      <c r="B86" s="115" t="s">
        <v>505</v>
      </c>
      <c r="C86" s="116">
        <v>0</v>
      </c>
    </row>
    <row r="87" spans="1:3" x14ac:dyDescent="0.25">
      <c r="A87" t="s">
        <v>416</v>
      </c>
      <c r="B87" s="115" t="s">
        <v>505</v>
      </c>
      <c r="C87" s="116">
        <v>0</v>
      </c>
    </row>
    <row r="88" spans="1:3" x14ac:dyDescent="0.25">
      <c r="A88" t="s">
        <v>417</v>
      </c>
      <c r="B88" s="115" t="s">
        <v>505</v>
      </c>
      <c r="C88" s="116">
        <v>0</v>
      </c>
    </row>
    <row r="89" spans="1:3" x14ac:dyDescent="0.25">
      <c r="A89" t="s">
        <v>472</v>
      </c>
      <c r="B89" s="115" t="s">
        <v>504</v>
      </c>
      <c r="C89" s="116">
        <v>268</v>
      </c>
    </row>
    <row r="90" spans="1:3" x14ac:dyDescent="0.25">
      <c r="A90" t="s">
        <v>445</v>
      </c>
      <c r="B90" s="115" t="s">
        <v>505</v>
      </c>
      <c r="C90" s="115">
        <v>0</v>
      </c>
    </row>
    <row r="91" spans="1:3" x14ac:dyDescent="0.25">
      <c r="A91" t="s">
        <v>446</v>
      </c>
      <c r="B91" s="115" t="s">
        <v>505</v>
      </c>
      <c r="C91" s="115">
        <v>0</v>
      </c>
    </row>
    <row r="92" spans="1:3" x14ac:dyDescent="0.25">
      <c r="A92" t="s">
        <v>447</v>
      </c>
      <c r="B92" s="115" t="s">
        <v>504</v>
      </c>
      <c r="C92" s="115">
        <v>250</v>
      </c>
    </row>
    <row r="93" spans="1:3" x14ac:dyDescent="0.25">
      <c r="A93" t="s">
        <v>448</v>
      </c>
      <c r="B93" s="115" t="s">
        <v>504</v>
      </c>
      <c r="C93" s="115">
        <v>250</v>
      </c>
    </row>
    <row r="94" spans="1:3" x14ac:dyDescent="0.25">
      <c r="A94" t="s">
        <v>449</v>
      </c>
      <c r="B94" s="115" t="s">
        <v>504</v>
      </c>
      <c r="C94" s="115">
        <v>250</v>
      </c>
    </row>
    <row r="95" spans="1:3" x14ac:dyDescent="0.25">
      <c r="A95" t="s">
        <v>450</v>
      </c>
      <c r="B95" s="115" t="s">
        <v>504</v>
      </c>
      <c r="C95" s="115">
        <v>250</v>
      </c>
    </row>
    <row r="96" spans="1:3" x14ac:dyDescent="0.25">
      <c r="A96" t="s">
        <v>451</v>
      </c>
      <c r="B96" s="115" t="s">
        <v>504</v>
      </c>
      <c r="C96" s="115">
        <v>250</v>
      </c>
    </row>
    <row r="97" spans="1:3" x14ac:dyDescent="0.25">
      <c r="A97" t="s">
        <v>452</v>
      </c>
      <c r="B97" s="115" t="s">
        <v>504</v>
      </c>
      <c r="C97" s="115">
        <v>250</v>
      </c>
    </row>
    <row r="98" spans="1:3" x14ac:dyDescent="0.25">
      <c r="A98" t="s">
        <v>453</v>
      </c>
      <c r="B98" s="115" t="s">
        <v>504</v>
      </c>
      <c r="C98" s="115">
        <v>250</v>
      </c>
    </row>
    <row r="99" spans="1:3" x14ac:dyDescent="0.25">
      <c r="A99" t="s">
        <v>454</v>
      </c>
      <c r="B99" s="115" t="s">
        <v>504</v>
      </c>
      <c r="C99" s="115">
        <v>250</v>
      </c>
    </row>
    <row r="100" spans="1:3" x14ac:dyDescent="0.25">
      <c r="A100" t="s">
        <v>455</v>
      </c>
      <c r="B100" s="115" t="s">
        <v>504</v>
      </c>
      <c r="C100" s="115">
        <v>7000</v>
      </c>
    </row>
    <row r="101" spans="1:3" x14ac:dyDescent="0.25">
      <c r="A101" t="s">
        <v>456</v>
      </c>
      <c r="B101" s="115" t="s">
        <v>504</v>
      </c>
      <c r="C101" s="115">
        <v>7000</v>
      </c>
    </row>
    <row r="102" spans="1:3" x14ac:dyDescent="0.25">
      <c r="A102" t="s">
        <v>457</v>
      </c>
      <c r="B102" s="115" t="s">
        <v>504</v>
      </c>
      <c r="C102" s="115">
        <v>7000</v>
      </c>
    </row>
    <row r="103" spans="1:3" x14ac:dyDescent="0.25">
      <c r="A103" t="s">
        <v>458</v>
      </c>
      <c r="B103" s="115" t="s">
        <v>504</v>
      </c>
      <c r="C103" s="115">
        <v>7000</v>
      </c>
    </row>
    <row r="104" spans="1:3" x14ac:dyDescent="0.25">
      <c r="A104" t="s">
        <v>459</v>
      </c>
      <c r="B104" s="115" t="s">
        <v>504</v>
      </c>
      <c r="C104" s="115">
        <v>7000</v>
      </c>
    </row>
    <row r="105" spans="1:3" x14ac:dyDescent="0.25">
      <c r="A105" t="s">
        <v>460</v>
      </c>
      <c r="B105" s="115" t="s">
        <v>504</v>
      </c>
      <c r="C105" s="115">
        <v>7000</v>
      </c>
    </row>
    <row r="106" spans="1:3" x14ac:dyDescent="0.25">
      <c r="A106" t="s">
        <v>461</v>
      </c>
      <c r="B106" s="115" t="s">
        <v>504</v>
      </c>
      <c r="C106" s="115">
        <v>7000</v>
      </c>
    </row>
    <row r="107" spans="1:3" x14ac:dyDescent="0.25">
      <c r="A107" t="s">
        <v>462</v>
      </c>
      <c r="B107" s="115" t="s">
        <v>504</v>
      </c>
      <c r="C107" s="115">
        <v>7000</v>
      </c>
    </row>
    <row r="108" spans="1:3" x14ac:dyDescent="0.25">
      <c r="A108" t="s">
        <v>463</v>
      </c>
      <c r="B108" s="115" t="s">
        <v>504</v>
      </c>
      <c r="C108" s="116">
        <v>127</v>
      </c>
    </row>
    <row r="109" spans="1:3" x14ac:dyDescent="0.25">
      <c r="A109" t="s">
        <v>464</v>
      </c>
      <c r="B109" s="115" t="s">
        <v>504</v>
      </c>
      <c r="C109" s="115">
        <v>250</v>
      </c>
    </row>
    <row r="110" spans="1:3" x14ac:dyDescent="0.25">
      <c r="A110" t="s">
        <v>465</v>
      </c>
      <c r="B110" s="115" t="s">
        <v>504</v>
      </c>
      <c r="C110" s="115">
        <v>250</v>
      </c>
    </row>
    <row r="111" spans="1:3" x14ac:dyDescent="0.25">
      <c r="A111" t="s">
        <v>466</v>
      </c>
      <c r="B111" s="115" t="s">
        <v>504</v>
      </c>
      <c r="C111" s="115">
        <v>250</v>
      </c>
    </row>
    <row r="112" spans="1:3" x14ac:dyDescent="0.25">
      <c r="A112" t="s">
        <v>467</v>
      </c>
      <c r="B112" s="115" t="s">
        <v>504</v>
      </c>
      <c r="C112" s="115">
        <v>250</v>
      </c>
    </row>
    <row r="113" spans="1:3" x14ac:dyDescent="0.25">
      <c r="A113" t="s">
        <v>468</v>
      </c>
      <c r="B113" s="115" t="s">
        <v>505</v>
      </c>
      <c r="C113" s="115">
        <v>0</v>
      </c>
    </row>
    <row r="114" spans="1:3" x14ac:dyDescent="0.25">
      <c r="A114" t="s">
        <v>469</v>
      </c>
      <c r="B114" s="115" t="s">
        <v>505</v>
      </c>
      <c r="C114" s="115">
        <v>0</v>
      </c>
    </row>
    <row r="115" spans="1:3" x14ac:dyDescent="0.25">
      <c r="A115" t="s">
        <v>470</v>
      </c>
      <c r="B115" s="115" t="s">
        <v>505</v>
      </c>
      <c r="C115" s="115">
        <v>0</v>
      </c>
    </row>
    <row r="116" spans="1:3" x14ac:dyDescent="0.25">
      <c r="A116" t="s">
        <v>471</v>
      </c>
      <c r="B116" s="115" t="s">
        <v>505</v>
      </c>
      <c r="C116" s="115">
        <v>0</v>
      </c>
    </row>
    <row r="117" spans="1:3" x14ac:dyDescent="0.25">
      <c r="A117" t="s">
        <v>473</v>
      </c>
      <c r="B117" s="115" t="s">
        <v>505</v>
      </c>
      <c r="C117" s="115">
        <v>0</v>
      </c>
    </row>
    <row r="118" spans="1:3" x14ac:dyDescent="0.25">
      <c r="A118" t="s">
        <v>474</v>
      </c>
      <c r="B118" s="115" t="s">
        <v>505</v>
      </c>
      <c r="C118" s="115">
        <v>0</v>
      </c>
    </row>
    <row r="119" spans="1:3" x14ac:dyDescent="0.25">
      <c r="A119" t="s">
        <v>475</v>
      </c>
      <c r="B119" s="115" t="s">
        <v>505</v>
      </c>
      <c r="C119" s="115">
        <v>0</v>
      </c>
    </row>
    <row r="120" spans="1:3" x14ac:dyDescent="0.25">
      <c r="A120" t="s">
        <v>476</v>
      </c>
      <c r="B120" s="115" t="s">
        <v>505</v>
      </c>
      <c r="C120" s="115">
        <v>0</v>
      </c>
    </row>
    <row r="121" spans="1:3" x14ac:dyDescent="0.25">
      <c r="A121" t="s">
        <v>477</v>
      </c>
      <c r="B121" s="115" t="s">
        <v>504</v>
      </c>
      <c r="C121" s="115">
        <v>7000</v>
      </c>
    </row>
    <row r="122" spans="1:3" x14ac:dyDescent="0.25">
      <c r="A122" t="s">
        <v>478</v>
      </c>
      <c r="B122" s="115" t="s">
        <v>504</v>
      </c>
      <c r="C122" s="115">
        <v>7000</v>
      </c>
    </row>
    <row r="123" spans="1:3" x14ac:dyDescent="0.25">
      <c r="A123" t="s">
        <v>479</v>
      </c>
      <c r="B123" s="115" t="s">
        <v>504</v>
      </c>
      <c r="C123" s="115">
        <v>7000</v>
      </c>
    </row>
    <row r="124" spans="1:3" x14ac:dyDescent="0.25">
      <c r="A124" t="s">
        <v>480</v>
      </c>
      <c r="B124" s="115" t="s">
        <v>504</v>
      </c>
      <c r="C124" s="115">
        <v>7000</v>
      </c>
    </row>
    <row r="125" spans="1:3" x14ac:dyDescent="0.25">
      <c r="A125" t="s">
        <v>611</v>
      </c>
      <c r="B125" s="115" t="s">
        <v>504</v>
      </c>
      <c r="C125" s="116">
        <v>744</v>
      </c>
    </row>
    <row r="126" spans="1:3" x14ac:dyDescent="0.25">
      <c r="A126" t="s">
        <v>481</v>
      </c>
      <c r="B126" s="115" t="s">
        <v>504</v>
      </c>
      <c r="C126" s="116">
        <v>268</v>
      </c>
    </row>
    <row r="127" spans="1:3" x14ac:dyDescent="0.25">
      <c r="A127" t="s">
        <v>482</v>
      </c>
      <c r="B127" s="115" t="s">
        <v>504</v>
      </c>
      <c r="C127" s="116">
        <v>268</v>
      </c>
    </row>
    <row r="128" spans="1:3" x14ac:dyDescent="0.25">
      <c r="A128" t="s">
        <v>483</v>
      </c>
      <c r="B128" s="115" t="s">
        <v>504</v>
      </c>
      <c r="C128" s="116">
        <v>268</v>
      </c>
    </row>
    <row r="129" spans="1:3" x14ac:dyDescent="0.25">
      <c r="A129" t="s">
        <v>484</v>
      </c>
      <c r="B129" s="115" t="s">
        <v>505</v>
      </c>
      <c r="C129" s="116">
        <v>0</v>
      </c>
    </row>
    <row r="130" spans="1:3" x14ac:dyDescent="0.25">
      <c r="A130" t="s">
        <v>485</v>
      </c>
      <c r="B130" s="115" t="s">
        <v>504</v>
      </c>
      <c r="C130" s="116">
        <v>1793</v>
      </c>
    </row>
    <row r="131" spans="1:3" x14ac:dyDescent="0.25">
      <c r="A131" t="s">
        <v>486</v>
      </c>
      <c r="B131" s="115" t="s">
        <v>504</v>
      </c>
      <c r="C131" s="116">
        <v>1793</v>
      </c>
    </row>
    <row r="132" spans="1:3" x14ac:dyDescent="0.25">
      <c r="A132" t="s">
        <v>487</v>
      </c>
      <c r="B132" s="115" t="s">
        <v>504</v>
      </c>
      <c r="C132" s="116">
        <v>1793</v>
      </c>
    </row>
    <row r="133" spans="1:3" x14ac:dyDescent="0.25">
      <c r="A133" t="s">
        <v>488</v>
      </c>
      <c r="B133" s="115" t="s">
        <v>504</v>
      </c>
      <c r="C133" s="116">
        <v>1793</v>
      </c>
    </row>
    <row r="134" spans="1:3" x14ac:dyDescent="0.25">
      <c r="A134" t="s">
        <v>489</v>
      </c>
      <c r="B134" s="115" t="s">
        <v>504</v>
      </c>
      <c r="C134" s="116">
        <v>268</v>
      </c>
    </row>
    <row r="135" spans="1:3" x14ac:dyDescent="0.25">
      <c r="A135" t="s">
        <v>490</v>
      </c>
      <c r="B135" s="115" t="s">
        <v>504</v>
      </c>
      <c r="C135" s="116">
        <v>268</v>
      </c>
    </row>
    <row r="136" spans="1:3" x14ac:dyDescent="0.25">
      <c r="A136" t="s">
        <v>491</v>
      </c>
      <c r="B136" s="115" t="s">
        <v>504</v>
      </c>
      <c r="C136" s="116">
        <v>268</v>
      </c>
    </row>
    <row r="137" spans="1:3" x14ac:dyDescent="0.25">
      <c r="A137" t="s">
        <v>492</v>
      </c>
      <c r="B137" s="115" t="s">
        <v>504</v>
      </c>
      <c r="C137" s="116">
        <v>268</v>
      </c>
    </row>
    <row r="138" spans="1:3" x14ac:dyDescent="0.25">
      <c r="A138" t="s">
        <v>493</v>
      </c>
      <c r="B138" s="115" t="s">
        <v>505</v>
      </c>
      <c r="C138" s="116">
        <v>0</v>
      </c>
    </row>
    <row r="139" spans="1:3" x14ac:dyDescent="0.25">
      <c r="A139" t="s">
        <v>494</v>
      </c>
      <c r="B139" s="115" t="s">
        <v>505</v>
      </c>
      <c r="C139" s="116">
        <v>0</v>
      </c>
    </row>
    <row r="140" spans="1:3" x14ac:dyDescent="0.25">
      <c r="A140" t="s">
        <v>495</v>
      </c>
      <c r="B140" s="115" t="s">
        <v>505</v>
      </c>
      <c r="C140" s="116">
        <v>0</v>
      </c>
    </row>
    <row r="141" spans="1:3" x14ac:dyDescent="0.25">
      <c r="A141" t="s">
        <v>496</v>
      </c>
      <c r="B141" s="115" t="s">
        <v>504</v>
      </c>
      <c r="C141" s="116">
        <v>1937</v>
      </c>
    </row>
    <row r="142" spans="1:3" x14ac:dyDescent="0.25">
      <c r="A142" t="s">
        <v>497</v>
      </c>
      <c r="B142" s="115" t="s">
        <v>507</v>
      </c>
      <c r="C142" s="116" t="s">
        <v>576</v>
      </c>
    </row>
    <row r="143" spans="1:3" x14ac:dyDescent="0.25">
      <c r="A143" t="s">
        <v>498</v>
      </c>
      <c r="B143" s="115" t="s">
        <v>507</v>
      </c>
      <c r="C143" s="116" t="s">
        <v>576</v>
      </c>
    </row>
    <row r="144" spans="1:3" x14ac:dyDescent="0.25">
      <c r="A144" t="s">
        <v>499</v>
      </c>
      <c r="B144" s="115" t="s">
        <v>504</v>
      </c>
      <c r="C144" s="116">
        <v>1937</v>
      </c>
    </row>
    <row r="145" spans="1:3" x14ac:dyDescent="0.25">
      <c r="A145" t="s">
        <v>500</v>
      </c>
      <c r="B145" s="115" t="s">
        <v>507</v>
      </c>
      <c r="C145" s="116" t="s">
        <v>576</v>
      </c>
    </row>
    <row r="146" spans="1:3" x14ac:dyDescent="0.25">
      <c r="A146" t="s">
        <v>501</v>
      </c>
      <c r="B146" s="115" t="s">
        <v>507</v>
      </c>
      <c r="C146" s="116" t="s">
        <v>576</v>
      </c>
    </row>
    <row r="147" spans="1:3" x14ac:dyDescent="0.25">
      <c r="A147" t="s">
        <v>502</v>
      </c>
      <c r="B147" s="115" t="s">
        <v>504</v>
      </c>
      <c r="C147" s="116">
        <v>1937</v>
      </c>
    </row>
    <row r="148" spans="1:3" x14ac:dyDescent="0.25">
      <c r="A148" t="s">
        <v>503</v>
      </c>
      <c r="B148" s="115" t="s">
        <v>504</v>
      </c>
      <c r="C148" s="116">
        <v>1937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21" zoomScale="70" zoomScaleNormal="70" workbookViewId="0">
      <selection activeCell="X17" sqref="X17"/>
    </sheetView>
  </sheetViews>
  <sheetFormatPr baseColWidth="10" defaultRowHeight="15" x14ac:dyDescent="0.25"/>
  <cols>
    <col min="1" max="1" width="27.42578125" customWidth="1"/>
    <col min="2" max="2" width="18.7109375" customWidth="1"/>
    <col min="3" max="3" width="13.28515625" customWidth="1"/>
    <col min="4" max="4" width="17.42578125" customWidth="1"/>
    <col min="5" max="5" width="12.140625" customWidth="1"/>
    <col min="6" max="6" width="13.85546875" customWidth="1"/>
    <col min="7" max="7" width="8.5703125" customWidth="1"/>
    <col min="8" max="8" width="11" customWidth="1"/>
    <col min="9" max="9" width="11.140625" customWidth="1"/>
    <col min="10" max="10" width="14" customWidth="1"/>
    <col min="11" max="12" width="12.42578125" customWidth="1"/>
    <col min="13" max="13" width="12.5703125" customWidth="1"/>
    <col min="14" max="14" width="9.28515625" customWidth="1"/>
    <col min="15" max="15" width="9.5703125" customWidth="1"/>
    <col min="16" max="16" width="11.42578125" customWidth="1"/>
    <col min="17" max="17" width="10.42578125" customWidth="1"/>
    <col min="18" max="18" width="7.7109375" customWidth="1"/>
    <col min="19" max="19" width="19" customWidth="1"/>
    <col min="20" max="20" width="13.85546875" customWidth="1"/>
    <col min="21" max="21" width="11.85546875" customWidth="1"/>
    <col min="22" max="22" width="11.7109375" customWidth="1"/>
    <col min="23" max="23" width="9.85546875" customWidth="1"/>
    <col min="24" max="24" width="19.140625" customWidth="1"/>
    <col min="25" max="25" width="5" bestFit="1" customWidth="1"/>
    <col min="26" max="26" width="4.28515625" bestFit="1" customWidth="1"/>
    <col min="27" max="27" width="8.5703125" bestFit="1" customWidth="1"/>
    <col min="28" max="28" width="3.7109375" bestFit="1" customWidth="1"/>
    <col min="29" max="29" width="4.42578125" bestFit="1" customWidth="1"/>
  </cols>
  <sheetData>
    <row r="1" spans="1:24" x14ac:dyDescent="0.25">
      <c r="A1" s="2" t="s">
        <v>510</v>
      </c>
      <c r="B1" s="2" t="s">
        <v>511</v>
      </c>
      <c r="C1" s="2" t="s">
        <v>513</v>
      </c>
      <c r="D1" s="2" t="s">
        <v>556</v>
      </c>
      <c r="E1" s="2" t="s">
        <v>555</v>
      </c>
      <c r="F1" s="2" t="s">
        <v>554</v>
      </c>
      <c r="G1" s="2" t="s">
        <v>514</v>
      </c>
      <c r="H1" s="2" t="s">
        <v>515</v>
      </c>
      <c r="I1" s="2" t="s">
        <v>553</v>
      </c>
      <c r="J1" s="2" t="s">
        <v>547</v>
      </c>
      <c r="K1" s="2" t="s">
        <v>548</v>
      </c>
      <c r="L1" s="2" t="s">
        <v>573</v>
      </c>
      <c r="M1" s="2" t="s">
        <v>574</v>
      </c>
      <c r="N1" s="2" t="s">
        <v>550</v>
      </c>
      <c r="O1" s="2" t="s">
        <v>549</v>
      </c>
      <c r="P1" s="2" t="s">
        <v>551</v>
      </c>
      <c r="Q1" s="2" t="s">
        <v>575</v>
      </c>
      <c r="R1" s="2" t="s">
        <v>565</v>
      </c>
      <c r="S1" s="2" t="s">
        <v>552</v>
      </c>
      <c r="T1" s="2" t="s">
        <v>595</v>
      </c>
      <c r="U1" s="2" t="s">
        <v>608</v>
      </c>
      <c r="V1" s="2" t="s">
        <v>596</v>
      </c>
      <c r="W1" s="2" t="s">
        <v>602</v>
      </c>
      <c r="X1" s="2" t="s">
        <v>597</v>
      </c>
    </row>
    <row r="2" spans="1:24" x14ac:dyDescent="0.25">
      <c r="A2" s="11" t="s">
        <v>376</v>
      </c>
      <c r="B2" s="11">
        <f>2/1000</f>
        <v>2E-3</v>
      </c>
      <c r="C2">
        <f>4/2/1000+B2*TAN(30*PI()/180)</f>
        <v>3.1547005383792516E-3</v>
      </c>
      <c r="D2" s="65">
        <f>$J$46/(PI()*(C2^2-($B$46/2/1000)^2))</f>
        <v>9950151.5254825447</v>
      </c>
      <c r="E2" s="65">
        <f>$B$58</f>
        <v>750000000</v>
      </c>
      <c r="F2" s="65">
        <f>$B$63</f>
        <v>23438436822.605194</v>
      </c>
      <c r="G2" s="100">
        <f>$C$58</f>
        <v>0.46</v>
      </c>
      <c r="H2" s="100">
        <f>$C$63</f>
        <v>0.1268235294117647</v>
      </c>
      <c r="I2" s="65">
        <f>E2*F2/(F2*(1-G2^2)+E2*(1-H2^2))</f>
        <v>914763499.58468652</v>
      </c>
      <c r="J2">
        <f>$D$58</f>
        <v>0.27</v>
      </c>
      <c r="K2" s="100">
        <f>$D$63</f>
        <v>0.32237405144561837</v>
      </c>
      <c r="L2">
        <f>$F$58</f>
        <v>7.875</v>
      </c>
      <c r="M2" s="100">
        <f>$F$63</f>
        <v>0.77500000000000002</v>
      </c>
      <c r="N2">
        <v>0.1</v>
      </c>
      <c r="O2">
        <v>0.1</v>
      </c>
      <c r="P2">
        <f>2*J2*K2/(J2+K2)</f>
        <v>0.29387173080219764</v>
      </c>
      <c r="Q2">
        <f>(L2^2+M2^2)^(1/2)</f>
        <v>7.913043030339213</v>
      </c>
      <c r="R2">
        <v>0.1</v>
      </c>
      <c r="S2" s="65">
        <f>1.9*P2/(Q2/10000000)*(D2/I2)^0.94</f>
        <v>10066.940447907618</v>
      </c>
      <c r="T2">
        <f>(PI()*(C2^2-($B$46/2/1000)^2))*1000000</f>
        <v>28.123963079429512</v>
      </c>
      <c r="U2">
        <f>184+1750+184</f>
        <v>2118</v>
      </c>
      <c r="V2">
        <f>T2/U2</f>
        <v>1.3278547251855293E-2</v>
      </c>
      <c r="W2">
        <v>4</v>
      </c>
      <c r="X2" s="80">
        <f>S2*V2*W2^0.94</f>
        <v>492.02192375952899</v>
      </c>
    </row>
    <row r="3" spans="1:24" x14ac:dyDescent="0.25">
      <c r="A3" s="11" t="s">
        <v>428</v>
      </c>
      <c r="B3" s="11">
        <f t="shared" ref="B3:B4" si="0">2/1000</f>
        <v>2E-3</v>
      </c>
      <c r="C3">
        <f t="shared" ref="C3:C4" si="1">4/2/1000+B3*TAN(30*PI()/180)</f>
        <v>3.1547005383792516E-3</v>
      </c>
      <c r="D3" s="65">
        <f>$J$46/(PI()*(C3^2-($B$46/2/1000)^2))</f>
        <v>9950151.5254825447</v>
      </c>
      <c r="E3" s="65">
        <f t="shared" ref="E3:E4" si="2">$B$58</f>
        <v>750000000</v>
      </c>
      <c r="F3" s="65">
        <f t="shared" ref="F3:F4" si="3">$B$63</f>
        <v>23438436822.605194</v>
      </c>
      <c r="G3" s="100">
        <f t="shared" ref="G3:G4" si="4">$C$58</f>
        <v>0.46</v>
      </c>
      <c r="H3" s="100">
        <f t="shared" ref="H3:H4" si="5">$C$63</f>
        <v>0.1268235294117647</v>
      </c>
      <c r="I3" s="65">
        <f t="shared" ref="I3:I39" si="6">E3*F3/(F3*(1-G3^2)+E3*(1-H3^2))</f>
        <v>914763499.58468652</v>
      </c>
      <c r="J3">
        <f t="shared" ref="J3:J13" si="7">$D$58</f>
        <v>0.27</v>
      </c>
      <c r="K3" s="100">
        <f t="shared" ref="K3:K4" si="8">$D$63</f>
        <v>0.32237405144561837</v>
      </c>
      <c r="L3">
        <f t="shared" ref="L3:L4" si="9">$F$58</f>
        <v>7.875</v>
      </c>
      <c r="M3" s="100">
        <f t="shared" ref="M3:M4" si="10">$F$63</f>
        <v>0.77500000000000002</v>
      </c>
      <c r="N3">
        <v>0.1</v>
      </c>
      <c r="O3">
        <v>0.1</v>
      </c>
      <c r="P3">
        <f t="shared" ref="P3:P40" si="11">2*J3*K3/(J3+K3)</f>
        <v>0.29387173080219764</v>
      </c>
      <c r="Q3">
        <f t="shared" ref="Q3:Q40" si="12">(L3^2+M3^2)^(1/2)</f>
        <v>7.913043030339213</v>
      </c>
      <c r="R3">
        <v>0.1</v>
      </c>
      <c r="S3" s="65">
        <f t="shared" ref="S3:S40" si="13">1.9*P3/(Q3/10000000)*(D3/I3)^0.94</f>
        <v>10066.940447907618</v>
      </c>
      <c r="T3">
        <f t="shared" ref="T3:T4" si="14">(PI()*(C3^2-($B$46/2/1000)^2))*1000000</f>
        <v>28.123963079429512</v>
      </c>
      <c r="U3">
        <f t="shared" ref="U3:U4" si="15">184+1750+184</f>
        <v>2118</v>
      </c>
      <c r="V3">
        <f t="shared" ref="V3:V40" si="16">T3/U3</f>
        <v>1.3278547251855293E-2</v>
      </c>
      <c r="W3">
        <v>4</v>
      </c>
      <c r="X3" s="80">
        <f t="shared" ref="X3:X40" si="17">S3*V3*W3^0.94</f>
        <v>492.02192375952899</v>
      </c>
    </row>
    <row r="4" spans="1:24" x14ac:dyDescent="0.25">
      <c r="A4" s="11" t="s">
        <v>427</v>
      </c>
      <c r="B4" s="11">
        <f t="shared" si="0"/>
        <v>2E-3</v>
      </c>
      <c r="C4">
        <f t="shared" si="1"/>
        <v>3.1547005383792516E-3</v>
      </c>
      <c r="D4" s="65">
        <f>$J$46/(PI()*(C4^2-($B$46/2/1000)^2))</f>
        <v>9950151.5254825447</v>
      </c>
      <c r="E4" s="65">
        <f t="shared" si="2"/>
        <v>750000000</v>
      </c>
      <c r="F4" s="65">
        <f t="shared" si="3"/>
        <v>23438436822.605194</v>
      </c>
      <c r="G4" s="100">
        <f t="shared" si="4"/>
        <v>0.46</v>
      </c>
      <c r="H4" s="100">
        <f t="shared" si="5"/>
        <v>0.1268235294117647</v>
      </c>
      <c r="I4" s="65">
        <f t="shared" si="6"/>
        <v>914763499.58468652</v>
      </c>
      <c r="J4">
        <f t="shared" si="7"/>
        <v>0.27</v>
      </c>
      <c r="K4" s="100">
        <f t="shared" si="8"/>
        <v>0.32237405144561837</v>
      </c>
      <c r="L4">
        <f t="shared" si="9"/>
        <v>7.875</v>
      </c>
      <c r="M4" s="100">
        <f t="shared" si="10"/>
        <v>0.77500000000000002</v>
      </c>
      <c r="N4">
        <v>0.1</v>
      </c>
      <c r="O4">
        <v>0.1</v>
      </c>
      <c r="P4">
        <f t="shared" si="11"/>
        <v>0.29387173080219764</v>
      </c>
      <c r="Q4">
        <f t="shared" si="12"/>
        <v>7.913043030339213</v>
      </c>
      <c r="R4">
        <v>0.1</v>
      </c>
      <c r="S4" s="65">
        <f t="shared" si="13"/>
        <v>10066.940447907618</v>
      </c>
      <c r="T4">
        <f t="shared" si="14"/>
        <v>28.123963079429512</v>
      </c>
      <c r="U4">
        <f t="shared" si="15"/>
        <v>2118</v>
      </c>
      <c r="V4">
        <f t="shared" si="16"/>
        <v>1.3278547251855293E-2</v>
      </c>
      <c r="W4">
        <v>4</v>
      </c>
      <c r="X4" s="80">
        <f t="shared" si="17"/>
        <v>492.02192375952899</v>
      </c>
    </row>
    <row r="5" spans="1:24" x14ac:dyDescent="0.25">
      <c r="G5" s="100"/>
      <c r="H5" s="100"/>
      <c r="I5" s="65"/>
      <c r="S5" s="65"/>
      <c r="X5" s="80"/>
    </row>
    <row r="6" spans="1:24" x14ac:dyDescent="0.25">
      <c r="A6" s="106" t="s">
        <v>396</v>
      </c>
      <c r="B6" s="106">
        <f>(2+1.6)/1000</f>
        <v>3.5999999999999999E-3</v>
      </c>
      <c r="C6">
        <f>3.8/2/1000+B6*TAN(30*PI()/180)</f>
        <v>3.9784609690826523E-3</v>
      </c>
      <c r="D6" s="65">
        <f>$J$46/(PI()*(C6^2-($B$48/2/1000)^2))</f>
        <v>6007161.679891034</v>
      </c>
      <c r="E6" s="65">
        <f>$B$58</f>
        <v>750000000</v>
      </c>
      <c r="F6" s="65">
        <f>$B$66</f>
        <v>21954080374.382694</v>
      </c>
      <c r="G6" s="100">
        <f>$C$58</f>
        <v>0.46</v>
      </c>
      <c r="H6" s="100">
        <f>$C$66</f>
        <v>0.12153199414660104</v>
      </c>
      <c r="I6" s="65">
        <f t="shared" si="6"/>
        <v>912344786.67626715</v>
      </c>
      <c r="J6">
        <f t="shared" si="7"/>
        <v>0.27</v>
      </c>
      <c r="K6" s="100">
        <f>$D$66</f>
        <v>0.30148453519157836</v>
      </c>
      <c r="L6">
        <f>$F$58</f>
        <v>7.875</v>
      </c>
      <c r="M6" s="100">
        <f>$F$66</f>
        <v>0.22499999999999998</v>
      </c>
      <c r="N6">
        <v>0.1</v>
      </c>
      <c r="O6">
        <v>0.1</v>
      </c>
      <c r="P6">
        <f t="shared" si="11"/>
        <v>0.28487498607267897</v>
      </c>
      <c r="Q6">
        <f t="shared" si="12"/>
        <v>7.8782136300052183</v>
      </c>
      <c r="R6">
        <v>0.1</v>
      </c>
      <c r="S6" s="65">
        <f t="shared" si="13"/>
        <v>6114.7664114485615</v>
      </c>
      <c r="T6">
        <f>(PI()*(C6^2-($B$48/2/1000)^2))*1000000</f>
        <v>46.584012392101357</v>
      </c>
      <c r="U6">
        <f>4*46+184+224+49+49+224+49+49</f>
        <v>1012</v>
      </c>
      <c r="V6">
        <f t="shared" si="16"/>
        <v>4.6031632798519129E-2</v>
      </c>
      <c r="W6">
        <v>6</v>
      </c>
      <c r="X6" s="80">
        <f t="shared" si="17"/>
        <v>1516.6955998167018</v>
      </c>
    </row>
    <row r="7" spans="1:24" x14ac:dyDescent="0.25">
      <c r="A7" s="106" t="s">
        <v>394</v>
      </c>
      <c r="B7" s="106">
        <f t="shared" ref="B7:B13" si="18">(2+1.6)/1000</f>
        <v>3.5999999999999999E-3</v>
      </c>
      <c r="C7">
        <f t="shared" ref="C7:C13" si="19">3.8/2/1000+B7*TAN(30*PI()/180)</f>
        <v>3.9784609690826523E-3</v>
      </c>
      <c r="D7" s="65">
        <f t="shared" ref="D7:D12" si="20">$J$46/(PI()*(C7^2-($B$48/2/1000)^2))</f>
        <v>6007161.679891034</v>
      </c>
      <c r="E7" s="65">
        <f t="shared" ref="E7:E13" si="21">$B$58</f>
        <v>750000000</v>
      </c>
      <c r="F7" s="65">
        <f t="shared" ref="F7:F13" si="22">$B$66</f>
        <v>21954080374.382694</v>
      </c>
      <c r="G7" s="100">
        <f t="shared" ref="G7:G13" si="23">$C$58</f>
        <v>0.46</v>
      </c>
      <c r="H7" s="100">
        <f t="shared" ref="H7:H13" si="24">$C$66</f>
        <v>0.12153199414660104</v>
      </c>
      <c r="I7" s="65">
        <f t="shared" si="6"/>
        <v>912344786.67626715</v>
      </c>
      <c r="J7">
        <f t="shared" si="7"/>
        <v>0.27</v>
      </c>
      <c r="K7" s="100">
        <f t="shared" ref="K7:K13" si="25">$D$66</f>
        <v>0.30148453519157836</v>
      </c>
      <c r="L7">
        <f t="shared" ref="L7:L13" si="26">$F$58</f>
        <v>7.875</v>
      </c>
      <c r="M7" s="100">
        <f t="shared" ref="M7:M13" si="27">$F$66</f>
        <v>0.22499999999999998</v>
      </c>
      <c r="N7">
        <v>0.1</v>
      </c>
      <c r="O7">
        <v>0.1</v>
      </c>
      <c r="P7">
        <f t="shared" si="11"/>
        <v>0.28487498607267897</v>
      </c>
      <c r="Q7">
        <f t="shared" si="12"/>
        <v>7.8782136300052183</v>
      </c>
      <c r="R7">
        <v>0.1</v>
      </c>
      <c r="S7" s="65">
        <f t="shared" si="13"/>
        <v>6114.7664114485615</v>
      </c>
      <c r="T7">
        <f t="shared" ref="T7:T13" si="28">(PI()*(C7^2-($B$48/2/1000)^2))*1000000</f>
        <v>46.584012392101357</v>
      </c>
      <c r="U7">
        <f t="shared" ref="U7:U13" si="29">4*46+184+224+49+49+224+49+49</f>
        <v>1012</v>
      </c>
      <c r="V7">
        <f t="shared" si="16"/>
        <v>4.6031632798519129E-2</v>
      </c>
      <c r="W7">
        <v>6</v>
      </c>
      <c r="X7" s="80">
        <f t="shared" si="17"/>
        <v>1516.6955998167018</v>
      </c>
    </row>
    <row r="8" spans="1:24" x14ac:dyDescent="0.25">
      <c r="A8" s="106" t="s">
        <v>383</v>
      </c>
      <c r="B8" s="106">
        <f t="shared" si="18"/>
        <v>3.5999999999999999E-3</v>
      </c>
      <c r="C8">
        <f t="shared" si="19"/>
        <v>3.9784609690826523E-3</v>
      </c>
      <c r="D8" s="65">
        <f t="shared" si="20"/>
        <v>6007161.679891034</v>
      </c>
      <c r="E8" s="65">
        <f t="shared" si="21"/>
        <v>750000000</v>
      </c>
      <c r="F8" s="65">
        <f t="shared" si="22"/>
        <v>21954080374.382694</v>
      </c>
      <c r="G8" s="100">
        <f t="shared" si="23"/>
        <v>0.46</v>
      </c>
      <c r="H8" s="100">
        <f t="shared" si="24"/>
        <v>0.12153199414660104</v>
      </c>
      <c r="I8" s="65">
        <f t="shared" si="6"/>
        <v>912344786.67626715</v>
      </c>
      <c r="J8">
        <f t="shared" si="7"/>
        <v>0.27</v>
      </c>
      <c r="K8" s="100">
        <f t="shared" si="25"/>
        <v>0.30148453519157836</v>
      </c>
      <c r="L8">
        <f t="shared" si="26"/>
        <v>7.875</v>
      </c>
      <c r="M8" s="100">
        <f t="shared" si="27"/>
        <v>0.22499999999999998</v>
      </c>
      <c r="N8">
        <v>0.1</v>
      </c>
      <c r="O8">
        <v>0.1</v>
      </c>
      <c r="P8">
        <f t="shared" si="11"/>
        <v>0.28487498607267897</v>
      </c>
      <c r="Q8">
        <f t="shared" si="12"/>
        <v>7.8782136300052183</v>
      </c>
      <c r="R8">
        <v>0.1</v>
      </c>
      <c r="S8" s="65">
        <f t="shared" si="13"/>
        <v>6114.7664114485615</v>
      </c>
      <c r="T8">
        <f t="shared" si="28"/>
        <v>46.584012392101357</v>
      </c>
      <c r="U8">
        <f t="shared" si="29"/>
        <v>1012</v>
      </c>
      <c r="V8">
        <f t="shared" si="16"/>
        <v>4.6031632798519129E-2</v>
      </c>
      <c r="W8">
        <v>6</v>
      </c>
      <c r="X8" s="80">
        <f t="shared" si="17"/>
        <v>1516.6955998167018</v>
      </c>
    </row>
    <row r="9" spans="1:24" x14ac:dyDescent="0.25">
      <c r="A9" s="106" t="s">
        <v>384</v>
      </c>
      <c r="B9" s="106">
        <f t="shared" si="18"/>
        <v>3.5999999999999999E-3</v>
      </c>
      <c r="C9">
        <f t="shared" si="19"/>
        <v>3.9784609690826523E-3</v>
      </c>
      <c r="D9" s="65">
        <f t="shared" si="20"/>
        <v>6007161.679891034</v>
      </c>
      <c r="E9" s="65">
        <f t="shared" si="21"/>
        <v>750000000</v>
      </c>
      <c r="F9" s="65">
        <f t="shared" si="22"/>
        <v>21954080374.382694</v>
      </c>
      <c r="G9" s="100">
        <f t="shared" si="23"/>
        <v>0.46</v>
      </c>
      <c r="H9" s="100">
        <f t="shared" si="24"/>
        <v>0.12153199414660104</v>
      </c>
      <c r="I9" s="65">
        <f t="shared" si="6"/>
        <v>912344786.67626715</v>
      </c>
      <c r="J9">
        <f t="shared" si="7"/>
        <v>0.27</v>
      </c>
      <c r="K9" s="100">
        <f t="shared" si="25"/>
        <v>0.30148453519157836</v>
      </c>
      <c r="L9">
        <f t="shared" si="26"/>
        <v>7.875</v>
      </c>
      <c r="M9" s="100">
        <f t="shared" si="27"/>
        <v>0.22499999999999998</v>
      </c>
      <c r="N9">
        <v>0.1</v>
      </c>
      <c r="O9">
        <v>0.1</v>
      </c>
      <c r="P9">
        <f t="shared" si="11"/>
        <v>0.28487498607267897</v>
      </c>
      <c r="Q9">
        <f t="shared" si="12"/>
        <v>7.8782136300052183</v>
      </c>
      <c r="R9">
        <v>0.1</v>
      </c>
      <c r="S9" s="65">
        <f t="shared" si="13"/>
        <v>6114.7664114485615</v>
      </c>
      <c r="T9">
        <f t="shared" si="28"/>
        <v>46.584012392101357</v>
      </c>
      <c r="U9">
        <f t="shared" si="29"/>
        <v>1012</v>
      </c>
      <c r="V9">
        <f t="shared" si="16"/>
        <v>4.6031632798519129E-2</v>
      </c>
      <c r="W9">
        <v>6</v>
      </c>
      <c r="X9" s="80">
        <f t="shared" si="17"/>
        <v>1516.6955998167018</v>
      </c>
    </row>
    <row r="10" spans="1:24" x14ac:dyDescent="0.25">
      <c r="A10" s="106" t="s">
        <v>385</v>
      </c>
      <c r="B10" s="106">
        <f t="shared" si="18"/>
        <v>3.5999999999999999E-3</v>
      </c>
      <c r="C10">
        <f t="shared" si="19"/>
        <v>3.9784609690826523E-3</v>
      </c>
      <c r="D10" s="65">
        <f t="shared" si="20"/>
        <v>6007161.679891034</v>
      </c>
      <c r="E10" s="65">
        <f t="shared" si="21"/>
        <v>750000000</v>
      </c>
      <c r="F10" s="65">
        <f t="shared" si="22"/>
        <v>21954080374.382694</v>
      </c>
      <c r="G10" s="100">
        <f t="shared" si="23"/>
        <v>0.46</v>
      </c>
      <c r="H10" s="100">
        <f t="shared" si="24"/>
        <v>0.12153199414660104</v>
      </c>
      <c r="I10" s="65">
        <f t="shared" si="6"/>
        <v>912344786.67626715</v>
      </c>
      <c r="J10">
        <f t="shared" si="7"/>
        <v>0.27</v>
      </c>
      <c r="K10" s="100">
        <f t="shared" si="25"/>
        <v>0.30148453519157836</v>
      </c>
      <c r="L10">
        <f t="shared" si="26"/>
        <v>7.875</v>
      </c>
      <c r="M10" s="100">
        <f t="shared" si="27"/>
        <v>0.22499999999999998</v>
      </c>
      <c r="N10">
        <v>0.1</v>
      </c>
      <c r="O10">
        <v>0.1</v>
      </c>
      <c r="P10">
        <f t="shared" si="11"/>
        <v>0.28487498607267897</v>
      </c>
      <c r="Q10">
        <f t="shared" si="12"/>
        <v>7.8782136300052183</v>
      </c>
      <c r="R10">
        <v>0.1</v>
      </c>
      <c r="S10" s="65">
        <f t="shared" si="13"/>
        <v>6114.7664114485615</v>
      </c>
      <c r="T10">
        <f t="shared" si="28"/>
        <v>46.584012392101357</v>
      </c>
      <c r="U10">
        <f t="shared" si="29"/>
        <v>1012</v>
      </c>
      <c r="V10">
        <f t="shared" si="16"/>
        <v>4.6031632798519129E-2</v>
      </c>
      <c r="W10">
        <v>6</v>
      </c>
      <c r="X10" s="80">
        <f t="shared" si="17"/>
        <v>1516.6955998167018</v>
      </c>
    </row>
    <row r="11" spans="1:24" x14ac:dyDescent="0.25">
      <c r="A11" s="106" t="s">
        <v>390</v>
      </c>
      <c r="B11" s="106">
        <f t="shared" si="18"/>
        <v>3.5999999999999999E-3</v>
      </c>
      <c r="C11">
        <f t="shared" si="19"/>
        <v>3.9784609690826523E-3</v>
      </c>
      <c r="D11" s="65">
        <f t="shared" si="20"/>
        <v>6007161.679891034</v>
      </c>
      <c r="E11" s="65">
        <f t="shared" si="21"/>
        <v>750000000</v>
      </c>
      <c r="F11" s="65">
        <f t="shared" si="22"/>
        <v>21954080374.382694</v>
      </c>
      <c r="G11" s="100">
        <f t="shared" si="23"/>
        <v>0.46</v>
      </c>
      <c r="H11" s="100">
        <f t="shared" si="24"/>
        <v>0.12153199414660104</v>
      </c>
      <c r="I11" s="65">
        <f t="shared" si="6"/>
        <v>912344786.67626715</v>
      </c>
      <c r="J11">
        <f t="shared" si="7"/>
        <v>0.27</v>
      </c>
      <c r="K11" s="100">
        <f t="shared" si="25"/>
        <v>0.30148453519157836</v>
      </c>
      <c r="L11">
        <f t="shared" si="26"/>
        <v>7.875</v>
      </c>
      <c r="M11" s="100">
        <f t="shared" si="27"/>
        <v>0.22499999999999998</v>
      </c>
      <c r="N11">
        <v>0.1</v>
      </c>
      <c r="O11">
        <v>0.1</v>
      </c>
      <c r="P11">
        <f t="shared" si="11"/>
        <v>0.28487498607267897</v>
      </c>
      <c r="Q11">
        <f t="shared" si="12"/>
        <v>7.8782136300052183</v>
      </c>
      <c r="R11">
        <v>0.1</v>
      </c>
      <c r="S11" s="65">
        <f t="shared" si="13"/>
        <v>6114.7664114485615</v>
      </c>
      <c r="T11">
        <f t="shared" si="28"/>
        <v>46.584012392101357</v>
      </c>
      <c r="U11">
        <f t="shared" si="29"/>
        <v>1012</v>
      </c>
      <c r="V11">
        <f t="shared" si="16"/>
        <v>4.6031632798519129E-2</v>
      </c>
      <c r="W11">
        <v>6</v>
      </c>
      <c r="X11" s="80">
        <f t="shared" si="17"/>
        <v>1516.6955998167018</v>
      </c>
    </row>
    <row r="12" spans="1:24" x14ac:dyDescent="0.25">
      <c r="A12" s="106" t="s">
        <v>391</v>
      </c>
      <c r="B12" s="106">
        <f t="shared" si="18"/>
        <v>3.5999999999999999E-3</v>
      </c>
      <c r="C12">
        <f t="shared" si="19"/>
        <v>3.9784609690826523E-3</v>
      </c>
      <c r="D12" s="65">
        <f t="shared" si="20"/>
        <v>6007161.679891034</v>
      </c>
      <c r="E12" s="65">
        <f t="shared" si="21"/>
        <v>750000000</v>
      </c>
      <c r="F12" s="65">
        <f t="shared" si="22"/>
        <v>21954080374.382694</v>
      </c>
      <c r="G12" s="100">
        <f t="shared" si="23"/>
        <v>0.46</v>
      </c>
      <c r="H12" s="100">
        <f t="shared" si="24"/>
        <v>0.12153199414660104</v>
      </c>
      <c r="I12" s="65">
        <f t="shared" si="6"/>
        <v>912344786.67626715</v>
      </c>
      <c r="J12">
        <f t="shared" si="7"/>
        <v>0.27</v>
      </c>
      <c r="K12" s="100">
        <f t="shared" si="25"/>
        <v>0.30148453519157836</v>
      </c>
      <c r="L12">
        <f t="shared" si="26"/>
        <v>7.875</v>
      </c>
      <c r="M12" s="100">
        <f t="shared" si="27"/>
        <v>0.22499999999999998</v>
      </c>
      <c r="N12">
        <v>0.1</v>
      </c>
      <c r="O12">
        <v>0.1</v>
      </c>
      <c r="P12">
        <f t="shared" si="11"/>
        <v>0.28487498607267897</v>
      </c>
      <c r="Q12">
        <f t="shared" si="12"/>
        <v>7.8782136300052183</v>
      </c>
      <c r="R12">
        <v>0.1</v>
      </c>
      <c r="S12" s="65">
        <f t="shared" si="13"/>
        <v>6114.7664114485615</v>
      </c>
      <c r="T12">
        <f t="shared" si="28"/>
        <v>46.584012392101357</v>
      </c>
      <c r="U12">
        <f t="shared" si="29"/>
        <v>1012</v>
      </c>
      <c r="V12">
        <f t="shared" si="16"/>
        <v>4.6031632798519129E-2</v>
      </c>
      <c r="W12">
        <v>6</v>
      </c>
      <c r="X12" s="80">
        <f t="shared" si="17"/>
        <v>1516.6955998167018</v>
      </c>
    </row>
    <row r="13" spans="1:24" x14ac:dyDescent="0.25">
      <c r="A13" s="106" t="s">
        <v>392</v>
      </c>
      <c r="B13" s="106">
        <f t="shared" si="18"/>
        <v>3.5999999999999999E-3</v>
      </c>
      <c r="C13">
        <f t="shared" si="19"/>
        <v>3.9784609690826523E-3</v>
      </c>
      <c r="D13" s="65">
        <f>$J$46/(PI()*(C13^2-($B$48/2/1000)^2))</f>
        <v>6007161.679891034</v>
      </c>
      <c r="E13" s="65">
        <f t="shared" si="21"/>
        <v>750000000</v>
      </c>
      <c r="F13" s="65">
        <f t="shared" si="22"/>
        <v>21954080374.382694</v>
      </c>
      <c r="G13" s="100">
        <f t="shared" si="23"/>
        <v>0.46</v>
      </c>
      <c r="H13" s="100">
        <f t="shared" si="24"/>
        <v>0.12153199414660104</v>
      </c>
      <c r="I13" s="65">
        <f t="shared" si="6"/>
        <v>912344786.67626715</v>
      </c>
      <c r="J13">
        <f t="shared" si="7"/>
        <v>0.27</v>
      </c>
      <c r="K13" s="100">
        <f t="shared" si="25"/>
        <v>0.30148453519157836</v>
      </c>
      <c r="L13">
        <f t="shared" si="26"/>
        <v>7.875</v>
      </c>
      <c r="M13" s="100">
        <f t="shared" si="27"/>
        <v>0.22499999999999998</v>
      </c>
      <c r="N13">
        <v>0.1</v>
      </c>
      <c r="O13">
        <v>0.1</v>
      </c>
      <c r="P13">
        <f t="shared" si="11"/>
        <v>0.28487498607267897</v>
      </c>
      <c r="Q13">
        <f t="shared" si="12"/>
        <v>7.8782136300052183</v>
      </c>
      <c r="R13">
        <v>0.1</v>
      </c>
      <c r="S13" s="65">
        <f t="shared" si="13"/>
        <v>6114.7664114485615</v>
      </c>
      <c r="T13">
        <f t="shared" si="28"/>
        <v>46.584012392101357</v>
      </c>
      <c r="U13">
        <f t="shared" si="29"/>
        <v>1012</v>
      </c>
      <c r="V13">
        <f t="shared" si="16"/>
        <v>4.6031632798519129E-2</v>
      </c>
      <c r="W13">
        <v>6</v>
      </c>
      <c r="X13" s="80">
        <f t="shared" si="17"/>
        <v>1516.6955998167018</v>
      </c>
    </row>
    <row r="14" spans="1:24" x14ac:dyDescent="0.25">
      <c r="G14" s="100"/>
      <c r="H14" s="100"/>
      <c r="I14" s="65"/>
      <c r="S14" s="65"/>
      <c r="X14" s="80"/>
    </row>
    <row r="15" spans="1:24" x14ac:dyDescent="0.25">
      <c r="A15" s="107" t="s">
        <v>463</v>
      </c>
      <c r="B15" s="107">
        <f>1.554/1000</f>
        <v>1.554E-3</v>
      </c>
      <c r="C15">
        <f>5.5/2/1000+B15*TAN(30*PI()/180)</f>
        <v>3.6472023183206784E-3</v>
      </c>
      <c r="D15" s="65">
        <f>$J$46/(PI()*(C15^2-($B$44/2/1000)^2))</f>
        <v>8059574.8747452358</v>
      </c>
      <c r="E15" s="65">
        <f>$B$68</f>
        <v>12428818143.584404</v>
      </c>
      <c r="F15" s="65">
        <f>$B$59</f>
        <v>71700000000</v>
      </c>
      <c r="G15" s="100">
        <f>$C$68</f>
        <v>0.13287921133115013</v>
      </c>
      <c r="H15" s="100">
        <f>$C$59</f>
        <v>0.33</v>
      </c>
      <c r="I15" s="65">
        <f t="shared" si="6"/>
        <v>10933059528.597418</v>
      </c>
      <c r="J15" s="100">
        <f>$D$68</f>
        <v>0.29142496305131627</v>
      </c>
      <c r="K15">
        <f>$D$59</f>
        <v>130</v>
      </c>
      <c r="L15" s="100">
        <f>$F$68</f>
        <v>0.77500000000000002</v>
      </c>
      <c r="M15">
        <f>$F$59</f>
        <v>7.875</v>
      </c>
      <c r="N15">
        <v>0.1</v>
      </c>
      <c r="O15">
        <v>0.1</v>
      </c>
      <c r="P15">
        <f t="shared" si="11"/>
        <v>0.58154625613181832</v>
      </c>
      <c r="Q15">
        <f t="shared" si="12"/>
        <v>7.913043030339213</v>
      </c>
      <c r="R15">
        <v>0.1</v>
      </c>
      <c r="S15" s="65">
        <f t="shared" si="13"/>
        <v>1586.7574059515002</v>
      </c>
      <c r="T15">
        <f>(PI()*(C15^2-($B$44/2/1000)^2))*1000000</f>
        <v>34.721148259851113</v>
      </c>
      <c r="U15">
        <f>40*40</f>
        <v>1600</v>
      </c>
      <c r="V15">
        <f t="shared" si="16"/>
        <v>2.1700717662406947E-2</v>
      </c>
      <c r="W15">
        <v>4</v>
      </c>
      <c r="X15" s="80">
        <f t="shared" si="17"/>
        <v>126.7421361094361</v>
      </c>
    </row>
    <row r="16" spans="1:24" x14ac:dyDescent="0.25">
      <c r="G16" s="100"/>
      <c r="H16" s="100"/>
      <c r="I16" s="65"/>
      <c r="S16" s="65"/>
      <c r="X16" s="80"/>
    </row>
    <row r="17" spans="1:26" x14ac:dyDescent="0.25">
      <c r="A17" s="108" t="s">
        <v>472</v>
      </c>
      <c r="B17" s="108">
        <f t="shared" ref="B17:B26" si="30">2/1000</f>
        <v>2E-3</v>
      </c>
      <c r="C17">
        <f>3.8/2/1000+B17*TAN(30*PI()/180)</f>
        <v>3.0547005383792514E-3</v>
      </c>
      <c r="D17" s="65">
        <f>$J$46/(PI()*(C17^2-($B$45/2/1000)^2))</f>
        <v>10691755.566490689</v>
      </c>
      <c r="E17" s="65">
        <f>$B$64</f>
        <v>23438436822.605194</v>
      </c>
      <c r="F17" s="65">
        <f>$B$59</f>
        <v>71700000000</v>
      </c>
      <c r="G17" s="100">
        <f>$C$64</f>
        <v>0.1268235294117647</v>
      </c>
      <c r="H17" s="100">
        <f>$C$59</f>
        <v>0.33</v>
      </c>
      <c r="I17" s="65">
        <f t="shared" si="6"/>
        <v>18380020925.748684</v>
      </c>
      <c r="J17" s="100">
        <f>$D$64</f>
        <v>0.32237405144561837</v>
      </c>
      <c r="K17">
        <f>$D$59</f>
        <v>130</v>
      </c>
      <c r="L17" s="100">
        <f>$F$64</f>
        <v>0.22499999999999998</v>
      </c>
      <c r="M17">
        <f>$F$59</f>
        <v>7.875</v>
      </c>
      <c r="N17">
        <v>0.1</v>
      </c>
      <c r="O17">
        <v>0.1</v>
      </c>
      <c r="P17">
        <f t="shared" si="11"/>
        <v>0.64315321130332814</v>
      </c>
      <c r="Q17">
        <f t="shared" si="12"/>
        <v>7.8782136300052183</v>
      </c>
      <c r="R17">
        <v>0.1</v>
      </c>
      <c r="S17" s="65">
        <f t="shared" si="13"/>
        <v>1410.7859598355244</v>
      </c>
      <c r="T17">
        <f>(PI()*(C17^2-($B$45/2/1000)^2))*1000000</f>
        <v>26.173222198835798</v>
      </c>
      <c r="U17">
        <v>264</v>
      </c>
      <c r="V17">
        <f t="shared" si="16"/>
        <v>9.9140993177408321E-2</v>
      </c>
      <c r="W17">
        <v>2</v>
      </c>
      <c r="X17" s="80">
        <f t="shared" si="17"/>
        <v>268.33825430580021</v>
      </c>
      <c r="Z17" t="s">
        <v>644</v>
      </c>
    </row>
    <row r="18" spans="1:26" x14ac:dyDescent="0.25">
      <c r="A18" s="108" t="s">
        <v>483</v>
      </c>
      <c r="B18" s="108">
        <f t="shared" si="30"/>
        <v>2E-3</v>
      </c>
      <c r="C18">
        <f t="shared" ref="C18:C20" si="31">3.8/2/1000+B18*TAN(30*PI()/180)</f>
        <v>3.0547005383792514E-3</v>
      </c>
      <c r="D18" s="65">
        <f t="shared" ref="D18:D20" si="32">$J$46/(PI()*(C18^2-($B$45/2/1000)^2))</f>
        <v>10691755.566490689</v>
      </c>
      <c r="E18" s="65">
        <f t="shared" ref="E18:E20" si="33">$B$64</f>
        <v>23438436822.605194</v>
      </c>
      <c r="F18" s="65">
        <f t="shared" ref="F18:F20" si="34">$B$59</f>
        <v>71700000000</v>
      </c>
      <c r="G18" s="100">
        <f t="shared" ref="G18:G20" si="35">$C$64</f>
        <v>0.1268235294117647</v>
      </c>
      <c r="H18" s="100">
        <f t="shared" ref="H18:H20" si="36">$C$59</f>
        <v>0.33</v>
      </c>
      <c r="I18" s="65">
        <f t="shared" si="6"/>
        <v>18380020925.748684</v>
      </c>
      <c r="J18" s="100">
        <f t="shared" ref="J18:J20" si="37">$D$64</f>
        <v>0.32237405144561837</v>
      </c>
      <c r="K18">
        <f t="shared" ref="K18:K20" si="38">$D$59</f>
        <v>130</v>
      </c>
      <c r="L18" s="100">
        <f t="shared" ref="L18:L20" si="39">$F$64</f>
        <v>0.22499999999999998</v>
      </c>
      <c r="M18">
        <f t="shared" ref="M18:M20" si="40">$F$59</f>
        <v>7.875</v>
      </c>
      <c r="N18">
        <v>0.1</v>
      </c>
      <c r="O18">
        <v>0.1</v>
      </c>
      <c r="P18">
        <f t="shared" si="11"/>
        <v>0.64315321130332814</v>
      </c>
      <c r="Q18">
        <f t="shared" si="12"/>
        <v>7.8782136300052183</v>
      </c>
      <c r="R18">
        <v>0.1</v>
      </c>
      <c r="S18" s="65">
        <f t="shared" si="13"/>
        <v>1410.7859598355244</v>
      </c>
      <c r="T18">
        <f>(PI()*(C18^2-($B$45/2/1000)^2))*1000000</f>
        <v>26.173222198835798</v>
      </c>
      <c r="U18">
        <v>264</v>
      </c>
      <c r="V18">
        <f t="shared" si="16"/>
        <v>9.9140993177408321E-2</v>
      </c>
      <c r="W18">
        <v>2</v>
      </c>
      <c r="X18" s="80">
        <f t="shared" si="17"/>
        <v>268.33825430580021</v>
      </c>
    </row>
    <row r="19" spans="1:26" x14ac:dyDescent="0.25">
      <c r="A19" s="108" t="s">
        <v>492</v>
      </c>
      <c r="B19" s="108">
        <f t="shared" si="30"/>
        <v>2E-3</v>
      </c>
      <c r="C19">
        <f t="shared" si="31"/>
        <v>3.0547005383792514E-3</v>
      </c>
      <c r="D19" s="65">
        <f t="shared" si="32"/>
        <v>10691755.566490689</v>
      </c>
      <c r="E19" s="65">
        <f t="shared" si="33"/>
        <v>23438436822.605194</v>
      </c>
      <c r="F19" s="65">
        <f t="shared" si="34"/>
        <v>71700000000</v>
      </c>
      <c r="G19" s="100">
        <f t="shared" si="35"/>
        <v>0.1268235294117647</v>
      </c>
      <c r="H19" s="100">
        <f t="shared" si="36"/>
        <v>0.33</v>
      </c>
      <c r="I19" s="65">
        <f t="shared" si="6"/>
        <v>18380020925.748684</v>
      </c>
      <c r="J19" s="100">
        <f t="shared" si="37"/>
        <v>0.32237405144561837</v>
      </c>
      <c r="K19">
        <f t="shared" si="38"/>
        <v>130</v>
      </c>
      <c r="L19" s="100">
        <f t="shared" si="39"/>
        <v>0.22499999999999998</v>
      </c>
      <c r="M19">
        <f t="shared" si="40"/>
        <v>7.875</v>
      </c>
      <c r="N19">
        <v>0.1</v>
      </c>
      <c r="O19">
        <v>0.1</v>
      </c>
      <c r="P19">
        <f t="shared" si="11"/>
        <v>0.64315321130332814</v>
      </c>
      <c r="Q19">
        <f t="shared" si="12"/>
        <v>7.8782136300052183</v>
      </c>
      <c r="R19">
        <v>0.1</v>
      </c>
      <c r="S19" s="65">
        <f t="shared" si="13"/>
        <v>1410.7859598355244</v>
      </c>
      <c r="T19">
        <f t="shared" ref="T19:T20" si="41">(PI()*(C19^2-($B$45/2/1000)^2))*1000000</f>
        <v>26.173222198835798</v>
      </c>
      <c r="U19">
        <v>264</v>
      </c>
      <c r="V19">
        <f t="shared" si="16"/>
        <v>9.9140993177408321E-2</v>
      </c>
      <c r="W19">
        <v>2</v>
      </c>
      <c r="X19" s="80">
        <f t="shared" si="17"/>
        <v>268.33825430580021</v>
      </c>
    </row>
    <row r="20" spans="1:26" x14ac:dyDescent="0.25">
      <c r="A20" s="108" t="s">
        <v>414</v>
      </c>
      <c r="B20" s="108">
        <f t="shared" si="30"/>
        <v>2E-3</v>
      </c>
      <c r="C20">
        <f t="shared" si="31"/>
        <v>3.0547005383792514E-3</v>
      </c>
      <c r="D20" s="65">
        <f t="shared" si="32"/>
        <v>10691755.566490689</v>
      </c>
      <c r="E20" s="65">
        <f t="shared" si="33"/>
        <v>23438436822.605194</v>
      </c>
      <c r="F20" s="65">
        <f t="shared" si="34"/>
        <v>71700000000</v>
      </c>
      <c r="G20" s="100">
        <f t="shared" si="35"/>
        <v>0.1268235294117647</v>
      </c>
      <c r="H20" s="100">
        <f t="shared" si="36"/>
        <v>0.33</v>
      </c>
      <c r="I20" s="65">
        <f t="shared" si="6"/>
        <v>18380020925.748684</v>
      </c>
      <c r="J20" s="100">
        <f t="shared" si="37"/>
        <v>0.32237405144561837</v>
      </c>
      <c r="K20">
        <f t="shared" si="38"/>
        <v>130</v>
      </c>
      <c r="L20" s="100">
        <f t="shared" si="39"/>
        <v>0.22499999999999998</v>
      </c>
      <c r="M20">
        <f t="shared" si="40"/>
        <v>7.875</v>
      </c>
      <c r="N20">
        <v>0.1</v>
      </c>
      <c r="O20">
        <v>0.1</v>
      </c>
      <c r="P20">
        <f t="shared" si="11"/>
        <v>0.64315321130332814</v>
      </c>
      <c r="Q20">
        <f t="shared" si="12"/>
        <v>7.8782136300052183</v>
      </c>
      <c r="R20">
        <v>0.1</v>
      </c>
      <c r="S20" s="65">
        <f t="shared" si="13"/>
        <v>1410.7859598355244</v>
      </c>
      <c r="T20">
        <f t="shared" si="41"/>
        <v>26.173222198835798</v>
      </c>
      <c r="U20">
        <v>264</v>
      </c>
      <c r="V20">
        <f t="shared" si="16"/>
        <v>9.9140993177408321E-2</v>
      </c>
      <c r="W20">
        <v>2</v>
      </c>
      <c r="X20" s="80">
        <f t="shared" si="17"/>
        <v>268.33825430580021</v>
      </c>
    </row>
    <row r="21" spans="1:26" x14ac:dyDescent="0.25">
      <c r="G21" s="100"/>
      <c r="H21" s="100"/>
      <c r="I21" s="65"/>
      <c r="S21" s="65"/>
      <c r="X21" s="80"/>
    </row>
    <row r="22" spans="1:26" x14ac:dyDescent="0.25">
      <c r="G22" s="100"/>
      <c r="H22" s="100"/>
      <c r="I22" s="65"/>
      <c r="S22" s="65"/>
      <c r="X22" s="80"/>
    </row>
    <row r="23" spans="1:26" x14ac:dyDescent="0.25">
      <c r="A23" s="108" t="s">
        <v>485</v>
      </c>
      <c r="B23" s="108">
        <f t="shared" si="30"/>
        <v>2E-3</v>
      </c>
      <c r="C23">
        <f t="shared" ref="C23:C35" si="42">3.8/2/1000+B23*TAN(30*PI()/180)</f>
        <v>3.0547005383792514E-3</v>
      </c>
      <c r="D23" s="65">
        <f t="shared" ref="D23:D35" si="43">$J$46/(PI()*(C23^2-($B$45/2/1000)^2))</f>
        <v>10691755.566490689</v>
      </c>
      <c r="E23" s="65">
        <f>$B$64</f>
        <v>23438436822.605194</v>
      </c>
      <c r="F23" s="65">
        <f>$B$58</f>
        <v>750000000</v>
      </c>
      <c r="G23" s="100">
        <f>$C$64</f>
        <v>0.1268235294117647</v>
      </c>
      <c r="H23" s="100">
        <f>$C$58</f>
        <v>0.46</v>
      </c>
      <c r="I23" s="65">
        <f t="shared" si="6"/>
        <v>914763499.58468652</v>
      </c>
      <c r="J23" s="100">
        <f t="shared" ref="J23:J35" si="44">$D$64</f>
        <v>0.32237405144561837</v>
      </c>
      <c r="K23">
        <f t="shared" ref="K23:K35" si="45">$D$58</f>
        <v>0.27</v>
      </c>
      <c r="L23" s="100">
        <f>$F$64</f>
        <v>0.22499999999999998</v>
      </c>
      <c r="M23">
        <f>$F$58</f>
        <v>7.875</v>
      </c>
      <c r="N23">
        <v>0.1</v>
      </c>
      <c r="O23">
        <v>0.1</v>
      </c>
      <c r="P23">
        <f t="shared" si="11"/>
        <v>0.29387173080219764</v>
      </c>
      <c r="Q23">
        <f t="shared" si="12"/>
        <v>7.8782136300052183</v>
      </c>
      <c r="R23">
        <v>0.1</v>
      </c>
      <c r="S23" s="65">
        <f t="shared" si="13"/>
        <v>10818.310473324145</v>
      </c>
      <c r="T23">
        <f>(PI()*(C23^2-($B$45/2/1000)^2))*1000000</f>
        <v>26.173222198835798</v>
      </c>
      <c r="U23">
        <v>303</v>
      </c>
      <c r="V23">
        <f t="shared" si="16"/>
        <v>8.6380271283286458E-2</v>
      </c>
      <c r="W23">
        <v>2</v>
      </c>
      <c r="X23" s="80">
        <f t="shared" si="17"/>
        <v>1792.8427553506594</v>
      </c>
    </row>
    <row r="24" spans="1:26" x14ac:dyDescent="0.25">
      <c r="A24" s="108" t="s">
        <v>486</v>
      </c>
      <c r="B24" s="108">
        <f t="shared" si="30"/>
        <v>2E-3</v>
      </c>
      <c r="C24">
        <f t="shared" si="42"/>
        <v>3.0547005383792514E-3</v>
      </c>
      <c r="D24" s="65">
        <f t="shared" si="43"/>
        <v>10691755.566490689</v>
      </c>
      <c r="E24" s="65">
        <f t="shared" ref="E24:E35" si="46">$B$64</f>
        <v>23438436822.605194</v>
      </c>
      <c r="F24" s="65">
        <f t="shared" ref="F24:F35" si="47">$B$58</f>
        <v>750000000</v>
      </c>
      <c r="G24" s="100">
        <f t="shared" ref="G24:G35" si="48">$C$64</f>
        <v>0.1268235294117647</v>
      </c>
      <c r="H24" s="100">
        <f t="shared" ref="H24:H35" si="49">$C$58</f>
        <v>0.46</v>
      </c>
      <c r="I24" s="65">
        <f t="shared" si="6"/>
        <v>914763499.58468652</v>
      </c>
      <c r="J24" s="100">
        <f t="shared" si="44"/>
        <v>0.32237405144561837</v>
      </c>
      <c r="K24">
        <f t="shared" si="45"/>
        <v>0.27</v>
      </c>
      <c r="L24" s="100">
        <f t="shared" ref="L24:L35" si="50">$F$64</f>
        <v>0.22499999999999998</v>
      </c>
      <c r="M24">
        <f t="shared" ref="M24:M35" si="51">$F$58</f>
        <v>7.875</v>
      </c>
      <c r="N24">
        <v>0.1</v>
      </c>
      <c r="O24">
        <v>0.1</v>
      </c>
      <c r="P24">
        <f t="shared" si="11"/>
        <v>0.29387173080219764</v>
      </c>
      <c r="Q24">
        <f t="shared" si="12"/>
        <v>7.8782136300052183</v>
      </c>
      <c r="R24">
        <v>0.1</v>
      </c>
      <c r="S24" s="65">
        <f t="shared" si="13"/>
        <v>10818.310473324145</v>
      </c>
      <c r="T24">
        <f t="shared" ref="T24:T34" si="52">(PI()*(C24^2-($B$45/2/1000)^2))*1000000</f>
        <v>26.173222198835798</v>
      </c>
      <c r="U24">
        <v>303</v>
      </c>
      <c r="V24">
        <f t="shared" si="16"/>
        <v>8.6380271283286458E-2</v>
      </c>
      <c r="W24">
        <v>2</v>
      </c>
      <c r="X24" s="80">
        <f t="shared" si="17"/>
        <v>1792.8427553506594</v>
      </c>
    </row>
    <row r="25" spans="1:26" x14ac:dyDescent="0.25">
      <c r="A25" s="108" t="s">
        <v>487</v>
      </c>
      <c r="B25" s="108">
        <f t="shared" si="30"/>
        <v>2E-3</v>
      </c>
      <c r="C25">
        <f t="shared" si="42"/>
        <v>3.0547005383792514E-3</v>
      </c>
      <c r="D25" s="65">
        <f t="shared" si="43"/>
        <v>10691755.566490689</v>
      </c>
      <c r="E25" s="65">
        <f t="shared" si="46"/>
        <v>23438436822.605194</v>
      </c>
      <c r="F25" s="65">
        <f t="shared" si="47"/>
        <v>750000000</v>
      </c>
      <c r="G25" s="100">
        <f t="shared" si="48"/>
        <v>0.1268235294117647</v>
      </c>
      <c r="H25" s="100">
        <f t="shared" si="49"/>
        <v>0.46</v>
      </c>
      <c r="I25" s="65">
        <f t="shared" si="6"/>
        <v>914763499.58468652</v>
      </c>
      <c r="J25" s="100">
        <f t="shared" si="44"/>
        <v>0.32237405144561837</v>
      </c>
      <c r="K25">
        <f t="shared" si="45"/>
        <v>0.27</v>
      </c>
      <c r="L25" s="100">
        <f t="shared" si="50"/>
        <v>0.22499999999999998</v>
      </c>
      <c r="M25">
        <f t="shared" si="51"/>
        <v>7.875</v>
      </c>
      <c r="N25">
        <v>0.1</v>
      </c>
      <c r="O25">
        <v>0.1</v>
      </c>
      <c r="P25">
        <f t="shared" si="11"/>
        <v>0.29387173080219764</v>
      </c>
      <c r="Q25">
        <f t="shared" si="12"/>
        <v>7.8782136300052183</v>
      </c>
      <c r="R25">
        <v>0.1</v>
      </c>
      <c r="S25" s="65">
        <f t="shared" si="13"/>
        <v>10818.310473324145</v>
      </c>
      <c r="T25">
        <f t="shared" si="52"/>
        <v>26.173222198835798</v>
      </c>
      <c r="U25">
        <v>303</v>
      </c>
      <c r="V25">
        <f t="shared" si="16"/>
        <v>8.6380271283286458E-2</v>
      </c>
      <c r="W25">
        <v>2</v>
      </c>
      <c r="X25" s="80">
        <f t="shared" si="17"/>
        <v>1792.8427553506594</v>
      </c>
    </row>
    <row r="26" spans="1:26" x14ac:dyDescent="0.25">
      <c r="A26" s="108" t="s">
        <v>488</v>
      </c>
      <c r="B26" s="108">
        <f t="shared" si="30"/>
        <v>2E-3</v>
      </c>
      <c r="C26">
        <f t="shared" si="42"/>
        <v>3.0547005383792514E-3</v>
      </c>
      <c r="D26" s="65">
        <f t="shared" si="43"/>
        <v>10691755.566490689</v>
      </c>
      <c r="E26" s="65">
        <f t="shared" si="46"/>
        <v>23438436822.605194</v>
      </c>
      <c r="F26" s="65">
        <f t="shared" si="47"/>
        <v>750000000</v>
      </c>
      <c r="G26" s="100">
        <f t="shared" si="48"/>
        <v>0.1268235294117647</v>
      </c>
      <c r="H26" s="100">
        <f t="shared" si="49"/>
        <v>0.46</v>
      </c>
      <c r="I26" s="65">
        <f t="shared" si="6"/>
        <v>914763499.58468652</v>
      </c>
      <c r="J26" s="100">
        <f t="shared" si="44"/>
        <v>0.32237405144561837</v>
      </c>
      <c r="K26">
        <f t="shared" si="45"/>
        <v>0.27</v>
      </c>
      <c r="L26" s="100">
        <f t="shared" si="50"/>
        <v>0.22499999999999998</v>
      </c>
      <c r="M26">
        <f t="shared" si="51"/>
        <v>7.875</v>
      </c>
      <c r="N26">
        <v>0.1</v>
      </c>
      <c r="O26">
        <v>0.1</v>
      </c>
      <c r="P26">
        <f t="shared" si="11"/>
        <v>0.29387173080219764</v>
      </c>
      <c r="Q26">
        <f t="shared" si="12"/>
        <v>7.8782136300052183</v>
      </c>
      <c r="R26">
        <v>0.1</v>
      </c>
      <c r="S26" s="65">
        <f t="shared" si="13"/>
        <v>10818.310473324145</v>
      </c>
      <c r="T26">
        <f t="shared" si="52"/>
        <v>26.173222198835798</v>
      </c>
      <c r="U26">
        <v>303</v>
      </c>
      <c r="V26">
        <f t="shared" si="16"/>
        <v>8.6380271283286458E-2</v>
      </c>
      <c r="W26">
        <v>2</v>
      </c>
      <c r="X26" s="80">
        <f t="shared" si="17"/>
        <v>1792.8427553506594</v>
      </c>
    </row>
    <row r="27" spans="1:26" x14ac:dyDescent="0.25">
      <c r="D27" s="65"/>
      <c r="E27" s="65"/>
      <c r="F27" s="65"/>
      <c r="G27" s="100"/>
      <c r="H27" s="100"/>
      <c r="I27" s="65"/>
      <c r="J27" s="100"/>
      <c r="L27" s="100"/>
      <c r="S27" s="65"/>
      <c r="X27" s="80"/>
    </row>
    <row r="28" spans="1:26" x14ac:dyDescent="0.25">
      <c r="A28" s="108" t="s">
        <v>440</v>
      </c>
      <c r="B28" s="108">
        <f t="shared" ref="B28:B35" si="53">2/1000</f>
        <v>2E-3</v>
      </c>
      <c r="C28">
        <f t="shared" si="42"/>
        <v>3.0547005383792514E-3</v>
      </c>
      <c r="D28" s="65">
        <f t="shared" si="43"/>
        <v>10691755.566490689</v>
      </c>
      <c r="E28" s="65">
        <f t="shared" si="46"/>
        <v>23438436822.605194</v>
      </c>
      <c r="F28" s="65">
        <f t="shared" si="47"/>
        <v>750000000</v>
      </c>
      <c r="G28" s="100">
        <f t="shared" si="48"/>
        <v>0.1268235294117647</v>
      </c>
      <c r="H28" s="100">
        <f t="shared" si="49"/>
        <v>0.46</v>
      </c>
      <c r="I28" s="65">
        <f t="shared" si="6"/>
        <v>914763499.58468652</v>
      </c>
      <c r="J28" s="100">
        <f t="shared" si="44"/>
        <v>0.32237405144561837</v>
      </c>
      <c r="K28">
        <f t="shared" si="45"/>
        <v>0.27</v>
      </c>
      <c r="L28" s="100">
        <f t="shared" si="50"/>
        <v>0.22499999999999998</v>
      </c>
      <c r="M28">
        <f t="shared" si="51"/>
        <v>7.875</v>
      </c>
      <c r="N28">
        <v>0.1</v>
      </c>
      <c r="O28">
        <v>0.1</v>
      </c>
      <c r="P28">
        <f t="shared" si="11"/>
        <v>0.29387173080219764</v>
      </c>
      <c r="Q28">
        <f t="shared" si="12"/>
        <v>7.8782136300052183</v>
      </c>
      <c r="R28">
        <v>0.1</v>
      </c>
      <c r="S28" s="65">
        <f t="shared" si="13"/>
        <v>10818.310473324145</v>
      </c>
      <c r="T28">
        <f t="shared" si="52"/>
        <v>26.173222198835798</v>
      </c>
      <c r="U28">
        <v>730</v>
      </c>
      <c r="V28">
        <f t="shared" si="16"/>
        <v>3.5853729039501091E-2</v>
      </c>
      <c r="W28">
        <v>2</v>
      </c>
      <c r="X28" s="80">
        <f t="shared" si="17"/>
        <v>744.15254091952022</v>
      </c>
    </row>
    <row r="29" spans="1:26" x14ac:dyDescent="0.25">
      <c r="A29" s="108" t="s">
        <v>441</v>
      </c>
      <c r="B29" s="108">
        <f t="shared" si="53"/>
        <v>2E-3</v>
      </c>
      <c r="C29">
        <f t="shared" si="42"/>
        <v>3.0547005383792514E-3</v>
      </c>
      <c r="D29" s="65">
        <f t="shared" si="43"/>
        <v>10691755.566490689</v>
      </c>
      <c r="E29" s="65">
        <f t="shared" si="46"/>
        <v>23438436822.605194</v>
      </c>
      <c r="F29" s="65">
        <f t="shared" si="47"/>
        <v>750000000</v>
      </c>
      <c r="G29" s="100">
        <f t="shared" si="48"/>
        <v>0.1268235294117647</v>
      </c>
      <c r="H29" s="100">
        <f t="shared" si="49"/>
        <v>0.46</v>
      </c>
      <c r="I29" s="65">
        <f t="shared" si="6"/>
        <v>914763499.58468652</v>
      </c>
      <c r="J29" s="100">
        <f t="shared" si="44"/>
        <v>0.32237405144561837</v>
      </c>
      <c r="K29">
        <f t="shared" si="45"/>
        <v>0.27</v>
      </c>
      <c r="L29" s="100">
        <f t="shared" si="50"/>
        <v>0.22499999999999998</v>
      </c>
      <c r="M29">
        <f t="shared" si="51"/>
        <v>7.875</v>
      </c>
      <c r="N29">
        <v>0.1</v>
      </c>
      <c r="O29">
        <v>0.1</v>
      </c>
      <c r="P29">
        <f t="shared" si="11"/>
        <v>0.29387173080219764</v>
      </c>
      <c r="Q29">
        <f t="shared" si="12"/>
        <v>7.8782136300052183</v>
      </c>
      <c r="R29">
        <v>0.1</v>
      </c>
      <c r="S29" s="65">
        <f t="shared" si="13"/>
        <v>10818.310473324145</v>
      </c>
      <c r="T29">
        <f t="shared" si="52"/>
        <v>26.173222198835798</v>
      </c>
      <c r="U29">
        <v>730</v>
      </c>
      <c r="V29">
        <f t="shared" si="16"/>
        <v>3.5853729039501091E-2</v>
      </c>
      <c r="W29">
        <v>2</v>
      </c>
      <c r="X29" s="80">
        <f t="shared" si="17"/>
        <v>744.15254091952022</v>
      </c>
    </row>
    <row r="30" spans="1:26" x14ac:dyDescent="0.25">
      <c r="A30" s="108" t="s">
        <v>442</v>
      </c>
      <c r="B30" s="108">
        <f t="shared" si="53"/>
        <v>2E-3</v>
      </c>
      <c r="C30">
        <f t="shared" si="42"/>
        <v>3.0547005383792514E-3</v>
      </c>
      <c r="D30" s="65">
        <f t="shared" si="43"/>
        <v>10691755.566490689</v>
      </c>
      <c r="E30" s="65">
        <f t="shared" si="46"/>
        <v>23438436822.605194</v>
      </c>
      <c r="F30" s="65">
        <f t="shared" si="47"/>
        <v>750000000</v>
      </c>
      <c r="G30" s="100">
        <f t="shared" si="48"/>
        <v>0.1268235294117647</v>
      </c>
      <c r="H30" s="100">
        <f t="shared" si="49"/>
        <v>0.46</v>
      </c>
      <c r="I30" s="65">
        <f t="shared" si="6"/>
        <v>914763499.58468652</v>
      </c>
      <c r="J30" s="100">
        <f t="shared" si="44"/>
        <v>0.32237405144561837</v>
      </c>
      <c r="K30">
        <f t="shared" si="45"/>
        <v>0.27</v>
      </c>
      <c r="L30" s="100">
        <f t="shared" si="50"/>
        <v>0.22499999999999998</v>
      </c>
      <c r="M30">
        <f t="shared" si="51"/>
        <v>7.875</v>
      </c>
      <c r="N30">
        <v>0.1</v>
      </c>
      <c r="O30">
        <v>0.1</v>
      </c>
      <c r="P30">
        <f t="shared" si="11"/>
        <v>0.29387173080219764</v>
      </c>
      <c r="Q30">
        <f t="shared" si="12"/>
        <v>7.8782136300052183</v>
      </c>
      <c r="R30">
        <v>0.1</v>
      </c>
      <c r="S30" s="65">
        <f t="shared" si="13"/>
        <v>10818.310473324145</v>
      </c>
      <c r="T30">
        <f t="shared" si="52"/>
        <v>26.173222198835798</v>
      </c>
      <c r="U30">
        <v>730</v>
      </c>
      <c r="V30">
        <f t="shared" si="16"/>
        <v>3.5853729039501091E-2</v>
      </c>
      <c r="W30">
        <v>2</v>
      </c>
      <c r="X30" s="80">
        <f t="shared" si="17"/>
        <v>744.15254091952022</v>
      </c>
    </row>
    <row r="31" spans="1:26" x14ac:dyDescent="0.25">
      <c r="A31" s="108" t="s">
        <v>443</v>
      </c>
      <c r="B31" s="108">
        <f t="shared" si="53"/>
        <v>2E-3</v>
      </c>
      <c r="C31">
        <f t="shared" si="42"/>
        <v>3.0547005383792514E-3</v>
      </c>
      <c r="D31" s="65">
        <f t="shared" si="43"/>
        <v>10691755.566490689</v>
      </c>
      <c r="E31" s="65">
        <f t="shared" si="46"/>
        <v>23438436822.605194</v>
      </c>
      <c r="F31" s="65">
        <f t="shared" si="47"/>
        <v>750000000</v>
      </c>
      <c r="G31" s="100">
        <f t="shared" si="48"/>
        <v>0.1268235294117647</v>
      </c>
      <c r="H31" s="100">
        <f t="shared" si="49"/>
        <v>0.46</v>
      </c>
      <c r="I31" s="65">
        <f t="shared" si="6"/>
        <v>914763499.58468652</v>
      </c>
      <c r="J31" s="100">
        <f t="shared" si="44"/>
        <v>0.32237405144561837</v>
      </c>
      <c r="K31">
        <f t="shared" si="45"/>
        <v>0.27</v>
      </c>
      <c r="L31" s="100">
        <f t="shared" si="50"/>
        <v>0.22499999999999998</v>
      </c>
      <c r="M31">
        <f t="shared" si="51"/>
        <v>7.875</v>
      </c>
      <c r="N31">
        <v>0.1</v>
      </c>
      <c r="O31">
        <v>0.1</v>
      </c>
      <c r="P31">
        <f t="shared" si="11"/>
        <v>0.29387173080219764</v>
      </c>
      <c r="Q31">
        <f t="shared" si="12"/>
        <v>7.8782136300052183</v>
      </c>
      <c r="R31">
        <v>0.1</v>
      </c>
      <c r="S31" s="65">
        <f t="shared" si="13"/>
        <v>10818.310473324145</v>
      </c>
      <c r="T31">
        <f t="shared" si="52"/>
        <v>26.173222198835798</v>
      </c>
      <c r="U31">
        <v>730</v>
      </c>
      <c r="V31">
        <f t="shared" si="16"/>
        <v>3.5853729039501091E-2</v>
      </c>
      <c r="W31">
        <v>2</v>
      </c>
      <c r="X31" s="80">
        <f t="shared" si="17"/>
        <v>744.15254091952022</v>
      </c>
    </row>
    <row r="32" spans="1:26" x14ac:dyDescent="0.25">
      <c r="A32" s="108" t="s">
        <v>444</v>
      </c>
      <c r="B32" s="108">
        <f t="shared" si="53"/>
        <v>2E-3</v>
      </c>
      <c r="C32">
        <f t="shared" si="42"/>
        <v>3.0547005383792514E-3</v>
      </c>
      <c r="D32" s="65">
        <f t="shared" si="43"/>
        <v>10691755.566490689</v>
      </c>
      <c r="E32" s="65">
        <f t="shared" si="46"/>
        <v>23438436822.605194</v>
      </c>
      <c r="F32" s="65">
        <f t="shared" si="47"/>
        <v>750000000</v>
      </c>
      <c r="G32" s="100">
        <f t="shared" si="48"/>
        <v>0.1268235294117647</v>
      </c>
      <c r="H32" s="100">
        <f t="shared" si="49"/>
        <v>0.46</v>
      </c>
      <c r="I32" s="65">
        <f t="shared" si="6"/>
        <v>914763499.58468652</v>
      </c>
      <c r="J32" s="100">
        <f t="shared" si="44"/>
        <v>0.32237405144561837</v>
      </c>
      <c r="K32">
        <f t="shared" si="45"/>
        <v>0.27</v>
      </c>
      <c r="L32" s="100">
        <f t="shared" si="50"/>
        <v>0.22499999999999998</v>
      </c>
      <c r="M32">
        <f t="shared" si="51"/>
        <v>7.875</v>
      </c>
      <c r="N32">
        <v>0.1</v>
      </c>
      <c r="O32">
        <v>0.1</v>
      </c>
      <c r="P32">
        <f t="shared" si="11"/>
        <v>0.29387173080219764</v>
      </c>
      <c r="Q32">
        <f t="shared" si="12"/>
        <v>7.8782136300052183</v>
      </c>
      <c r="R32">
        <v>0.1</v>
      </c>
      <c r="S32" s="65">
        <f t="shared" si="13"/>
        <v>10818.310473324145</v>
      </c>
      <c r="T32">
        <f t="shared" si="52"/>
        <v>26.173222198835798</v>
      </c>
      <c r="U32">
        <v>730</v>
      </c>
      <c r="V32">
        <f t="shared" si="16"/>
        <v>3.5853729039501091E-2</v>
      </c>
      <c r="W32">
        <v>2</v>
      </c>
      <c r="X32" s="80">
        <f t="shared" si="17"/>
        <v>744.15254091952022</v>
      </c>
    </row>
    <row r="33" spans="1:24" x14ac:dyDescent="0.25">
      <c r="D33" s="65"/>
      <c r="E33" s="65"/>
      <c r="F33" s="65"/>
      <c r="G33" s="100"/>
      <c r="H33" s="100"/>
      <c r="I33" s="65"/>
      <c r="J33" s="100"/>
      <c r="L33" s="100"/>
      <c r="S33" s="65"/>
      <c r="X33" s="80"/>
    </row>
    <row r="34" spans="1:24" x14ac:dyDescent="0.25">
      <c r="A34" s="108" t="s">
        <v>439</v>
      </c>
      <c r="B34" s="108">
        <f t="shared" si="53"/>
        <v>2E-3</v>
      </c>
      <c r="C34">
        <f t="shared" si="42"/>
        <v>3.0547005383792514E-3</v>
      </c>
      <c r="D34" s="65">
        <f t="shared" si="43"/>
        <v>10691755.566490689</v>
      </c>
      <c r="E34" s="65">
        <f t="shared" si="46"/>
        <v>23438436822.605194</v>
      </c>
      <c r="F34" s="65">
        <f t="shared" si="47"/>
        <v>750000000</v>
      </c>
      <c r="G34" s="100">
        <f t="shared" si="48"/>
        <v>0.1268235294117647</v>
      </c>
      <c r="H34" s="100">
        <f t="shared" si="49"/>
        <v>0.46</v>
      </c>
      <c r="I34" s="65">
        <f t="shared" si="6"/>
        <v>914763499.58468652</v>
      </c>
      <c r="J34" s="100">
        <f t="shared" si="44"/>
        <v>0.32237405144561837</v>
      </c>
      <c r="K34">
        <f t="shared" si="45"/>
        <v>0.27</v>
      </c>
      <c r="L34" s="100">
        <f t="shared" si="50"/>
        <v>0.22499999999999998</v>
      </c>
      <c r="M34">
        <f t="shared" si="51"/>
        <v>7.875</v>
      </c>
      <c r="N34">
        <v>0.1</v>
      </c>
      <c r="O34">
        <v>0.1</v>
      </c>
      <c r="P34">
        <f t="shared" si="11"/>
        <v>0.29387173080219764</v>
      </c>
      <c r="Q34">
        <f t="shared" si="12"/>
        <v>7.8782136300052183</v>
      </c>
      <c r="R34">
        <v>0.1</v>
      </c>
      <c r="S34" s="65">
        <f t="shared" si="13"/>
        <v>10818.310473324145</v>
      </c>
      <c r="T34">
        <f t="shared" si="52"/>
        <v>26.173222198835798</v>
      </c>
      <c r="U34">
        <v>730</v>
      </c>
      <c r="V34">
        <f t="shared" si="16"/>
        <v>3.5853729039501091E-2</v>
      </c>
      <c r="W34">
        <v>2</v>
      </c>
      <c r="X34" s="80">
        <f t="shared" si="17"/>
        <v>744.15254091952022</v>
      </c>
    </row>
    <row r="35" spans="1:24" x14ac:dyDescent="0.25">
      <c r="A35" s="108" t="s">
        <v>611</v>
      </c>
      <c r="B35" s="108">
        <f t="shared" si="53"/>
        <v>2E-3</v>
      </c>
      <c r="C35">
        <f t="shared" si="42"/>
        <v>3.0547005383792514E-3</v>
      </c>
      <c r="D35" s="65">
        <f t="shared" si="43"/>
        <v>10691755.566490689</v>
      </c>
      <c r="E35" s="65">
        <f t="shared" si="46"/>
        <v>23438436822.605194</v>
      </c>
      <c r="F35" s="65">
        <f t="shared" si="47"/>
        <v>750000000</v>
      </c>
      <c r="G35" s="100">
        <f t="shared" si="48"/>
        <v>0.1268235294117647</v>
      </c>
      <c r="H35" s="100">
        <f t="shared" si="49"/>
        <v>0.46</v>
      </c>
      <c r="I35" s="65">
        <f t="shared" si="6"/>
        <v>914763499.58468652</v>
      </c>
      <c r="J35" s="100">
        <f t="shared" si="44"/>
        <v>0.32237405144561837</v>
      </c>
      <c r="K35">
        <f t="shared" si="45"/>
        <v>0.27</v>
      </c>
      <c r="L35" s="100">
        <f t="shared" si="50"/>
        <v>0.22499999999999998</v>
      </c>
      <c r="M35">
        <f t="shared" si="51"/>
        <v>7.875</v>
      </c>
      <c r="N35">
        <v>0.1</v>
      </c>
      <c r="O35">
        <v>0.1</v>
      </c>
      <c r="P35">
        <f t="shared" si="11"/>
        <v>0.29387173080219764</v>
      </c>
      <c r="Q35">
        <f t="shared" si="12"/>
        <v>7.8782136300052183</v>
      </c>
      <c r="R35">
        <v>0.1</v>
      </c>
      <c r="S35" s="65">
        <f t="shared" si="13"/>
        <v>10818.310473324145</v>
      </c>
      <c r="T35">
        <f>(PI()*(C35^2-($B$45/2/1000)^2))*1000000</f>
        <v>26.173222198835798</v>
      </c>
      <c r="U35">
        <v>730</v>
      </c>
      <c r="V35">
        <f t="shared" si="16"/>
        <v>3.5853729039501091E-2</v>
      </c>
      <c r="W35">
        <v>2</v>
      </c>
      <c r="X35" s="80">
        <f t="shared" si="17"/>
        <v>744.15254091952022</v>
      </c>
    </row>
    <row r="36" spans="1:24" x14ac:dyDescent="0.25">
      <c r="G36" s="100"/>
      <c r="H36" s="100"/>
      <c r="I36" s="65"/>
      <c r="S36" s="65"/>
      <c r="X36" s="80"/>
    </row>
    <row r="37" spans="1:24" x14ac:dyDescent="0.25">
      <c r="A37" s="106" t="s">
        <v>496</v>
      </c>
      <c r="B37" s="106">
        <f>1.6/1000</f>
        <v>1.6000000000000001E-3</v>
      </c>
      <c r="C37">
        <f>3.8/2/1000+B37*TAN(30*PI()/180)</f>
        <v>2.8237604307034011E-3</v>
      </c>
      <c r="D37" s="65">
        <f>$J$46/(PI()*(C37^2-($B$48/2/1000)^2))</f>
        <v>12773146.032403067</v>
      </c>
      <c r="E37" s="65">
        <f>$B$66</f>
        <v>21954080374.382694</v>
      </c>
      <c r="F37" s="65">
        <f>$B$65</f>
        <v>23438436822.605194</v>
      </c>
      <c r="G37" s="100">
        <f>$C$66</f>
        <v>0.12153199414660104</v>
      </c>
      <c r="H37" s="100">
        <f>$C$65</f>
        <v>0.1268235294117647</v>
      </c>
      <c r="I37" s="65">
        <f t="shared" si="6"/>
        <v>11513365149.421299</v>
      </c>
      <c r="J37" s="100">
        <f>$D$66</f>
        <v>0.30148453519157836</v>
      </c>
      <c r="K37" s="100">
        <f>$D$65</f>
        <v>0.32237405144561837</v>
      </c>
      <c r="L37" s="100">
        <f>$F$66</f>
        <v>0.22499999999999998</v>
      </c>
      <c r="M37" s="100">
        <f>$F$65</f>
        <v>0.22499999999999998</v>
      </c>
      <c r="N37">
        <v>0.1</v>
      </c>
      <c r="O37">
        <v>0.1</v>
      </c>
      <c r="P37">
        <f t="shared" si="11"/>
        <v>0.31157955709738194</v>
      </c>
      <c r="Q37">
        <f t="shared" si="12"/>
        <v>0.31819805153394637</v>
      </c>
      <c r="R37">
        <v>0.1</v>
      </c>
      <c r="S37" s="65">
        <f t="shared" si="13"/>
        <v>31046.661276125637</v>
      </c>
      <c r="T37">
        <f>(PI()*(C37^2-($B$48/2/1000)^2))*1000000</f>
        <v>21.908282691476693</v>
      </c>
      <c r="U37">
        <f>3300-32*32-3*64*2</f>
        <v>1892</v>
      </c>
      <c r="V37">
        <f t="shared" si="16"/>
        <v>1.1579430598032079E-2</v>
      </c>
      <c r="W37">
        <v>6</v>
      </c>
      <c r="X37" s="80">
        <f t="shared" si="17"/>
        <v>1937.1546033848683</v>
      </c>
    </row>
    <row r="38" spans="1:24" x14ac:dyDescent="0.25">
      <c r="A38" s="106" t="s">
        <v>499</v>
      </c>
      <c r="B38" s="106">
        <f t="shared" ref="B38:B40" si="54">1.6/1000</f>
        <v>1.6000000000000001E-3</v>
      </c>
      <c r="C38">
        <f t="shared" ref="C38:C40" si="55">3.8/2/1000+B38*TAN(30*PI()/180)</f>
        <v>2.8237604307034011E-3</v>
      </c>
      <c r="D38" s="65">
        <f t="shared" ref="D38:D40" si="56">$J$46/(PI()*(C38^2-($B$48/2/1000)^2))</f>
        <v>12773146.032403067</v>
      </c>
      <c r="E38" s="65">
        <f t="shared" ref="E38:E40" si="57">$B$66</f>
        <v>21954080374.382694</v>
      </c>
      <c r="F38" s="65">
        <f t="shared" ref="F38:F40" si="58">$B$65</f>
        <v>23438436822.605194</v>
      </c>
      <c r="G38" s="100">
        <f t="shared" ref="G38:G40" si="59">$C$66</f>
        <v>0.12153199414660104</v>
      </c>
      <c r="H38" s="100">
        <f t="shared" ref="H38:H40" si="60">$C$65</f>
        <v>0.1268235294117647</v>
      </c>
      <c r="I38" s="65">
        <f t="shared" si="6"/>
        <v>11513365149.421299</v>
      </c>
      <c r="J38" s="100">
        <f t="shared" ref="J38:J40" si="61">$D$66</f>
        <v>0.30148453519157836</v>
      </c>
      <c r="K38" s="100">
        <f t="shared" ref="K38:K40" si="62">$D$65</f>
        <v>0.32237405144561837</v>
      </c>
      <c r="L38" s="100">
        <f t="shared" ref="L38:L40" si="63">$F$66</f>
        <v>0.22499999999999998</v>
      </c>
      <c r="M38" s="100">
        <f t="shared" ref="M38:M40" si="64">$F$65</f>
        <v>0.22499999999999998</v>
      </c>
      <c r="N38">
        <v>0.1</v>
      </c>
      <c r="O38">
        <v>0.1</v>
      </c>
      <c r="P38">
        <f t="shared" si="11"/>
        <v>0.31157955709738194</v>
      </c>
      <c r="Q38">
        <f t="shared" si="12"/>
        <v>0.31819805153394637</v>
      </c>
      <c r="R38">
        <v>0.1</v>
      </c>
      <c r="S38" s="65">
        <f t="shared" si="13"/>
        <v>31046.661276125637</v>
      </c>
      <c r="T38">
        <f t="shared" ref="T38:T40" si="65">(PI()*(C38^2-($B$48/2/1000)^2))*1000000</f>
        <v>21.908282691476693</v>
      </c>
      <c r="U38">
        <f t="shared" ref="U38:U40" si="66">3300-32*32-3*64*2</f>
        <v>1892</v>
      </c>
      <c r="V38">
        <f t="shared" si="16"/>
        <v>1.1579430598032079E-2</v>
      </c>
      <c r="W38">
        <v>6</v>
      </c>
      <c r="X38" s="80">
        <f t="shared" si="17"/>
        <v>1937.1546033848683</v>
      </c>
    </row>
    <row r="39" spans="1:24" x14ac:dyDescent="0.25">
      <c r="A39" s="106" t="s">
        <v>502</v>
      </c>
      <c r="B39" s="106">
        <f t="shared" si="54"/>
        <v>1.6000000000000001E-3</v>
      </c>
      <c r="C39">
        <f t="shared" si="55"/>
        <v>2.8237604307034011E-3</v>
      </c>
      <c r="D39" s="65">
        <f t="shared" si="56"/>
        <v>12773146.032403067</v>
      </c>
      <c r="E39" s="65">
        <f t="shared" si="57"/>
        <v>21954080374.382694</v>
      </c>
      <c r="F39" s="65">
        <f t="shared" si="58"/>
        <v>23438436822.605194</v>
      </c>
      <c r="G39" s="100">
        <f t="shared" si="59"/>
        <v>0.12153199414660104</v>
      </c>
      <c r="H39" s="100">
        <f t="shared" si="60"/>
        <v>0.1268235294117647</v>
      </c>
      <c r="I39" s="65">
        <f t="shared" si="6"/>
        <v>11513365149.421299</v>
      </c>
      <c r="J39" s="100">
        <f t="shared" si="61"/>
        <v>0.30148453519157836</v>
      </c>
      <c r="K39" s="100">
        <f t="shared" si="62"/>
        <v>0.32237405144561837</v>
      </c>
      <c r="L39" s="100">
        <f t="shared" si="63"/>
        <v>0.22499999999999998</v>
      </c>
      <c r="M39" s="100">
        <f t="shared" si="64"/>
        <v>0.22499999999999998</v>
      </c>
      <c r="N39">
        <v>0.1</v>
      </c>
      <c r="O39">
        <v>0.1</v>
      </c>
      <c r="P39">
        <f t="shared" si="11"/>
        <v>0.31157955709738194</v>
      </c>
      <c r="Q39">
        <f t="shared" si="12"/>
        <v>0.31819805153394637</v>
      </c>
      <c r="R39">
        <v>0.1</v>
      </c>
      <c r="S39" s="65">
        <f t="shared" si="13"/>
        <v>31046.661276125637</v>
      </c>
      <c r="T39">
        <f t="shared" si="65"/>
        <v>21.908282691476693</v>
      </c>
      <c r="U39">
        <f t="shared" si="66"/>
        <v>1892</v>
      </c>
      <c r="V39">
        <f t="shared" si="16"/>
        <v>1.1579430598032079E-2</v>
      </c>
      <c r="W39">
        <v>6</v>
      </c>
      <c r="X39" s="80">
        <f t="shared" si="17"/>
        <v>1937.1546033848683</v>
      </c>
    </row>
    <row r="40" spans="1:24" x14ac:dyDescent="0.25">
      <c r="A40" s="106" t="s">
        <v>503</v>
      </c>
      <c r="B40" s="106">
        <f t="shared" si="54"/>
        <v>1.6000000000000001E-3</v>
      </c>
      <c r="C40">
        <f t="shared" si="55"/>
        <v>2.8237604307034011E-3</v>
      </c>
      <c r="D40" s="65">
        <f t="shared" si="56"/>
        <v>12773146.032403067</v>
      </c>
      <c r="E40" s="65">
        <f t="shared" si="57"/>
        <v>21954080374.382694</v>
      </c>
      <c r="F40" s="65">
        <f t="shared" si="58"/>
        <v>23438436822.605194</v>
      </c>
      <c r="G40" s="100">
        <f t="shared" si="59"/>
        <v>0.12153199414660104</v>
      </c>
      <c r="H40" s="100">
        <f t="shared" si="60"/>
        <v>0.1268235294117647</v>
      </c>
      <c r="I40" s="65">
        <f>E40*F40/(F40*(1-G40^2)+E40*(1-H40^2))</f>
        <v>11513365149.421299</v>
      </c>
      <c r="J40" s="100">
        <f t="shared" si="61"/>
        <v>0.30148453519157836</v>
      </c>
      <c r="K40" s="100">
        <f t="shared" si="62"/>
        <v>0.32237405144561837</v>
      </c>
      <c r="L40" s="100">
        <f t="shared" si="63"/>
        <v>0.22499999999999998</v>
      </c>
      <c r="M40" s="100">
        <f t="shared" si="64"/>
        <v>0.22499999999999998</v>
      </c>
      <c r="N40">
        <v>0.1</v>
      </c>
      <c r="O40">
        <v>0.1</v>
      </c>
      <c r="P40">
        <f t="shared" si="11"/>
        <v>0.31157955709738194</v>
      </c>
      <c r="Q40">
        <f t="shared" si="12"/>
        <v>0.31819805153394637</v>
      </c>
      <c r="R40">
        <v>0.1</v>
      </c>
      <c r="S40" s="65">
        <f t="shared" si="13"/>
        <v>31046.661276125637</v>
      </c>
      <c r="T40">
        <f t="shared" si="65"/>
        <v>21.908282691476693</v>
      </c>
      <c r="U40">
        <f t="shared" si="66"/>
        <v>1892</v>
      </c>
      <c r="V40">
        <f t="shared" si="16"/>
        <v>1.1579430598032079E-2</v>
      </c>
      <c r="W40">
        <v>6</v>
      </c>
      <c r="X40" s="80">
        <f t="shared" si="17"/>
        <v>1937.1546033848683</v>
      </c>
    </row>
    <row r="42" spans="1:24" x14ac:dyDescent="0.25">
      <c r="A42" s="2" t="s">
        <v>516</v>
      </c>
    </row>
    <row r="43" spans="1:24" x14ac:dyDescent="0.25">
      <c r="A43" t="s">
        <v>517</v>
      </c>
      <c r="B43" s="2" t="s">
        <v>525</v>
      </c>
      <c r="C43" s="2" t="s">
        <v>524</v>
      </c>
      <c r="D43" s="2" t="s">
        <v>546</v>
      </c>
      <c r="E43" s="2" t="s">
        <v>543</v>
      </c>
      <c r="F43" s="2" t="s">
        <v>540</v>
      </c>
      <c r="G43" s="2" t="s">
        <v>545</v>
      </c>
      <c r="H43" s="2" t="s">
        <v>542</v>
      </c>
      <c r="I43" s="2" t="s">
        <v>544</v>
      </c>
      <c r="J43" s="2" t="s">
        <v>512</v>
      </c>
      <c r="K43" s="2" t="s">
        <v>537</v>
      </c>
      <c r="L43" s="2" t="s">
        <v>519</v>
      </c>
      <c r="T43" t="s">
        <v>603</v>
      </c>
      <c r="U43" t="s">
        <v>604</v>
      </c>
    </row>
    <row r="44" spans="1:24" x14ac:dyDescent="0.25">
      <c r="A44" s="107" t="s">
        <v>530</v>
      </c>
      <c r="B44" s="107">
        <v>3</v>
      </c>
      <c r="C44" s="107">
        <v>5.5</v>
      </c>
      <c r="D44" s="107">
        <v>1000</v>
      </c>
      <c r="E44" s="107">
        <v>0.5</v>
      </c>
      <c r="F44" s="107">
        <v>0.18</v>
      </c>
      <c r="G44" s="107">
        <f>(B44+C44)/2</f>
        <v>4.25</v>
      </c>
      <c r="H44" s="107">
        <v>0.22500000000000001</v>
      </c>
      <c r="I44" s="107">
        <f>(B44+C44)/4</f>
        <v>2.125</v>
      </c>
      <c r="J44" s="113">
        <f>D44/(0.16*E44+0.58*F44*G44+H44*I44)</f>
        <v>998.17832455768223</v>
      </c>
      <c r="K44" s="107" t="s">
        <v>532</v>
      </c>
      <c r="L44" s="105" t="s">
        <v>523</v>
      </c>
      <c r="T44" t="s">
        <v>610</v>
      </c>
      <c r="U44" t="s">
        <v>609</v>
      </c>
    </row>
    <row r="45" spans="1:24" x14ac:dyDescent="0.25">
      <c r="A45" s="108" t="s">
        <v>527</v>
      </c>
      <c r="B45" s="108">
        <v>2</v>
      </c>
      <c r="C45" s="108">
        <v>3.8</v>
      </c>
      <c r="D45" s="108">
        <v>200</v>
      </c>
      <c r="E45" s="108">
        <v>0.4</v>
      </c>
      <c r="F45" s="108">
        <v>0.18</v>
      </c>
      <c r="G45" s="108">
        <f t="shared" ref="G45:G49" si="67">(B45+C45)/2</f>
        <v>2.9</v>
      </c>
      <c r="H45" s="108">
        <v>0.22500000000000001</v>
      </c>
      <c r="I45" s="108">
        <f t="shared" ref="I45:I49" si="68">(B45+C45)/4</f>
        <v>1.45</v>
      </c>
      <c r="J45" s="110">
        <f t="shared" ref="J45:J49" si="69">D45/(0.16*E45+0.58*F45*G45+H45*I45)</f>
        <v>288.59612415405263</v>
      </c>
      <c r="K45" s="108" t="s">
        <v>533</v>
      </c>
      <c r="L45" s="112" t="s">
        <v>521</v>
      </c>
      <c r="T45" t="s">
        <v>605</v>
      </c>
      <c r="U45" t="s">
        <v>606</v>
      </c>
    </row>
    <row r="46" spans="1:24" x14ac:dyDescent="0.25">
      <c r="A46" s="11" t="s">
        <v>518</v>
      </c>
      <c r="B46" s="11">
        <v>2</v>
      </c>
      <c r="C46" s="11">
        <v>4</v>
      </c>
      <c r="D46" s="11">
        <v>200</v>
      </c>
      <c r="E46" s="11">
        <v>0.4</v>
      </c>
      <c r="F46" s="11">
        <v>0.18</v>
      </c>
      <c r="G46" s="11">
        <f t="shared" si="67"/>
        <v>3</v>
      </c>
      <c r="H46" s="11">
        <v>0.22500000000000001</v>
      </c>
      <c r="I46" s="11">
        <f t="shared" si="68"/>
        <v>1.5</v>
      </c>
      <c r="J46" s="111">
        <f t="shared" si="69"/>
        <v>279.83769413740032</v>
      </c>
      <c r="K46" s="11" t="s">
        <v>535</v>
      </c>
      <c r="L46" s="105" t="s">
        <v>522</v>
      </c>
      <c r="T46" t="s">
        <v>602</v>
      </c>
      <c r="U46" t="s">
        <v>607</v>
      </c>
    </row>
    <row r="47" spans="1:24" x14ac:dyDescent="0.25">
      <c r="A47" t="s">
        <v>526</v>
      </c>
      <c r="B47">
        <v>2</v>
      </c>
      <c r="C47">
        <v>3.8</v>
      </c>
      <c r="D47">
        <v>200</v>
      </c>
      <c r="E47">
        <v>0.4</v>
      </c>
      <c r="F47">
        <v>0.18</v>
      </c>
      <c r="G47">
        <f t="shared" si="67"/>
        <v>2.9</v>
      </c>
      <c r="H47">
        <v>0.22500000000000001</v>
      </c>
      <c r="I47">
        <f t="shared" si="68"/>
        <v>1.45</v>
      </c>
      <c r="J47" s="80">
        <f t="shared" si="69"/>
        <v>288.59612415405263</v>
      </c>
      <c r="K47" t="s">
        <v>531</v>
      </c>
      <c r="L47" s="105" t="s">
        <v>520</v>
      </c>
    </row>
    <row r="48" spans="1:24" x14ac:dyDescent="0.25">
      <c r="A48" s="106" t="s">
        <v>528</v>
      </c>
      <c r="B48" s="106">
        <v>2</v>
      </c>
      <c r="C48" s="106">
        <v>3.8</v>
      </c>
      <c r="D48" s="106">
        <v>200</v>
      </c>
      <c r="E48" s="106">
        <v>0.4</v>
      </c>
      <c r="F48" s="106">
        <v>0.18</v>
      </c>
      <c r="G48" s="106">
        <f t="shared" si="67"/>
        <v>2.9</v>
      </c>
      <c r="H48" s="106">
        <v>0.22500000000000001</v>
      </c>
      <c r="I48" s="106">
        <f t="shared" si="68"/>
        <v>1.45</v>
      </c>
      <c r="J48" s="109">
        <f t="shared" si="69"/>
        <v>288.59612415405263</v>
      </c>
      <c r="K48" s="106" t="s">
        <v>536</v>
      </c>
      <c r="L48" s="105" t="s">
        <v>539</v>
      </c>
    </row>
    <row r="49" spans="1:12" x14ac:dyDescent="0.25">
      <c r="A49" t="s">
        <v>529</v>
      </c>
      <c r="B49">
        <v>2</v>
      </c>
      <c r="C49">
        <v>3.8</v>
      </c>
      <c r="D49">
        <v>200</v>
      </c>
      <c r="E49">
        <v>0.4</v>
      </c>
      <c r="F49">
        <v>0.18</v>
      </c>
      <c r="G49">
        <f t="shared" si="67"/>
        <v>2.9</v>
      </c>
      <c r="H49">
        <v>0.22500000000000001</v>
      </c>
      <c r="I49">
        <f t="shared" si="68"/>
        <v>1.45</v>
      </c>
      <c r="J49" s="80">
        <f t="shared" si="69"/>
        <v>288.59612415405263</v>
      </c>
      <c r="K49" t="s">
        <v>534</v>
      </c>
      <c r="L49" s="105" t="s">
        <v>538</v>
      </c>
    </row>
    <row r="52" spans="1:12" x14ac:dyDescent="0.25">
      <c r="A52" t="s">
        <v>541</v>
      </c>
    </row>
    <row r="54" spans="1:12" x14ac:dyDescent="0.25">
      <c r="A54" s="2" t="s">
        <v>563</v>
      </c>
      <c r="B54" s="2" t="s">
        <v>559</v>
      </c>
      <c r="C54" s="2" t="s">
        <v>564</v>
      </c>
      <c r="D54" s="2" t="s">
        <v>572</v>
      </c>
      <c r="E54" s="2" t="s">
        <v>570</v>
      </c>
      <c r="F54" s="2" t="s">
        <v>571</v>
      </c>
      <c r="G54" s="2" t="s">
        <v>567</v>
      </c>
      <c r="H54" s="2"/>
    </row>
    <row r="55" spans="1:12" x14ac:dyDescent="0.25">
      <c r="A55" t="s">
        <v>6</v>
      </c>
      <c r="B55" s="65">
        <v>21000000000</v>
      </c>
      <c r="C55">
        <v>0.11799999999999999</v>
      </c>
      <c r="D55" s="7">
        <v>0.28999999999999998</v>
      </c>
      <c r="E55" t="s">
        <v>23</v>
      </c>
      <c r="F55" t="s">
        <v>23</v>
      </c>
      <c r="G55" t="s">
        <v>23</v>
      </c>
    </row>
    <row r="56" spans="1:12" x14ac:dyDescent="0.25">
      <c r="A56" t="s">
        <v>7</v>
      </c>
      <c r="B56" s="65">
        <v>1100000000000</v>
      </c>
      <c r="C56">
        <v>0.34300000000000003</v>
      </c>
      <c r="D56">
        <v>400</v>
      </c>
      <c r="E56" t="s">
        <v>23</v>
      </c>
      <c r="F56" t="s">
        <v>23</v>
      </c>
      <c r="G56" t="s">
        <v>23</v>
      </c>
    </row>
    <row r="57" spans="1:12" x14ac:dyDescent="0.25">
      <c r="A57" t="s">
        <v>15</v>
      </c>
      <c r="B57" s="65">
        <v>3716000000</v>
      </c>
      <c r="C57">
        <v>0.17</v>
      </c>
      <c r="D57" s="7">
        <v>0.2</v>
      </c>
      <c r="E57" t="s">
        <v>23</v>
      </c>
      <c r="F57" t="s">
        <v>23</v>
      </c>
      <c r="G57" t="s">
        <v>23</v>
      </c>
    </row>
    <row r="58" spans="1:12" x14ac:dyDescent="0.25">
      <c r="A58" t="s">
        <v>562</v>
      </c>
      <c r="B58" s="65">
        <v>750000000</v>
      </c>
      <c r="C58">
        <v>0.46</v>
      </c>
      <c r="D58" s="7">
        <v>0.27</v>
      </c>
      <c r="E58">
        <v>6.3</v>
      </c>
      <c r="F58">
        <f t="shared" ref="F58:F68" si="70">1.25*E58</f>
        <v>7.875</v>
      </c>
      <c r="G58">
        <v>0.1</v>
      </c>
    </row>
    <row r="59" spans="1:12" x14ac:dyDescent="0.25">
      <c r="A59" t="s">
        <v>52</v>
      </c>
      <c r="B59" s="65">
        <v>71700000000</v>
      </c>
      <c r="C59">
        <v>0.33</v>
      </c>
      <c r="D59" s="7">
        <v>130</v>
      </c>
      <c r="E59">
        <v>6.3</v>
      </c>
      <c r="F59">
        <f t="shared" si="70"/>
        <v>7.875</v>
      </c>
      <c r="G59">
        <v>0.1</v>
      </c>
    </row>
    <row r="60" spans="1:12" x14ac:dyDescent="0.25">
      <c r="A60" t="s">
        <v>191</v>
      </c>
      <c r="B60" s="65">
        <v>22998979167.45435</v>
      </c>
      <c r="C60" s="100">
        <v>0.12528195282501373</v>
      </c>
      <c r="D60" s="100">
        <v>0.31583930722281617</v>
      </c>
      <c r="E60">
        <v>0.62</v>
      </c>
      <c r="F60">
        <f t="shared" si="70"/>
        <v>0.77500000000000002</v>
      </c>
      <c r="G60">
        <v>0.1</v>
      </c>
    </row>
    <row r="61" spans="1:12" x14ac:dyDescent="0.25">
      <c r="A61" t="s">
        <v>34</v>
      </c>
      <c r="B61" s="65">
        <v>22998979167.45435</v>
      </c>
      <c r="C61" s="100">
        <v>0.12528195282501373</v>
      </c>
      <c r="D61" s="100">
        <v>0.31583930722281617</v>
      </c>
      <c r="E61">
        <v>0.62</v>
      </c>
      <c r="F61">
        <f t="shared" si="70"/>
        <v>0.77500000000000002</v>
      </c>
      <c r="G61">
        <v>0.1</v>
      </c>
    </row>
    <row r="62" spans="1:12" x14ac:dyDescent="0.25">
      <c r="A62" t="s">
        <v>66</v>
      </c>
      <c r="B62" s="65">
        <v>22998979167.45435</v>
      </c>
      <c r="C62" s="100">
        <v>0.12528195282501373</v>
      </c>
      <c r="D62" s="100">
        <v>0.31583930722281617</v>
      </c>
      <c r="E62">
        <v>0.62</v>
      </c>
      <c r="F62">
        <f t="shared" si="70"/>
        <v>0.77500000000000002</v>
      </c>
      <c r="G62">
        <v>0.1</v>
      </c>
    </row>
    <row r="63" spans="1:12" x14ac:dyDescent="0.25">
      <c r="A63" t="s">
        <v>192</v>
      </c>
      <c r="B63" s="65">
        <v>23438436822.605194</v>
      </c>
      <c r="C63" s="100">
        <v>0.1268235294117647</v>
      </c>
      <c r="D63" s="100">
        <v>0.32237405144561837</v>
      </c>
      <c r="E63">
        <v>0.62</v>
      </c>
      <c r="F63">
        <f t="shared" si="70"/>
        <v>0.77500000000000002</v>
      </c>
      <c r="G63">
        <v>0.1</v>
      </c>
    </row>
    <row r="64" spans="1:12" x14ac:dyDescent="0.25">
      <c r="A64" t="s">
        <v>193</v>
      </c>
      <c r="B64" s="65">
        <v>23438436822.605194</v>
      </c>
      <c r="C64" s="100">
        <v>0.1268235294117647</v>
      </c>
      <c r="D64" s="100">
        <v>0.32237405144561837</v>
      </c>
      <c r="E64">
        <v>0.18</v>
      </c>
      <c r="F64">
        <f t="shared" si="70"/>
        <v>0.22499999999999998</v>
      </c>
      <c r="G64">
        <v>0.1</v>
      </c>
    </row>
    <row r="65" spans="1:7" x14ac:dyDescent="0.25">
      <c r="A65" t="s">
        <v>194</v>
      </c>
      <c r="B65" s="65">
        <v>23438436822.605194</v>
      </c>
      <c r="C65" s="100">
        <v>0.1268235294117647</v>
      </c>
      <c r="D65" s="100">
        <v>0.32237405144561837</v>
      </c>
      <c r="E65">
        <v>0.18</v>
      </c>
      <c r="F65">
        <f t="shared" si="70"/>
        <v>0.22499999999999998</v>
      </c>
      <c r="G65">
        <v>0.1</v>
      </c>
    </row>
    <row r="66" spans="1:7" x14ac:dyDescent="0.25">
      <c r="A66" t="s">
        <v>64</v>
      </c>
      <c r="B66" s="65">
        <v>21954080374.382694</v>
      </c>
      <c r="C66" s="100">
        <v>0.12153199414660104</v>
      </c>
      <c r="D66" s="100">
        <v>0.30148453519157836</v>
      </c>
      <c r="E66">
        <v>0.18</v>
      </c>
      <c r="F66">
        <f t="shared" si="70"/>
        <v>0.22499999999999998</v>
      </c>
      <c r="G66">
        <v>0.1</v>
      </c>
    </row>
    <row r="67" spans="1:7" x14ac:dyDescent="0.25">
      <c r="A67" t="s">
        <v>211</v>
      </c>
      <c r="B67" s="65">
        <v>13029546628.153971</v>
      </c>
      <c r="C67" s="100">
        <v>0.14052802494434496</v>
      </c>
      <c r="D67" s="100">
        <v>0.31347382420811998</v>
      </c>
      <c r="E67">
        <v>0.62</v>
      </c>
      <c r="F67">
        <f t="shared" si="70"/>
        <v>0.77500000000000002</v>
      </c>
      <c r="G67">
        <v>0.1</v>
      </c>
    </row>
    <row r="68" spans="1:7" x14ac:dyDescent="0.25">
      <c r="A68" t="s">
        <v>214</v>
      </c>
      <c r="B68" s="65">
        <v>12428818143.584404</v>
      </c>
      <c r="C68" s="100">
        <v>0.13287921133115013</v>
      </c>
      <c r="D68" s="100">
        <v>0.29142496305131627</v>
      </c>
      <c r="E68">
        <v>0.62</v>
      </c>
      <c r="F68">
        <f t="shared" si="70"/>
        <v>0.77500000000000002</v>
      </c>
      <c r="G68">
        <v>0.1</v>
      </c>
    </row>
    <row r="70" spans="1:7" x14ac:dyDescent="0.25">
      <c r="A70" t="s">
        <v>568</v>
      </c>
    </row>
    <row r="71" spans="1:7" x14ac:dyDescent="0.25">
      <c r="A71" t="s">
        <v>569</v>
      </c>
    </row>
  </sheetData>
  <hyperlinks>
    <hyperlink ref="L48" r:id="rId1"/>
    <hyperlink ref="L47" r:id="rId2"/>
    <hyperlink ref="L44" r:id="rId3"/>
    <hyperlink ref="L46" r:id="rId4"/>
    <hyperlink ref="L49" r:id="rId5"/>
    <hyperlink ref="L45" r:id="rId6"/>
  </hyperlinks>
  <pageMargins left="0.7" right="0.7" top="0.75" bottom="0.75" header="0.3" footer="0.3"/>
  <pageSetup paperSize="9"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opLeftCell="A33" zoomScaleNormal="100" workbookViewId="0">
      <selection activeCell="A93" sqref="A93"/>
    </sheetView>
  </sheetViews>
  <sheetFormatPr baseColWidth="10" defaultRowHeight="15" x14ac:dyDescent="0.25"/>
  <cols>
    <col min="1" max="1" width="20.28515625" customWidth="1"/>
  </cols>
  <sheetData>
    <row r="1" spans="1:8" ht="30" x14ac:dyDescent="0.25">
      <c r="A1" s="13" t="s">
        <v>131</v>
      </c>
      <c r="B1" s="13"/>
      <c r="C1" s="14"/>
      <c r="D1" s="14"/>
      <c r="E1" s="14" t="e">
        <f>#REF!/1000/1000/1000</f>
        <v>#REF!</v>
      </c>
      <c r="F1" s="14"/>
      <c r="G1" s="14"/>
      <c r="H1" s="14"/>
    </row>
    <row r="2" spans="1:8" x14ac:dyDescent="0.25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25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25">
      <c r="A4" t="s">
        <v>87</v>
      </c>
      <c r="E4" t="s">
        <v>132</v>
      </c>
    </row>
    <row r="7" spans="1:8" x14ac:dyDescent="0.25">
      <c r="A7" t="s">
        <v>133</v>
      </c>
      <c r="B7" t="s">
        <v>134</v>
      </c>
    </row>
    <row r="8" spans="1:8" x14ac:dyDescent="0.25">
      <c r="A8" t="s">
        <v>135</v>
      </c>
      <c r="B8" t="s">
        <v>136</v>
      </c>
    </row>
    <row r="9" spans="1:8" x14ac:dyDescent="0.25">
      <c r="A9" t="s">
        <v>137</v>
      </c>
      <c r="B9" t="s">
        <v>141</v>
      </c>
    </row>
    <row r="10" spans="1:8" x14ac:dyDescent="0.25">
      <c r="A10" t="s">
        <v>138</v>
      </c>
      <c r="B10" t="s">
        <v>139</v>
      </c>
    </row>
    <row r="11" spans="1:8" x14ac:dyDescent="0.25">
      <c r="A11" t="s">
        <v>143</v>
      </c>
      <c r="B11" t="s">
        <v>140</v>
      </c>
    </row>
    <row r="12" spans="1:8" x14ac:dyDescent="0.25">
      <c r="A12" t="s">
        <v>142</v>
      </c>
      <c r="B12">
        <v>9.5</v>
      </c>
    </row>
    <row r="14" spans="1:8" x14ac:dyDescent="0.25">
      <c r="A14" t="s">
        <v>155</v>
      </c>
      <c r="B14">
        <v>9.8000000000000007</v>
      </c>
    </row>
    <row r="15" spans="1:8" x14ac:dyDescent="0.25">
      <c r="A15" t="s">
        <v>156</v>
      </c>
      <c r="B15">
        <v>10.199999999999999</v>
      </c>
    </row>
    <row r="16" spans="1:8" x14ac:dyDescent="0.25">
      <c r="A16" t="s">
        <v>157</v>
      </c>
      <c r="B16">
        <v>11.2</v>
      </c>
    </row>
    <row r="17" spans="1:9" x14ac:dyDescent="0.25">
      <c r="A17" t="s">
        <v>158</v>
      </c>
      <c r="B17">
        <v>11.4</v>
      </c>
    </row>
    <row r="23" spans="1:9" x14ac:dyDescent="0.25">
      <c r="A23" t="s">
        <v>345</v>
      </c>
      <c r="B23" t="s">
        <v>346</v>
      </c>
    </row>
    <row r="24" spans="1:9" x14ac:dyDescent="0.25">
      <c r="A24" t="s">
        <v>174</v>
      </c>
      <c r="D24" t="s">
        <v>182</v>
      </c>
    </row>
    <row r="25" spans="1:9" x14ac:dyDescent="0.25">
      <c r="A25" t="s">
        <v>175</v>
      </c>
      <c r="B25">
        <v>4</v>
      </c>
      <c r="C25" t="s">
        <v>176</v>
      </c>
      <c r="D25">
        <v>3.5000000000000003E-2</v>
      </c>
      <c r="E25">
        <f>D25*B25</f>
        <v>0.14000000000000001</v>
      </c>
      <c r="G25" t="s">
        <v>187</v>
      </c>
      <c r="I25" t="s">
        <v>188</v>
      </c>
    </row>
    <row r="26" spans="1:9" x14ac:dyDescent="0.25">
      <c r="A26" t="s">
        <v>177</v>
      </c>
      <c r="B26">
        <v>3</v>
      </c>
      <c r="C26" t="s">
        <v>176</v>
      </c>
      <c r="D26">
        <v>0.48</v>
      </c>
      <c r="E26">
        <f t="shared" ref="E26:E27" si="0">D26*B26</f>
        <v>1.44</v>
      </c>
    </row>
    <row r="27" spans="1:9" x14ac:dyDescent="0.25">
      <c r="A27" t="s">
        <v>178</v>
      </c>
      <c r="B27">
        <v>2</v>
      </c>
      <c r="C27" t="s">
        <v>179</v>
      </c>
      <c r="D27">
        <v>0.01</v>
      </c>
      <c r="E27">
        <f t="shared" si="0"/>
        <v>0.02</v>
      </c>
    </row>
    <row r="30" spans="1:9" x14ac:dyDescent="0.25">
      <c r="A30" t="s">
        <v>186</v>
      </c>
    </row>
    <row r="31" spans="1:9" x14ac:dyDescent="0.25">
      <c r="A31" t="s">
        <v>175</v>
      </c>
      <c r="B31">
        <v>6</v>
      </c>
      <c r="C31" t="s">
        <v>180</v>
      </c>
      <c r="D31">
        <v>3.5000000000000003E-2</v>
      </c>
      <c r="E31">
        <f>D31*B31</f>
        <v>0.21000000000000002</v>
      </c>
    </row>
    <row r="32" spans="1:9" x14ac:dyDescent="0.25">
      <c r="A32" t="s">
        <v>177</v>
      </c>
      <c r="B32">
        <v>3</v>
      </c>
      <c r="C32" t="s">
        <v>179</v>
      </c>
      <c r="D32">
        <v>0.1</v>
      </c>
      <c r="E32">
        <f t="shared" ref="E32:E33" si="1">D32*B32</f>
        <v>0.30000000000000004</v>
      </c>
    </row>
    <row r="33" spans="1:15" x14ac:dyDescent="0.25">
      <c r="A33" t="s">
        <v>177</v>
      </c>
      <c r="B33">
        <v>2</v>
      </c>
      <c r="C33" t="s">
        <v>179</v>
      </c>
      <c r="D33">
        <v>0.73499999999999999</v>
      </c>
      <c r="E33">
        <f t="shared" si="1"/>
        <v>1.47</v>
      </c>
    </row>
    <row r="34" spans="1:15" x14ac:dyDescent="0.25">
      <c r="A34" t="s">
        <v>178</v>
      </c>
      <c r="B34">
        <v>2</v>
      </c>
      <c r="C34" t="s">
        <v>179</v>
      </c>
      <c r="D34">
        <v>0.01</v>
      </c>
      <c r="E34">
        <f>D34*B34</f>
        <v>0.02</v>
      </c>
    </row>
    <row r="36" spans="1:15" x14ac:dyDescent="0.25">
      <c r="A36" t="s">
        <v>181</v>
      </c>
    </row>
    <row r="37" spans="1:15" x14ac:dyDescent="0.25">
      <c r="A37" t="s">
        <v>175</v>
      </c>
      <c r="B37">
        <v>6</v>
      </c>
      <c r="C37" t="s">
        <v>176</v>
      </c>
      <c r="D37">
        <v>3.5000000000000003E-2</v>
      </c>
      <c r="E37">
        <f>D37*B37</f>
        <v>0.21000000000000002</v>
      </c>
    </row>
    <row r="38" spans="1:15" x14ac:dyDescent="0.25">
      <c r="A38" t="s">
        <v>177</v>
      </c>
      <c r="B38">
        <v>5</v>
      </c>
      <c r="C38" t="s">
        <v>183</v>
      </c>
      <c r="D38">
        <v>0.35399999999999998</v>
      </c>
      <c r="E38">
        <f t="shared" ref="E38:E39" si="2">D38*B38</f>
        <v>1.77</v>
      </c>
    </row>
    <row r="39" spans="1:15" x14ac:dyDescent="0.25">
      <c r="A39" t="s">
        <v>178</v>
      </c>
      <c r="B39">
        <v>2</v>
      </c>
      <c r="C39" t="s">
        <v>183</v>
      </c>
      <c r="D39">
        <v>0.01</v>
      </c>
      <c r="E39">
        <f t="shared" si="2"/>
        <v>0.02</v>
      </c>
    </row>
    <row r="41" spans="1:15" x14ac:dyDescent="0.25">
      <c r="A41" t="s">
        <v>64</v>
      </c>
      <c r="O41" t="s">
        <v>188</v>
      </c>
    </row>
    <row r="42" spans="1:15" x14ac:dyDescent="0.25">
      <c r="A42" t="s">
        <v>185</v>
      </c>
      <c r="B42">
        <v>2</v>
      </c>
      <c r="C42" t="s">
        <v>183</v>
      </c>
      <c r="D42">
        <v>3.5000000000000003E-2</v>
      </c>
      <c r="E42">
        <f>D42*B42</f>
        <v>7.0000000000000007E-2</v>
      </c>
    </row>
    <row r="43" spans="1:15" x14ac:dyDescent="0.25">
      <c r="A43" t="s">
        <v>177</v>
      </c>
      <c r="B43">
        <v>1</v>
      </c>
      <c r="C43" t="s">
        <v>183</v>
      </c>
      <c r="D43">
        <v>1.51</v>
      </c>
      <c r="E43">
        <f t="shared" ref="E43:E44" si="3">D43*B43</f>
        <v>1.51</v>
      </c>
    </row>
    <row r="44" spans="1:15" x14ac:dyDescent="0.25">
      <c r="A44" t="s">
        <v>178</v>
      </c>
      <c r="B44">
        <v>2</v>
      </c>
      <c r="C44" t="s">
        <v>183</v>
      </c>
      <c r="D44">
        <v>0.01</v>
      </c>
      <c r="E44">
        <f t="shared" si="3"/>
        <v>0.02</v>
      </c>
    </row>
    <row r="46" spans="1:15" x14ac:dyDescent="0.25">
      <c r="A46" t="s">
        <v>209</v>
      </c>
    </row>
    <row r="47" spans="1:15" x14ac:dyDescent="0.25">
      <c r="A47" t="s">
        <v>177</v>
      </c>
      <c r="B47">
        <v>1</v>
      </c>
      <c r="C47" t="s">
        <v>183</v>
      </c>
      <c r="D47">
        <v>0.21</v>
      </c>
      <c r="E47">
        <f>D47*B47</f>
        <v>0.21</v>
      </c>
      <c r="G47" s="3"/>
    </row>
    <row r="48" spans="1:15" x14ac:dyDescent="0.25">
      <c r="A48" t="s">
        <v>185</v>
      </c>
      <c r="B48">
        <v>2</v>
      </c>
      <c r="C48" t="s">
        <v>183</v>
      </c>
      <c r="D48">
        <v>3.5000000000000003E-2</v>
      </c>
      <c r="E48">
        <f t="shared" ref="E48" si="4">D48*B48</f>
        <v>7.0000000000000007E-2</v>
      </c>
    </row>
    <row r="49" spans="1:16" x14ac:dyDescent="0.25">
      <c r="A49" t="s">
        <v>178</v>
      </c>
      <c r="B49">
        <v>2</v>
      </c>
      <c r="C49" t="s">
        <v>183</v>
      </c>
      <c r="D49">
        <v>0.01</v>
      </c>
      <c r="E49">
        <f>D49*B49</f>
        <v>0.02</v>
      </c>
    </row>
    <row r="51" spans="1:16" x14ac:dyDescent="0.25">
      <c r="A51" t="s">
        <v>212</v>
      </c>
    </row>
    <row r="52" spans="1:16" x14ac:dyDescent="0.25">
      <c r="A52" t="s">
        <v>177</v>
      </c>
      <c r="B52">
        <v>1</v>
      </c>
      <c r="C52" t="s">
        <v>183</v>
      </c>
      <c r="D52">
        <v>0.91</v>
      </c>
      <c r="E52">
        <f>D52*B52</f>
        <v>0.91</v>
      </c>
    </row>
    <row r="53" spans="1:16" x14ac:dyDescent="0.25">
      <c r="A53" t="s">
        <v>185</v>
      </c>
      <c r="B53">
        <v>2</v>
      </c>
      <c r="C53" t="s">
        <v>183</v>
      </c>
      <c r="D53">
        <v>3.5000000000000003E-2</v>
      </c>
      <c r="E53">
        <f t="shared" ref="E53" si="5">D53*B53</f>
        <v>7.0000000000000007E-2</v>
      </c>
      <c r="H53" t="s">
        <v>225</v>
      </c>
    </row>
    <row r="54" spans="1:16" x14ac:dyDescent="0.25">
      <c r="A54" t="s">
        <v>178</v>
      </c>
      <c r="B54">
        <v>2</v>
      </c>
      <c r="C54" t="s">
        <v>183</v>
      </c>
      <c r="D54">
        <v>0.01</v>
      </c>
      <c r="E54">
        <f>D54*B54</f>
        <v>0.02</v>
      </c>
      <c r="H54" t="s">
        <v>226</v>
      </c>
      <c r="I54" t="s">
        <v>227</v>
      </c>
    </row>
    <row r="55" spans="1:16" x14ac:dyDescent="0.25">
      <c r="H55">
        <v>24.88</v>
      </c>
      <c r="I55" t="s">
        <v>228</v>
      </c>
      <c r="K55" s="54">
        <v>7.1000000000000004E-3</v>
      </c>
      <c r="M55" t="s">
        <v>230</v>
      </c>
      <c r="O55" t="s">
        <v>232</v>
      </c>
    </row>
    <row r="56" spans="1:16" x14ac:dyDescent="0.25">
      <c r="A56" t="s">
        <v>213</v>
      </c>
      <c r="H56">
        <v>10.119999999999999</v>
      </c>
      <c r="I56" t="s">
        <v>229</v>
      </c>
      <c r="K56" s="54">
        <v>2.8999999999999998E-3</v>
      </c>
      <c r="M56" t="s">
        <v>231</v>
      </c>
      <c r="O56" t="s">
        <v>233</v>
      </c>
      <c r="P56" t="s">
        <v>234</v>
      </c>
    </row>
    <row r="57" spans="1:16" x14ac:dyDescent="0.25">
      <c r="A57" t="s">
        <v>185</v>
      </c>
      <c r="B57">
        <v>0</v>
      </c>
      <c r="C57" t="s">
        <v>183</v>
      </c>
      <c r="D57">
        <v>0</v>
      </c>
      <c r="E57">
        <f t="shared" ref="E57" si="6">D57*B57</f>
        <v>0</v>
      </c>
      <c r="F57" t="s">
        <v>236</v>
      </c>
    </row>
    <row r="58" spans="1:16" x14ac:dyDescent="0.25">
      <c r="A58" t="s">
        <v>208</v>
      </c>
      <c r="B58">
        <v>1</v>
      </c>
      <c r="C58" t="s">
        <v>183</v>
      </c>
      <c r="D58">
        <v>0.254</v>
      </c>
      <c r="E58">
        <f t="shared" ref="E58:E59" si="7">D58*B58</f>
        <v>0.254</v>
      </c>
      <c r="F58" t="s">
        <v>237</v>
      </c>
    </row>
    <row r="59" spans="1:16" x14ac:dyDescent="0.25">
      <c r="A59" t="s">
        <v>178</v>
      </c>
      <c r="B59">
        <v>0</v>
      </c>
      <c r="C59" t="s">
        <v>183</v>
      </c>
      <c r="D59">
        <v>0</v>
      </c>
      <c r="E59">
        <f t="shared" si="7"/>
        <v>0</v>
      </c>
      <c r="F59" s="3"/>
    </row>
    <row r="62" spans="1:16" x14ac:dyDescent="0.25">
      <c r="A62" t="s">
        <v>214</v>
      </c>
    </row>
    <row r="63" spans="1:16" x14ac:dyDescent="0.25">
      <c r="A63" t="s">
        <v>208</v>
      </c>
      <c r="B63">
        <f>E58</f>
        <v>0.254</v>
      </c>
    </row>
    <row r="64" spans="1:16" x14ac:dyDescent="0.25">
      <c r="A64" t="s">
        <v>177</v>
      </c>
      <c r="B64">
        <f>E52+E47</f>
        <v>1.1200000000000001</v>
      </c>
    </row>
    <row r="65" spans="1:5" x14ac:dyDescent="0.25">
      <c r="A65" t="s">
        <v>185</v>
      </c>
      <c r="B65">
        <f>E53+E48</f>
        <v>0.14000000000000001</v>
      </c>
    </row>
    <row r="66" spans="1:5" x14ac:dyDescent="0.25">
      <c r="A66" t="s">
        <v>178</v>
      </c>
      <c r="B66">
        <f>E54+E49</f>
        <v>0.04</v>
      </c>
    </row>
    <row r="69" spans="1:5" x14ac:dyDescent="0.25">
      <c r="A69" t="s">
        <v>184</v>
      </c>
    </row>
    <row r="70" spans="1:5" x14ac:dyDescent="0.25">
      <c r="A70" t="s">
        <v>208</v>
      </c>
      <c r="B70">
        <v>1</v>
      </c>
      <c r="C70" t="s">
        <v>183</v>
      </c>
      <c r="D70">
        <v>0.21</v>
      </c>
      <c r="E70">
        <f>D70*B70</f>
        <v>0.21</v>
      </c>
    </row>
    <row r="71" spans="1:5" x14ac:dyDescent="0.25">
      <c r="A71" t="s">
        <v>185</v>
      </c>
      <c r="B71">
        <v>2</v>
      </c>
      <c r="C71" t="s">
        <v>183</v>
      </c>
      <c r="D71">
        <v>3.5000000000000003E-2</v>
      </c>
      <c r="E71">
        <f t="shared" ref="E71" si="8">D71*B71</f>
        <v>7.0000000000000007E-2</v>
      </c>
    </row>
    <row r="72" spans="1:5" x14ac:dyDescent="0.25">
      <c r="A72" t="s">
        <v>178</v>
      </c>
      <c r="B72">
        <v>2</v>
      </c>
      <c r="C72" t="s">
        <v>183</v>
      </c>
      <c r="D72">
        <v>0.01</v>
      </c>
      <c r="E72">
        <f>D72*B72</f>
        <v>0.02</v>
      </c>
    </row>
    <row r="75" spans="1:5" x14ac:dyDescent="0.25">
      <c r="A75" t="s">
        <v>210</v>
      </c>
    </row>
    <row r="76" spans="1:5" x14ac:dyDescent="0.25">
      <c r="A76" t="s">
        <v>177</v>
      </c>
      <c r="B76">
        <v>3</v>
      </c>
      <c r="C76" t="s">
        <v>183</v>
      </c>
      <c r="D76">
        <v>0.28000000000000003</v>
      </c>
      <c r="E76">
        <f>D76*B76</f>
        <v>0.84000000000000008</v>
      </c>
    </row>
    <row r="77" spans="1:5" x14ac:dyDescent="0.25">
      <c r="A77" t="s">
        <v>185</v>
      </c>
      <c r="B77">
        <v>4</v>
      </c>
      <c r="C77" t="s">
        <v>183</v>
      </c>
      <c r="D77">
        <v>3.5000000000000003E-2</v>
      </c>
      <c r="E77">
        <f t="shared" ref="E77" si="9">D77*B77</f>
        <v>0.14000000000000001</v>
      </c>
    </row>
    <row r="78" spans="1:5" x14ac:dyDescent="0.25">
      <c r="A78" t="s">
        <v>178</v>
      </c>
      <c r="B78">
        <v>2</v>
      </c>
      <c r="C78" t="s">
        <v>183</v>
      </c>
      <c r="D78">
        <v>0.01</v>
      </c>
      <c r="E78">
        <f>D78*B78</f>
        <v>0.02</v>
      </c>
    </row>
    <row r="80" spans="1:5" x14ac:dyDescent="0.25">
      <c r="A80" t="s">
        <v>211</v>
      </c>
    </row>
    <row r="81" spans="1:9" x14ac:dyDescent="0.25">
      <c r="A81" t="s">
        <v>177</v>
      </c>
      <c r="B81">
        <f>E76</f>
        <v>0.84000000000000008</v>
      </c>
    </row>
    <row r="82" spans="1:9" x14ac:dyDescent="0.25">
      <c r="A82" t="s">
        <v>208</v>
      </c>
      <c r="B82">
        <f>E70</f>
        <v>0.21</v>
      </c>
    </row>
    <row r="83" spans="1:9" x14ac:dyDescent="0.25">
      <c r="A83" t="s">
        <v>185</v>
      </c>
      <c r="B83">
        <f>E71+E77</f>
        <v>0.21000000000000002</v>
      </c>
    </row>
    <row r="84" spans="1:9" x14ac:dyDescent="0.25">
      <c r="A84" t="s">
        <v>178</v>
      </c>
      <c r="B84">
        <f>E72+E78</f>
        <v>0.04</v>
      </c>
    </row>
    <row r="88" spans="1:9" x14ac:dyDescent="0.25">
      <c r="I88" t="s">
        <v>577</v>
      </c>
    </row>
    <row r="89" spans="1:9" x14ac:dyDescent="0.25">
      <c r="A89" t="s">
        <v>582</v>
      </c>
    </row>
    <row r="90" spans="1:9" x14ac:dyDescent="0.25">
      <c r="A90">
        <f>(10257-1531)*0.8</f>
        <v>6980.8</v>
      </c>
      <c r="B90">
        <v>7000</v>
      </c>
    </row>
    <row r="91" spans="1:9" x14ac:dyDescent="0.25">
      <c r="A91" t="s">
        <v>583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Materials</vt:lpstr>
      <vt:lpstr>Masses and Volumes</vt:lpstr>
      <vt:lpstr>Properties PCBs &amp; Spacers</vt:lpstr>
      <vt:lpstr>Bulks</vt:lpstr>
      <vt:lpstr>UDC</vt:lpstr>
      <vt:lpstr>Power</vt:lpstr>
      <vt:lpstr>TCR-CI</vt:lpstr>
      <vt:lpstr>TCR-Bolted</vt:lpstr>
      <vt:lpstr>Extra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Óscar Pavón Amador</cp:lastModifiedBy>
  <dcterms:created xsi:type="dcterms:W3CDTF">2025-03-01T18:07:48Z</dcterms:created>
  <dcterms:modified xsi:type="dcterms:W3CDTF">2025-05-12T21:46:23Z</dcterms:modified>
</cp:coreProperties>
</file>