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0f/shared/"/>
    </mc:Choice>
  </mc:AlternateContent>
  <xr:revisionPtr revIDLastSave="0" documentId="13_ncr:1_{21E209EB-0E44-9544-A82B-823298B030A3}" xr6:coauthVersionLast="47" xr6:coauthVersionMax="47" xr10:uidLastSave="{00000000-0000-0000-0000-000000000000}"/>
  <bookViews>
    <workbookView xWindow="0" yWindow="500" windowWidth="19880" windowHeight="194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8" i="1" l="1"/>
  <c r="K226" i="1"/>
  <c r="K222" i="1"/>
  <c r="K200" i="1"/>
  <c r="K196" i="1"/>
  <c r="K192" i="1"/>
  <c r="K184" i="1"/>
  <c r="H180" i="1"/>
  <c r="H175" i="1"/>
  <c r="H169" i="1"/>
  <c r="J164" i="1"/>
  <c r="J160" i="1"/>
  <c r="J156" i="1"/>
  <c r="J152" i="1"/>
  <c r="J148" i="1"/>
  <c r="J144" i="1"/>
  <c r="J140" i="1"/>
  <c r="J136" i="1"/>
  <c r="J132" i="1"/>
  <c r="J128" i="1"/>
  <c r="J124" i="1"/>
  <c r="J120" i="1"/>
  <c r="J116" i="1"/>
  <c r="J112" i="1"/>
  <c r="J108" i="1"/>
  <c r="J104" i="1"/>
  <c r="J100" i="1"/>
  <c r="H225" i="1"/>
  <c r="J214" i="1"/>
  <c r="H208" i="1"/>
  <c r="J196" i="1"/>
  <c r="H191" i="1"/>
  <c r="G186" i="1"/>
  <c r="J166" i="1"/>
  <c r="H160" i="1"/>
  <c r="K149" i="1"/>
  <c r="H132" i="1"/>
  <c r="H116" i="1"/>
  <c r="H100" i="1"/>
  <c r="J92" i="1"/>
  <c r="J88" i="1"/>
  <c r="J79" i="1"/>
  <c r="H66" i="1"/>
  <c r="J60" i="1"/>
  <c r="J56" i="1"/>
  <c r="J52" i="1"/>
  <c r="J48" i="1"/>
  <c r="J44" i="1"/>
  <c r="J40" i="1"/>
  <c r="K27" i="1"/>
  <c r="K19" i="1"/>
  <c r="K15" i="1"/>
  <c r="K146" i="1"/>
  <c r="H141" i="1"/>
  <c r="K130" i="1"/>
  <c r="H125" i="1"/>
  <c r="K114" i="1"/>
  <c r="H109" i="1"/>
  <c r="K98" i="1"/>
  <c r="H91" i="1"/>
  <c r="K86" i="1"/>
  <c r="H77" i="1"/>
  <c r="H58" i="1"/>
  <c r="J227" i="1"/>
  <c r="H222" i="1"/>
  <c r="J211" i="1"/>
  <c r="H204" i="1"/>
  <c r="J193" i="1"/>
  <c r="H188" i="1"/>
  <c r="J182" i="1"/>
  <c r="K168" i="1"/>
  <c r="K162" i="1"/>
  <c r="H157" i="1"/>
  <c r="G226" i="1"/>
  <c r="H220" i="1"/>
  <c r="J208" i="1"/>
  <c r="H186" i="1"/>
  <c r="G172" i="1"/>
  <c r="H139" i="1"/>
  <c r="K128" i="1"/>
  <c r="G118" i="1"/>
  <c r="H107" i="1"/>
  <c r="K93" i="1"/>
  <c r="K229" i="1"/>
  <c r="K225" i="1"/>
  <c r="K221" i="1"/>
  <c r="K217" i="1"/>
  <c r="K213" i="1"/>
  <c r="K208" i="1"/>
  <c r="K203" i="1"/>
  <c r="K195" i="1"/>
  <c r="K191" i="1"/>
  <c r="K187" i="1"/>
  <c r="K183" i="1"/>
  <c r="H179" i="1"/>
  <c r="H172" i="1"/>
  <c r="H168" i="1"/>
  <c r="J163" i="1"/>
  <c r="J159" i="1"/>
  <c r="J155" i="1"/>
  <c r="J151" i="1"/>
  <c r="J147" i="1"/>
  <c r="J143" i="1"/>
  <c r="J139" i="1"/>
  <c r="J135" i="1"/>
  <c r="J131" i="1"/>
  <c r="J127" i="1"/>
  <c r="J123" i="1"/>
  <c r="J119" i="1"/>
  <c r="J115" i="1"/>
  <c r="J111" i="1"/>
  <c r="J107" i="1"/>
  <c r="J103" i="1"/>
  <c r="J99" i="1"/>
  <c r="J229" i="1"/>
  <c r="J218" i="1"/>
  <c r="H213" i="1"/>
  <c r="J200" i="1"/>
  <c r="H195" i="1"/>
  <c r="G190" i="1"/>
  <c r="J184" i="1"/>
  <c r="K178" i="1"/>
  <c r="J170" i="1"/>
  <c r="H164" i="1"/>
  <c r="K153" i="1"/>
  <c r="G147" i="1"/>
  <c r="H136" i="1"/>
  <c r="G131" i="1"/>
  <c r="K125" i="1"/>
  <c r="H120" i="1"/>
  <c r="G115" i="1"/>
  <c r="H104" i="1"/>
  <c r="J91" i="1"/>
  <c r="J78" i="1"/>
  <c r="H69" i="1"/>
  <c r="H65" i="1"/>
  <c r="J59" i="1"/>
  <c r="J55" i="1"/>
  <c r="J51" i="1"/>
  <c r="J47" i="1"/>
  <c r="J43" i="1"/>
  <c r="J39" i="1"/>
  <c r="K26" i="1"/>
  <c r="K22" i="1"/>
  <c r="K14" i="1"/>
  <c r="K9" i="1"/>
  <c r="H145" i="1"/>
  <c r="H129" i="1"/>
  <c r="G124" i="1"/>
  <c r="K118" i="1"/>
  <c r="H113" i="1"/>
  <c r="K102" i="1"/>
  <c r="K95" i="1"/>
  <c r="H90" i="1"/>
  <c r="K80" i="1"/>
  <c r="H61" i="1"/>
  <c r="H57" i="1"/>
  <c r="H226" i="1"/>
  <c r="J215" i="1"/>
  <c r="H210" i="1"/>
  <c r="G203" i="1"/>
  <c r="J197" i="1"/>
  <c r="H192" i="1"/>
  <c r="J167" i="1"/>
  <c r="H161" i="1"/>
  <c r="H228" i="1"/>
  <c r="J217" i="1"/>
  <c r="H194" i="1"/>
  <c r="J183" i="1"/>
  <c r="J169" i="1"/>
  <c r="H147" i="1"/>
  <c r="G126" i="1"/>
  <c r="H115" i="1"/>
  <c r="J83" i="1"/>
  <c r="J74" i="1"/>
  <c r="K65" i="1"/>
  <c r="K50" i="1"/>
  <c r="K228" i="1"/>
  <c r="K212" i="1"/>
  <c r="K206" i="1"/>
  <c r="K202" i="1"/>
  <c r="K194" i="1"/>
  <c r="K190" i="1"/>
  <c r="K186" i="1"/>
  <c r="H182" i="1"/>
  <c r="H178" i="1"/>
  <c r="H171" i="1"/>
  <c r="H167" i="1"/>
  <c r="J162" i="1"/>
  <c r="J158" i="1"/>
  <c r="J154" i="1"/>
  <c r="J150" i="1"/>
  <c r="J146" i="1"/>
  <c r="J142" i="1"/>
  <c r="J138" i="1"/>
  <c r="J134" i="1"/>
  <c r="J130" i="1"/>
  <c r="J126" i="1"/>
  <c r="J122" i="1"/>
  <c r="J118" i="1"/>
  <c r="J114" i="1"/>
  <c r="J110" i="1"/>
  <c r="J106" i="1"/>
  <c r="J102" i="1"/>
  <c r="J98" i="1"/>
  <c r="G228" i="1"/>
  <c r="J222" i="1"/>
  <c r="H217" i="1"/>
  <c r="J204" i="1"/>
  <c r="H199" i="1"/>
  <c r="J188" i="1"/>
  <c r="K182" i="1"/>
  <c r="J177" i="1"/>
  <c r="G163" i="1"/>
  <c r="H152" i="1"/>
  <c r="K145" i="1"/>
  <c r="H140" i="1"/>
  <c r="H124" i="1"/>
  <c r="G119" i="1"/>
  <c r="H108" i="1"/>
  <c r="K97" i="1"/>
  <c r="J90" i="1"/>
  <c r="G86" i="1"/>
  <c r="G82" i="1"/>
  <c r="J77" i="1"/>
  <c r="H68" i="1"/>
  <c r="H64" i="1"/>
  <c r="J58" i="1"/>
  <c r="J54" i="1"/>
  <c r="J50" i="1"/>
  <c r="J46" i="1"/>
  <c r="J42" i="1"/>
  <c r="H38" i="1"/>
  <c r="K21" i="1"/>
  <c r="K13" i="1"/>
  <c r="K8" i="1"/>
  <c r="K3" i="1"/>
  <c r="H149" i="1"/>
  <c r="H133" i="1"/>
  <c r="H117" i="1"/>
  <c r="K106" i="1"/>
  <c r="H101" i="1"/>
  <c r="H93" i="1"/>
  <c r="H89" i="1"/>
  <c r="H79" i="1"/>
  <c r="K70" i="1"/>
  <c r="H60" i="1"/>
  <c r="H56" i="1"/>
  <c r="G225" i="1"/>
  <c r="J219" i="1"/>
  <c r="H214" i="1"/>
  <c r="J201" i="1"/>
  <c r="H196" i="1"/>
  <c r="G191" i="1"/>
  <c r="J185" i="1"/>
  <c r="K179" i="1"/>
  <c r="J171" i="1"/>
  <c r="K154" i="1"/>
  <c r="J225" i="1"/>
  <c r="G215" i="1"/>
  <c r="H202" i="1"/>
  <c r="J191" i="1"/>
  <c r="J180" i="1"/>
  <c r="H155" i="1"/>
  <c r="K144" i="1"/>
  <c r="H123" i="1"/>
  <c r="K112" i="1"/>
  <c r="K89" i="1"/>
  <c r="J81" i="1"/>
  <c r="J72" i="1"/>
  <c r="K62" i="1"/>
  <c r="K193" i="1"/>
  <c r="H177" i="1"/>
  <c r="J157" i="1"/>
  <c r="J141" i="1"/>
  <c r="J125" i="1"/>
  <c r="J109" i="1"/>
  <c r="J226" i="1"/>
  <c r="H203" i="1"/>
  <c r="J181" i="1"/>
  <c r="H156" i="1"/>
  <c r="K133" i="1"/>
  <c r="H112" i="1"/>
  <c r="J89" i="1"/>
  <c r="J53" i="1"/>
  <c r="G37" i="1"/>
  <c r="K20" i="1"/>
  <c r="H153" i="1"/>
  <c r="K110" i="1"/>
  <c r="K87" i="1"/>
  <c r="J223" i="1"/>
  <c r="H200" i="1"/>
  <c r="J178" i="1"/>
  <c r="J228" i="1"/>
  <c r="G189" i="1"/>
  <c r="H99" i="1"/>
  <c r="G77" i="1"/>
  <c r="K36" i="1"/>
  <c r="J31" i="1"/>
  <c r="J20" i="1"/>
  <c r="H15" i="1"/>
  <c r="G9" i="1"/>
  <c r="H227" i="1"/>
  <c r="J216" i="1"/>
  <c r="H193" i="1"/>
  <c r="G182" i="1"/>
  <c r="J168" i="1"/>
  <c r="J186" i="1"/>
  <c r="H130" i="1"/>
  <c r="K116" i="1"/>
  <c r="H102" i="1"/>
  <c r="J86" i="1"/>
  <c r="J75" i="1"/>
  <c r="J64" i="1"/>
  <c r="H31" i="1"/>
  <c r="J8" i="1"/>
  <c r="H216" i="1"/>
  <c r="K124" i="1"/>
  <c r="K99" i="1"/>
  <c r="J73" i="1"/>
  <c r="K53" i="1"/>
  <c r="H39" i="1"/>
  <c r="H26" i="1"/>
  <c r="J13" i="1"/>
  <c r="J195" i="1"/>
  <c r="H151" i="1"/>
  <c r="H122" i="1"/>
  <c r="H81" i="1"/>
  <c r="K68" i="1"/>
  <c r="J34" i="1"/>
  <c r="J3" i="1"/>
  <c r="H205" i="1"/>
  <c r="G184" i="1"/>
  <c r="H158" i="1"/>
  <c r="H143" i="1"/>
  <c r="H114" i="1"/>
  <c r="K100" i="1"/>
  <c r="K85" i="1"/>
  <c r="H74" i="1"/>
  <c r="H52" i="1"/>
  <c r="K37" i="1"/>
  <c r="H30" i="1"/>
  <c r="J9" i="1"/>
  <c r="J203" i="1"/>
  <c r="K181" i="1"/>
  <c r="K156" i="1"/>
  <c r="H135" i="1"/>
  <c r="H103" i="1"/>
  <c r="H37" i="1"/>
  <c r="G19" i="1"/>
  <c r="J4" i="1"/>
  <c r="H181" i="1"/>
  <c r="J161" i="1"/>
  <c r="J113" i="1"/>
  <c r="K161" i="1"/>
  <c r="J76" i="1"/>
  <c r="K24" i="1"/>
  <c r="G116" i="1"/>
  <c r="K73" i="1"/>
  <c r="H184" i="1"/>
  <c r="K223" i="1"/>
  <c r="K189" i="1"/>
  <c r="H170" i="1"/>
  <c r="J153" i="1"/>
  <c r="J137" i="1"/>
  <c r="J121" i="1"/>
  <c r="J105" i="1"/>
  <c r="H221" i="1"/>
  <c r="G151" i="1"/>
  <c r="H128" i="1"/>
  <c r="G85" i="1"/>
  <c r="H67" i="1"/>
  <c r="J49" i="1"/>
  <c r="K16" i="1"/>
  <c r="K126" i="1"/>
  <c r="H105" i="1"/>
  <c r="H218" i="1"/>
  <c r="G223" i="1"/>
  <c r="H131" i="1"/>
  <c r="H87" i="1"/>
  <c r="H53" i="1"/>
  <c r="H41" i="1"/>
  <c r="J35" i="1"/>
  <c r="J24" i="1"/>
  <c r="H19" i="1"/>
  <c r="J6" i="1"/>
  <c r="J224" i="1"/>
  <c r="H201" i="1"/>
  <c r="J190" i="1"/>
  <c r="J179" i="1"/>
  <c r="J202" i="1"/>
  <c r="K180" i="1"/>
  <c r="K155" i="1"/>
  <c r="H127" i="1"/>
  <c r="H98" i="1"/>
  <c r="J84" i="1"/>
  <c r="H73" i="1"/>
  <c r="K59" i="1"/>
  <c r="H51" i="1"/>
  <c r="H44" i="1"/>
  <c r="J36" i="1"/>
  <c r="H29" i="1"/>
  <c r="H22" i="1"/>
  <c r="G6" i="1"/>
  <c r="H12" i="1"/>
  <c r="J67" i="1"/>
  <c r="G50" i="1"/>
  <c r="H35" i="1"/>
  <c r="H24" i="1"/>
  <c r="H9" i="1"/>
  <c r="J213" i="1"/>
  <c r="H190" i="1"/>
  <c r="K147" i="1"/>
  <c r="H119" i="1"/>
  <c r="G89" i="1"/>
  <c r="J66" i="1"/>
  <c r="H54" i="1"/>
  <c r="H47" i="1"/>
  <c r="H40" i="1"/>
  <c r="J32" i="1"/>
  <c r="H25" i="1"/>
  <c r="H18" i="1"/>
  <c r="H223" i="1"/>
  <c r="G200" i="1"/>
  <c r="G178" i="1"/>
  <c r="H111" i="1"/>
  <c r="K94" i="1"/>
  <c r="H83" i="1"/>
  <c r="J71" i="1"/>
  <c r="K58" i="1"/>
  <c r="H50" i="1"/>
  <c r="H43" i="1"/>
  <c r="K35" i="1"/>
  <c r="H28" i="1"/>
  <c r="H21" i="1"/>
  <c r="H198" i="1"/>
  <c r="J175" i="1"/>
  <c r="H71" i="1"/>
  <c r="H48" i="1"/>
  <c r="J33" i="1"/>
  <c r="J15" i="1"/>
  <c r="J129" i="1"/>
  <c r="J210" i="1"/>
  <c r="H187" i="1"/>
  <c r="J57" i="1"/>
  <c r="K6" i="1"/>
  <c r="H92" i="1"/>
  <c r="J205" i="1"/>
  <c r="K158" i="1"/>
  <c r="K201" i="1"/>
  <c r="H166" i="1"/>
  <c r="J149" i="1"/>
  <c r="J133" i="1"/>
  <c r="J117" i="1"/>
  <c r="J101" i="1"/>
  <c r="J192" i="1"/>
  <c r="K167" i="1"/>
  <c r="H144" i="1"/>
  <c r="J61" i="1"/>
  <c r="J45" i="1"/>
  <c r="K28" i="1"/>
  <c r="K142" i="1"/>
  <c r="H121" i="1"/>
  <c r="H78" i="1"/>
  <c r="H59" i="1"/>
  <c r="J189" i="1"/>
  <c r="H212" i="1"/>
  <c r="H163" i="1"/>
  <c r="K120" i="1"/>
  <c r="J85" i="1"/>
  <c r="H45" i="1"/>
  <c r="H34" i="1"/>
  <c r="J28" i="1"/>
  <c r="H23" i="1"/>
  <c r="J12" i="1"/>
  <c r="H5" i="1"/>
  <c r="G222" i="1"/>
  <c r="H211" i="1"/>
  <c r="J198" i="1"/>
  <c r="H162" i="1"/>
  <c r="J220" i="1"/>
  <c r="H197" i="1"/>
  <c r="J172" i="1"/>
  <c r="K151" i="1"/>
  <c r="K123" i="1"/>
  <c r="K92" i="1"/>
  <c r="H82" i="1"/>
  <c r="J69" i="1"/>
  <c r="K49" i="1"/>
  <c r="H42" i="1"/>
  <c r="J27" i="1"/>
  <c r="H20" i="1"/>
  <c r="H13" i="1"/>
  <c r="H4" i="1"/>
  <c r="H138" i="1"/>
  <c r="H110" i="1"/>
  <c r="H85" i="1"/>
  <c r="H46" i="1"/>
  <c r="K31" i="1"/>
  <c r="G3" i="1"/>
  <c r="H206" i="1"/>
  <c r="H159" i="1"/>
  <c r="K143" i="1"/>
  <c r="K115" i="1"/>
  <c r="H86" i="1"/>
  <c r="H75" i="1"/>
  <c r="K52" i="1"/>
  <c r="K45" i="1"/>
  <c r="G38" i="1"/>
  <c r="J30" i="1"/>
  <c r="J23" i="1"/>
  <c r="H16" i="1"/>
  <c r="H8" i="1"/>
  <c r="J194" i="1"/>
  <c r="K169" i="1"/>
  <c r="H150" i="1"/>
  <c r="K135" i="1"/>
  <c r="K107" i="1"/>
  <c r="J80" i="1"/>
  <c r="J68" i="1"/>
  <c r="K55" i="1"/>
  <c r="K48" i="1"/>
  <c r="K41" i="1"/>
  <c r="K33" i="1"/>
  <c r="J26" i="1"/>
  <c r="J17" i="1"/>
  <c r="J221" i="1"/>
  <c r="G193" i="1"/>
  <c r="G168" i="1"/>
  <c r="J87" i="1"/>
  <c r="J145" i="1"/>
  <c r="K96" i="1"/>
  <c r="J93" i="1"/>
  <c r="J41" i="1"/>
  <c r="H137" i="1"/>
  <c r="H229" i="1"/>
  <c r="J199" i="1"/>
  <c r="H219" i="1"/>
  <c r="G171" i="1"/>
  <c r="G55" i="1"/>
  <c r="J25" i="1"/>
  <c r="H3" i="1"/>
  <c r="H224" i="1"/>
  <c r="K140" i="1"/>
  <c r="H84" i="1"/>
  <c r="K43" i="1"/>
  <c r="J14" i="1"/>
  <c r="K163" i="1"/>
  <c r="G54" i="1"/>
  <c r="H55" i="1"/>
  <c r="J212" i="1"/>
  <c r="K39" i="1"/>
  <c r="J22" i="1"/>
  <c r="H27" i="1"/>
  <c r="H185" i="1"/>
  <c r="G98" i="1"/>
  <c r="H189" i="1"/>
  <c r="H32" i="1"/>
  <c r="H6" i="1"/>
  <c r="J38" i="1"/>
  <c r="J16" i="1"/>
  <c r="K148" i="1"/>
  <c r="K47" i="1"/>
  <c r="J18" i="1"/>
  <c r="K131" i="1"/>
  <c r="G201" i="1"/>
  <c r="H126" i="1"/>
  <c r="H72" i="1"/>
  <c r="H36" i="1"/>
  <c r="J5" i="1"/>
  <c r="H146" i="1"/>
  <c r="K88" i="1"/>
  <c r="G47" i="1"/>
  <c r="H14" i="1"/>
  <c r="H142" i="1"/>
  <c r="K77" i="1"/>
  <c r="G114" i="1"/>
  <c r="H49" i="1"/>
  <c r="G192" i="1"/>
  <c r="H33" i="1"/>
  <c r="H17" i="1"/>
  <c r="G51" i="1"/>
  <c r="H118" i="1"/>
  <c r="J187" i="1"/>
  <c r="H10" i="1"/>
  <c r="H215" i="1"/>
  <c r="H134" i="1"/>
  <c r="K40" i="1"/>
  <c r="J10" i="1"/>
  <c r="H106" i="1"/>
  <c r="J29" i="1"/>
  <c r="G179" i="1"/>
  <c r="K132" i="1"/>
  <c r="K119" i="1"/>
  <c r="J19" i="1"/>
  <c r="H154" i="1"/>
  <c r="J21" i="1"/>
  <c r="J65" i="1"/>
  <c r="J82" i="1"/>
</calcChain>
</file>

<file path=xl/sharedStrings.xml><?xml version="1.0" encoding="utf-8"?>
<sst xmlns="http://schemas.openxmlformats.org/spreadsheetml/2006/main" count="1296" uniqueCount="956">
  <si>
    <t>Key</t>
  </si>
  <si>
    <t>Type</t>
  </si>
  <si>
    <t>Desc</t>
  </si>
  <si>
    <t>Tag [tag]</t>
  </si>
  <si>
    <t>English [en-US]</t>
  </si>
  <si>
    <t>简体中文 [zh-CN]</t>
  </si>
  <si>
    <t>한국어 [ko]</t>
  </si>
  <si>
    <t>CompanyName</t>
  </si>
  <si>
    <t>Text</t>
  </si>
  <si>
    <t>tag001</t>
  </si>
  <si>
    <t>Rehab-Robotics Company Limited</t>
  </si>
  <si>
    <t>复康机器人技术有限公司</t>
  </si>
  <si>
    <t>Notice</t>
  </si>
  <si>
    <t>tag002</t>
  </si>
  <si>
    <t>ConfirmQuitAppMsg</t>
  </si>
  <si>
    <t>tag003</t>
  </si>
  <si>
    <t>Confirm to quit program?</t>
  </si>
  <si>
    <t>Confirm</t>
  </si>
  <si>
    <t>tag004</t>
  </si>
  <si>
    <t>Cancel</t>
  </si>
  <si>
    <t>tag005</t>
  </si>
  <si>
    <t>ClickToStart</t>
  </si>
  <si>
    <t>tag006</t>
  </si>
  <si>
    <t>Click Anywhere To Start</t>
  </si>
  <si>
    <t>点击以开始训练</t>
  </si>
  <si>
    <t>아무 곳이나 클릭하여 시작하세요</t>
  </si>
  <si>
    <t>EnterPassword</t>
  </si>
  <si>
    <t>tag007</t>
  </si>
  <si>
    <t>Enter Password</t>
  </si>
  <si>
    <t>LocalSignInSuccess</t>
  </si>
  <si>
    <t>tag008</t>
  </si>
  <si>
    <t>Login success</t>
  </si>
  <si>
    <t>LocalSignInFail</t>
  </si>
  <si>
    <t>tag009</t>
  </si>
  <si>
    <t>Incorrect password</t>
  </si>
  <si>
    <t>LocalSignInEmptyField</t>
  </si>
  <si>
    <t>tag010</t>
  </si>
  <si>
    <t>Empty field</t>
  </si>
  <si>
    <t>未输入密码</t>
  </si>
  <si>
    <t>입력되지 않았습니다</t>
  </si>
  <si>
    <t>空のフィールド</t>
  </si>
  <si>
    <t>ResetPassword</t>
  </si>
  <si>
    <t>tag011</t>
  </si>
  <si>
    <t>Reset Password</t>
  </si>
  <si>
    <t>EnterInternalPassword</t>
  </si>
  <si>
    <t>tag012</t>
  </si>
  <si>
    <t>Enter internal password</t>
  </si>
  <si>
    <t>InternalPasswordNotMatch</t>
  </si>
  <si>
    <t>tag013</t>
  </si>
  <si>
    <t>Internal password not match</t>
  </si>
  <si>
    <t>ResetPasswordSuccess</t>
  </si>
  <si>
    <t>tag014</t>
  </si>
  <si>
    <t>Reset password success</t>
  </si>
  <si>
    <t>CreateProfile</t>
  </si>
  <si>
    <t>tag015</t>
  </si>
  <si>
    <t>Create Profile</t>
  </si>
  <si>
    <t>EditProfile</t>
  </si>
  <si>
    <t>tag016</t>
  </si>
  <si>
    <t>Edit Profile</t>
  </si>
  <si>
    <t>Edit</t>
  </si>
  <si>
    <t>tag017</t>
  </si>
  <si>
    <t>Remove</t>
  </si>
  <si>
    <t>tag018</t>
  </si>
  <si>
    <t>ForearmSupport</t>
  </si>
  <si>
    <t>tag019</t>
  </si>
  <si>
    <t>Forearm Support</t>
  </si>
  <si>
    <t>Connect</t>
  </si>
  <si>
    <t>tag020</t>
  </si>
  <si>
    <t>Disconnect</t>
  </si>
  <si>
    <t>tag021</t>
  </si>
  <si>
    <t>Select</t>
  </si>
  <si>
    <t>tag022</t>
  </si>
  <si>
    <t>EMGSensor</t>
  </si>
  <si>
    <t xml:space="preserve"> </t>
  </si>
  <si>
    <t>tag023</t>
  </si>
  <si>
    <t>EMG Sensor</t>
  </si>
  <si>
    <t>Introduction</t>
  </si>
  <si>
    <t>tag024</t>
  </si>
  <si>
    <t>Devices</t>
  </si>
  <si>
    <t>tag025</t>
  </si>
  <si>
    <t>Profile</t>
  </si>
  <si>
    <t>tag026</t>
  </si>
  <si>
    <t>User Profile</t>
  </si>
  <si>
    <t>CPMTrainingMenu</t>
  </si>
  <si>
    <t>tag027</t>
  </si>
  <si>
    <t>CPM Training Menu</t>
  </si>
  <si>
    <t>EMGTrainingMenu</t>
  </si>
  <si>
    <t>tag028</t>
  </si>
  <si>
    <t>EMG Training Menu</t>
  </si>
  <si>
    <t>Close</t>
  </si>
  <si>
    <t>tag029</t>
  </si>
  <si>
    <t>AddProfile</t>
  </si>
  <si>
    <t>tag030</t>
  </si>
  <si>
    <t>Add Profile</t>
  </si>
  <si>
    <t>ConfirmRemoveProfile</t>
  </si>
  <si>
    <t>tag031</t>
  </si>
  <si>
    <t>Confirm to remove profile?</t>
  </si>
  <si>
    <t>DisplayName</t>
  </si>
  <si>
    <t>tag032</t>
  </si>
  <si>
    <t>Display Name</t>
  </si>
  <si>
    <t>Measurement</t>
  </si>
  <si>
    <t>tag033</t>
  </si>
  <si>
    <t>Training</t>
  </si>
  <si>
    <t>tag034</t>
  </si>
  <si>
    <t>Game</t>
  </si>
  <si>
    <t>tag035</t>
  </si>
  <si>
    <t>FD</t>
  </si>
  <si>
    <t>tag036</t>
  </si>
  <si>
    <t>Flexor</t>
  </si>
  <si>
    <t>굴근</t>
  </si>
  <si>
    <t>ED</t>
  </si>
  <si>
    <t>tag037</t>
  </si>
  <si>
    <t>Extensor</t>
  </si>
  <si>
    <t>伸筋</t>
  </si>
  <si>
    <t>StepBaseline</t>
  </si>
  <si>
    <t>tag038</t>
  </si>
  <si>
    <t>Step - Baseline</t>
  </si>
  <si>
    <t>StepMVCFD</t>
  </si>
  <si>
    <t>tag039</t>
  </si>
  <si>
    <t>Step - MVC Flexor</t>
  </si>
  <si>
    <t>StepMVCED</t>
  </si>
  <si>
    <t>tag040</t>
  </si>
  <si>
    <t>Step - MVC Extensor</t>
  </si>
  <si>
    <t>StartMeasure</t>
  </si>
  <si>
    <t>tag041</t>
  </si>
  <si>
    <t>Start Measure</t>
  </si>
  <si>
    <t>Skip</t>
  </si>
  <si>
    <t>tag042</t>
  </si>
  <si>
    <t>EMGTraining</t>
  </si>
  <si>
    <t>tag043</t>
  </si>
  <si>
    <t>EMG Training</t>
  </si>
  <si>
    <t>HandOpening</t>
  </si>
  <si>
    <t>tag044</t>
  </si>
  <si>
    <t>Hand Opening</t>
  </si>
  <si>
    <t>HandOpeningAndGrasping</t>
  </si>
  <si>
    <t>tag045</t>
  </si>
  <si>
    <t>Hand Opening And Grasping</t>
  </si>
  <si>
    <t>HandGrasping</t>
  </si>
  <si>
    <t>tag046</t>
  </si>
  <si>
    <t>Hand Grasping</t>
  </si>
  <si>
    <t>TrainingFingers</t>
  </si>
  <si>
    <t>tag047</t>
  </si>
  <si>
    <t>Training Fingers</t>
  </si>
  <si>
    <t>WholeHand</t>
  </si>
  <si>
    <t>tag048</t>
  </si>
  <si>
    <t>Whole Hand</t>
  </si>
  <si>
    <t>ThreeFingers</t>
  </si>
  <si>
    <t>tag049</t>
  </si>
  <si>
    <t>Three Fingers</t>
  </si>
  <si>
    <t>Thumb</t>
  </si>
  <si>
    <t>tag050</t>
  </si>
  <si>
    <t>Index</t>
  </si>
  <si>
    <t>tag051</t>
  </si>
  <si>
    <t>Middle</t>
  </si>
  <si>
    <t>tag052</t>
  </si>
  <si>
    <t>Ring</t>
  </si>
  <si>
    <t>tag053</t>
  </si>
  <si>
    <t>Little</t>
  </si>
  <si>
    <t>tag054</t>
  </si>
  <si>
    <t>RangeOfMotion</t>
  </si>
  <si>
    <t>tag055</t>
  </si>
  <si>
    <t>Range Of Motion</t>
  </si>
  <si>
    <t>DurationInMin</t>
  </si>
  <si>
    <t>tag056</t>
  </si>
  <si>
    <t>Duration (Minutes)</t>
  </si>
  <si>
    <t>DefaultThresholdValue</t>
  </si>
  <si>
    <t>tag057</t>
  </si>
  <si>
    <t>Default Threshold Value</t>
  </si>
  <si>
    <t>TriggerAndGo</t>
  </si>
  <si>
    <t>tag058</t>
  </si>
  <si>
    <t>Trigger And Go</t>
  </si>
  <si>
    <t>TriggerAndMaintain</t>
  </si>
  <si>
    <t>tag059</t>
  </si>
  <si>
    <t>Trigger And Maintain</t>
  </si>
  <si>
    <t>StartTraining</t>
  </si>
  <si>
    <t>tag060</t>
  </si>
  <si>
    <t>Start Training</t>
  </si>
  <si>
    <t>Off</t>
  </si>
  <si>
    <t>tag061</t>
  </si>
  <si>
    <t>关</t>
  </si>
  <si>
    <t>닫다</t>
  </si>
  <si>
    <t>On</t>
  </si>
  <si>
    <t>tag062</t>
  </si>
  <si>
    <t>开</t>
  </si>
  <si>
    <t>열려 있는</t>
  </si>
  <si>
    <t>オン</t>
  </si>
  <si>
    <t>EMGTrainingSettings</t>
  </si>
  <si>
    <t>tag063</t>
  </si>
  <si>
    <t>EMG Training Settings</t>
  </si>
  <si>
    <t>Score</t>
  </si>
  <si>
    <t>tag064</t>
  </si>
  <si>
    <t>OpenYourHand</t>
  </si>
  <si>
    <t>tag065</t>
  </si>
  <si>
    <t>Open Your Hand</t>
  </si>
  <si>
    <t>CloseYourHand</t>
  </si>
  <si>
    <t>tag066</t>
  </si>
  <si>
    <t>Close Your Hand</t>
  </si>
  <si>
    <t>Relax</t>
  </si>
  <si>
    <t>tag067</t>
  </si>
  <si>
    <t>Paused</t>
  </si>
  <si>
    <t>tag068</t>
  </si>
  <si>
    <t>Save</t>
  </si>
  <si>
    <t>tag069</t>
  </si>
  <si>
    <t>记录</t>
  </si>
  <si>
    <t>기록</t>
  </si>
  <si>
    <t>Discard</t>
  </si>
  <si>
    <t>tag070</t>
  </si>
  <si>
    <t>SelectProfile</t>
  </si>
  <si>
    <t>tag071</t>
  </si>
  <si>
    <t>Select Profile</t>
  </si>
  <si>
    <t>TypeToSearch</t>
  </si>
  <si>
    <t>tag072</t>
  </si>
  <si>
    <t>Type keyword to search</t>
  </si>
  <si>
    <t>GeneralSettings</t>
  </si>
  <si>
    <t>tag073</t>
  </si>
  <si>
    <t>General Settings</t>
  </si>
  <si>
    <t>TrainingSettings</t>
  </si>
  <si>
    <t>tag074</t>
  </si>
  <si>
    <t>Training Settings</t>
  </si>
  <si>
    <t>Apply</t>
  </si>
  <si>
    <t>tag075</t>
  </si>
  <si>
    <t>适用</t>
  </si>
  <si>
    <t>Reset</t>
  </si>
  <si>
    <t>tag076</t>
  </si>
  <si>
    <t>Settings</t>
  </si>
  <si>
    <t>tag077</t>
  </si>
  <si>
    <t>ConfirmRemoveDevice</t>
  </si>
  <si>
    <t>tag078</t>
  </si>
  <si>
    <t>Confirm to remove device?</t>
  </si>
  <si>
    <t>CPMTraining</t>
  </si>
  <si>
    <t>tag079</t>
  </si>
  <si>
    <t>CPM Training</t>
  </si>
  <si>
    <t>持续被动运动训练</t>
  </si>
  <si>
    <t>CPMExtensionWait</t>
  </si>
  <si>
    <t>tag080</t>
  </si>
  <si>
    <t>Extension Wait (sec)</t>
  </si>
  <si>
    <t>CPMFlexionWait</t>
  </si>
  <si>
    <t>tag081</t>
  </si>
  <si>
    <t>Flexion Wait (sec)</t>
  </si>
  <si>
    <t>CPMTrainingSerttings</t>
  </si>
  <si>
    <t>CPM Training Settings</t>
  </si>
  <si>
    <t>HOHMovement</t>
  </si>
  <si>
    <t>tag082</t>
  </si>
  <si>
    <t>HOH Movement</t>
  </si>
  <si>
    <t>Smooth</t>
  </si>
  <si>
    <t>tag083</t>
  </si>
  <si>
    <t>StepByStep</t>
  </si>
  <si>
    <t>tag084</t>
  </si>
  <si>
    <t>Step-by-Step</t>
  </si>
  <si>
    <t>BackgroundMusic</t>
  </si>
  <si>
    <t>tag085</t>
  </si>
  <si>
    <t>Background Music</t>
  </si>
  <si>
    <t>Volume</t>
  </si>
  <si>
    <t>tag086</t>
  </si>
  <si>
    <t>音量</t>
  </si>
  <si>
    <t>SoundEffect</t>
  </si>
  <si>
    <t>tag087</t>
  </si>
  <si>
    <t>Sound Effect</t>
  </si>
  <si>
    <t>CPMDuration</t>
  </si>
  <si>
    <t>tag088</t>
  </si>
  <si>
    <t>CPM Training Duration</t>
  </si>
  <si>
    <t>EMGDuration</t>
  </si>
  <si>
    <t>tag089</t>
  </si>
  <si>
    <t>EMG Training Duration</t>
  </si>
  <si>
    <t>EMGGameMenu</t>
  </si>
  <si>
    <t>tag090</t>
  </si>
  <si>
    <t>EMG Game Menu</t>
  </si>
  <si>
    <t>Level1</t>
  </si>
  <si>
    <t>tag091</t>
  </si>
  <si>
    <t>Level 1</t>
  </si>
  <si>
    <t>Level2</t>
  </si>
  <si>
    <t>tag092</t>
  </si>
  <si>
    <t>Level 2</t>
  </si>
  <si>
    <t>2级</t>
  </si>
  <si>
    <t>레벨 2</t>
  </si>
  <si>
    <t>Level3</t>
  </si>
  <si>
    <t>tag093</t>
  </si>
  <si>
    <t>Level 3</t>
  </si>
  <si>
    <t>3级</t>
  </si>
  <si>
    <t>레벨 3</t>
  </si>
  <si>
    <t>Level4</t>
  </si>
  <si>
    <t>tag094</t>
  </si>
  <si>
    <t>Level 4</t>
  </si>
  <si>
    <t>4级</t>
  </si>
  <si>
    <t>레벨 4</t>
  </si>
  <si>
    <t>Level5</t>
  </si>
  <si>
    <t>tag095</t>
  </si>
  <si>
    <t>Level 5</t>
  </si>
  <si>
    <t>5级</t>
  </si>
  <si>
    <t>레벨 5</t>
  </si>
  <si>
    <t>DateFormat</t>
  </si>
  <si>
    <t>tag096</t>
  </si>
  <si>
    <t>Date Format</t>
  </si>
  <si>
    <t>Start</t>
  </si>
  <si>
    <t>tag097</t>
  </si>
  <si>
    <t>Loading</t>
  </si>
  <si>
    <t>tag098</t>
  </si>
  <si>
    <t>ConfirmSaveSessionRecord</t>
  </si>
  <si>
    <t>tag099</t>
  </si>
  <si>
    <t>Confirm to save session record?</t>
  </si>
  <si>
    <t>ChangePassword</t>
  </si>
  <si>
    <t>tag100</t>
  </si>
  <si>
    <t>Change Password</t>
  </si>
  <si>
    <t>CurrentPassword</t>
  </si>
  <si>
    <t>tag101</t>
  </si>
  <si>
    <t>Current Password</t>
  </si>
  <si>
    <t>CurrentPasswordNotMatch</t>
  </si>
  <si>
    <t>tag102</t>
  </si>
  <si>
    <t>Current password not match</t>
  </si>
  <si>
    <t>EnterCurrentPassword</t>
  </si>
  <si>
    <t>tag103</t>
  </si>
  <si>
    <t>Enter current password</t>
  </si>
  <si>
    <t>NewPassword</t>
  </si>
  <si>
    <t>tag104</t>
  </si>
  <si>
    <t>New Password</t>
  </si>
  <si>
    <t>EnterNewPassword</t>
  </si>
  <si>
    <t>tag105</t>
  </si>
  <si>
    <t>Enter new password</t>
  </si>
  <si>
    <t>ConfirmPassword</t>
  </si>
  <si>
    <t>tag106</t>
  </si>
  <si>
    <t>Confirm password</t>
  </si>
  <si>
    <t>ConfirmNewPassword</t>
  </si>
  <si>
    <t>tag107</t>
  </si>
  <si>
    <t>Confirm new password</t>
  </si>
  <si>
    <t>PasswordNotMatch</t>
  </si>
  <si>
    <t>tag108</t>
  </si>
  <si>
    <t>Password not match</t>
  </si>
  <si>
    <t>InvalidPasswordWarning</t>
  </si>
  <si>
    <t>tag109</t>
  </si>
  <si>
    <t>Empty field or length less than 6</t>
  </si>
  <si>
    <t>ChangePasswordSuccess</t>
  </si>
  <si>
    <t>tag110</t>
  </si>
  <si>
    <t>Change password success</t>
  </si>
  <si>
    <t>ConfirmPasswordNotMatch</t>
  </si>
  <si>
    <t>tag111</t>
  </si>
  <si>
    <t>Confirm password not match</t>
  </si>
  <si>
    <t>FirstName</t>
  </si>
  <si>
    <t>tag112</t>
  </si>
  <si>
    <t>First Name</t>
  </si>
  <si>
    <t>LastName</t>
  </si>
  <si>
    <t>tag113</t>
  </si>
  <si>
    <t>Last Name</t>
  </si>
  <si>
    <t>DateOfBirth</t>
  </si>
  <si>
    <t>tag114</t>
  </si>
  <si>
    <t>Date Of Birth</t>
  </si>
  <si>
    <t>InjuredHand</t>
  </si>
  <si>
    <t>tag115</t>
  </si>
  <si>
    <t>Injured Hand</t>
  </si>
  <si>
    <t>LeftHand</t>
  </si>
  <si>
    <t>tag116</t>
  </si>
  <si>
    <t>Left Hand</t>
  </si>
  <si>
    <t>RightHand</t>
  </si>
  <si>
    <t>tag117</t>
  </si>
  <si>
    <t>Right Hand</t>
  </si>
  <si>
    <t>BothHand</t>
  </si>
  <si>
    <t>tag118</t>
  </si>
  <si>
    <t>Both Hand</t>
  </si>
  <si>
    <t>Report</t>
  </si>
  <si>
    <t>tag119</t>
  </si>
  <si>
    <t>SelectDateRange</t>
  </si>
  <si>
    <t>tag120</t>
  </si>
  <si>
    <t>Select Date Range</t>
  </si>
  <si>
    <t>From</t>
  </si>
  <si>
    <t>tag121</t>
  </si>
  <si>
    <t>To</t>
  </si>
  <si>
    <t>tag122</t>
  </si>
  <si>
    <t>NextPage</t>
  </si>
  <si>
    <t>tag123</t>
  </si>
  <si>
    <t>Next Page</t>
  </si>
  <si>
    <t>Warning</t>
  </si>
  <si>
    <t>tag124</t>
  </si>
  <si>
    <t>BatteryLowWarning</t>
  </si>
  <si>
    <t>tag125</t>
  </si>
  <si>
    <t>Device battery is low, please recharge</t>
  </si>
  <si>
    <t>NotCalibratedWarning</t>
  </si>
  <si>
    <t>tag126</t>
  </si>
  <si>
    <t>Device Not Calibrated</t>
  </si>
  <si>
    <t>StartCalibration</t>
  </si>
  <si>
    <t>tag127</t>
  </si>
  <si>
    <t>Start Calibration</t>
  </si>
  <si>
    <t>Reach</t>
  </si>
  <si>
    <t>tag128</t>
  </si>
  <si>
    <t>MedicalHistory</t>
  </si>
  <si>
    <t>tag129</t>
  </si>
  <si>
    <t>Medical History</t>
  </si>
  <si>
    <t>EnterMedicalHistory</t>
  </si>
  <si>
    <t>tag130</t>
  </si>
  <si>
    <t>Enter Medical History</t>
  </si>
  <si>
    <t>DeviceDisconnected</t>
  </si>
  <si>
    <t>tag131</t>
  </si>
  <si>
    <t>Device disconnected</t>
  </si>
  <si>
    <t>ConnectToDeviceFailed</t>
  </si>
  <si>
    <t>tag132</t>
  </si>
  <si>
    <t>Connect to device failed</t>
  </si>
  <si>
    <t>Reconnecting</t>
  </si>
  <si>
    <t>tag133</t>
  </si>
  <si>
    <t>Reconnecting to device</t>
  </si>
  <si>
    <t>DeviceNotFound</t>
  </si>
  <si>
    <t>tag134</t>
  </si>
  <si>
    <t>Device Not Found</t>
  </si>
  <si>
    <t>LocationPermission</t>
  </si>
  <si>
    <t>tag135</t>
  </si>
  <si>
    <t>Location Permission</t>
  </si>
  <si>
    <t>LocationServices</t>
  </si>
  <si>
    <t>tag136</t>
  </si>
  <si>
    <t>Location Services</t>
  </si>
  <si>
    <t>BluetoothPermission</t>
  </si>
  <si>
    <t>tag137</t>
  </si>
  <si>
    <t>Bluetooth Permission</t>
  </si>
  <si>
    <t>Permissions</t>
  </si>
  <si>
    <t>tag138</t>
  </si>
  <si>
    <t>Information</t>
  </si>
  <si>
    <t>tag139</t>
  </si>
  <si>
    <t>SoftwareReleaseVersion</t>
  </si>
  <si>
    <t>tag140</t>
  </si>
  <si>
    <t>Software Release Version:</t>
  </si>
  <si>
    <t>SoftwareFullVersion</t>
  </si>
  <si>
    <t>tag141</t>
  </si>
  <si>
    <t>Software Full Version:</t>
  </si>
  <si>
    <t>Username</t>
  </si>
  <si>
    <t>tag142</t>
  </si>
  <si>
    <t>Password</t>
  </si>
  <si>
    <t>tag143</t>
  </si>
  <si>
    <t>EnterUsername</t>
  </si>
  <si>
    <t>tag144</t>
  </si>
  <si>
    <t>Enter User Name</t>
  </si>
  <si>
    <t>SignIn</t>
  </si>
  <si>
    <t>tag145</t>
  </si>
  <si>
    <t>Sign In</t>
  </si>
  <si>
    <t>SignUp</t>
  </si>
  <si>
    <t>tag146</t>
  </si>
  <si>
    <t>Sign Up</t>
  </si>
  <si>
    <t>SignInAsGuest</t>
  </si>
  <si>
    <t>tag147</t>
  </si>
  <si>
    <t>Sign in as Guest</t>
  </si>
  <si>
    <t>ForgetPassword</t>
  </si>
  <si>
    <t>tag148</t>
  </si>
  <si>
    <t>Forget Password</t>
  </si>
  <si>
    <t>Success</t>
  </si>
  <si>
    <t>tag149</t>
  </si>
  <si>
    <t>UserNotFound</t>
  </si>
  <si>
    <t>tag150</t>
  </si>
  <si>
    <t>User not found</t>
  </si>
  <si>
    <t>UsernameAlreadyExist</t>
  </si>
  <si>
    <t>tag151</t>
  </si>
  <si>
    <t>Username already exist</t>
  </si>
  <si>
    <t>UsernameIsEmpty</t>
  </si>
  <si>
    <t>tag152</t>
  </si>
  <si>
    <t>Username is empty</t>
  </si>
  <si>
    <t>PasswordIsEmpty</t>
  </si>
  <si>
    <t>tag153</t>
  </si>
  <si>
    <t>Password is empty</t>
  </si>
  <si>
    <t>PleaseWait</t>
  </si>
  <si>
    <t>tag154</t>
  </si>
  <si>
    <t>Please Wait ...</t>
  </si>
  <si>
    <t>InvalidUsername</t>
  </si>
  <si>
    <t>tag155</t>
  </si>
  <si>
    <t>Username contains invalid characters</t>
  </si>
  <si>
    <t>PasswordTooShort</t>
  </si>
  <si>
    <t>tag156</t>
  </si>
  <si>
    <t>Password too short</t>
  </si>
  <si>
    <t>FirmwareInfo</t>
  </si>
  <si>
    <t>tag157</t>
  </si>
  <si>
    <t>Firmware Information</t>
  </si>
  <si>
    <t>SoftwareInfo</t>
  </si>
  <si>
    <t>tag158</t>
  </si>
  <si>
    <t>Software Information</t>
  </si>
  <si>
    <t>FirmwareReleaseVersion</t>
  </si>
  <si>
    <t>tag159</t>
  </si>
  <si>
    <t>Firmware Release Version:</t>
  </si>
  <si>
    <t>FirmewareFullVersion</t>
  </si>
  <si>
    <t>tag160</t>
  </si>
  <si>
    <t>Firmeware Full Version:</t>
  </si>
  <si>
    <t>SignOut</t>
  </si>
  <si>
    <t>tag161</t>
  </si>
  <si>
    <t>Sign Out</t>
  </si>
  <si>
    <t>ConfirmSignOutMsg</t>
  </si>
  <si>
    <t>tag162</t>
  </si>
  <si>
    <t>Confirm sign out?</t>
  </si>
  <si>
    <t>Status</t>
  </si>
  <si>
    <t>tag163</t>
  </si>
  <si>
    <t>状态</t>
  </si>
  <si>
    <t>상태</t>
  </si>
  <si>
    <t>TrainingRecord</t>
  </si>
  <si>
    <t>tag164</t>
  </si>
  <si>
    <t>Training Record</t>
  </si>
  <si>
    <t>History</t>
  </si>
  <si>
    <t>tag165</t>
  </si>
  <si>
    <t>Summary</t>
  </si>
  <si>
    <t>tag166</t>
  </si>
  <si>
    <t>Chart</t>
  </si>
  <si>
    <t>tag167</t>
  </si>
  <si>
    <t>DateTime</t>
  </si>
  <si>
    <t>tag168</t>
  </si>
  <si>
    <t>Date and Time</t>
  </si>
  <si>
    <t>Description</t>
  </si>
  <si>
    <t>tag169</t>
  </si>
  <si>
    <t>Details</t>
  </si>
  <si>
    <t>tag170</t>
  </si>
  <si>
    <t>Show More</t>
  </si>
  <si>
    <t>Minutes</t>
  </si>
  <si>
    <t>tag171</t>
  </si>
  <si>
    <t>m</t>
  </si>
  <si>
    <t>分</t>
  </si>
  <si>
    <t>분</t>
  </si>
  <si>
    <t>Seconds</t>
  </si>
  <si>
    <t>tag172</t>
  </si>
  <si>
    <t>s</t>
  </si>
  <si>
    <t>秒</t>
  </si>
  <si>
    <t>초</t>
  </si>
  <si>
    <t>Duration</t>
  </si>
  <si>
    <t>tag173</t>
  </si>
  <si>
    <t>UFOCatcher</t>
  </si>
  <si>
    <t>tag174</t>
  </si>
  <si>
    <t>UFO Catcher</t>
  </si>
  <si>
    <t>夹娃娃机</t>
  </si>
  <si>
    <t>크레인</t>
  </si>
  <si>
    <t>クレーンゲーム</t>
  </si>
  <si>
    <t>GameSettings</t>
  </si>
  <si>
    <t>tag175</t>
  </si>
  <si>
    <t>Game Settings</t>
  </si>
  <si>
    <t>MasterVolume</t>
  </si>
  <si>
    <t>tag176</t>
  </si>
  <si>
    <t>Master Volume</t>
  </si>
  <si>
    <t>All</t>
  </si>
  <si>
    <t>tag177</t>
  </si>
  <si>
    <t>SessionsCount</t>
  </si>
  <si>
    <t>tag178</t>
  </si>
  <si>
    <t>Training Session Count</t>
  </si>
  <si>
    <t>Scan</t>
  </si>
  <si>
    <t>tag179</t>
  </si>
  <si>
    <t>Month</t>
  </si>
  <si>
    <t>tag180</t>
  </si>
  <si>
    <t>Day</t>
  </si>
  <si>
    <t>tag181</t>
  </si>
  <si>
    <t>日</t>
  </si>
  <si>
    <t>Year</t>
  </si>
  <si>
    <t>tag182</t>
  </si>
  <si>
    <t>TulipGarden</t>
  </si>
  <si>
    <t>tag183</t>
  </si>
  <si>
    <t>Tulip Garden</t>
  </si>
  <si>
    <t>LocalId</t>
  </si>
  <si>
    <t>tag184</t>
  </si>
  <si>
    <t>Local ID</t>
  </si>
  <si>
    <t>HealthId</t>
  </si>
  <si>
    <t>tag185</t>
  </si>
  <si>
    <t>Health ID</t>
  </si>
  <si>
    <t>Gender</t>
  </si>
  <si>
    <t>tag186</t>
  </si>
  <si>
    <t>Male</t>
  </si>
  <si>
    <t>tag187</t>
  </si>
  <si>
    <t>Female</t>
  </si>
  <si>
    <t>tag188</t>
  </si>
  <si>
    <t>NotSpecify</t>
  </si>
  <si>
    <t>tag189</t>
  </si>
  <si>
    <t>Not Specify</t>
  </si>
  <si>
    <t>AppName</t>
  </si>
  <si>
    <t>tag190</t>
  </si>
  <si>
    <t>Hand Of Hope</t>
  </si>
  <si>
    <t>Or</t>
  </si>
  <si>
    <t>tag191</t>
  </si>
  <si>
    <t>tag192</t>
  </si>
  <si>
    <t>DeviceStatus</t>
  </si>
  <si>
    <t>tag193</t>
  </si>
  <si>
    <t>Device Status</t>
  </si>
  <si>
    <t>Scanning</t>
  </si>
  <si>
    <t>tag194</t>
  </si>
  <si>
    <t>CPMTrainingDesription</t>
  </si>
  <si>
    <t>tag195</t>
  </si>
  <si>
    <t>Continuous Passive Motion (CPM) therapy uses machines to move a joint passively and repetitively to a set of number of degrees and movement speed.</t>
  </si>
  <si>
    <t>EMGTrainingDescription</t>
  </si>
  <si>
    <t>tag196</t>
  </si>
  <si>
    <t>Electromyography (EMG) measures the muscle activity by means of electrodes and their effectiveness is shown.</t>
  </si>
  <si>
    <t>EMGGameDescription</t>
  </si>
  <si>
    <t>tag197</t>
  </si>
  <si>
    <t>Other</t>
  </si>
  <si>
    <t>tag198</t>
  </si>
  <si>
    <t>SpeciaMode</t>
  </si>
  <si>
    <t>tag199</t>
  </si>
  <si>
    <t>Special Mode</t>
  </si>
  <si>
    <t>Threshold</t>
  </si>
  <si>
    <t>tag200</t>
  </si>
  <si>
    <t>NoiseTooHigh</t>
  </si>
  <si>
    <t>tag201</t>
  </si>
  <si>
    <t>Noise Too High</t>
  </si>
  <si>
    <t>TryAgain</t>
  </si>
  <si>
    <t>tag202</t>
  </si>
  <si>
    <t>Please try again</t>
  </si>
  <si>
    <t>SelectDate</t>
  </si>
  <si>
    <t>tag203</t>
  </si>
  <si>
    <t>Select Date</t>
  </si>
  <si>
    <t>SavingData</t>
  </si>
  <si>
    <t>tag204</t>
  </si>
  <si>
    <t>Saving data, please wait ...</t>
  </si>
  <si>
    <t>RMS</t>
  </si>
  <si>
    <t>tag205</t>
  </si>
  <si>
    <t>均方根</t>
  </si>
  <si>
    <t>제곱평균제곱근</t>
  </si>
  <si>
    <t>二乗平均平方根</t>
  </si>
  <si>
    <t>Baseline</t>
  </si>
  <si>
    <t>tag206</t>
  </si>
  <si>
    <t>MVC</t>
  </si>
  <si>
    <t>tag207</t>
  </si>
  <si>
    <t>最大自主收缩</t>
  </si>
  <si>
    <t>최대 자발적 수축</t>
  </si>
  <si>
    <t>TrainingTimeSec</t>
  </si>
  <si>
    <t>tag208</t>
  </si>
  <si>
    <t>Training Time (Sec)</t>
  </si>
  <si>
    <t>TrainingTimeMin</t>
  </si>
  <si>
    <t>tag209</t>
  </si>
  <si>
    <t>Training Time (Min)</t>
  </si>
  <si>
    <t>EMGLevelmV</t>
  </si>
  <si>
    <t>tag210</t>
  </si>
  <si>
    <t>EMG Level (mV)</t>
  </si>
  <si>
    <t>ZoomAll</t>
  </si>
  <si>
    <t>tag211</t>
  </si>
  <si>
    <t>Zoom All</t>
  </si>
  <si>
    <t>Hour</t>
  </si>
  <si>
    <t>tag212</t>
  </si>
  <si>
    <t>Week</t>
  </si>
  <si>
    <t>tag213</t>
  </si>
  <si>
    <t>TrainingTime</t>
  </si>
  <si>
    <t>tag214</t>
  </si>
  <si>
    <t>Training Time</t>
  </si>
  <si>
    <t>Enable</t>
  </si>
  <si>
    <t>tag215</t>
  </si>
  <si>
    <t>Occupied</t>
  </si>
  <si>
    <t>tag216</t>
  </si>
  <si>
    <t>Calibration</t>
  </si>
  <si>
    <t>tag217</t>
  </si>
  <si>
    <t>GameDuration</t>
  </si>
  <si>
    <t>tag218</t>
  </si>
  <si>
    <t>Game Duration</t>
  </si>
  <si>
    <t>Extension</t>
  </si>
  <si>
    <t>tag219</t>
  </si>
  <si>
    <t>Flexion</t>
  </si>
  <si>
    <t>tag220</t>
  </si>
  <si>
    <t>Normal</t>
  </si>
  <si>
    <t>tag221</t>
  </si>
  <si>
    <t>Sequential</t>
  </si>
  <si>
    <t>tag222</t>
  </si>
  <si>
    <t>ReverseSequential</t>
  </si>
  <si>
    <t>tag223</t>
  </si>
  <si>
    <t>Reverse Sequential</t>
  </si>
  <si>
    <t>CPMMode</t>
  </si>
  <si>
    <t>tag224</t>
  </si>
  <si>
    <t>Mode</t>
  </si>
  <si>
    <t>ReachSensitity</t>
  </si>
  <si>
    <t>tag225</t>
  </si>
  <si>
    <t>Reach Sensitity</t>
  </si>
  <si>
    <t>Today</t>
  </si>
  <si>
    <t>tag226</t>
  </si>
  <si>
    <t>Default</t>
  </si>
  <si>
    <t>tag227</t>
  </si>
  <si>
    <t>确认退出程序？</t>
  </si>
  <si>
    <t>点击开始训练</t>
  </si>
  <si>
    <t>前臂支撑座</t>
  </si>
  <si>
    <t>持续被动训练</t>
  </si>
  <si>
    <t>被动训练菜单</t>
  </si>
  <si>
    <t>肌电训练菜单</t>
  </si>
  <si>
    <t>确认删除？</t>
  </si>
  <si>
    <t>肌电训练</t>
  </si>
  <si>
    <t>开手</t>
  </si>
  <si>
    <t>开手并合手</t>
  </si>
  <si>
    <t>合手</t>
  </si>
  <si>
    <t>手指训练</t>
  </si>
  <si>
    <t>全手</t>
  </si>
  <si>
    <t>中指</t>
  </si>
  <si>
    <t>食指</t>
  </si>
  <si>
    <t>小指</t>
  </si>
  <si>
    <t>一触即发</t>
  </si>
  <si>
    <t>触发并保持</t>
  </si>
  <si>
    <t>肌电训练设置</t>
  </si>
  <si>
    <t>请张开手</t>
  </si>
  <si>
    <t>应用</t>
  </si>
  <si>
    <t>确认删除此设备</t>
  </si>
  <si>
    <t>延时时间</t>
  </si>
  <si>
    <t>屈伸延时</t>
  </si>
  <si>
    <t>持续被动训练设置</t>
  </si>
  <si>
    <t>训练时长</t>
  </si>
  <si>
    <t>确认保存会话记录？</t>
  </si>
  <si>
    <t>密码修改成功</t>
  </si>
  <si>
    <t>注册</t>
  </si>
  <si>
    <t>访客身份登录</t>
  </si>
  <si>
    <t>训练记录</t>
  </si>
  <si>
    <t>娃娃机</t>
  </si>
  <si>
    <t>训练次数</t>
  </si>
  <si>
    <t>手功能康复训练系统</t>
  </si>
  <si>
    <t>显示更多</t>
  </si>
  <si>
    <t>持续时间</t>
  </si>
  <si>
    <t>肌电训练游戏</t>
  </si>
  <si>
    <t>常规</t>
  </si>
  <si>
    <t>请重新测试</t>
  </si>
  <si>
    <t>请合手</t>
  </si>
  <si>
    <t>伸展</t>
  </si>
  <si>
    <t>平顺运行（APP没能找）</t>
  </si>
  <si>
    <t>间歇运行（APP没能找）</t>
  </si>
  <si>
    <t>无效字符或长度小于6位</t>
  </si>
  <si>
    <t>训练报告</t>
  </si>
  <si>
    <t>繁体中文 [zh-TW]</t>
  </si>
  <si>
    <t>日本语 [ja]</t>
  </si>
  <si>
    <t>确认退出程序吗？</t>
  </si>
  <si>
    <t>プログラムを终了しますか?</t>
  </si>
  <si>
    <t>确认</t>
  </si>
  <si>
    <t>确认する</t>
  </si>
  <si>
    <t>クリックして开始 してください</t>
  </si>
  <si>
    <t>输入密码</t>
  </si>
  <si>
    <t>密码错误</t>
  </si>
  <si>
    <t>パスワードが间违っています</t>
  </si>
  <si>
    <t>重新设密码</t>
  </si>
  <si>
    <t>パスワードを再设定する</t>
  </si>
  <si>
    <t>输入内部密码</t>
  </si>
  <si>
    <t>内部密码不匹配</t>
  </si>
  <si>
    <t>重置密码成功</t>
  </si>
  <si>
    <t>建立个人资料</t>
  </si>
  <si>
    <t>编辑个人资料</t>
  </si>
  <si>
    <t>プロファイル编集</t>
  </si>
  <si>
    <t>编辑</t>
  </si>
  <si>
    <t>编集</t>
  </si>
  <si>
    <t>前臂支撑</t>
  </si>
  <si>
    <t>连接</t>
  </si>
  <si>
    <t>断开</t>
  </si>
  <si>
    <t>选择</t>
  </si>
  <si>
    <t>选択する</t>
  </si>
  <si>
    <t>肌电感测器</t>
  </si>
  <si>
    <t>介绍</t>
  </si>
  <si>
    <t>导入</t>
  </si>
  <si>
    <t>装置</t>
  </si>
  <si>
    <t>使用者资料</t>
  </si>
  <si>
    <t>CPM 培训菜单</t>
  </si>
  <si>
    <t>肌电图训练菜单</t>
  </si>
  <si>
    <t>筋电図トレーニングメニュー</t>
  </si>
  <si>
    <t>关闭</t>
  </si>
  <si>
    <t>闭めて</t>
  </si>
  <si>
    <t>新增个人资料</t>
  </si>
  <si>
    <t>确认删除个人资料吗？</t>
  </si>
  <si>
    <t>プロファイルを削除することを确认しますか?</t>
  </si>
  <si>
    <t>显示名称</t>
  </si>
  <si>
    <t>测量</t>
  </si>
  <si>
    <t>测定</t>
  </si>
  <si>
    <t>训练</t>
  </si>
  <si>
    <t>游戏</t>
  </si>
  <si>
    <t>步骤 - 基线</t>
  </si>
  <si>
    <t>步骤 - MVC 屈肌</t>
  </si>
  <si>
    <t>步骤 - MVC 伸肌</t>
  </si>
  <si>
    <t>开始测量</t>
  </si>
  <si>
    <t>测定の开始</t>
  </si>
  <si>
    <t>跳过</t>
  </si>
  <si>
    <t>肌电图训练</t>
  </si>
  <si>
    <t>筋电図トレーニング</t>
  </si>
  <si>
    <t>手开</t>
  </si>
  <si>
    <t>双手张开并抓握</t>
  </si>
  <si>
    <t>手を开いて握る</t>
  </si>
  <si>
    <t>训练手指</t>
  </si>
  <si>
    <t>整只手</t>
  </si>
  <si>
    <t>亲指</t>
  </si>
  <si>
    <t>指数</t>
  </si>
  <si>
    <t>中间</t>
  </si>
  <si>
    <t>指轮</t>
  </si>
  <si>
    <t>活动范围</t>
  </si>
  <si>
    <t>关节可动域</t>
  </si>
  <si>
    <t>持续时间（分钟）</t>
  </si>
  <si>
    <t>所要时间 (分)</t>
  </si>
  <si>
    <t>预设阈值</t>
  </si>
  <si>
    <t>触发并开始</t>
  </si>
  <si>
    <t>触发和维持</t>
  </si>
  <si>
    <t>トリガーと维持</t>
  </si>
  <si>
    <t>开始训练</t>
  </si>
  <si>
    <t>トレーニングを开始する</t>
  </si>
  <si>
    <t>肌电图训练设置</t>
  </si>
  <si>
    <t>EMGトレーニング设定</t>
  </si>
  <si>
    <t>分数</t>
  </si>
  <si>
    <t>张开你的手</t>
  </si>
  <si>
    <t>手を开いてください</t>
  </si>
  <si>
    <t>闭上你的手</t>
  </si>
  <si>
    <t>手を闭じて</t>
  </si>
  <si>
    <t>放松</t>
  </si>
  <si>
    <t>已暂停</t>
  </si>
  <si>
    <t>一时停止中</t>
  </si>
  <si>
    <t>丢弃</t>
  </si>
  <si>
    <t>破弃</t>
  </si>
  <si>
    <t>选择个人资料</t>
  </si>
  <si>
    <t>プロファイルの选択</t>
  </si>
  <si>
    <t>输入关键字进行搜寻</t>
  </si>
  <si>
    <t>常规设定</t>
  </si>
  <si>
    <t>一般设定</t>
  </si>
  <si>
    <t>训练设定</t>
  </si>
  <si>
    <t>トレーニング设定</t>
  </si>
  <si>
    <t>适用する</t>
  </si>
  <si>
    <t>设定</t>
  </si>
  <si>
    <t>确认删除设备吗？</t>
  </si>
  <si>
    <t>デバイスの削除を确认しますか?</t>
  </si>
  <si>
    <t>延长等待（秒）</t>
  </si>
  <si>
    <t>延长待ち时间(秒)</t>
  </si>
  <si>
    <t>屈曲待ち时间 (秒)</t>
  </si>
  <si>
    <t>CPM 培训设置</t>
  </si>
  <si>
    <t>CPMトレーニング设定</t>
  </si>
  <si>
    <t>HOH运动</t>
  </si>
  <si>
    <t>HOHの动き</t>
  </si>
  <si>
    <t>背景音乐</t>
  </si>
  <si>
    <t>CPM 训练时长</t>
  </si>
  <si>
    <t>CPM トレーニング期间</t>
  </si>
  <si>
    <t>肌电图训练持续时间</t>
  </si>
  <si>
    <t>EMGトレーニング期间</t>
  </si>
  <si>
    <t>肌电图游戏选单</t>
  </si>
  <si>
    <t>1级</t>
  </si>
  <si>
    <t>开始</t>
  </si>
  <si>
    <t>载入中</t>
  </si>
  <si>
    <t>确认保存会话记录吗？</t>
  </si>
  <si>
    <t>セッション记録を保存することを确认しますか?</t>
  </si>
  <si>
    <t>更改密码</t>
  </si>
  <si>
    <t>目前密码</t>
  </si>
  <si>
    <t>现在のパスワード</t>
  </si>
  <si>
    <t>目前密码不匹配</t>
  </si>
  <si>
    <t>现在のパスワードが一致しません</t>
  </si>
  <si>
    <t>输入目前密码</t>
  </si>
  <si>
    <t>现在のパスワードを入力してください</t>
  </si>
  <si>
    <t>新密码</t>
  </si>
  <si>
    <t>输入新密码</t>
  </si>
  <si>
    <t>确认密码</t>
  </si>
  <si>
    <t>パスワードを认证する</t>
  </si>
  <si>
    <t>确认新密码</t>
  </si>
  <si>
    <t>新しいパスワードを确认</t>
  </si>
  <si>
    <t>密码不匹配</t>
  </si>
  <si>
    <t>空栏位或长度小于 6</t>
  </si>
  <si>
    <t>空のフィールドまたは长さが 6 未満です</t>
  </si>
  <si>
    <t>修改密码成功</t>
  </si>
  <si>
    <t>确认密码不匹配</t>
  </si>
  <si>
    <t>パスワードが一致しませんので确认してください</t>
  </si>
  <si>
    <t>受伤的手</t>
  </si>
  <si>
    <t>负伤した手</t>
  </si>
  <si>
    <t>双手</t>
  </si>
  <si>
    <t>报告</t>
  </si>
  <si>
    <t>选择日期范围</t>
  </si>
  <si>
    <t>日付范囲の选択</t>
  </si>
  <si>
    <t>从</t>
  </si>
  <si>
    <t>下一页</t>
  </si>
  <si>
    <t>设备电量低，请充电</t>
  </si>
  <si>
    <t>デバイスのバッテリーが低下しています。充电してください</t>
  </si>
  <si>
    <t>设备未校准</t>
  </si>
  <si>
    <t>开始校准</t>
  </si>
  <si>
    <t>校正の开始</t>
  </si>
  <si>
    <t>抵达</t>
  </si>
  <si>
    <t>输入病史</t>
  </si>
  <si>
    <t>设备已断开连接</t>
  </si>
  <si>
    <t>连线设备失败</t>
  </si>
  <si>
    <t>デバイスへの接続に失败しました</t>
  </si>
  <si>
    <t>重新连接到装置</t>
  </si>
  <si>
    <t>找不到装置</t>
  </si>
  <si>
    <t>デバイスが见つかりません</t>
  </si>
  <si>
    <t>位置许可</t>
  </si>
  <si>
    <t>位置服务</t>
  </si>
  <si>
    <t>位置情报サービス</t>
  </si>
  <si>
    <t>蓝牙权限</t>
  </si>
  <si>
    <t>Bluetoothの许可</t>
  </si>
  <si>
    <t>权限</t>
  </si>
  <si>
    <t>资讯</t>
  </si>
  <si>
    <t>情报</t>
  </si>
  <si>
    <t>软体发布版本：</t>
  </si>
  <si>
    <t>软体完整版：</t>
  </si>
  <si>
    <t>使用者名称</t>
  </si>
  <si>
    <t>密码</t>
  </si>
  <si>
    <t>输入使用者名称</t>
  </si>
  <si>
    <t>报名</t>
  </si>
  <si>
    <t>以访客身分登入</t>
  </si>
  <si>
    <t>忘记密码</t>
  </si>
  <si>
    <t>パスワードを忘れた场合</t>
  </si>
  <si>
    <t>未找到用户</t>
  </si>
  <si>
    <t>ユーザーが见つかりません</t>
  </si>
  <si>
    <t>使用者名称已存在</t>
  </si>
  <si>
    <t>使用者名为空</t>
  </si>
  <si>
    <t>密码为空</t>
  </si>
  <si>
    <t>请稍等 ...</t>
  </si>
  <si>
    <t>使用者名称包含无效字符</t>
  </si>
  <si>
    <t>ユーザー名に无效な文字が含まれています</t>
  </si>
  <si>
    <t>密码太短</t>
  </si>
  <si>
    <t>韧体资讯</t>
  </si>
  <si>
    <t>ファームウェア情报</t>
  </si>
  <si>
    <t>软体资讯</t>
  </si>
  <si>
    <t>ソフトウェア情报</t>
  </si>
  <si>
    <t>韧体发布版本：</t>
  </si>
  <si>
    <t>韧体完整版：</t>
  </si>
  <si>
    <t>确认退出？</t>
  </si>
  <si>
    <t>サインアウトを确认しますか?</t>
  </si>
  <si>
    <t>培训记录</t>
  </si>
  <si>
    <t>教育记録</t>
  </si>
  <si>
    <t>历史</t>
  </si>
  <si>
    <t>图表</t>
  </si>
  <si>
    <t>日期和时间</t>
  </si>
  <si>
    <t>日时</t>
  </si>
  <si>
    <t>说明</t>
  </si>
  <si>
    <t>もっと见せる</t>
  </si>
  <si>
    <t>期间</t>
  </si>
  <si>
    <t>间隔</t>
  </si>
  <si>
    <t>游戏设定</t>
  </si>
  <si>
    <t>ゲームの设定</t>
  </si>
  <si>
    <t>培训次数</t>
  </si>
  <si>
    <t>扫描</t>
  </si>
  <si>
    <t>郁金香花园</t>
  </si>
  <si>
    <t>チューリップ园</t>
  </si>
  <si>
    <t>健康证</t>
  </si>
  <si>
    <t>性别</t>
  </si>
  <si>
    <t>设备状态</t>
  </si>
  <si>
    <t>连续被动运动 (CPM) 疗法使用机器被动、重复地移动关节至一组度数和移动速度。</t>
  </si>
  <si>
    <t>连続他动运动 (CPM) 疗法では、机械を使用して、一连の角度と运动速度で关节を受动的かつ反复的に动かします。</t>
  </si>
  <si>
    <t>肌电图 (EMG) 透过电极测量肌肉活动并显示其有效性。</t>
  </si>
  <si>
    <t>筋电図検查（EMG）は电极を用いて筋肉の活动を测定し、その有效性を示します。</t>
  </si>
  <si>
    <t>临界点</t>
  </si>
  <si>
    <t>请再试一次</t>
  </si>
  <si>
    <t>もう一度试してください</t>
  </si>
  <si>
    <t>选择日期</t>
  </si>
  <si>
    <t>日付を选択してください</t>
  </si>
  <si>
    <t>正在储存数据，请稍候...</t>
  </si>
  <si>
    <t>데이터를 저장하는 중입니다.</t>
  </si>
  <si>
    <t>基线</t>
  </si>
  <si>
    <t>最大随意収缩</t>
  </si>
  <si>
    <t>训练时间（秒）</t>
  </si>
  <si>
    <t>トレーニング时间 (秒)</t>
  </si>
  <si>
    <t>训练时间（分钟）</t>
  </si>
  <si>
    <t>トレーニング时间 (分)</t>
  </si>
  <si>
    <t>肌电图水平 (mV)</t>
  </si>
  <si>
    <t>全部缩放</t>
  </si>
  <si>
    <t>小时</t>
  </si>
  <si>
    <t>时间</t>
  </si>
  <si>
    <t>周</t>
  </si>
  <si>
    <t>训练时间</t>
  </si>
  <si>
    <t>トレーニングの时间</t>
  </si>
  <si>
    <t>使能够</t>
  </si>
  <si>
    <t>占据</t>
  </si>
  <si>
    <t>占领されました</t>
  </si>
  <si>
    <t>校准</t>
  </si>
  <si>
    <t>较正</t>
  </si>
  <si>
    <t>游戏时长</t>
  </si>
  <si>
    <t>ゲーム时间</t>
  </si>
  <si>
    <t>扩大</t>
  </si>
  <si>
    <t>顺序</t>
  </si>
  <si>
    <t>一连</t>
  </si>
  <si>
    <t>达到灵敏度</t>
  </si>
  <si>
    <t>到达感度</t>
  </si>
  <si>
    <t>预设</t>
  </si>
  <si>
    <t>患侧手</t>
  </si>
  <si>
    <t>身份证</t>
  </si>
  <si>
    <t>伸取</t>
  </si>
  <si>
    <t>肌電控制模式</t>
  </si>
  <si>
    <t>最大自主肌肉收缩</t>
  </si>
  <si>
    <t>啓用</t>
  </si>
  <si>
    <t>使用中</t>
  </si>
  <si>
    <t>屈曲</t>
  </si>
  <si>
    <t>伸取活動偵測靈敏度</t>
  </si>
  <si>
    <t>CPM 是一种被动运动训练方法，通过机械装置来持续、被动地移动患者的手指關節，可以防止关节僵硬、促进血液循环、提高肌肉耐受性、加速康复过程。</t>
  </si>
  <si>
    <t>EMG 训练是一种基于肌电信号的训练方法，通过检测肌肉活动的电信号来控制外骨骼手部机器人的运动，可以增强主动运动能力、促进肌肉的重新激活和重建、神经重塑。</t>
  </si>
  <si>
    <t>Exergame 將遊戲元素结合外骨骼手部机器人使用，可以帮助患者更有效地进行康复训练，增强动机和参与度、提供即时的反馈，游戏中进行各种复杂的手部动作可以增强手部肌肉的协调性和控制力。</t>
  </si>
  <si>
    <t>CPM training is a passive motion training method where a mechanical device continuously and passively moves the patient's finger joints. It can prevent joint stiffness, promote blood circulation, improve muscle tolerance, and accelerating rehabilitation process.</t>
  </si>
  <si>
    <t>EMG training uses muscle electrical signals to control the movements of the exoskeleton hand robot. It can enhance active participation and motivation from the patient, promote neuroplasticity for better motor recovery.</t>
  </si>
  <si>
    <t>Exergame integrates game elements into the exoskeleton hand robot training can enhance motivation and engagement to the patients, providing real-time feedback, and promote neuroplasticity for better motor recovery.</t>
  </si>
  <si>
    <t>EMG Control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</si>
</sst>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0"/>
      <color rgb="FF000000"/>
      <name val="Arial"/>
      <scheme val="minor"/>
    </font>
    <font>
      <sz val="11"/>
      <color rgb="FF000000"/>
      <name val="Calibri"/>
    </font>
    <font>
      <sz val="10"/>
      <color theme="1"/>
      <name val="Arial"/>
      <scheme val="minor"/>
    </font>
    <font>
      <sz val="12"/>
      <color rgb="FF000000"/>
      <name val="돋움"/>
    </font>
    <font>
      <sz val="12"/>
      <color rgb="FF000000"/>
      <name val="Arial"/>
    </font>
    <font>
      <sz val="10"/>
      <color theme="4" tint="-0.249977111117893"/>
      <name val="Arial"/>
      <scheme val="minor"/>
    </font>
    <font>
      <sz val="11"/>
      <color theme="4" tint="-0.249977111117893"/>
      <name val="Calibri"/>
    </font>
    <font>
      <sz val="10"/>
      <color theme="4" tint="-0.249977111117893"/>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1" fillId="0" borderId="0" xfId="0" applyFont="1" applyAlignment="1">
      <alignment vertical="top"/>
    </xf>
    <xf numFmtId="0" fontId="3" fillId="0" borderId="0" xfId="0" applyFont="1" applyAlignment="1">
      <alignment vertical="top"/>
    </xf>
    <xf numFmtId="0" fontId="4" fillId="0" borderId="0" xfId="0" applyFont="1" applyAlignment="1">
      <alignment horizontal="left" vertical="top"/>
    </xf>
    <xf numFmtId="0" fontId="2" fillId="2" borderId="0" xfId="0" applyFont="1" applyFill="1"/>
    <xf numFmtId="0" fontId="5" fillId="0" borderId="0" xfId="0" applyFont="1"/>
    <xf numFmtId="0" fontId="6" fillId="0" borderId="0" xfId="0" applyFont="1"/>
    <xf numFmtId="0" fontId="5" fillId="2" borderId="0" xfId="0" applyFont="1" applyFill="1"/>
    <xf numFmtId="0" fontId="7" fillId="0" borderId="0" xfId="0" applyFont="1"/>
    <xf numFmtId="0" fontId="7" fillId="2" borderId="0" xfId="0" applyFont="1" applyFill="1"/>
  </cellXfs>
  <cellStyles count="1">
    <cellStyle name="Normal" xfId="0" builtinId="0"/>
  </cellStyles>
  <dxfs count="0"/>
  <tableStyles count="1" defaultTableStyle="TableStyleMedium2" defaultPivotStyle="PivotStyleLight16">
    <tableStyle name="Invisible" pivot="0" table="0" count="0" xr9:uid="{E5B77BB1-59C7-488B-8A87-A661C815B67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catchyenglish/photos/%E5%A4%BE%E5%A8%83%E5%A8%83%E6%A9%9F%E6%80%8E%E9%BA%BC%E8%AA%AA%E5%A4%BE%E5%A8%83%E5%A8%83%E6%A9%9F%E4%B8%8D%E5%8F%AA%E4%BA%9E%E6%B4%B2%E4%BA%BA%E5%96%9C%E6%AD%A1%E7%BE%8E%E5%9C%8B%E9%87%8E%E8%A0%BB%E6%B5%81%E8%A1%8C%E7%9A%84%E6%88%91%E5%80%91%E8%AA%AAclaw-machineclaw-kl%CD%BB-%E6%98%AF%E5%8B%95%E7%89%A9%E7%9A%84%E7%88%AA%E5%AD%90%E4%B9%9F%E6%9C%89%E4%BA%BA%E8%AA%AAclaw-cranecrane%E6%98%AF%E8%B5%B7%E9%87%8D%E6%A9%9F%E5%83%8Ft/865378223553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29"/>
  <sheetViews>
    <sheetView tabSelected="1" topLeftCell="C213" zoomScale="171" workbookViewId="0">
      <selection activeCell="F203" sqref="F203"/>
    </sheetView>
  </sheetViews>
  <sheetFormatPr baseColWidth="10" defaultColWidth="12.5" defaultRowHeight="15.75" customHeight="1"/>
  <cols>
    <col min="1" max="1" width="17.5" customWidth="1"/>
    <col min="5" max="6" width="23" customWidth="1"/>
    <col min="7" max="7" width="35.83203125" customWidth="1"/>
    <col min="8" max="8" width="28.1640625" customWidth="1"/>
    <col min="9" max="9" width="23.1640625" style="7" customWidth="1"/>
  </cols>
  <sheetData>
    <row r="1" spans="1:12" ht="15.75" customHeight="1">
      <c r="A1" s="1" t="s">
        <v>0</v>
      </c>
      <c r="B1" s="1" t="s">
        <v>1</v>
      </c>
      <c r="C1" s="1" t="s">
        <v>2</v>
      </c>
      <c r="D1" s="1" t="s">
        <v>3</v>
      </c>
      <c r="E1" s="1" t="s">
        <v>4</v>
      </c>
      <c r="F1" s="1"/>
      <c r="G1" s="1" t="s">
        <v>699</v>
      </c>
      <c r="H1" s="1" t="s">
        <v>5</v>
      </c>
      <c r="J1" s="1" t="s">
        <v>6</v>
      </c>
      <c r="K1" s="1" t="s">
        <v>700</v>
      </c>
    </row>
    <row r="2" spans="1:12" ht="15.75" customHeight="1">
      <c r="A2" s="1" t="s">
        <v>7</v>
      </c>
      <c r="B2" s="1" t="s">
        <v>8</v>
      </c>
      <c r="C2" s="1"/>
      <c r="D2" s="1" t="s">
        <v>9</v>
      </c>
      <c r="E2" s="1" t="s">
        <v>10</v>
      </c>
      <c r="F2" s="1"/>
      <c r="G2" s="1" t="s">
        <v>11</v>
      </c>
      <c r="H2" s="1" t="s">
        <v>11</v>
      </c>
      <c r="J2" s="1" t="s">
        <v>10</v>
      </c>
      <c r="K2" s="1" t="s">
        <v>10</v>
      </c>
    </row>
    <row r="3" spans="1:12" ht="15.75" customHeight="1">
      <c r="A3" s="1" t="s">
        <v>12</v>
      </c>
      <c r="B3" s="1" t="s">
        <v>8</v>
      </c>
      <c r="C3" s="1"/>
      <c r="D3" s="1" t="s">
        <v>13</v>
      </c>
      <c r="E3" s="1" t="s">
        <v>12</v>
      </c>
      <c r="F3" s="1"/>
      <c r="G3" s="2" t="str">
        <f ca="1">IFERROR(__xludf.DUMMYFUNCTION("GoogleTranslate($E3, ""en"", ""zh-TW"")"),"注意")</f>
        <v>注意</v>
      </c>
      <c r="H3" s="2" t="str">
        <f ca="1">IFERROR(__xludf.DUMMYFUNCTION("GoogleTranslate($E3, ""en"", ""zh-CN"")"),"注意")</f>
        <v>注意</v>
      </c>
      <c r="J3" s="2" t="str">
        <f ca="1">IFERROR(__xludf.DUMMYFUNCTION("GoogleTranslate($E3, ""en"", ""ko"")"),"알아채다")</f>
        <v>알아채다</v>
      </c>
      <c r="K3" s="2" t="str">
        <f ca="1">IFERROR(__xludf.DUMMYFUNCTION("GoogleTranslate($E3, ""en"", ""ja"")"),"知らせ")</f>
        <v>知らせ</v>
      </c>
    </row>
    <row r="4" spans="1:12" ht="15.75" customHeight="1">
      <c r="A4" s="1" t="s">
        <v>14</v>
      </c>
      <c r="B4" s="1" t="s">
        <v>8</v>
      </c>
      <c r="C4" s="1"/>
      <c r="D4" s="1" t="s">
        <v>15</v>
      </c>
      <c r="E4" s="1" t="s">
        <v>16</v>
      </c>
      <c r="F4" s="1"/>
      <c r="G4" s="2" t="s">
        <v>701</v>
      </c>
      <c r="H4" s="2" t="str">
        <f ca="1">IFERROR(__xludf.DUMMYFUNCTION("GoogleTranslate($E4, ""en"", ""zh-CN"")"),"确认退出程序吗？")</f>
        <v>确认退出程序吗？</v>
      </c>
      <c r="I4" s="7" t="s">
        <v>654</v>
      </c>
      <c r="J4" s="2" t="str">
        <f ca="1">IFERROR(__xludf.DUMMYFUNCTION("GoogleTranslate($E4, ""en"", ""ko"")"),"프로그램을 종료하시겠습니까?")</f>
        <v>프로그램을 종료하시겠습니까?</v>
      </c>
      <c r="K4" s="2" t="s">
        <v>702</v>
      </c>
    </row>
    <row r="5" spans="1:12" ht="15.75" customHeight="1">
      <c r="A5" s="2" t="s">
        <v>17</v>
      </c>
      <c r="B5" s="2" t="s">
        <v>8</v>
      </c>
      <c r="D5" s="1" t="s">
        <v>18</v>
      </c>
      <c r="E5" s="2" t="s">
        <v>17</v>
      </c>
      <c r="F5" s="2"/>
      <c r="G5" s="2" t="s">
        <v>703</v>
      </c>
      <c r="H5" s="2" t="str">
        <f ca="1">IFERROR(__xludf.DUMMYFUNCTION("GoogleTranslate($E5, ""en"", ""zh-CN"")"),"确认")</f>
        <v>确认</v>
      </c>
      <c r="J5" s="2" t="str">
        <f ca="1">IFERROR(__xludf.DUMMYFUNCTION("GoogleTranslate($E5, ""en"", ""ko"")"),"확인하다")</f>
        <v>확인하다</v>
      </c>
      <c r="K5" s="2" t="s">
        <v>704</v>
      </c>
    </row>
    <row r="6" spans="1:12" ht="15.75" customHeight="1">
      <c r="A6" s="2" t="s">
        <v>19</v>
      </c>
      <c r="B6" s="2" t="s">
        <v>8</v>
      </c>
      <c r="D6" s="1" t="s">
        <v>20</v>
      </c>
      <c r="E6" s="2" t="s">
        <v>19</v>
      </c>
      <c r="F6" s="2"/>
      <c r="G6" s="2" t="str">
        <f ca="1">IFERROR(__xludf.DUMMYFUNCTION("GoogleTranslate($E6, ""en"", ""zh-TW"")"),"取消")</f>
        <v>取消</v>
      </c>
      <c r="H6" s="2" t="str">
        <f ca="1">IFERROR(__xludf.DUMMYFUNCTION("GoogleTranslate($E6, ""en"", ""zh-CN"")"),"取消")</f>
        <v>取消</v>
      </c>
      <c r="J6" s="2" t="str">
        <f ca="1">IFERROR(__xludf.DUMMYFUNCTION("GoogleTranslate($E6, ""en"", ""ko"")"),"취소")</f>
        <v>취소</v>
      </c>
      <c r="K6" s="2" t="str">
        <f ca="1">IFERROR(__xludf.DUMMYFUNCTION("GoogleTranslate($E6, ""en"", ""ja"")"),"キャンセル")</f>
        <v>キャンセル</v>
      </c>
    </row>
    <row r="7" spans="1:12" ht="15.75" customHeight="1">
      <c r="A7" s="2" t="s">
        <v>21</v>
      </c>
      <c r="B7" s="2" t="s">
        <v>8</v>
      </c>
      <c r="D7" s="1" t="s">
        <v>22</v>
      </c>
      <c r="E7" s="2" t="s">
        <v>23</v>
      </c>
      <c r="F7" s="2"/>
      <c r="G7" s="1" t="s">
        <v>24</v>
      </c>
      <c r="H7" s="1" t="s">
        <v>24</v>
      </c>
      <c r="I7" s="8" t="s">
        <v>655</v>
      </c>
      <c r="J7" s="1" t="s">
        <v>25</v>
      </c>
      <c r="K7" s="1" t="s">
        <v>705</v>
      </c>
    </row>
    <row r="8" spans="1:12" ht="15.75" customHeight="1">
      <c r="A8" s="2" t="s">
        <v>26</v>
      </c>
      <c r="B8" s="2" t="s">
        <v>8</v>
      </c>
      <c r="D8" s="1" t="s">
        <v>27</v>
      </c>
      <c r="E8" s="2" t="s">
        <v>28</v>
      </c>
      <c r="F8" s="2"/>
      <c r="G8" s="2" t="s">
        <v>706</v>
      </c>
      <c r="H8" s="2" t="str">
        <f ca="1">IFERROR(__xludf.DUMMYFUNCTION("GoogleTranslate($E8, ""en"", ""zh-CN"")"),"输入密码")</f>
        <v>输入密码</v>
      </c>
      <c r="J8" s="2" t="str">
        <f ca="1">IFERROR(__xludf.DUMMYFUNCTION("GoogleTranslate($E8, ""en"", ""ko"")"),"암호를 입력")</f>
        <v>암호를 입력</v>
      </c>
      <c r="K8" s="2" t="str">
        <f ca="1">IFERROR(__xludf.DUMMYFUNCTION("GoogleTranslate($E8, ""en"", ""ja"")"),"パスワードを入力する")</f>
        <v>パスワードを入力する</v>
      </c>
      <c r="L8" s="1"/>
    </row>
    <row r="9" spans="1:12" ht="15.75" customHeight="1">
      <c r="A9" s="2" t="s">
        <v>29</v>
      </c>
      <c r="B9" s="2" t="s">
        <v>8</v>
      </c>
      <c r="D9" s="1" t="s">
        <v>30</v>
      </c>
      <c r="E9" s="1" t="s">
        <v>31</v>
      </c>
      <c r="F9" s="1"/>
      <c r="G9" s="2" t="str">
        <f ca="1">IFERROR(__xludf.DUMMYFUNCTION("GoogleTranslate($E9, ""en"", ""zh-TW"")"),"登入成功")</f>
        <v>登入成功</v>
      </c>
      <c r="H9" s="2" t="str">
        <f ca="1">IFERROR(__xludf.DUMMYFUNCTION("GoogleTranslate($E9, ""en"", ""zh-CN"")"),"登录成功")</f>
        <v>登录成功</v>
      </c>
      <c r="J9" s="2" t="str">
        <f ca="1">IFERROR(__xludf.DUMMYFUNCTION("GoogleTranslate($E9, ""en"", ""ko"")"),"로그인 성공")</f>
        <v>로그인 성공</v>
      </c>
      <c r="K9" s="2" t="str">
        <f ca="1">IFERROR(__xludf.DUMMYFUNCTION("GoogleTranslate($E9, ""en"", ""ja"")"),"ログイン成功")</f>
        <v>ログイン成功</v>
      </c>
    </row>
    <row r="10" spans="1:12" ht="15.75" customHeight="1">
      <c r="A10" s="2" t="s">
        <v>32</v>
      </c>
      <c r="B10" s="2" t="s">
        <v>8</v>
      </c>
      <c r="D10" s="1" t="s">
        <v>33</v>
      </c>
      <c r="E10" s="1" t="s">
        <v>34</v>
      </c>
      <c r="F10" s="1"/>
      <c r="G10" s="2" t="s">
        <v>707</v>
      </c>
      <c r="H10" s="2" t="str">
        <f ca="1">IFERROR(__xludf.DUMMYFUNCTION("GoogleTranslate($E10, ""en"", ""zh-CN"")"),"密码错误")</f>
        <v>密码错误</v>
      </c>
      <c r="J10" s="2" t="str">
        <f ca="1">IFERROR(__xludf.DUMMYFUNCTION("GoogleTranslate($E10, ""en"", ""ko"")"),"잘못된 비밀번호")</f>
        <v>잘못된 비밀번호</v>
      </c>
      <c r="K10" s="2" t="s">
        <v>708</v>
      </c>
    </row>
    <row r="11" spans="1:12" ht="15.75" customHeight="1">
      <c r="A11" s="2" t="s">
        <v>35</v>
      </c>
      <c r="B11" s="2" t="s">
        <v>8</v>
      </c>
      <c r="D11" s="1" t="s">
        <v>36</v>
      </c>
      <c r="E11" s="1" t="s">
        <v>37</v>
      </c>
      <c r="F11" s="1"/>
      <c r="G11" s="1" t="s">
        <v>38</v>
      </c>
      <c r="H11" s="1" t="s">
        <v>38</v>
      </c>
      <c r="J11" s="1" t="s">
        <v>39</v>
      </c>
      <c r="K11" s="1" t="s">
        <v>40</v>
      </c>
    </row>
    <row r="12" spans="1:12" ht="15.75" customHeight="1">
      <c r="A12" s="2" t="s">
        <v>41</v>
      </c>
      <c r="B12" s="2" t="s">
        <v>8</v>
      </c>
      <c r="D12" s="1" t="s">
        <v>42</v>
      </c>
      <c r="E12" s="2" t="s">
        <v>43</v>
      </c>
      <c r="F12" s="2"/>
      <c r="G12" s="2" t="s">
        <v>709</v>
      </c>
      <c r="H12" s="2" t="str">
        <f ca="1">IFERROR(__xludf.DUMMYFUNCTION("GoogleTranslate($E12, ""en"", ""zh-CN"")"),"重设密码")</f>
        <v>重设密码</v>
      </c>
      <c r="J12" s="2" t="str">
        <f ca="1">IFERROR(__xludf.DUMMYFUNCTION("GoogleTranslate($E12, ""en"", ""ko"")"),"암호를 재설정")</f>
        <v>암호를 재설정</v>
      </c>
      <c r="K12" s="2" t="s">
        <v>710</v>
      </c>
    </row>
    <row r="13" spans="1:12" ht="15.75" customHeight="1">
      <c r="A13" s="2" t="s">
        <v>44</v>
      </c>
      <c r="B13" s="2" t="s">
        <v>8</v>
      </c>
      <c r="D13" s="1" t="s">
        <v>45</v>
      </c>
      <c r="E13" s="2" t="s">
        <v>46</v>
      </c>
      <c r="F13" s="2"/>
      <c r="G13" s="2" t="s">
        <v>711</v>
      </c>
      <c r="H13" s="2" t="str">
        <f ca="1">IFERROR(__xludf.DUMMYFUNCTION("GoogleTranslate($E13, ""en"", ""zh-CN"")"),"输入内部密码")</f>
        <v>输入内部密码</v>
      </c>
      <c r="J13" s="2" t="str">
        <f ca="1">IFERROR(__xludf.DUMMYFUNCTION("GoogleTranslate($E13, ""en"", ""ko"")"),"내부 비밀번호를 입력하세요")</f>
        <v>내부 비밀번호를 입력하세요</v>
      </c>
      <c r="K13" s="2" t="str">
        <f ca="1">IFERROR(__xludf.DUMMYFUNCTION("GoogleTranslate($E13, ""en"", ""ja"")"),"内部パスワードを入力してください")</f>
        <v>内部パスワードを入力してください</v>
      </c>
    </row>
    <row r="14" spans="1:12" ht="15.75" customHeight="1">
      <c r="A14" s="2" t="s">
        <v>47</v>
      </c>
      <c r="B14" s="2" t="s">
        <v>8</v>
      </c>
      <c r="D14" s="1" t="s">
        <v>48</v>
      </c>
      <c r="E14" s="2" t="s">
        <v>49</v>
      </c>
      <c r="F14" s="2"/>
      <c r="G14" s="2" t="s">
        <v>712</v>
      </c>
      <c r="H14" s="2" t="str">
        <f ca="1">IFERROR(__xludf.DUMMYFUNCTION("GoogleTranslate($E14, ""en"", ""zh-CN"")"),"内部密码不匹配")</f>
        <v>内部密码不匹配</v>
      </c>
      <c r="J14" s="2" t="str">
        <f ca="1">IFERROR(__xludf.DUMMYFUNCTION("GoogleTranslate($E14, ""en"", ""ko"")"),"내부 비밀번호가 일치하지 않습니다.")</f>
        <v>내부 비밀번호가 일치하지 않습니다.</v>
      </c>
      <c r="K14" s="2" t="str">
        <f ca="1">IFERROR(__xludf.DUMMYFUNCTION("GoogleTranslate($E14, ""en"", ""ja"")"),"内部パスワードが一致しません")</f>
        <v>内部パスワードが一致しません</v>
      </c>
    </row>
    <row r="15" spans="1:12" ht="15.75" customHeight="1">
      <c r="A15" s="2" t="s">
        <v>50</v>
      </c>
      <c r="B15" s="2" t="s">
        <v>8</v>
      </c>
      <c r="D15" s="1" t="s">
        <v>51</v>
      </c>
      <c r="E15" s="3" t="s">
        <v>52</v>
      </c>
      <c r="F15" s="3"/>
      <c r="G15" s="2" t="s">
        <v>713</v>
      </c>
      <c r="H15" s="2" t="str">
        <f ca="1">IFERROR(__xludf.DUMMYFUNCTION("GoogleTranslate($E15, ""en"", ""zh-CN"")"),"重置密码成功")</f>
        <v>重置密码成功</v>
      </c>
      <c r="J15" s="2" t="str">
        <f ca="1">IFERROR(__xludf.DUMMYFUNCTION("GoogleTranslate($E15, ""en"", ""ko"")"),"비밀번호 재설정 성공")</f>
        <v>비밀번호 재설정 성공</v>
      </c>
      <c r="K15" s="2" t="str">
        <f ca="1">IFERROR(__xludf.DUMMYFUNCTION("GoogleTranslate($E15, ""en"", ""ja"")"),"パスワードのリセットに成功しました")</f>
        <v>パスワードのリセットに成功しました</v>
      </c>
    </row>
    <row r="16" spans="1:12" ht="15.75" customHeight="1">
      <c r="A16" s="2" t="s">
        <v>53</v>
      </c>
      <c r="B16" s="2" t="s">
        <v>8</v>
      </c>
      <c r="D16" s="1" t="s">
        <v>54</v>
      </c>
      <c r="E16" s="2" t="s">
        <v>55</v>
      </c>
      <c r="F16" s="2"/>
      <c r="G16" s="2" t="s">
        <v>714</v>
      </c>
      <c r="H16" s="2" t="str">
        <f ca="1">IFERROR(__xludf.DUMMYFUNCTION("GoogleTranslate($E16, ""en"", ""zh-CN"")"),"创建个人资料")</f>
        <v>创建个人资料</v>
      </c>
      <c r="J16" s="2" t="str">
        <f ca="1">IFERROR(__xludf.DUMMYFUNCTION("GoogleTranslate($E16, ""en"", ""ko"")"),"프로필 만들기")</f>
        <v>프로필 만들기</v>
      </c>
      <c r="K16" s="2" t="str">
        <f ca="1">IFERROR(__xludf.DUMMYFUNCTION("GoogleTranslate($E16, ""en"", ""ja"")"),"プロフィール作成")</f>
        <v>プロフィール作成</v>
      </c>
    </row>
    <row r="17" spans="1:11" ht="15.75" customHeight="1">
      <c r="A17" s="2" t="s">
        <v>56</v>
      </c>
      <c r="B17" s="2" t="s">
        <v>8</v>
      </c>
      <c r="D17" s="1" t="s">
        <v>57</v>
      </c>
      <c r="E17" s="2" t="s">
        <v>58</v>
      </c>
      <c r="F17" s="2"/>
      <c r="G17" s="2" t="s">
        <v>715</v>
      </c>
      <c r="H17" s="2" t="str">
        <f ca="1">IFERROR(__xludf.DUMMYFUNCTION("GoogleTranslate($E17, ""en"", ""zh-CN"")"),"编辑个人资料")</f>
        <v>编辑个人资料</v>
      </c>
      <c r="J17" s="2" t="str">
        <f ca="1">IFERROR(__xludf.DUMMYFUNCTION("GoogleTranslate($E17, ""en"", ""ko"")"),"프로필 수정")</f>
        <v>프로필 수정</v>
      </c>
      <c r="K17" s="2" t="s">
        <v>716</v>
      </c>
    </row>
    <row r="18" spans="1:11" ht="15.75" customHeight="1">
      <c r="A18" s="2" t="s">
        <v>59</v>
      </c>
      <c r="B18" s="2" t="s">
        <v>8</v>
      </c>
      <c r="D18" s="1" t="s">
        <v>60</v>
      </c>
      <c r="E18" s="2" t="s">
        <v>59</v>
      </c>
      <c r="F18" s="2"/>
      <c r="G18" s="2" t="s">
        <v>717</v>
      </c>
      <c r="H18" s="2" t="str">
        <f ca="1">IFERROR(__xludf.DUMMYFUNCTION("GoogleTranslate($E18, ""en"", ""zh-CN"")"),"编辑")</f>
        <v>编辑</v>
      </c>
      <c r="J18" s="2" t="str">
        <f ca="1">IFERROR(__xludf.DUMMYFUNCTION("GoogleTranslate($E18, ""en"", ""ko"")"),"편집하다")</f>
        <v>편집하다</v>
      </c>
      <c r="K18" s="2" t="s">
        <v>718</v>
      </c>
    </row>
    <row r="19" spans="1:11" ht="15.75" customHeight="1">
      <c r="A19" s="2" t="s">
        <v>61</v>
      </c>
      <c r="B19" s="2" t="s">
        <v>8</v>
      </c>
      <c r="D19" s="1" t="s">
        <v>62</v>
      </c>
      <c r="E19" s="2" t="s">
        <v>61</v>
      </c>
      <c r="F19" s="2"/>
      <c r="G19" s="2" t="str">
        <f ca="1">IFERROR(__xludf.DUMMYFUNCTION("GoogleTranslate($E19, ""en"", ""zh-TW"")"),"消除")</f>
        <v>消除</v>
      </c>
      <c r="H19" s="2" t="str">
        <f ca="1">IFERROR(__xludf.DUMMYFUNCTION("GoogleTranslate($E19, ""en"", ""zh-CN"")"),"消除")</f>
        <v>消除</v>
      </c>
      <c r="J19" s="2" t="str">
        <f ca="1">IFERROR(__xludf.DUMMYFUNCTION("GoogleTranslate($E19, ""en"", ""ko"")"),"제거하다")</f>
        <v>제거하다</v>
      </c>
      <c r="K19" s="2" t="str">
        <f ca="1">IFERROR(__xludf.DUMMYFUNCTION("GoogleTranslate($E19, ""en"", ""ja"")"),"取り除く")</f>
        <v>取り除く</v>
      </c>
    </row>
    <row r="20" spans="1:11" ht="15.75" customHeight="1">
      <c r="A20" s="2" t="s">
        <v>63</v>
      </c>
      <c r="B20" s="2" t="s">
        <v>8</v>
      </c>
      <c r="D20" s="1" t="s">
        <v>64</v>
      </c>
      <c r="E20" s="2" t="s">
        <v>65</v>
      </c>
      <c r="F20" s="2"/>
      <c r="G20" s="2" t="s">
        <v>719</v>
      </c>
      <c r="H20" s="2" t="str">
        <f ca="1">IFERROR(__xludf.DUMMYFUNCTION("GoogleTranslate($E20, ""en"", ""zh-CN"")"),"前臂支撑")</f>
        <v>前臂支撑</v>
      </c>
      <c r="I20" s="7" t="s">
        <v>656</v>
      </c>
      <c r="J20" s="2" t="str">
        <f ca="1">IFERROR(__xludf.DUMMYFUNCTION("GoogleTranslate($E20, ""en"", ""ko"")"),"팔뚝 지원")</f>
        <v>팔뚝 지원</v>
      </c>
      <c r="K20" s="2" t="str">
        <f ca="1">IFERROR(__xludf.DUMMYFUNCTION("GoogleTranslate($E20, ""en"", ""ja"")"),"前腕サポート")</f>
        <v>前腕サポート</v>
      </c>
    </row>
    <row r="21" spans="1:11" ht="15.75" customHeight="1">
      <c r="A21" s="2" t="s">
        <v>66</v>
      </c>
      <c r="B21" s="2" t="s">
        <v>8</v>
      </c>
      <c r="D21" s="1" t="s">
        <v>67</v>
      </c>
      <c r="E21" s="2" t="s">
        <v>66</v>
      </c>
      <c r="F21" s="2"/>
      <c r="G21" s="2" t="s">
        <v>720</v>
      </c>
      <c r="H21" s="2" t="str">
        <f ca="1">IFERROR(__xludf.DUMMYFUNCTION("GoogleTranslate($E21, ""en"", ""zh-CN"")"),"连接")</f>
        <v>连接</v>
      </c>
      <c r="J21" s="2" t="str">
        <f ca="1">IFERROR(__xludf.DUMMYFUNCTION("GoogleTranslate($E21, ""en"", ""ko"")"),"연결하다")</f>
        <v>연결하다</v>
      </c>
      <c r="K21" s="2" t="str">
        <f ca="1">IFERROR(__xludf.DUMMYFUNCTION("GoogleTranslate($E21, ""en"", ""ja"")"),"接続する")</f>
        <v>接続する</v>
      </c>
    </row>
    <row r="22" spans="1:11" ht="15.75" customHeight="1">
      <c r="A22" s="2" t="s">
        <v>68</v>
      </c>
      <c r="B22" s="2" t="s">
        <v>8</v>
      </c>
      <c r="D22" s="1" t="s">
        <v>69</v>
      </c>
      <c r="E22" s="2" t="s">
        <v>68</v>
      </c>
      <c r="F22" s="2"/>
      <c r="G22" s="2" t="s">
        <v>721</v>
      </c>
      <c r="H22" s="2" t="str">
        <f ca="1">IFERROR(__xludf.DUMMYFUNCTION("GoogleTranslate($E22, ""en"", ""zh-CN"")"),"断开")</f>
        <v>断开</v>
      </c>
      <c r="J22" s="2" t="str">
        <f ca="1">IFERROR(__xludf.DUMMYFUNCTION("GoogleTranslate($E22, ""en"", ""ko"")"),"연결 끊기")</f>
        <v>연결 끊기</v>
      </c>
      <c r="K22" s="2" t="str">
        <f ca="1">IFERROR(__xludf.DUMMYFUNCTION("GoogleTranslate($E22, ""en"", ""ja"")"),"切断する")</f>
        <v>切断する</v>
      </c>
    </row>
    <row r="23" spans="1:11" ht="15.75" customHeight="1">
      <c r="A23" s="2" t="s">
        <v>70</v>
      </c>
      <c r="B23" s="2" t="s">
        <v>8</v>
      </c>
      <c r="D23" s="1" t="s">
        <v>71</v>
      </c>
      <c r="E23" s="2" t="s">
        <v>70</v>
      </c>
      <c r="F23" s="2"/>
      <c r="G23" s="2" t="s">
        <v>722</v>
      </c>
      <c r="H23" s="2" t="str">
        <f ca="1">IFERROR(__xludf.DUMMYFUNCTION("GoogleTranslate($E23, ""en"", ""zh-CN"")"),"选择")</f>
        <v>选择</v>
      </c>
      <c r="J23" s="2" t="str">
        <f ca="1">IFERROR(__xludf.DUMMYFUNCTION("GoogleTranslate($E23, ""en"", ""ko"")"),"선택하다")</f>
        <v>선택하다</v>
      </c>
      <c r="K23" s="2" t="s">
        <v>723</v>
      </c>
    </row>
    <row r="24" spans="1:11" ht="15.75" customHeight="1">
      <c r="A24" s="2" t="s">
        <v>72</v>
      </c>
      <c r="B24" s="2" t="s">
        <v>8</v>
      </c>
      <c r="C24" s="2" t="s">
        <v>73</v>
      </c>
      <c r="D24" s="1" t="s">
        <v>74</v>
      </c>
      <c r="E24" s="2" t="s">
        <v>75</v>
      </c>
      <c r="F24" s="2"/>
      <c r="G24" s="2" t="s">
        <v>724</v>
      </c>
      <c r="H24" s="2" t="str">
        <f ca="1">IFERROR(__xludf.DUMMYFUNCTION("GoogleTranslate($E24, ""en"", ""zh-CN"")"),"肌电传感器")</f>
        <v>肌电传感器</v>
      </c>
      <c r="J24" s="2" t="str">
        <f ca="1">IFERROR(__xludf.DUMMYFUNCTION("GoogleTranslate($E24, ""en"", ""ko"")"),"EMG 센서")</f>
        <v>EMG 센서</v>
      </c>
      <c r="K24" s="2" t="str">
        <f ca="1">IFERROR(__xludf.DUMMYFUNCTION("GoogleTranslate($E24, ""en"", ""ja"")"),"EMGセンサー")</f>
        <v>EMGセンサー</v>
      </c>
    </row>
    <row r="25" spans="1:11" ht="15.75" customHeight="1">
      <c r="A25" s="2" t="s">
        <v>76</v>
      </c>
      <c r="B25" s="2" t="s">
        <v>8</v>
      </c>
      <c r="D25" s="1" t="s">
        <v>77</v>
      </c>
      <c r="E25" s="2" t="s">
        <v>76</v>
      </c>
      <c r="F25" s="2"/>
      <c r="G25" s="2" t="s">
        <v>725</v>
      </c>
      <c r="H25" s="2" t="str">
        <f ca="1">IFERROR(__xludf.DUMMYFUNCTION("GoogleTranslate($E25, ""en"", ""zh-CN"")"),"介绍")</f>
        <v>介绍</v>
      </c>
      <c r="J25" s="2" t="str">
        <f ca="1">IFERROR(__xludf.DUMMYFUNCTION("GoogleTranslate($E25, ""en"", ""ko"")"),"소개")</f>
        <v>소개</v>
      </c>
      <c r="K25" s="2" t="s">
        <v>726</v>
      </c>
    </row>
    <row r="26" spans="1:11" ht="15.75" customHeight="1">
      <c r="A26" s="2" t="s">
        <v>78</v>
      </c>
      <c r="B26" s="2" t="s">
        <v>8</v>
      </c>
      <c r="D26" s="1" t="s">
        <v>79</v>
      </c>
      <c r="E26" s="2" t="s">
        <v>78</v>
      </c>
      <c r="F26" s="2"/>
      <c r="G26" s="2" t="s">
        <v>727</v>
      </c>
      <c r="H26" s="2" t="str">
        <f ca="1">IFERROR(__xludf.DUMMYFUNCTION("GoogleTranslate($E26, ""en"", ""zh-CN"")"),"设备")</f>
        <v>设备</v>
      </c>
      <c r="J26" s="2" t="str">
        <f ca="1">IFERROR(__xludf.DUMMYFUNCTION("GoogleTranslate($E26, ""en"", ""ko"")"),"장치")</f>
        <v>장치</v>
      </c>
      <c r="K26" s="2" t="str">
        <f ca="1">IFERROR(__xludf.DUMMYFUNCTION("GoogleTranslate($E26, ""en"", ""ja"")"),"デバイス")</f>
        <v>デバイス</v>
      </c>
    </row>
    <row r="27" spans="1:11" ht="15.75" customHeight="1">
      <c r="A27" s="2" t="s">
        <v>80</v>
      </c>
      <c r="B27" s="2" t="s">
        <v>8</v>
      </c>
      <c r="D27" s="1" t="s">
        <v>81</v>
      </c>
      <c r="E27" s="2" t="s">
        <v>82</v>
      </c>
      <c r="F27" s="2"/>
      <c r="G27" s="2" t="s">
        <v>728</v>
      </c>
      <c r="H27" s="2" t="str">
        <f ca="1">IFERROR(__xludf.DUMMYFUNCTION("GoogleTranslate($E27, ""en"", ""zh-CN"")"),"用户资料")</f>
        <v>用户资料</v>
      </c>
      <c r="J27" s="2" t="str">
        <f ca="1">IFERROR(__xludf.DUMMYFUNCTION("GoogleTranslate($E27, ""en"", ""ko"")"),"유저 프로필")</f>
        <v>유저 프로필</v>
      </c>
      <c r="K27" s="2" t="str">
        <f ca="1">IFERROR(__xludf.DUMMYFUNCTION("GoogleTranslate($E27, ""en"", ""ja"")"),"ユーザープロフィール")</f>
        <v>ユーザープロフィール</v>
      </c>
    </row>
    <row r="28" spans="1:11" ht="15.75" customHeight="1">
      <c r="A28" s="2" t="s">
        <v>83</v>
      </c>
      <c r="B28" s="2" t="s">
        <v>8</v>
      </c>
      <c r="D28" s="1" t="s">
        <v>84</v>
      </c>
      <c r="E28" s="2" t="s">
        <v>85</v>
      </c>
      <c r="F28" s="2"/>
      <c r="G28" s="2" t="s">
        <v>729</v>
      </c>
      <c r="H28" s="2" t="str">
        <f ca="1">IFERROR(__xludf.DUMMYFUNCTION("GoogleTranslate($E28, ""en"", ""zh-CN"")"),"CPM 培训菜单")</f>
        <v>CPM 培训菜单</v>
      </c>
      <c r="I28" s="7" t="s">
        <v>658</v>
      </c>
      <c r="J28" s="2" t="str">
        <f ca="1">IFERROR(__xludf.DUMMYFUNCTION("GoogleTranslate($E28, ""en"", ""ko"")"),"CPM 교육 메뉴")</f>
        <v>CPM 교육 메뉴</v>
      </c>
      <c r="K28" s="2" t="str">
        <f ca="1">IFERROR(__xludf.DUMMYFUNCTION("GoogleTranslate($E28, ""en"", ""ja"")"),"CPMトレーニングメニュー")</f>
        <v>CPMトレーニングメニュー</v>
      </c>
    </row>
    <row r="29" spans="1:11" ht="15.75" customHeight="1">
      <c r="A29" s="2" t="s">
        <v>86</v>
      </c>
      <c r="B29" s="2" t="s">
        <v>8</v>
      </c>
      <c r="D29" s="1" t="s">
        <v>87</v>
      </c>
      <c r="E29" s="2" t="s">
        <v>88</v>
      </c>
      <c r="F29" s="2"/>
      <c r="G29" s="2" t="s">
        <v>730</v>
      </c>
      <c r="H29" s="2" t="str">
        <f ca="1">IFERROR(__xludf.DUMMYFUNCTION("GoogleTranslate($E29, ""en"", ""zh-CN"")"),"肌电图训练菜单")</f>
        <v>肌电图训练菜单</v>
      </c>
      <c r="I29" s="7" t="s">
        <v>659</v>
      </c>
      <c r="J29" s="2" t="str">
        <f ca="1">IFERROR(__xludf.DUMMYFUNCTION("GoogleTranslate($E29, ""en"", ""ko"")"),"EMG 훈련 메뉴")</f>
        <v>EMG 훈련 메뉴</v>
      </c>
      <c r="K29" s="2" t="s">
        <v>731</v>
      </c>
    </row>
    <row r="30" spans="1:11" ht="15.75" customHeight="1">
      <c r="A30" s="2" t="s">
        <v>89</v>
      </c>
      <c r="B30" s="2" t="s">
        <v>8</v>
      </c>
      <c r="D30" s="1" t="s">
        <v>90</v>
      </c>
      <c r="E30" s="2" t="s">
        <v>89</v>
      </c>
      <c r="F30" s="2"/>
      <c r="G30" s="2" t="s">
        <v>732</v>
      </c>
      <c r="H30" s="2" t="str">
        <f ca="1">IFERROR(__xludf.DUMMYFUNCTION("GoogleTranslate($E30, ""en"", ""zh-CN"")"),"关闭")</f>
        <v>关闭</v>
      </c>
      <c r="J30" s="2" t="str">
        <f ca="1">IFERROR(__xludf.DUMMYFUNCTION("GoogleTranslate($E30, ""en"", ""ko"")"),"닫다")</f>
        <v>닫다</v>
      </c>
      <c r="K30" s="2" t="s">
        <v>733</v>
      </c>
    </row>
    <row r="31" spans="1:11" ht="15.75" customHeight="1">
      <c r="A31" s="2" t="s">
        <v>91</v>
      </c>
      <c r="B31" s="2" t="s">
        <v>8</v>
      </c>
      <c r="D31" s="1" t="s">
        <v>92</v>
      </c>
      <c r="E31" s="2" t="s">
        <v>93</v>
      </c>
      <c r="F31" s="2"/>
      <c r="G31" s="2" t="s">
        <v>734</v>
      </c>
      <c r="H31" s="2" t="str">
        <f ca="1">IFERROR(__xludf.DUMMYFUNCTION("GoogleTranslate($E31, ""en"", ""zh-CN"")"),"添加个人资料")</f>
        <v>添加个人资料</v>
      </c>
      <c r="J31" s="2" t="str">
        <f ca="1">IFERROR(__xludf.DUMMYFUNCTION("GoogleTranslate($E31, ""en"", ""ko"")"),"프로필 추가")</f>
        <v>프로필 추가</v>
      </c>
      <c r="K31" s="2" t="str">
        <f ca="1">IFERROR(__xludf.DUMMYFUNCTION("GoogleTranslate($E31, ""en"", ""ja"")"),"プロファイルの追加")</f>
        <v>プロファイルの追加</v>
      </c>
    </row>
    <row r="32" spans="1:11" ht="15.75" customHeight="1">
      <c r="A32" s="2" t="s">
        <v>94</v>
      </c>
      <c r="B32" s="2" t="s">
        <v>8</v>
      </c>
      <c r="D32" s="1" t="s">
        <v>95</v>
      </c>
      <c r="E32" s="2" t="s">
        <v>96</v>
      </c>
      <c r="F32" s="2"/>
      <c r="G32" s="2" t="s">
        <v>735</v>
      </c>
      <c r="H32" s="2" t="str">
        <f ca="1">IFERROR(__xludf.DUMMYFUNCTION("GoogleTranslate($E32, ""en"", ""zh-CN"")"),"确认删除个人资料吗？")</f>
        <v>确认删除个人资料吗？</v>
      </c>
      <c r="I32" s="7" t="s">
        <v>660</v>
      </c>
      <c r="J32" s="2" t="str">
        <f ca="1">IFERROR(__xludf.DUMMYFUNCTION("GoogleTranslate($E32, ""en"", ""ko"")"),"프로필을 삭제하시겠습니까?")</f>
        <v>프로필을 삭제하시겠습니까?</v>
      </c>
      <c r="K32" s="2" t="s">
        <v>736</v>
      </c>
    </row>
    <row r="33" spans="1:11" ht="15.75" customHeight="1">
      <c r="A33" s="2" t="s">
        <v>97</v>
      </c>
      <c r="B33" s="2" t="s">
        <v>8</v>
      </c>
      <c r="D33" s="1" t="s">
        <v>98</v>
      </c>
      <c r="E33" s="2" t="s">
        <v>99</v>
      </c>
      <c r="F33" s="2"/>
      <c r="G33" s="2" t="s">
        <v>737</v>
      </c>
      <c r="H33" s="2" t="str">
        <f ca="1">IFERROR(__xludf.DUMMYFUNCTION("GoogleTranslate($E33, ""en"", ""zh-CN"")"),"显示名称")</f>
        <v>显示名称</v>
      </c>
      <c r="J33" s="2" t="str">
        <f ca="1">IFERROR(__xludf.DUMMYFUNCTION("GoogleTranslate($E33, ""en"", ""ko"")"),"이름 표시하기")</f>
        <v>이름 표시하기</v>
      </c>
      <c r="K33" s="2" t="str">
        <f ca="1">IFERROR(__xludf.DUMMYFUNCTION("GoogleTranslate($E33, ""en"", ""ja"")"),"表示名")</f>
        <v>表示名</v>
      </c>
    </row>
    <row r="34" spans="1:11" ht="15.75" customHeight="1">
      <c r="A34" s="2" t="s">
        <v>100</v>
      </c>
      <c r="B34" s="2" t="s">
        <v>8</v>
      </c>
      <c r="D34" s="1" t="s">
        <v>101</v>
      </c>
      <c r="E34" s="2" t="s">
        <v>100</v>
      </c>
      <c r="F34" s="2"/>
      <c r="G34" s="2" t="s">
        <v>738</v>
      </c>
      <c r="H34" s="2" t="str">
        <f ca="1">IFERROR(__xludf.DUMMYFUNCTION("GoogleTranslate($E34, ""en"", ""zh-CN"")"),"测量")</f>
        <v>测量</v>
      </c>
      <c r="J34" s="2" t="str">
        <f ca="1">IFERROR(__xludf.DUMMYFUNCTION("GoogleTranslate($E34, ""en"", ""ko"")"),"측정")</f>
        <v>측정</v>
      </c>
      <c r="K34" s="2" t="s">
        <v>739</v>
      </c>
    </row>
    <row r="35" spans="1:11" ht="15.75" customHeight="1">
      <c r="A35" s="2" t="s">
        <v>102</v>
      </c>
      <c r="B35" s="2" t="s">
        <v>8</v>
      </c>
      <c r="D35" s="1" t="s">
        <v>103</v>
      </c>
      <c r="E35" s="2" t="s">
        <v>102</v>
      </c>
      <c r="F35" s="2"/>
      <c r="G35" s="2" t="s">
        <v>740</v>
      </c>
      <c r="H35" s="2" t="str">
        <f ca="1">IFERROR(__xludf.DUMMYFUNCTION("GoogleTranslate($E35, ""en"", ""zh-CN"")"),"训练")</f>
        <v>训练</v>
      </c>
      <c r="J35" s="2" t="str">
        <f ca="1">IFERROR(__xludf.DUMMYFUNCTION("GoogleTranslate($E35, ""en"", ""ko"")"),"훈련")</f>
        <v>훈련</v>
      </c>
      <c r="K35" s="2" t="str">
        <f ca="1">IFERROR(__xludf.DUMMYFUNCTION("GoogleTranslate($E35, ""en"", ""ja"")"),"トレーニング")</f>
        <v>トレーニング</v>
      </c>
    </row>
    <row r="36" spans="1:11" ht="15.75" customHeight="1">
      <c r="A36" s="2" t="s">
        <v>104</v>
      </c>
      <c r="B36" s="2" t="s">
        <v>8</v>
      </c>
      <c r="D36" s="1" t="s">
        <v>105</v>
      </c>
      <c r="E36" s="2" t="s">
        <v>104</v>
      </c>
      <c r="F36" s="2"/>
      <c r="G36" s="2" t="s">
        <v>741</v>
      </c>
      <c r="H36" s="2" t="str">
        <f ca="1">IFERROR(__xludf.DUMMYFUNCTION("GoogleTranslate($E36, ""en"", ""zh-CN"")"),"游戏")</f>
        <v>游戏</v>
      </c>
      <c r="J36" s="2" t="str">
        <f ca="1">IFERROR(__xludf.DUMMYFUNCTION("GoogleTranslate($E36, ""en"", ""ko"")"),"게임")</f>
        <v>게임</v>
      </c>
      <c r="K36" s="2" t="str">
        <f ca="1">IFERROR(__xludf.DUMMYFUNCTION("GoogleTranslate($E36, ""en"", ""ja"")"),"ゲーム")</f>
        <v>ゲーム</v>
      </c>
    </row>
    <row r="37" spans="1:11" ht="15">
      <c r="A37" s="2" t="s">
        <v>106</v>
      </c>
      <c r="B37" s="2" t="s">
        <v>8</v>
      </c>
      <c r="D37" s="1" t="s">
        <v>107</v>
      </c>
      <c r="E37" s="2" t="s">
        <v>108</v>
      </c>
      <c r="F37" s="2"/>
      <c r="G37" s="2" t="str">
        <f ca="1">IFERROR(__xludf.DUMMYFUNCTION("GoogleTranslate($E37, ""en"", ""zh-TW"")"),"屈肌")</f>
        <v>屈肌</v>
      </c>
      <c r="H37" s="2" t="str">
        <f ca="1">IFERROR(__xludf.DUMMYFUNCTION("GoogleTranslate($E37, ""en"", ""zh-CN"")"),"屈肌")</f>
        <v>屈肌</v>
      </c>
      <c r="J37" s="2" t="s">
        <v>109</v>
      </c>
      <c r="K37" s="2" t="str">
        <f ca="1">IFERROR(__xludf.DUMMYFUNCTION("GoogleTranslate($E37, ""en"", ""ja"")"),"屈筋")</f>
        <v>屈筋</v>
      </c>
    </row>
    <row r="38" spans="1:11" ht="15">
      <c r="A38" s="2" t="s">
        <v>110</v>
      </c>
      <c r="B38" s="2" t="s">
        <v>8</v>
      </c>
      <c r="D38" s="1" t="s">
        <v>111</v>
      </c>
      <c r="E38" s="2" t="s">
        <v>112</v>
      </c>
      <c r="F38" s="2"/>
      <c r="G38" s="2" t="str">
        <f ca="1">IFERROR(__xludf.DUMMYFUNCTION("GoogleTranslate($E38, ""en"", ""zh-TW"")"),"伸肌")</f>
        <v>伸肌</v>
      </c>
      <c r="H38" s="2" t="str">
        <f ca="1">IFERROR(__xludf.DUMMYFUNCTION("GoogleTranslate($E38, ""en"", ""zh-CN"")"),"伸肌")</f>
        <v>伸肌</v>
      </c>
      <c r="J38" s="2" t="str">
        <f ca="1">IFERROR(__xludf.DUMMYFUNCTION("GoogleTranslate($E38, ""en"", ""ko"")"),"신근")</f>
        <v>신근</v>
      </c>
      <c r="K38" s="2" t="s">
        <v>113</v>
      </c>
    </row>
    <row r="39" spans="1:11" ht="15">
      <c r="A39" s="2" t="s">
        <v>114</v>
      </c>
      <c r="B39" s="2" t="s">
        <v>8</v>
      </c>
      <c r="D39" s="1" t="s">
        <v>115</v>
      </c>
      <c r="E39" s="2" t="s">
        <v>116</v>
      </c>
      <c r="F39" s="2"/>
      <c r="G39" s="2" t="s">
        <v>742</v>
      </c>
      <c r="H39" s="2" t="str">
        <f ca="1">IFERROR(__xludf.DUMMYFUNCTION("GoogleTranslate($E39, ""en"", ""zh-CN"")"),"步骤 - 基线")</f>
        <v>步骤 - 基线</v>
      </c>
      <c r="J39" s="2" t="str">
        <f ca="1">IFERROR(__xludf.DUMMYFUNCTION("GoogleTranslate($E39, ""en"", ""ko"")"),"단계 - 기준선")</f>
        <v>단계 - 기준선</v>
      </c>
      <c r="K39" s="2" t="str">
        <f ca="1">IFERROR(__xludf.DUMMYFUNCTION("GoogleTranslate($E39, ""en"", ""ja"")"),"ステップ - ベースライン")</f>
        <v>ステップ - ベースライン</v>
      </c>
    </row>
    <row r="40" spans="1:11" ht="15">
      <c r="A40" s="2" t="s">
        <v>117</v>
      </c>
      <c r="B40" s="2" t="s">
        <v>8</v>
      </c>
      <c r="D40" s="1" t="s">
        <v>118</v>
      </c>
      <c r="E40" s="2" t="s">
        <v>119</v>
      </c>
      <c r="F40" s="2"/>
      <c r="G40" s="2" t="s">
        <v>743</v>
      </c>
      <c r="H40" s="2" t="str">
        <f ca="1">IFERROR(__xludf.DUMMYFUNCTION("GoogleTranslate($E40, ""en"", ""zh-CN"")"),"步骤 - MVC 屈肌")</f>
        <v>步骤 - MVC 屈肌</v>
      </c>
      <c r="J40" s="2" t="str">
        <f ca="1">IFERROR(__xludf.DUMMYFUNCTION("GoogleTranslate($E40, ""en"", ""ko"")"),"단계 - MVC 굴곡근")</f>
        <v>단계 - MVC 굴곡근</v>
      </c>
      <c r="K40" s="2" t="str">
        <f ca="1">IFERROR(__xludf.DUMMYFUNCTION("GoogleTranslate($E40, ""en"", ""ja"")"),"ステップ - MVC 屈筋")</f>
        <v>ステップ - MVC 屈筋</v>
      </c>
    </row>
    <row r="41" spans="1:11" ht="15">
      <c r="A41" s="2" t="s">
        <v>120</v>
      </c>
      <c r="B41" s="2" t="s">
        <v>8</v>
      </c>
      <c r="D41" s="1" t="s">
        <v>121</v>
      </c>
      <c r="E41" s="2" t="s">
        <v>122</v>
      </c>
      <c r="F41" s="2"/>
      <c r="G41" s="2" t="s">
        <v>744</v>
      </c>
      <c r="H41" s="2" t="str">
        <f ca="1">IFERROR(__xludf.DUMMYFUNCTION("GoogleTranslate($E41, ""en"", ""zh-CN"")"),"步骤 - MVC 伸肌")</f>
        <v>步骤 - MVC 伸肌</v>
      </c>
      <c r="J41" s="2" t="str">
        <f ca="1">IFERROR(__xludf.DUMMYFUNCTION("GoogleTranslate($E41, ""en"", ""ko"")"),"단계 - MVC 확장자")</f>
        <v>단계 - MVC 확장자</v>
      </c>
      <c r="K41" s="2" t="str">
        <f ca="1">IFERROR(__xludf.DUMMYFUNCTION("GoogleTranslate($E41, ""en"", ""ja"")"),"ステップ - MVC エクステンサー")</f>
        <v>ステップ - MVC エクステンサー</v>
      </c>
    </row>
    <row r="42" spans="1:11" ht="15">
      <c r="A42" s="2" t="s">
        <v>123</v>
      </c>
      <c r="B42" s="2" t="s">
        <v>8</v>
      </c>
      <c r="D42" s="1" t="s">
        <v>124</v>
      </c>
      <c r="E42" s="2" t="s">
        <v>125</v>
      </c>
      <c r="F42" s="2"/>
      <c r="G42" s="2" t="s">
        <v>745</v>
      </c>
      <c r="H42" s="2" t="str">
        <f ca="1">IFERROR(__xludf.DUMMYFUNCTION("GoogleTranslate($E42, ""en"", ""zh-CN"")"),"开始测量")</f>
        <v>开始测量</v>
      </c>
      <c r="J42" s="2" t="str">
        <f ca="1">IFERROR(__xludf.DUMMYFUNCTION("GoogleTranslate($E42, ""en"", ""ko"")"),"측정 시작")</f>
        <v>측정 시작</v>
      </c>
      <c r="K42" s="2" t="s">
        <v>746</v>
      </c>
    </row>
    <row r="43" spans="1:11" ht="15">
      <c r="A43" s="2" t="s">
        <v>126</v>
      </c>
      <c r="B43" s="2" t="s">
        <v>8</v>
      </c>
      <c r="D43" s="1" t="s">
        <v>127</v>
      </c>
      <c r="E43" s="2" t="s">
        <v>126</v>
      </c>
      <c r="F43" s="2"/>
      <c r="G43" s="2" t="s">
        <v>747</v>
      </c>
      <c r="H43" s="2" t="str">
        <f ca="1">IFERROR(__xludf.DUMMYFUNCTION("GoogleTranslate($E43, ""en"", ""zh-CN"")"),"跳过")</f>
        <v>跳过</v>
      </c>
      <c r="J43" s="2" t="str">
        <f ca="1">IFERROR(__xludf.DUMMYFUNCTION("GoogleTranslate($E43, ""en"", ""ko"")"),"건너뛰다")</f>
        <v>건너뛰다</v>
      </c>
      <c r="K43" s="2" t="str">
        <f ca="1">IFERROR(__xludf.DUMMYFUNCTION("GoogleTranslate($E43, ""en"", ""ja"")"),"スキップ")</f>
        <v>スキップ</v>
      </c>
    </row>
    <row r="44" spans="1:11" ht="15">
      <c r="A44" s="2" t="s">
        <v>128</v>
      </c>
      <c r="B44" s="2" t="s">
        <v>8</v>
      </c>
      <c r="D44" s="1" t="s">
        <v>129</v>
      </c>
      <c r="E44" s="2" t="s">
        <v>130</v>
      </c>
      <c r="F44" s="2"/>
      <c r="G44" s="2" t="s">
        <v>748</v>
      </c>
      <c r="H44" s="2" t="str">
        <f ca="1">IFERROR(__xludf.DUMMYFUNCTION("GoogleTranslate($E44, ""en"", ""zh-CN"")"),"肌电图训练")</f>
        <v>肌电图训练</v>
      </c>
      <c r="I44" s="7" t="s">
        <v>661</v>
      </c>
      <c r="J44" s="2" t="str">
        <f ca="1">IFERROR(__xludf.DUMMYFUNCTION("GoogleTranslate($E44, ""en"", ""ko"")"),"EMG 훈련")</f>
        <v>EMG 훈련</v>
      </c>
      <c r="K44" s="2" t="s">
        <v>749</v>
      </c>
    </row>
    <row r="45" spans="1:11" ht="15">
      <c r="A45" s="2" t="s">
        <v>131</v>
      </c>
      <c r="B45" s="2" t="s">
        <v>8</v>
      </c>
      <c r="D45" s="1" t="s">
        <v>132</v>
      </c>
      <c r="E45" s="2" t="s">
        <v>133</v>
      </c>
      <c r="F45" s="2"/>
      <c r="G45" s="2" t="s">
        <v>750</v>
      </c>
      <c r="H45" s="2" t="str">
        <f ca="1">IFERROR(__xludf.DUMMYFUNCTION("GoogleTranslate($E45, ""en"", ""zh-CN"")"),"手开")</f>
        <v>手开</v>
      </c>
      <c r="I45" s="7" t="s">
        <v>662</v>
      </c>
      <c r="J45" s="2" t="str">
        <f ca="1">IFERROR(__xludf.DUMMYFUNCTION("GoogleTranslate($E45, ""en"", ""ko"")"),"핸드 오프닝")</f>
        <v>핸드 오프닝</v>
      </c>
      <c r="K45" s="2" t="str">
        <f ca="1">IFERROR(__xludf.DUMMYFUNCTION("GoogleTranslate($E45, ""en"", ""ja"")"),"ハンドオープニング")</f>
        <v>ハンドオープニング</v>
      </c>
    </row>
    <row r="46" spans="1:11" ht="15">
      <c r="A46" s="2" t="s">
        <v>134</v>
      </c>
      <c r="B46" s="2" t="s">
        <v>8</v>
      </c>
      <c r="D46" s="1" t="s">
        <v>135</v>
      </c>
      <c r="E46" s="2" t="s">
        <v>136</v>
      </c>
      <c r="F46" s="2"/>
      <c r="G46" s="2" t="s">
        <v>751</v>
      </c>
      <c r="H46" s="2" t="str">
        <f ca="1">IFERROR(__xludf.DUMMYFUNCTION("GoogleTranslate($E46, ""en"", ""zh-CN"")"),"手张开并抓握")</f>
        <v>手张开并抓握</v>
      </c>
      <c r="I46" s="7" t="s">
        <v>663</v>
      </c>
      <c r="J46" s="2" t="str">
        <f ca="1">IFERROR(__xludf.DUMMYFUNCTION("GoogleTranslate($E46, ""en"", ""ko"")"),"손 열기 및 파악")</f>
        <v>손 열기 및 파악</v>
      </c>
      <c r="K46" s="2" t="s">
        <v>752</v>
      </c>
    </row>
    <row r="47" spans="1:11" ht="15">
      <c r="A47" s="2" t="s">
        <v>137</v>
      </c>
      <c r="B47" s="2" t="s">
        <v>8</v>
      </c>
      <c r="D47" s="1" t="s">
        <v>138</v>
      </c>
      <c r="E47" s="2" t="s">
        <v>139</v>
      </c>
      <c r="F47" s="2"/>
      <c r="G47" s="2" t="str">
        <f ca="1">IFERROR(__xludf.DUMMYFUNCTION("GoogleTranslate($E47, ""en"", ""zh-TW"")"),"手抓")</f>
        <v>手抓</v>
      </c>
      <c r="H47" s="2" t="str">
        <f ca="1">IFERROR(__xludf.DUMMYFUNCTION("GoogleTranslate($E47, ""en"", ""zh-CN"")"),"手抓")</f>
        <v>手抓</v>
      </c>
      <c r="I47" s="7" t="s">
        <v>664</v>
      </c>
      <c r="J47" s="2" t="str">
        <f ca="1">IFERROR(__xludf.DUMMYFUNCTION("GoogleTranslate($E47, ""en"", ""ko"")"),"손을 쥐고")</f>
        <v>손을 쥐고</v>
      </c>
      <c r="K47" s="2" t="str">
        <f ca="1">IFERROR(__xludf.DUMMYFUNCTION("GoogleTranslate($E47, ""en"", ""ja"")"),"手で握る")</f>
        <v>手で握る</v>
      </c>
    </row>
    <row r="48" spans="1:11" ht="15">
      <c r="A48" s="2" t="s">
        <v>140</v>
      </c>
      <c r="B48" s="2" t="s">
        <v>8</v>
      </c>
      <c r="D48" s="1" t="s">
        <v>141</v>
      </c>
      <c r="E48" s="2" t="s">
        <v>142</v>
      </c>
      <c r="F48" s="2"/>
      <c r="G48" s="2" t="s">
        <v>753</v>
      </c>
      <c r="H48" s="2" t="str">
        <f ca="1">IFERROR(__xludf.DUMMYFUNCTION("GoogleTranslate($E48, ""en"", ""zh-CN"")"),"训练手指")</f>
        <v>训练手指</v>
      </c>
      <c r="I48" s="7" t="s">
        <v>665</v>
      </c>
      <c r="J48" s="2" t="str">
        <f ca="1">IFERROR(__xludf.DUMMYFUNCTION("GoogleTranslate($E48, ""en"", ""ko"")"),"손가락 훈련")</f>
        <v>손가락 훈련</v>
      </c>
      <c r="K48" s="2" t="str">
        <f ca="1">IFERROR(__xludf.DUMMYFUNCTION("GoogleTranslate($E48, ""en"", ""ja"")"),"指のトレーニング")</f>
        <v>指のトレーニング</v>
      </c>
    </row>
    <row r="49" spans="1:11" ht="15">
      <c r="A49" s="2" t="s">
        <v>143</v>
      </c>
      <c r="B49" s="2" t="s">
        <v>8</v>
      </c>
      <c r="D49" s="1" t="s">
        <v>144</v>
      </c>
      <c r="E49" s="2" t="s">
        <v>145</v>
      </c>
      <c r="F49" s="2"/>
      <c r="G49" s="2" t="s">
        <v>754</v>
      </c>
      <c r="H49" s="2" t="str">
        <f ca="1">IFERROR(__xludf.DUMMYFUNCTION("GoogleTranslate($E49, ""en"", ""zh-CN"")"),"整只手")</f>
        <v>整只手</v>
      </c>
      <c r="I49" s="7" t="s">
        <v>666</v>
      </c>
      <c r="J49" s="2" t="str">
        <f ca="1">IFERROR(__xludf.DUMMYFUNCTION("GoogleTranslate($E49, ""en"", ""ko"")"),"손 전체")</f>
        <v>손 전체</v>
      </c>
      <c r="K49" s="2" t="str">
        <f ca="1">IFERROR(__xludf.DUMMYFUNCTION("GoogleTranslate($E49, ""en"", ""ja"")"),"手全体")</f>
        <v>手全体</v>
      </c>
    </row>
    <row r="50" spans="1:11" ht="15">
      <c r="A50" s="2" t="s">
        <v>146</v>
      </c>
      <c r="B50" s="2" t="s">
        <v>8</v>
      </c>
      <c r="D50" s="1" t="s">
        <v>147</v>
      </c>
      <c r="E50" s="2" t="s">
        <v>148</v>
      </c>
      <c r="F50" s="2"/>
      <c r="G50" s="2" t="str">
        <f ca="1">IFERROR(__xludf.DUMMYFUNCTION("GoogleTranslate($E50, ""en"", ""zh-TW"")"),"三指")</f>
        <v>三指</v>
      </c>
      <c r="H50" s="2" t="str">
        <f ca="1">IFERROR(__xludf.DUMMYFUNCTION("GoogleTranslate($E50, ""en"", ""zh-CN"")"),"三指")</f>
        <v>三指</v>
      </c>
      <c r="J50" s="2" t="str">
        <f ca="1">IFERROR(__xludf.DUMMYFUNCTION("GoogleTranslate($E50, ""en"", ""ko"")"),"세 손가락")</f>
        <v>세 손가락</v>
      </c>
      <c r="K50" s="2" t="str">
        <f ca="1">IFERROR(__xludf.DUMMYFUNCTION("GoogleTranslate($E50, ""en"", ""ja"")"),"スリーフィンガー")</f>
        <v>スリーフィンガー</v>
      </c>
    </row>
    <row r="51" spans="1:11" ht="15">
      <c r="A51" s="2" t="s">
        <v>149</v>
      </c>
      <c r="B51" s="2" t="s">
        <v>8</v>
      </c>
      <c r="D51" s="1" t="s">
        <v>150</v>
      </c>
      <c r="E51" s="2" t="s">
        <v>149</v>
      </c>
      <c r="F51" s="2"/>
      <c r="G51" s="2" t="str">
        <f ca="1">IFERROR(__xludf.DUMMYFUNCTION("GoogleTranslate($E51, ""en"", ""zh-TW"")"),"大拇指")</f>
        <v>大拇指</v>
      </c>
      <c r="H51" s="2" t="str">
        <f ca="1">IFERROR(__xludf.DUMMYFUNCTION("GoogleTranslate($E51, ""en"", ""zh-CN"")"),"拇指")</f>
        <v>拇指</v>
      </c>
      <c r="J51" s="2" t="str">
        <f ca="1">IFERROR(__xludf.DUMMYFUNCTION("GoogleTranslate($E51, ""en"", ""ko"")"),"무지")</f>
        <v>무지</v>
      </c>
      <c r="K51" s="2" t="s">
        <v>755</v>
      </c>
    </row>
    <row r="52" spans="1:11" ht="15">
      <c r="A52" s="2" t="s">
        <v>151</v>
      </c>
      <c r="B52" s="2" t="s">
        <v>8</v>
      </c>
      <c r="D52" s="1" t="s">
        <v>152</v>
      </c>
      <c r="E52" s="2" t="s">
        <v>151</v>
      </c>
      <c r="F52" s="2"/>
      <c r="G52" s="2" t="s">
        <v>756</v>
      </c>
      <c r="H52" s="2" t="str">
        <f ca="1">IFERROR(__xludf.DUMMYFUNCTION("GoogleTranslate($E52, ""en"", ""zh-CN"")"),"指数")</f>
        <v>指数</v>
      </c>
      <c r="J52" s="2" t="str">
        <f ca="1">IFERROR(__xludf.DUMMYFUNCTION("GoogleTranslate($E52, ""en"", ""ko"")"),"색인")</f>
        <v>색인</v>
      </c>
      <c r="K52" s="2" t="str">
        <f ca="1">IFERROR(__xludf.DUMMYFUNCTION("GoogleTranslate($E52, ""en"", ""ja"")"),"索引")</f>
        <v>索引</v>
      </c>
    </row>
    <row r="53" spans="1:11" ht="15">
      <c r="A53" s="2" t="s">
        <v>153</v>
      </c>
      <c r="B53" s="2" t="s">
        <v>8</v>
      </c>
      <c r="D53" s="1" t="s">
        <v>154</v>
      </c>
      <c r="E53" s="2" t="s">
        <v>153</v>
      </c>
      <c r="F53" s="2"/>
      <c r="G53" s="2" t="s">
        <v>757</v>
      </c>
      <c r="H53" s="2" t="str">
        <f ca="1">IFERROR(__xludf.DUMMYFUNCTION("GoogleTranslate($E53, ""en"", ""zh-CN"")"),"中间")</f>
        <v>中间</v>
      </c>
      <c r="I53" s="7" t="s">
        <v>667</v>
      </c>
      <c r="J53" s="2" t="str">
        <f ca="1">IFERROR(__xludf.DUMMYFUNCTION("GoogleTranslate($E53, ""en"", ""ko"")"),"가운데")</f>
        <v>가운데</v>
      </c>
      <c r="K53" s="2" t="str">
        <f ca="1">IFERROR(__xludf.DUMMYFUNCTION("GoogleTranslate($E53, ""en"", ""ja"")"),"真ん中")</f>
        <v>真ん中</v>
      </c>
    </row>
    <row r="54" spans="1:11" ht="15">
      <c r="A54" s="2" t="s">
        <v>155</v>
      </c>
      <c r="B54" s="2" t="s">
        <v>8</v>
      </c>
      <c r="D54" s="1" t="s">
        <v>156</v>
      </c>
      <c r="E54" s="2" t="s">
        <v>155</v>
      </c>
      <c r="F54" s="2"/>
      <c r="G54" s="2" t="str">
        <f ca="1">IFERROR(__xludf.DUMMYFUNCTION("GoogleTranslate($E54, ""en"", ""zh-TW"")"),"戒指")</f>
        <v>戒指</v>
      </c>
      <c r="H54" s="2" t="str">
        <f ca="1">IFERROR(__xludf.DUMMYFUNCTION("GoogleTranslate($E54, ""en"", ""zh-CN"")"),"戒指")</f>
        <v>戒指</v>
      </c>
      <c r="I54" s="7" t="s">
        <v>668</v>
      </c>
      <c r="J54" s="2" t="str">
        <f ca="1">IFERROR(__xludf.DUMMYFUNCTION("GoogleTranslate($E54, ""en"", ""ko"")"),"반지")</f>
        <v>반지</v>
      </c>
      <c r="K54" s="2" t="s">
        <v>758</v>
      </c>
    </row>
    <row r="55" spans="1:11" ht="15">
      <c r="A55" s="2" t="s">
        <v>157</v>
      </c>
      <c r="B55" s="2" t="s">
        <v>8</v>
      </c>
      <c r="D55" s="1" t="s">
        <v>158</v>
      </c>
      <c r="E55" s="2" t="s">
        <v>157</v>
      </c>
      <c r="F55" s="2"/>
      <c r="G55" s="2" t="str">
        <f ca="1">IFERROR(__xludf.DUMMYFUNCTION("GoogleTranslate($E55, ""en"", ""zh-TW"")"),"小的")</f>
        <v>小的</v>
      </c>
      <c r="H55" s="2" t="str">
        <f ca="1">IFERROR(__xludf.DUMMYFUNCTION("GoogleTranslate($E55, ""en"", ""zh-CN"")"),"小的")</f>
        <v>小的</v>
      </c>
      <c r="I55" s="7" t="s">
        <v>669</v>
      </c>
      <c r="J55" s="2" t="str">
        <f ca="1">IFERROR(__xludf.DUMMYFUNCTION("GoogleTranslate($E55, ""en"", ""ko"")"),"작은")</f>
        <v>작은</v>
      </c>
      <c r="K55" s="2" t="str">
        <f ca="1">IFERROR(__xludf.DUMMYFUNCTION("GoogleTranslate($E55, ""en"", ""ja"")"),"少し")</f>
        <v>少し</v>
      </c>
    </row>
    <row r="56" spans="1:11" ht="15">
      <c r="A56" s="2" t="s">
        <v>159</v>
      </c>
      <c r="B56" s="2" t="s">
        <v>8</v>
      </c>
      <c r="D56" s="1" t="s">
        <v>160</v>
      </c>
      <c r="E56" s="2" t="s">
        <v>161</v>
      </c>
      <c r="F56" s="2"/>
      <c r="G56" s="2" t="s">
        <v>759</v>
      </c>
      <c r="H56" s="2" t="str">
        <f ca="1">IFERROR(__xludf.DUMMYFUNCTION("GoogleTranslate($E56, ""en"", ""zh-CN"")"),"活动范围")</f>
        <v>活动范围</v>
      </c>
      <c r="J56" s="2" t="str">
        <f ca="1">IFERROR(__xludf.DUMMYFUNCTION("GoogleTranslate($E56, ""en"", ""ko"")"),"동작 범위")</f>
        <v>동작 범위</v>
      </c>
      <c r="K56" s="2" t="s">
        <v>760</v>
      </c>
    </row>
    <row r="57" spans="1:11" ht="15">
      <c r="A57" s="2" t="s">
        <v>162</v>
      </c>
      <c r="B57" s="2" t="s">
        <v>8</v>
      </c>
      <c r="D57" s="1" t="s">
        <v>163</v>
      </c>
      <c r="E57" s="2" t="s">
        <v>164</v>
      </c>
      <c r="F57" s="2"/>
      <c r="G57" s="2" t="s">
        <v>761</v>
      </c>
      <c r="H57" s="2" t="str">
        <f ca="1">IFERROR(__xludf.DUMMYFUNCTION("GoogleTranslate($E57, ""en"", ""zh-CN"")"),"持续时间（分钟）")</f>
        <v>持续时间（分钟）</v>
      </c>
      <c r="J57" s="2" t="str">
        <f ca="1">IFERROR(__xludf.DUMMYFUNCTION("GoogleTranslate($E57, ""en"", ""ko"")"),"기간(분)")</f>
        <v>기간(분)</v>
      </c>
      <c r="K57" s="2" t="s">
        <v>762</v>
      </c>
    </row>
    <row r="58" spans="1:11" ht="15">
      <c r="A58" s="2" t="s">
        <v>165</v>
      </c>
      <c r="B58" s="2" t="s">
        <v>8</v>
      </c>
      <c r="D58" s="1" t="s">
        <v>166</v>
      </c>
      <c r="E58" s="2" t="s">
        <v>167</v>
      </c>
      <c r="F58" s="2"/>
      <c r="G58" s="2" t="s">
        <v>763</v>
      </c>
      <c r="H58" s="2" t="str">
        <f ca="1">IFERROR(__xludf.DUMMYFUNCTION("GoogleTranslate($E58, ""en"", ""zh-CN"")"),"默认阈值")</f>
        <v>默认阈值</v>
      </c>
      <c r="J58" s="2" t="str">
        <f ca="1">IFERROR(__xludf.DUMMYFUNCTION("GoogleTranslate($E58, ""en"", ""ko"")"),"기본 임계값")</f>
        <v>기본 임계값</v>
      </c>
      <c r="K58" s="2" t="str">
        <f ca="1">IFERROR(__xludf.DUMMYFUNCTION("GoogleTranslate($E58, ""en"", ""ja"")"),"デフォルトのしきい値")</f>
        <v>デフォルトのしきい値</v>
      </c>
    </row>
    <row r="59" spans="1:11" ht="15">
      <c r="A59" s="2" t="s">
        <v>168</v>
      </c>
      <c r="B59" s="2" t="s">
        <v>8</v>
      </c>
      <c r="D59" s="1" t="s">
        <v>169</v>
      </c>
      <c r="E59" s="2" t="s">
        <v>170</v>
      </c>
      <c r="F59" s="2"/>
      <c r="G59" s="2" t="s">
        <v>764</v>
      </c>
      <c r="H59" s="2" t="str">
        <f ca="1">IFERROR(__xludf.DUMMYFUNCTION("GoogleTranslate($E59, ""en"", ""zh-CN"")"),"触发并开始")</f>
        <v>触发并开始</v>
      </c>
      <c r="I59" s="7" t="s">
        <v>670</v>
      </c>
      <c r="J59" s="2" t="str">
        <f ca="1">IFERROR(__xludf.DUMMYFUNCTION("GoogleTranslate($E59, ""en"", ""ko"")"),"트리거 앤 고")</f>
        <v>트리거 앤 고</v>
      </c>
      <c r="K59" s="2" t="str">
        <f ca="1">IFERROR(__xludf.DUMMYFUNCTION("GoogleTranslate($E59, ""en"", ""ja"")"),"トリガーアンドゴー")</f>
        <v>トリガーアンドゴー</v>
      </c>
    </row>
    <row r="60" spans="1:11" ht="15">
      <c r="A60" s="2" t="s">
        <v>171</v>
      </c>
      <c r="B60" s="2" t="s">
        <v>8</v>
      </c>
      <c r="D60" s="1" t="s">
        <v>172</v>
      </c>
      <c r="E60" s="2" t="s">
        <v>173</v>
      </c>
      <c r="F60" s="2"/>
      <c r="G60" s="2" t="s">
        <v>765</v>
      </c>
      <c r="H60" s="2" t="str">
        <f ca="1">IFERROR(__xludf.DUMMYFUNCTION("GoogleTranslate($E60, ""en"", ""zh-CN"")"),"触发和维持")</f>
        <v>触发和维持</v>
      </c>
      <c r="I60" s="7" t="s">
        <v>671</v>
      </c>
      <c r="J60" s="2" t="str">
        <f ca="1">IFERROR(__xludf.DUMMYFUNCTION("GoogleTranslate($E60, ""en"", ""ko"")"),"트리거 및 유지")</f>
        <v>트리거 및 유지</v>
      </c>
      <c r="K60" s="2" t="s">
        <v>766</v>
      </c>
    </row>
    <row r="61" spans="1:11" ht="15">
      <c r="A61" s="2" t="s">
        <v>174</v>
      </c>
      <c r="B61" s="2" t="s">
        <v>8</v>
      </c>
      <c r="D61" s="1" t="s">
        <v>175</v>
      </c>
      <c r="E61" s="2" t="s">
        <v>176</v>
      </c>
      <c r="F61" s="2"/>
      <c r="G61" s="2" t="s">
        <v>767</v>
      </c>
      <c r="H61" s="2" t="str">
        <f ca="1">IFERROR(__xludf.DUMMYFUNCTION("GoogleTranslate($E61, ""en"", ""zh-CN"")"),"开始训练")</f>
        <v>开始训练</v>
      </c>
      <c r="J61" s="2" t="str">
        <f ca="1">IFERROR(__xludf.DUMMYFUNCTION("GoogleTranslate($E61, ""en"", ""ko"")"),"훈련 시작")</f>
        <v>훈련 시작</v>
      </c>
      <c r="K61" s="2" t="s">
        <v>768</v>
      </c>
    </row>
    <row r="62" spans="1:11" ht="15">
      <c r="A62" s="2" t="s">
        <v>177</v>
      </c>
      <c r="B62" s="2" t="s">
        <v>8</v>
      </c>
      <c r="D62" s="1" t="s">
        <v>178</v>
      </c>
      <c r="E62" s="2" t="s">
        <v>177</v>
      </c>
      <c r="F62" s="2"/>
      <c r="G62" s="2" t="s">
        <v>179</v>
      </c>
      <c r="H62" s="2" t="s">
        <v>179</v>
      </c>
      <c r="J62" s="2" t="s">
        <v>180</v>
      </c>
      <c r="K62" s="2" t="str">
        <f ca="1">IFERROR(__xludf.DUMMYFUNCTION("GoogleTranslate($E62, ""en"", ""ja"")"),"オフ")</f>
        <v>オフ</v>
      </c>
    </row>
    <row r="63" spans="1:11" ht="15">
      <c r="A63" s="2" t="s">
        <v>181</v>
      </c>
      <c r="B63" s="2" t="s">
        <v>8</v>
      </c>
      <c r="D63" s="1" t="s">
        <v>182</v>
      </c>
      <c r="E63" s="2" t="s">
        <v>181</v>
      </c>
      <c r="F63" s="2"/>
      <c r="G63" s="2" t="s">
        <v>183</v>
      </c>
      <c r="H63" s="2" t="s">
        <v>183</v>
      </c>
      <c r="J63" s="2" t="s">
        <v>184</v>
      </c>
      <c r="K63" s="2" t="s">
        <v>185</v>
      </c>
    </row>
    <row r="64" spans="1:11" ht="15">
      <c r="A64" s="2" t="s">
        <v>186</v>
      </c>
      <c r="B64" s="2" t="s">
        <v>8</v>
      </c>
      <c r="D64" s="1" t="s">
        <v>187</v>
      </c>
      <c r="E64" s="2" t="s">
        <v>188</v>
      </c>
      <c r="F64" s="2"/>
      <c r="G64" s="2" t="s">
        <v>769</v>
      </c>
      <c r="H64" s="2" t="str">
        <f ca="1">IFERROR(__xludf.DUMMYFUNCTION("GoogleTranslate($E64, ""en"", ""zh-CN"")"),"肌电图训练设置")</f>
        <v>肌电图训练设置</v>
      </c>
      <c r="I64" s="7" t="s">
        <v>672</v>
      </c>
      <c r="J64" s="2" t="str">
        <f ca="1">IFERROR(__xludf.DUMMYFUNCTION("GoogleTranslate($E64, ""en"", ""ko"")"),"EMG 훈련 설정")</f>
        <v>EMG 훈련 설정</v>
      </c>
      <c r="K64" s="2" t="s">
        <v>770</v>
      </c>
    </row>
    <row r="65" spans="1:11" ht="15">
      <c r="A65" s="2" t="s">
        <v>189</v>
      </c>
      <c r="B65" s="2" t="s">
        <v>8</v>
      </c>
      <c r="D65" s="1" t="s">
        <v>190</v>
      </c>
      <c r="E65" s="2" t="s">
        <v>189</v>
      </c>
      <c r="F65" s="2"/>
      <c r="G65" s="2" t="s">
        <v>771</v>
      </c>
      <c r="H65" s="2" t="str">
        <f ca="1">IFERROR(__xludf.DUMMYFUNCTION("GoogleTranslate($E65, ""en"", ""zh-CN"")"),"分数")</f>
        <v>分数</v>
      </c>
      <c r="J65" s="2" t="str">
        <f ca="1">IFERROR(__xludf.DUMMYFUNCTION("GoogleTranslate($E65, ""en"", ""ko"")"),"점수")</f>
        <v>점수</v>
      </c>
      <c r="K65" s="2" t="str">
        <f ca="1">IFERROR(__xludf.DUMMYFUNCTION("GoogleTranslate($E65, ""en"", ""ja"")"),"スコア")</f>
        <v>スコア</v>
      </c>
    </row>
    <row r="66" spans="1:11" ht="15">
      <c r="A66" s="2" t="s">
        <v>191</v>
      </c>
      <c r="B66" s="2" t="s">
        <v>8</v>
      </c>
      <c r="D66" s="1" t="s">
        <v>192</v>
      </c>
      <c r="E66" s="2" t="s">
        <v>193</v>
      </c>
      <c r="F66" s="2"/>
      <c r="G66" s="2" t="s">
        <v>772</v>
      </c>
      <c r="H66" s="2" t="str">
        <f ca="1">IFERROR(__xludf.DUMMYFUNCTION("GoogleTranslate($E66, ""en"", ""zh-CN"")"),"张开你的手")</f>
        <v>张开你的手</v>
      </c>
      <c r="I66" s="7" t="s">
        <v>673</v>
      </c>
      <c r="J66" s="2" t="str">
        <f ca="1">IFERROR(__xludf.DUMMYFUNCTION("GoogleTranslate($E66, ""en"", ""ko"")"),"손을 펴세요")</f>
        <v>손을 펴세요</v>
      </c>
      <c r="K66" s="2" t="s">
        <v>773</v>
      </c>
    </row>
    <row r="67" spans="1:11" ht="15">
      <c r="A67" s="2" t="s">
        <v>194</v>
      </c>
      <c r="B67" s="2" t="s">
        <v>8</v>
      </c>
      <c r="D67" s="1" t="s">
        <v>195</v>
      </c>
      <c r="E67" s="2" t="s">
        <v>196</v>
      </c>
      <c r="F67" s="2"/>
      <c r="G67" s="2" t="s">
        <v>774</v>
      </c>
      <c r="H67" s="2" t="str">
        <f ca="1">IFERROR(__xludf.DUMMYFUNCTION("GoogleTranslate($E67, ""en"", ""zh-CN"")"),"闭上你的手")</f>
        <v>闭上你的手</v>
      </c>
      <c r="I67" s="7" t="s">
        <v>693</v>
      </c>
      <c r="J67" s="2" t="str">
        <f ca="1">IFERROR(__xludf.DUMMYFUNCTION("GoogleTranslate($E67, ""en"", ""ko"")"),"손을 닫아라")</f>
        <v>손을 닫아라</v>
      </c>
      <c r="K67" s="2" t="s">
        <v>775</v>
      </c>
    </row>
    <row r="68" spans="1:11" ht="15">
      <c r="A68" s="2" t="s">
        <v>197</v>
      </c>
      <c r="B68" s="2" t="s">
        <v>8</v>
      </c>
      <c r="D68" s="1" t="s">
        <v>198</v>
      </c>
      <c r="E68" s="2" t="s">
        <v>197</v>
      </c>
      <c r="F68" s="2"/>
      <c r="G68" s="2" t="s">
        <v>776</v>
      </c>
      <c r="H68" s="2" t="str">
        <f ca="1">IFERROR(__xludf.DUMMYFUNCTION("GoogleTranslate($E68, ""en"", ""zh-CN"")"),"放松")</f>
        <v>放松</v>
      </c>
      <c r="J68" s="2" t="str">
        <f ca="1">IFERROR(__xludf.DUMMYFUNCTION("GoogleTranslate($E68, ""en"", ""ko"")"),"안심하다")</f>
        <v>안심하다</v>
      </c>
      <c r="K68" s="2" t="str">
        <f ca="1">IFERROR(__xludf.DUMMYFUNCTION("GoogleTranslate($E68, ""en"", ""ja"")"),"リラックス")</f>
        <v>リラックス</v>
      </c>
    </row>
    <row r="69" spans="1:11" ht="15">
      <c r="A69" s="2" t="s">
        <v>199</v>
      </c>
      <c r="B69" s="2" t="s">
        <v>8</v>
      </c>
      <c r="D69" s="1" t="s">
        <v>200</v>
      </c>
      <c r="E69" s="2" t="s">
        <v>199</v>
      </c>
      <c r="F69" s="2"/>
      <c r="G69" s="2" t="s">
        <v>777</v>
      </c>
      <c r="H69" s="2" t="str">
        <f ca="1">IFERROR(__xludf.DUMMYFUNCTION("GoogleTranslate($E69, ""en"", ""zh-CN"")"),"已暂停")</f>
        <v>已暂停</v>
      </c>
      <c r="J69" s="2" t="str">
        <f ca="1">IFERROR(__xludf.DUMMYFUNCTION("GoogleTranslate($E69, ""en"", ""ko"")"),"일시중지됨")</f>
        <v>일시중지됨</v>
      </c>
      <c r="K69" s="2" t="s">
        <v>778</v>
      </c>
    </row>
    <row r="70" spans="1:11" ht="15">
      <c r="A70" s="2" t="s">
        <v>201</v>
      </c>
      <c r="B70" s="2" t="s">
        <v>8</v>
      </c>
      <c r="D70" s="1" t="s">
        <v>202</v>
      </c>
      <c r="E70" s="2" t="s">
        <v>201</v>
      </c>
      <c r="F70" s="2"/>
      <c r="G70" s="2" t="s">
        <v>203</v>
      </c>
      <c r="H70" s="2" t="s">
        <v>203</v>
      </c>
      <c r="J70" s="2" t="s">
        <v>204</v>
      </c>
      <c r="K70" s="2" t="str">
        <f ca="1">IFERROR(__xludf.DUMMYFUNCTION("GoogleTranslate($E70, ""en"", ""ja"")"),"保存")</f>
        <v>保存</v>
      </c>
    </row>
    <row r="71" spans="1:11" ht="15">
      <c r="A71" s="2" t="s">
        <v>205</v>
      </c>
      <c r="B71" s="2" t="s">
        <v>8</v>
      </c>
      <c r="D71" s="1" t="s">
        <v>206</v>
      </c>
      <c r="E71" s="2" t="s">
        <v>205</v>
      </c>
      <c r="F71" s="2"/>
      <c r="G71" s="2" t="s">
        <v>779</v>
      </c>
      <c r="H71" s="2" t="str">
        <f ca="1">IFERROR(__xludf.DUMMYFUNCTION("GoogleTranslate($E71, ""en"", ""zh-CN"")"),"丢弃")</f>
        <v>丢弃</v>
      </c>
      <c r="J71" s="2" t="str">
        <f ca="1">IFERROR(__xludf.DUMMYFUNCTION("GoogleTranslate($E71, ""en"", ""ko"")"),"버리다")</f>
        <v>버리다</v>
      </c>
      <c r="K71" s="2" t="s">
        <v>780</v>
      </c>
    </row>
    <row r="72" spans="1:11" ht="15">
      <c r="A72" s="2" t="s">
        <v>207</v>
      </c>
      <c r="B72" s="2" t="s">
        <v>8</v>
      </c>
      <c r="D72" s="1" t="s">
        <v>208</v>
      </c>
      <c r="E72" s="2" t="s">
        <v>209</v>
      </c>
      <c r="F72" s="2"/>
      <c r="G72" s="2" t="s">
        <v>781</v>
      </c>
      <c r="H72" s="2" t="str">
        <f ca="1">IFERROR(__xludf.DUMMYFUNCTION("GoogleTranslate($E72, ""en"", ""zh-CN"")"),"选择个人资料")</f>
        <v>选择个人资料</v>
      </c>
      <c r="J72" s="2" t="str">
        <f ca="1">IFERROR(__xludf.DUMMYFUNCTION("GoogleTranslate($E72, ""en"", ""ko"")"),"프로필 선택")</f>
        <v>프로필 선택</v>
      </c>
      <c r="K72" s="2" t="s">
        <v>782</v>
      </c>
    </row>
    <row r="73" spans="1:11" ht="15">
      <c r="A73" s="2" t="s">
        <v>210</v>
      </c>
      <c r="B73" s="2" t="s">
        <v>8</v>
      </c>
      <c r="D73" s="1" t="s">
        <v>211</v>
      </c>
      <c r="E73" s="2" t="s">
        <v>212</v>
      </c>
      <c r="F73" s="2"/>
      <c r="G73" s="2" t="s">
        <v>783</v>
      </c>
      <c r="H73" s="2" t="str">
        <f ca="1">IFERROR(__xludf.DUMMYFUNCTION("GoogleTranslate($E73, ""en"", ""zh-CN"")"),"输入关键字进行搜索")</f>
        <v>输入关键字进行搜索</v>
      </c>
      <c r="J73" s="2" t="str">
        <f ca="1">IFERROR(__xludf.DUMMYFUNCTION("GoogleTranslate($E73, ""en"", ""ko"")"),"검색할 키워드를 입력하세요")</f>
        <v>검색할 키워드를 입력하세요</v>
      </c>
      <c r="K73" s="2" t="str">
        <f ca="1">IFERROR(__xludf.DUMMYFUNCTION("GoogleTranslate($E73, ""en"", ""ja"")"),"キーワードを入力して検索します")</f>
        <v>キーワードを入力して検索します</v>
      </c>
    </row>
    <row r="74" spans="1:11" ht="15">
      <c r="A74" s="2" t="s">
        <v>213</v>
      </c>
      <c r="B74" s="2" t="s">
        <v>8</v>
      </c>
      <c r="D74" s="1" t="s">
        <v>214</v>
      </c>
      <c r="E74" s="2" t="s">
        <v>215</v>
      </c>
      <c r="F74" s="2"/>
      <c r="G74" s="2" t="s">
        <v>784</v>
      </c>
      <c r="H74" s="2" t="str">
        <f ca="1">IFERROR(__xludf.DUMMYFUNCTION("GoogleTranslate($E74, ""en"", ""zh-CN"")"),"常规设置")</f>
        <v>常规设置</v>
      </c>
      <c r="J74" s="2" t="str">
        <f ca="1">IFERROR(__xludf.DUMMYFUNCTION("GoogleTranslate($E74, ""en"", ""ko"")"),"일반 설정")</f>
        <v>일반 설정</v>
      </c>
      <c r="K74" s="2" t="s">
        <v>785</v>
      </c>
    </row>
    <row r="75" spans="1:11" ht="15">
      <c r="A75" s="2" t="s">
        <v>216</v>
      </c>
      <c r="B75" s="2" t="s">
        <v>8</v>
      </c>
      <c r="D75" s="1" t="s">
        <v>217</v>
      </c>
      <c r="E75" s="2" t="s">
        <v>218</v>
      </c>
      <c r="F75" s="2"/>
      <c r="G75" s="2" t="s">
        <v>786</v>
      </c>
      <c r="H75" s="2" t="str">
        <f ca="1">IFERROR(__xludf.DUMMYFUNCTION("GoogleTranslate($E75, ""en"", ""zh-CN"")"),"训练设置")</f>
        <v>训练设置</v>
      </c>
      <c r="J75" s="2" t="str">
        <f ca="1">IFERROR(__xludf.DUMMYFUNCTION("GoogleTranslate($E75, ""en"", ""ko"")"),"훈련 설정")</f>
        <v>훈련 설정</v>
      </c>
      <c r="K75" s="2" t="s">
        <v>787</v>
      </c>
    </row>
    <row r="76" spans="1:11" ht="15">
      <c r="A76" s="2" t="s">
        <v>219</v>
      </c>
      <c r="B76" s="2" t="s">
        <v>8</v>
      </c>
      <c r="D76" s="1" t="s">
        <v>220</v>
      </c>
      <c r="E76" s="2" t="s">
        <v>219</v>
      </c>
      <c r="F76" s="2"/>
      <c r="G76" s="2" t="s">
        <v>221</v>
      </c>
      <c r="H76" s="2" t="s">
        <v>221</v>
      </c>
      <c r="I76" s="7" t="s">
        <v>674</v>
      </c>
      <c r="J76" s="2" t="str">
        <f ca="1">IFERROR(__xludf.DUMMYFUNCTION("GoogleTranslate($E76, ""en"", ""ko"")"),"적용하다")</f>
        <v>적용하다</v>
      </c>
      <c r="K76" s="2" t="s">
        <v>788</v>
      </c>
    </row>
    <row r="77" spans="1:11" ht="15">
      <c r="A77" s="2" t="s">
        <v>222</v>
      </c>
      <c r="B77" s="2" t="s">
        <v>8</v>
      </c>
      <c r="D77" s="1" t="s">
        <v>223</v>
      </c>
      <c r="E77" s="2" t="s">
        <v>222</v>
      </c>
      <c r="F77" s="2"/>
      <c r="G77" s="2" t="str">
        <f ca="1">IFERROR(__xludf.DUMMYFUNCTION("GoogleTranslate($E77, ""en"", ""zh-TW"")"),"重置")</f>
        <v>重置</v>
      </c>
      <c r="H77" s="2" t="str">
        <f ca="1">IFERROR(__xludf.DUMMYFUNCTION("GoogleTranslate($E77, ""en"", ""zh-CN"")"),"重置")</f>
        <v>重置</v>
      </c>
      <c r="J77" s="2" t="str">
        <f ca="1">IFERROR(__xludf.DUMMYFUNCTION("GoogleTranslate($E77, ""en"", ""ko"")"),"초기화")</f>
        <v>초기화</v>
      </c>
      <c r="K77" s="2" t="str">
        <f ca="1">IFERROR(__xludf.DUMMYFUNCTION("GoogleTranslate($E77, ""en"", ""ja"")"),"リセット")</f>
        <v>リセット</v>
      </c>
    </row>
    <row r="78" spans="1:11" ht="15">
      <c r="A78" s="2" t="s">
        <v>224</v>
      </c>
      <c r="B78" s="2" t="s">
        <v>8</v>
      </c>
      <c r="D78" s="1" t="s">
        <v>225</v>
      </c>
      <c r="E78" s="2" t="s">
        <v>224</v>
      </c>
      <c r="F78" s="2"/>
      <c r="G78" s="2" t="s">
        <v>789</v>
      </c>
      <c r="H78" s="2" t="str">
        <f ca="1">IFERROR(__xludf.DUMMYFUNCTION("GoogleTranslate($E78, ""en"", ""zh-CN"")"),"设置")</f>
        <v>设置</v>
      </c>
      <c r="J78" s="2" t="str">
        <f ca="1">IFERROR(__xludf.DUMMYFUNCTION("GoogleTranslate($E78, ""en"", ""ko"")"),"설정")</f>
        <v>설정</v>
      </c>
      <c r="K78" s="2" t="s">
        <v>789</v>
      </c>
    </row>
    <row r="79" spans="1:11" ht="15">
      <c r="A79" s="2" t="s">
        <v>226</v>
      </c>
      <c r="B79" s="2" t="s">
        <v>8</v>
      </c>
      <c r="D79" s="1" t="s">
        <v>227</v>
      </c>
      <c r="E79" s="2" t="s">
        <v>228</v>
      </c>
      <c r="F79" s="2"/>
      <c r="G79" s="2" t="s">
        <v>790</v>
      </c>
      <c r="H79" s="2" t="str">
        <f ca="1">IFERROR(__xludf.DUMMYFUNCTION("GoogleTranslate($E79, ""en"", ""zh-CN"")"),"确认删除设备吗？")</f>
        <v>确认删除设备吗？</v>
      </c>
      <c r="I79" s="7" t="s">
        <v>675</v>
      </c>
      <c r="J79" s="2" t="str">
        <f ca="1">IFERROR(__xludf.DUMMYFUNCTION("GoogleTranslate($E79, ""en"", ""ko"")"),"기기를 제거하시겠습니까?")</f>
        <v>기기를 제거하시겠습니까?</v>
      </c>
      <c r="K79" s="2" t="s">
        <v>791</v>
      </c>
    </row>
    <row r="80" spans="1:11" ht="15">
      <c r="A80" s="2" t="s">
        <v>229</v>
      </c>
      <c r="B80" s="2" t="s">
        <v>8</v>
      </c>
      <c r="D80" s="1" t="s">
        <v>230</v>
      </c>
      <c r="E80" s="2" t="s">
        <v>231</v>
      </c>
      <c r="F80" s="2"/>
      <c r="G80" s="2" t="s">
        <v>232</v>
      </c>
      <c r="H80" s="2" t="s">
        <v>232</v>
      </c>
      <c r="I80" s="7" t="s">
        <v>657</v>
      </c>
      <c r="J80" s="2" t="str">
        <f ca="1">IFERROR(__xludf.DUMMYFUNCTION("GoogleTranslate($E80, ""en"", ""ko"")"),"CPM 교육")</f>
        <v>CPM 교육</v>
      </c>
      <c r="K80" s="2" t="str">
        <f ca="1">IFERROR(__xludf.DUMMYFUNCTION("GoogleTranslate($E80, ""en"", ""ja"")"),"CPMトレーニング")</f>
        <v>CPMトレーニング</v>
      </c>
    </row>
    <row r="81" spans="1:11" ht="15">
      <c r="A81" s="2" t="s">
        <v>233</v>
      </c>
      <c r="B81" s="2" t="s">
        <v>8</v>
      </c>
      <c r="D81" s="1" t="s">
        <v>234</v>
      </c>
      <c r="E81" s="2" t="s">
        <v>235</v>
      </c>
      <c r="F81" s="2"/>
      <c r="G81" s="2" t="s">
        <v>792</v>
      </c>
      <c r="H81" s="2" t="str">
        <f ca="1">IFERROR(__xludf.DUMMYFUNCTION("GoogleTranslate($E81, ""en"", ""zh-CN"")"),"延长等待（秒）")</f>
        <v>延长等待（秒）</v>
      </c>
      <c r="I81" s="7" t="s">
        <v>676</v>
      </c>
      <c r="J81" s="2" t="str">
        <f ca="1">IFERROR(__xludf.DUMMYFUNCTION("GoogleTranslate($E81, ""en"", ""ko"")"),"연장 대기(초)")</f>
        <v>연장 대기(초)</v>
      </c>
      <c r="K81" s="2" t="s">
        <v>793</v>
      </c>
    </row>
    <row r="82" spans="1:11" ht="15">
      <c r="A82" s="2" t="s">
        <v>236</v>
      </c>
      <c r="B82" s="2" t="s">
        <v>8</v>
      </c>
      <c r="D82" s="1" t="s">
        <v>237</v>
      </c>
      <c r="E82" s="2" t="s">
        <v>238</v>
      </c>
      <c r="F82" s="2"/>
      <c r="G82" s="2" t="str">
        <f ca="1">IFERROR(__xludf.DUMMYFUNCTION("GoogleTranslate($E82, ""en"", ""zh-TW"")"),"屈曲等待（秒）")</f>
        <v>屈曲等待（秒）</v>
      </c>
      <c r="H82" s="2" t="str">
        <f ca="1">IFERROR(__xludf.DUMMYFUNCTION("GoogleTranslate($E82, ""en"", ""zh-CN"")"),"屈曲等待（秒）")</f>
        <v>屈曲等待（秒）</v>
      </c>
      <c r="I82" s="7" t="s">
        <v>677</v>
      </c>
      <c r="J82" s="2" t="str">
        <f ca="1">IFERROR(__xludf.DUMMYFUNCTION("GoogleTranslate($E82, ""en"", ""ko"")"),"굴곡 대기(초)")</f>
        <v>굴곡 대기(초)</v>
      </c>
      <c r="K82" s="2" t="s">
        <v>794</v>
      </c>
    </row>
    <row r="83" spans="1:11" ht="15">
      <c r="A83" s="2" t="s">
        <v>239</v>
      </c>
      <c r="B83" s="2" t="s">
        <v>8</v>
      </c>
      <c r="D83" s="1" t="s">
        <v>237</v>
      </c>
      <c r="E83" s="2" t="s">
        <v>240</v>
      </c>
      <c r="F83" s="2"/>
      <c r="G83" s="2" t="s">
        <v>795</v>
      </c>
      <c r="H83" s="2" t="str">
        <f ca="1">IFERROR(__xludf.DUMMYFUNCTION("GoogleTranslate($E83, ""en"", ""zh-CN"")"),"CPM 培训设置")</f>
        <v>CPM 培训设置</v>
      </c>
      <c r="I83" s="7" t="s">
        <v>678</v>
      </c>
      <c r="J83" s="2" t="str">
        <f ca="1">IFERROR(__xludf.DUMMYFUNCTION("GoogleTranslate($E83, ""en"", ""ko"")"),"CPM 교육 설정")</f>
        <v>CPM 교육 설정</v>
      </c>
      <c r="K83" s="2" t="s">
        <v>796</v>
      </c>
    </row>
    <row r="84" spans="1:11" ht="15">
      <c r="A84" s="2" t="s">
        <v>241</v>
      </c>
      <c r="B84" s="2" t="s">
        <v>8</v>
      </c>
      <c r="D84" s="1" t="s">
        <v>242</v>
      </c>
      <c r="E84" s="2" t="s">
        <v>243</v>
      </c>
      <c r="F84" s="2"/>
      <c r="G84" s="2" t="s">
        <v>797</v>
      </c>
      <c r="H84" s="2" t="str">
        <f ca="1">IFERROR(__xludf.DUMMYFUNCTION("GoogleTranslate($E84, ""en"", ""zh-CN"")"),"HOH运动")</f>
        <v>HOH运动</v>
      </c>
      <c r="J84" s="2" t="str">
        <f ca="1">IFERROR(__xludf.DUMMYFUNCTION("GoogleTranslate($E84, ""en"", ""ko"")"),"HOH 무브먼트")</f>
        <v>HOH 무브먼트</v>
      </c>
      <c r="K84" s="2" t="s">
        <v>798</v>
      </c>
    </row>
    <row r="85" spans="1:11" ht="15">
      <c r="A85" s="2" t="s">
        <v>244</v>
      </c>
      <c r="B85" s="2" t="s">
        <v>8</v>
      </c>
      <c r="D85" s="1" t="s">
        <v>245</v>
      </c>
      <c r="E85" s="2" t="s">
        <v>244</v>
      </c>
      <c r="F85" s="2"/>
      <c r="G85" s="2" t="str">
        <f ca="1">IFERROR(__xludf.DUMMYFUNCTION("GoogleTranslate($E85, ""en"", ""zh-TW"")"),"光滑的")</f>
        <v>光滑的</v>
      </c>
      <c r="H85" s="2" t="str">
        <f ca="1">IFERROR(__xludf.DUMMYFUNCTION("GoogleTranslate($E85, ""en"", ""zh-CN"")"),"光滑的")</f>
        <v>光滑的</v>
      </c>
      <c r="I85" s="9" t="s">
        <v>695</v>
      </c>
      <c r="J85" s="2" t="str">
        <f ca="1">IFERROR(__xludf.DUMMYFUNCTION("GoogleTranslate($E85, ""en"", ""ko"")"),"매끄러운")</f>
        <v>매끄러운</v>
      </c>
      <c r="K85" s="2" t="str">
        <f ca="1">IFERROR(__xludf.DUMMYFUNCTION("GoogleTranslate($E85, ""en"", ""ja"")"),"スムーズ")</f>
        <v>スムーズ</v>
      </c>
    </row>
    <row r="86" spans="1:11" ht="15">
      <c r="A86" s="2" t="s">
        <v>246</v>
      </c>
      <c r="B86" s="2" t="s">
        <v>8</v>
      </c>
      <c r="D86" s="1" t="s">
        <v>247</v>
      </c>
      <c r="E86" s="2" t="s">
        <v>248</v>
      </c>
      <c r="F86" s="2"/>
      <c r="G86" s="2" t="str">
        <f ca="1">IFERROR(__xludf.DUMMYFUNCTION("GoogleTranslate($E86, ""en"", ""zh-TW"")"),"一步步")</f>
        <v>一步步</v>
      </c>
      <c r="H86" s="2" t="str">
        <f ca="1">IFERROR(__xludf.DUMMYFUNCTION("GoogleTranslate($E86, ""en"", ""zh-CN"")"),"一步步")</f>
        <v>一步步</v>
      </c>
      <c r="I86" s="9" t="s">
        <v>696</v>
      </c>
      <c r="J86" s="2" t="str">
        <f ca="1">IFERROR(__xludf.DUMMYFUNCTION("GoogleTranslate($E86, ""en"", ""ko"")"),"단계별")</f>
        <v>단계별</v>
      </c>
      <c r="K86" s="2" t="str">
        <f ca="1">IFERROR(__xludf.DUMMYFUNCTION("GoogleTranslate($E86, ""en"", ""ja"")"),"ステップバイステップ")</f>
        <v>ステップバイステップ</v>
      </c>
    </row>
    <row r="87" spans="1:11" ht="15">
      <c r="A87" s="2" t="s">
        <v>249</v>
      </c>
      <c r="B87" s="2" t="s">
        <v>8</v>
      </c>
      <c r="D87" s="1" t="s">
        <v>250</v>
      </c>
      <c r="E87" s="2" t="s">
        <v>251</v>
      </c>
      <c r="F87" s="2"/>
      <c r="G87" s="2" t="s">
        <v>799</v>
      </c>
      <c r="H87" s="2" t="str">
        <f ca="1">IFERROR(__xludf.DUMMYFUNCTION("GoogleTranslate($E87, ""en"", ""zh-CN"")"),"背景音乐")</f>
        <v>背景音乐</v>
      </c>
      <c r="J87" s="2" t="str">
        <f ca="1">IFERROR(__xludf.DUMMYFUNCTION("GoogleTranslate($E87, ""en"", ""ko"")"),"배경 음악")</f>
        <v>배경 음악</v>
      </c>
      <c r="K87" s="2" t="str">
        <f ca="1">IFERROR(__xludf.DUMMYFUNCTION("GoogleTranslate($E87, ""en"", ""ja"")"),"バックグラウンドミュージック")</f>
        <v>バックグラウンドミュージック</v>
      </c>
    </row>
    <row r="88" spans="1:11" ht="15">
      <c r="A88" s="2" t="s">
        <v>252</v>
      </c>
      <c r="B88" s="2" t="s">
        <v>8</v>
      </c>
      <c r="D88" s="1" t="s">
        <v>253</v>
      </c>
      <c r="E88" s="2" t="s">
        <v>252</v>
      </c>
      <c r="F88" s="2"/>
      <c r="G88" s="2" t="s">
        <v>254</v>
      </c>
      <c r="H88" s="2" t="s">
        <v>254</v>
      </c>
      <c r="J88" s="2" t="str">
        <f ca="1">IFERROR(__xludf.DUMMYFUNCTION("GoogleTranslate($E88, ""en"", ""ko"")"),"용량")</f>
        <v>용량</v>
      </c>
      <c r="K88" s="2" t="str">
        <f ca="1">IFERROR(__xludf.DUMMYFUNCTION("GoogleTranslate($E88, ""en"", ""ja"")"),"音量")</f>
        <v>音量</v>
      </c>
    </row>
    <row r="89" spans="1:11" ht="15">
      <c r="A89" s="2" t="s">
        <v>255</v>
      </c>
      <c r="B89" s="2" t="s">
        <v>8</v>
      </c>
      <c r="D89" s="1" t="s">
        <v>256</v>
      </c>
      <c r="E89" s="2" t="s">
        <v>257</v>
      </c>
      <c r="F89" s="2"/>
      <c r="G89" s="2" t="str">
        <f ca="1">IFERROR(__xludf.DUMMYFUNCTION("GoogleTranslate($E89, ""en"", ""zh-TW"")"),"音效")</f>
        <v>音效</v>
      </c>
      <c r="H89" s="2" t="str">
        <f ca="1">IFERROR(__xludf.DUMMYFUNCTION("GoogleTranslate($E89, ""en"", ""zh-CN"")"),"音效")</f>
        <v>音效</v>
      </c>
      <c r="J89" s="2" t="str">
        <f ca="1">IFERROR(__xludf.DUMMYFUNCTION("GoogleTranslate($E89, ""en"", ""ko"")"),"음향 효과")</f>
        <v>음향 효과</v>
      </c>
      <c r="K89" s="2" t="str">
        <f ca="1">IFERROR(__xludf.DUMMYFUNCTION("GoogleTranslate($E89, ""en"", ""ja"")"),"効果音")</f>
        <v>効果音</v>
      </c>
    </row>
    <row r="90" spans="1:11" ht="15">
      <c r="A90" s="2" t="s">
        <v>258</v>
      </c>
      <c r="B90" s="2" t="s">
        <v>8</v>
      </c>
      <c r="D90" s="1" t="s">
        <v>259</v>
      </c>
      <c r="E90" s="2" t="s">
        <v>260</v>
      </c>
      <c r="F90" s="2"/>
      <c r="G90" s="2" t="s">
        <v>800</v>
      </c>
      <c r="H90" s="2" t="str">
        <f ca="1">IFERROR(__xludf.DUMMYFUNCTION("GoogleTranslate($E90, ""en"", ""zh-CN"")"),"CPM 培训时长")</f>
        <v>CPM 培训时长</v>
      </c>
      <c r="I90" s="7" t="s">
        <v>679</v>
      </c>
      <c r="J90" s="2" t="str">
        <f ca="1">IFERROR(__xludf.DUMMYFUNCTION("GoogleTranslate($E90, ""en"", ""ko"")"),"CPM 교육 기간")</f>
        <v>CPM 교육 기간</v>
      </c>
      <c r="K90" s="2" t="s">
        <v>801</v>
      </c>
    </row>
    <row r="91" spans="1:11" ht="15">
      <c r="A91" s="2" t="s">
        <v>261</v>
      </c>
      <c r="B91" s="2" t="s">
        <v>8</v>
      </c>
      <c r="D91" s="1" t="s">
        <v>262</v>
      </c>
      <c r="E91" s="2" t="s">
        <v>263</v>
      </c>
      <c r="F91" s="2"/>
      <c r="G91" s="2" t="s">
        <v>802</v>
      </c>
      <c r="H91" s="2" t="str">
        <f ca="1">IFERROR(__xludf.DUMMYFUNCTION("GoogleTranslate($E91, ""en"", ""zh-CN"")"),"肌电图训练持续时间")</f>
        <v>肌电图训练持续时间</v>
      </c>
      <c r="I91" s="7" t="s">
        <v>689</v>
      </c>
      <c r="J91" s="2" t="str">
        <f ca="1">IFERROR(__xludf.DUMMYFUNCTION("GoogleTranslate($E91, ""en"", ""ko"")"),"EMG 훈련 기간")</f>
        <v>EMG 훈련 기간</v>
      </c>
      <c r="K91" s="2" t="s">
        <v>803</v>
      </c>
    </row>
    <row r="92" spans="1:11" ht="15">
      <c r="A92" s="2" t="s">
        <v>264</v>
      </c>
      <c r="B92" s="2" t="s">
        <v>8</v>
      </c>
      <c r="D92" s="1" t="s">
        <v>265</v>
      </c>
      <c r="E92" s="2" t="s">
        <v>266</v>
      </c>
      <c r="F92" s="2"/>
      <c r="G92" s="2" t="s">
        <v>804</v>
      </c>
      <c r="H92" s="2" t="str">
        <f ca="1">IFERROR(__xludf.DUMMYFUNCTION("GoogleTranslate($E92, ""en"", ""zh-CN"")"),"肌电图游戏菜单")</f>
        <v>肌电图游戏菜单</v>
      </c>
      <c r="I92" s="7" t="s">
        <v>690</v>
      </c>
      <c r="J92" s="2" t="str">
        <f ca="1">IFERROR(__xludf.DUMMYFUNCTION("GoogleTranslate($E92, ""en"", ""ko"")"),"EMG 게임 메뉴")</f>
        <v>EMG 게임 메뉴</v>
      </c>
      <c r="K92" s="2" t="str">
        <f ca="1">IFERROR(__xludf.DUMMYFUNCTION("GoogleTranslate($E92, ""en"", ""ja"")"),"EMG ゲームメニュー")</f>
        <v>EMG ゲームメニュー</v>
      </c>
    </row>
    <row r="93" spans="1:11" ht="15">
      <c r="A93" s="2" t="s">
        <v>267</v>
      </c>
      <c r="B93" s="2" t="s">
        <v>8</v>
      </c>
      <c r="D93" s="1" t="s">
        <v>268</v>
      </c>
      <c r="E93" s="2" t="s">
        <v>269</v>
      </c>
      <c r="F93" s="2"/>
      <c r="G93" s="2" t="s">
        <v>805</v>
      </c>
      <c r="H93" s="2" t="str">
        <f ca="1">IFERROR(__xludf.DUMMYFUNCTION("GoogleTranslate($E93, ""en"", ""zh-CN"")"),"1级")</f>
        <v>1级</v>
      </c>
      <c r="J93" s="2" t="str">
        <f ca="1">IFERROR(__xludf.DUMMYFUNCTION("GoogleTranslate($E93, ""en"", ""ko"")"),"레벨 1")</f>
        <v>레벨 1</v>
      </c>
      <c r="K93" s="2" t="str">
        <f ca="1">IFERROR(__xludf.DUMMYFUNCTION("GoogleTranslate($E93, ""en"", ""ja"")"),"レベル1")</f>
        <v>レベル1</v>
      </c>
    </row>
    <row r="94" spans="1:11" ht="15">
      <c r="A94" s="2" t="s">
        <v>270</v>
      </c>
      <c r="B94" s="2" t="s">
        <v>8</v>
      </c>
      <c r="D94" s="1" t="s">
        <v>271</v>
      </c>
      <c r="E94" s="2" t="s">
        <v>272</v>
      </c>
      <c r="F94" s="2"/>
      <c r="G94" s="2" t="s">
        <v>273</v>
      </c>
      <c r="H94" s="2" t="s">
        <v>273</v>
      </c>
      <c r="J94" s="2" t="s">
        <v>274</v>
      </c>
      <c r="K94" s="2" t="str">
        <f ca="1">IFERROR(__xludf.DUMMYFUNCTION("GoogleTranslate($E94, ""en"", ""ja"")"),"レベル2")</f>
        <v>レベル2</v>
      </c>
    </row>
    <row r="95" spans="1:11" ht="15">
      <c r="A95" s="2" t="s">
        <v>275</v>
      </c>
      <c r="B95" s="2" t="s">
        <v>8</v>
      </c>
      <c r="D95" s="1" t="s">
        <v>276</v>
      </c>
      <c r="E95" s="2" t="s">
        <v>277</v>
      </c>
      <c r="F95" s="2"/>
      <c r="G95" s="2" t="s">
        <v>278</v>
      </c>
      <c r="H95" s="2" t="s">
        <v>278</v>
      </c>
      <c r="J95" s="2" t="s">
        <v>279</v>
      </c>
      <c r="K95" s="2" t="str">
        <f ca="1">IFERROR(__xludf.DUMMYFUNCTION("GoogleTranslate($E95, ""en"", ""ja"")"),"レベル3")</f>
        <v>レベル3</v>
      </c>
    </row>
    <row r="96" spans="1:11" ht="15">
      <c r="A96" s="2" t="s">
        <v>280</v>
      </c>
      <c r="B96" s="2" t="s">
        <v>8</v>
      </c>
      <c r="D96" s="1" t="s">
        <v>281</v>
      </c>
      <c r="E96" s="2" t="s">
        <v>282</v>
      </c>
      <c r="F96" s="2"/>
      <c r="G96" s="2" t="s">
        <v>283</v>
      </c>
      <c r="H96" s="2" t="s">
        <v>283</v>
      </c>
      <c r="J96" s="2" t="s">
        <v>284</v>
      </c>
      <c r="K96" s="2" t="str">
        <f ca="1">IFERROR(__xludf.DUMMYFUNCTION("GoogleTranslate($E96, ""en"", ""ja"")"),"レベル4")</f>
        <v>レベル4</v>
      </c>
    </row>
    <row r="97" spans="1:11" ht="15">
      <c r="A97" s="2" t="s">
        <v>285</v>
      </c>
      <c r="B97" s="2" t="s">
        <v>8</v>
      </c>
      <c r="D97" s="1" t="s">
        <v>286</v>
      </c>
      <c r="E97" s="2" t="s">
        <v>287</v>
      </c>
      <c r="F97" s="2"/>
      <c r="G97" s="2" t="s">
        <v>288</v>
      </c>
      <c r="H97" s="2" t="s">
        <v>288</v>
      </c>
      <c r="J97" s="2" t="s">
        <v>289</v>
      </c>
      <c r="K97" s="2" t="str">
        <f ca="1">IFERROR(__xludf.DUMMYFUNCTION("GoogleTranslate($E97, ""en"", ""ja"")"),"レベル5")</f>
        <v>レベル5</v>
      </c>
    </row>
    <row r="98" spans="1:11" ht="15">
      <c r="A98" s="2" t="s">
        <v>290</v>
      </c>
      <c r="B98" s="2" t="s">
        <v>8</v>
      </c>
      <c r="D98" s="1" t="s">
        <v>291</v>
      </c>
      <c r="E98" s="2" t="s">
        <v>292</v>
      </c>
      <c r="F98" s="2"/>
      <c r="G98" s="2" t="str">
        <f ca="1">IFERROR(__xludf.DUMMYFUNCTION("GoogleTranslate($E98, ""en"", ""zh-TW"")"),"日期格式")</f>
        <v>日期格式</v>
      </c>
      <c r="H98" s="2" t="str">
        <f ca="1">IFERROR(__xludf.DUMMYFUNCTION("GoogleTranslate($E98, ""en"", ""zh-CN"")"),"日期格式")</f>
        <v>日期格式</v>
      </c>
      <c r="J98" s="2" t="str">
        <f ca="1">IFERROR(__xludf.DUMMYFUNCTION("GoogleTranslate($E98, ""en"", ""ko"")"),"날짜 형식")</f>
        <v>날짜 형식</v>
      </c>
      <c r="K98" s="2" t="str">
        <f ca="1">IFERROR(__xludf.DUMMYFUNCTION("GoogleTranslate($E98, ""en"", ""ja"")"),"日付形式")</f>
        <v>日付形式</v>
      </c>
    </row>
    <row r="99" spans="1:11" ht="15">
      <c r="A99" s="2" t="s">
        <v>293</v>
      </c>
      <c r="B99" s="2" t="s">
        <v>8</v>
      </c>
      <c r="D99" s="1" t="s">
        <v>294</v>
      </c>
      <c r="E99" s="2" t="s">
        <v>293</v>
      </c>
      <c r="F99" s="2"/>
      <c r="G99" s="2" t="s">
        <v>806</v>
      </c>
      <c r="H99" s="2" t="str">
        <f ca="1">IFERROR(__xludf.DUMMYFUNCTION("GoogleTranslate($E99, ""en"", ""zh-CN"")"),"开始")</f>
        <v>开始</v>
      </c>
      <c r="J99" s="2" t="str">
        <f ca="1">IFERROR(__xludf.DUMMYFUNCTION("GoogleTranslate($E99, ""en"", ""ko"")"),"시작")</f>
        <v>시작</v>
      </c>
      <c r="K99" s="2" t="str">
        <f ca="1">IFERROR(__xludf.DUMMYFUNCTION("GoogleTranslate($E99, ""en"", ""ja"")"),"始める")</f>
        <v>始める</v>
      </c>
    </row>
    <row r="100" spans="1:11" ht="15">
      <c r="A100" s="2" t="s">
        <v>295</v>
      </c>
      <c r="B100" s="2" t="s">
        <v>8</v>
      </c>
      <c r="D100" s="1" t="s">
        <v>296</v>
      </c>
      <c r="E100" s="2" t="s">
        <v>295</v>
      </c>
      <c r="F100" s="2"/>
      <c r="G100" s="2" t="s">
        <v>807</v>
      </c>
      <c r="H100" s="2" t="str">
        <f ca="1">IFERROR(__xludf.DUMMYFUNCTION("GoogleTranslate($E100, ""en"", ""zh-CN"")"),"加载中")</f>
        <v>加载中</v>
      </c>
      <c r="J100" s="2" t="str">
        <f ca="1">IFERROR(__xludf.DUMMYFUNCTION("GoogleTranslate($E100, ""en"", ""ko"")"),"로드 중")</f>
        <v>로드 중</v>
      </c>
      <c r="K100" s="2" t="str">
        <f ca="1">IFERROR(__xludf.DUMMYFUNCTION("GoogleTranslate($E100, ""en"", ""ja"")"),"読み込み中")</f>
        <v>読み込み中</v>
      </c>
    </row>
    <row r="101" spans="1:11" ht="15">
      <c r="A101" s="2" t="s">
        <v>297</v>
      </c>
      <c r="B101" s="2" t="s">
        <v>8</v>
      </c>
      <c r="D101" s="1" t="s">
        <v>298</v>
      </c>
      <c r="E101" s="2" t="s">
        <v>299</v>
      </c>
      <c r="F101" s="2"/>
      <c r="G101" s="2" t="s">
        <v>808</v>
      </c>
      <c r="H101" s="2" t="str">
        <f ca="1">IFERROR(__xludf.DUMMYFUNCTION("GoogleTranslate($E101, ""en"", ""zh-CN"")"),"确认保存会话记录吗？")</f>
        <v>确认保存会话记录吗？</v>
      </c>
      <c r="I101" s="7" t="s">
        <v>680</v>
      </c>
      <c r="J101" s="2" t="str">
        <f ca="1">IFERROR(__xludf.DUMMYFUNCTION("GoogleTranslate($E101, ""en"", ""ko"")"),"세션 기록을 저장하시겠습니까?")</f>
        <v>세션 기록을 저장하시겠습니까?</v>
      </c>
      <c r="K101" s="2" t="s">
        <v>809</v>
      </c>
    </row>
    <row r="102" spans="1:11" ht="15">
      <c r="A102" s="2" t="s">
        <v>300</v>
      </c>
      <c r="B102" s="2" t="s">
        <v>8</v>
      </c>
      <c r="D102" s="1" t="s">
        <v>301</v>
      </c>
      <c r="E102" s="2" t="s">
        <v>302</v>
      </c>
      <c r="F102" s="2"/>
      <c r="G102" s="2" t="s">
        <v>810</v>
      </c>
      <c r="H102" s="2" t="str">
        <f ca="1">IFERROR(__xludf.DUMMYFUNCTION("GoogleTranslate($E102, ""en"", ""zh-CN"")"),"更改密码")</f>
        <v>更改密码</v>
      </c>
      <c r="J102" s="2" t="str">
        <f ca="1">IFERROR(__xludf.DUMMYFUNCTION("GoogleTranslate($E102, ""en"", ""ko"")"),"비밀번호 변경")</f>
        <v>비밀번호 변경</v>
      </c>
      <c r="K102" s="2" t="str">
        <f ca="1">IFERROR(__xludf.DUMMYFUNCTION("GoogleTranslate($E102, ""en"", ""ja"")"),"パスワードを変更する")</f>
        <v>パスワードを変更する</v>
      </c>
    </row>
    <row r="103" spans="1:11" ht="15">
      <c r="A103" s="2" t="s">
        <v>303</v>
      </c>
      <c r="B103" s="2" t="s">
        <v>8</v>
      </c>
      <c r="D103" s="1" t="s">
        <v>304</v>
      </c>
      <c r="E103" s="2" t="s">
        <v>305</v>
      </c>
      <c r="F103" s="2"/>
      <c r="G103" s="2" t="s">
        <v>811</v>
      </c>
      <c r="H103" s="2" t="str">
        <f ca="1">IFERROR(__xludf.DUMMYFUNCTION("GoogleTranslate($E103, ""en"", ""zh-CN"")"),"当前密码")</f>
        <v>当前密码</v>
      </c>
      <c r="J103" s="2" t="str">
        <f ca="1">IFERROR(__xludf.DUMMYFUNCTION("GoogleTranslate($E103, ""en"", ""ko"")"),"현재 비밀번호")</f>
        <v>현재 비밀번호</v>
      </c>
      <c r="K103" s="2" t="s">
        <v>812</v>
      </c>
    </row>
    <row r="104" spans="1:11" ht="15">
      <c r="A104" s="2" t="s">
        <v>306</v>
      </c>
      <c r="B104" s="2" t="s">
        <v>8</v>
      </c>
      <c r="D104" s="1" t="s">
        <v>307</v>
      </c>
      <c r="E104" s="2" t="s">
        <v>308</v>
      </c>
      <c r="F104" s="2"/>
      <c r="G104" s="2" t="s">
        <v>813</v>
      </c>
      <c r="H104" s="2" t="str">
        <f ca="1">IFERROR(__xludf.DUMMYFUNCTION("GoogleTranslate($E104, ""en"", ""zh-CN"")"),"当前密码不匹配")</f>
        <v>当前密码不匹配</v>
      </c>
      <c r="J104" s="2" t="str">
        <f ca="1">IFERROR(__xludf.DUMMYFUNCTION("GoogleTranslate($E104, ""en"", ""ko"")"),"현재 비밀번호가 일치하지 않습니다")</f>
        <v>현재 비밀번호가 일치하지 않습니다</v>
      </c>
      <c r="K104" s="2" t="s">
        <v>814</v>
      </c>
    </row>
    <row r="105" spans="1:11" ht="15">
      <c r="A105" s="2" t="s">
        <v>309</v>
      </c>
      <c r="B105" s="2" t="s">
        <v>8</v>
      </c>
      <c r="D105" s="1" t="s">
        <v>310</v>
      </c>
      <c r="E105" s="2" t="s">
        <v>311</v>
      </c>
      <c r="F105" s="2"/>
      <c r="G105" s="2" t="s">
        <v>815</v>
      </c>
      <c r="H105" s="2" t="str">
        <f ca="1">IFERROR(__xludf.DUMMYFUNCTION("GoogleTranslate($E105, ""en"", ""zh-CN"")"),"输入当前密码")</f>
        <v>输入当前密码</v>
      </c>
      <c r="J105" s="2" t="str">
        <f ca="1">IFERROR(__xludf.DUMMYFUNCTION("GoogleTranslate($E105, ""en"", ""ko"")"),"현재 비밀번호를 입력하세요")</f>
        <v>현재 비밀번호를 입력하세요</v>
      </c>
      <c r="K105" s="2" t="s">
        <v>816</v>
      </c>
    </row>
    <row r="106" spans="1:11" ht="15">
      <c r="A106" s="2" t="s">
        <v>312</v>
      </c>
      <c r="B106" s="2" t="s">
        <v>8</v>
      </c>
      <c r="D106" s="1" t="s">
        <v>313</v>
      </c>
      <c r="E106" s="2" t="s">
        <v>314</v>
      </c>
      <c r="F106" s="2"/>
      <c r="G106" s="2" t="s">
        <v>817</v>
      </c>
      <c r="H106" s="2" t="str">
        <f ca="1">IFERROR(__xludf.DUMMYFUNCTION("GoogleTranslate($E106, ""en"", ""zh-CN"")"),"新密码")</f>
        <v>新密码</v>
      </c>
      <c r="J106" s="2" t="str">
        <f ca="1">IFERROR(__xludf.DUMMYFUNCTION("GoogleTranslate($E106, ""en"", ""ko"")"),"새 비밀번호")</f>
        <v>새 비밀번호</v>
      </c>
      <c r="K106" s="2" t="str">
        <f ca="1">IFERROR(__xludf.DUMMYFUNCTION("GoogleTranslate($E106, ""en"", ""ja"")"),"新しいパスワード")</f>
        <v>新しいパスワード</v>
      </c>
    </row>
    <row r="107" spans="1:11" ht="15">
      <c r="A107" s="2" t="s">
        <v>315</v>
      </c>
      <c r="B107" s="2" t="s">
        <v>8</v>
      </c>
      <c r="D107" s="1" t="s">
        <v>316</v>
      </c>
      <c r="E107" s="2" t="s">
        <v>317</v>
      </c>
      <c r="F107" s="2"/>
      <c r="G107" s="2" t="s">
        <v>818</v>
      </c>
      <c r="H107" s="2" t="str">
        <f ca="1">IFERROR(__xludf.DUMMYFUNCTION("GoogleTranslate($E107, ""en"", ""zh-CN"")"),"输入新密码")</f>
        <v>输入新密码</v>
      </c>
      <c r="J107" s="2" t="str">
        <f ca="1">IFERROR(__xludf.DUMMYFUNCTION("GoogleTranslate($E107, ""en"", ""ko"")"),"새 비밀번호를 입력하십시오")</f>
        <v>새 비밀번호를 입력하십시오</v>
      </c>
      <c r="K107" s="2" t="str">
        <f ca="1">IFERROR(__xludf.DUMMYFUNCTION("GoogleTranslate($E107, ""en"", ""ja"")"),"新しいパスワードを入力してください")</f>
        <v>新しいパスワードを入力してください</v>
      </c>
    </row>
    <row r="108" spans="1:11" ht="15">
      <c r="A108" s="2" t="s">
        <v>318</v>
      </c>
      <c r="B108" s="2" t="s">
        <v>8</v>
      </c>
      <c r="D108" s="1" t="s">
        <v>319</v>
      </c>
      <c r="E108" s="2" t="s">
        <v>320</v>
      </c>
      <c r="F108" s="2"/>
      <c r="G108" s="2" t="s">
        <v>819</v>
      </c>
      <c r="H108" s="2" t="str">
        <f ca="1">IFERROR(__xludf.DUMMYFUNCTION("GoogleTranslate($E108, ""en"", ""zh-CN"")"),"确认密码")</f>
        <v>确认密码</v>
      </c>
      <c r="J108" s="2" t="str">
        <f ca="1">IFERROR(__xludf.DUMMYFUNCTION("GoogleTranslate($E108, ""en"", ""ko"")"),"비밀번호 확인")</f>
        <v>비밀번호 확인</v>
      </c>
      <c r="K108" s="2" t="s">
        <v>820</v>
      </c>
    </row>
    <row r="109" spans="1:11" ht="15">
      <c r="A109" s="2" t="s">
        <v>321</v>
      </c>
      <c r="B109" s="2" t="s">
        <v>8</v>
      </c>
      <c r="D109" s="1" t="s">
        <v>322</v>
      </c>
      <c r="E109" s="2" t="s">
        <v>323</v>
      </c>
      <c r="F109" s="2"/>
      <c r="G109" s="2" t="s">
        <v>821</v>
      </c>
      <c r="H109" s="2" t="str">
        <f ca="1">IFERROR(__xludf.DUMMYFUNCTION("GoogleTranslate($E109, ""en"", ""zh-CN"")"),"确认新密码")</f>
        <v>确认新密码</v>
      </c>
      <c r="J109" s="2" t="str">
        <f ca="1">IFERROR(__xludf.DUMMYFUNCTION("GoogleTranslate($E109, ""en"", ""ko"")"),"새 암호를 확인합니다")</f>
        <v>새 암호를 확인합니다</v>
      </c>
      <c r="K109" s="2" t="s">
        <v>822</v>
      </c>
    </row>
    <row r="110" spans="1:11" ht="15">
      <c r="A110" s="2" t="s">
        <v>324</v>
      </c>
      <c r="B110" s="2" t="s">
        <v>8</v>
      </c>
      <c r="D110" s="1" t="s">
        <v>325</v>
      </c>
      <c r="E110" s="2" t="s">
        <v>326</v>
      </c>
      <c r="F110" s="2"/>
      <c r="G110" s="2" t="s">
        <v>823</v>
      </c>
      <c r="H110" s="2" t="str">
        <f ca="1">IFERROR(__xludf.DUMMYFUNCTION("GoogleTranslate($E110, ""en"", ""zh-CN"")"),"密码不匹配")</f>
        <v>密码不匹配</v>
      </c>
      <c r="J110" s="2" t="str">
        <f ca="1">IFERROR(__xludf.DUMMYFUNCTION("GoogleTranslate($E110, ""en"", ""ko"")"),"비밀번호가 일치하지 않습니다")</f>
        <v>비밀번호가 일치하지 않습니다</v>
      </c>
      <c r="K110" s="2" t="str">
        <f ca="1">IFERROR(__xludf.DUMMYFUNCTION("GoogleTranslate($E110, ""en"", ""ja"")"),"パスワードが一致しません")</f>
        <v>パスワードが一致しません</v>
      </c>
    </row>
    <row r="111" spans="1:11" ht="15">
      <c r="A111" s="2" t="s">
        <v>327</v>
      </c>
      <c r="B111" s="2" t="s">
        <v>8</v>
      </c>
      <c r="D111" s="1" t="s">
        <v>328</v>
      </c>
      <c r="E111" s="2" t="s">
        <v>329</v>
      </c>
      <c r="F111" s="2"/>
      <c r="G111" s="2" t="s">
        <v>824</v>
      </c>
      <c r="H111" s="2" t="str">
        <f ca="1">IFERROR(__xludf.DUMMYFUNCTION("GoogleTranslate($E111, ""en"", ""zh-CN"")"),"空字段或长度小于 6")</f>
        <v>空字段或长度小于 6</v>
      </c>
      <c r="I111" s="7" t="s">
        <v>697</v>
      </c>
      <c r="J111" s="2" t="str">
        <f ca="1">IFERROR(__xludf.DUMMYFUNCTION("GoogleTranslate($E111, ""en"", ""ko"")"),"빈 필드 또는 길이가 6 미만")</f>
        <v>빈 필드 또는 길이가 6 미만</v>
      </c>
      <c r="K111" s="2" t="s">
        <v>825</v>
      </c>
    </row>
    <row r="112" spans="1:11" ht="15">
      <c r="A112" s="2" t="s">
        <v>330</v>
      </c>
      <c r="B112" s="2" t="s">
        <v>8</v>
      </c>
      <c r="D112" s="1" t="s">
        <v>331</v>
      </c>
      <c r="E112" s="2" t="s">
        <v>332</v>
      </c>
      <c r="F112" s="2"/>
      <c r="G112" s="2" t="s">
        <v>826</v>
      </c>
      <c r="H112" s="2" t="str">
        <f ca="1">IFERROR(__xludf.DUMMYFUNCTION("GoogleTranslate($E112, ""en"", ""zh-CN"")"),"修改密码成功")</f>
        <v>修改密码成功</v>
      </c>
      <c r="I112" s="7" t="s">
        <v>681</v>
      </c>
      <c r="J112" s="2" t="str">
        <f ca="1">IFERROR(__xludf.DUMMYFUNCTION("GoogleTranslate($E112, ""en"", ""ko"")"),"비밀번호 변경 성공")</f>
        <v>비밀번호 변경 성공</v>
      </c>
      <c r="K112" s="2" t="str">
        <f ca="1">IFERROR(__xludf.DUMMYFUNCTION("GoogleTranslate($E112, ""en"", ""ja"")"),"パスワード変更成功")</f>
        <v>パスワード変更成功</v>
      </c>
    </row>
    <row r="113" spans="1:11" ht="15">
      <c r="A113" s="2" t="s">
        <v>333</v>
      </c>
      <c r="B113" s="2" t="s">
        <v>8</v>
      </c>
      <c r="D113" s="1" t="s">
        <v>334</v>
      </c>
      <c r="E113" s="2" t="s">
        <v>335</v>
      </c>
      <c r="F113" s="2"/>
      <c r="G113" s="2" t="s">
        <v>827</v>
      </c>
      <c r="H113" s="2" t="str">
        <f ca="1">IFERROR(__xludf.DUMMYFUNCTION("GoogleTranslate($E113, ""en"", ""zh-CN"")"),"确认密码不匹配")</f>
        <v>确认密码不匹配</v>
      </c>
      <c r="J113" s="2" t="str">
        <f ca="1">IFERROR(__xludf.DUMMYFUNCTION("GoogleTranslate($E113, ""en"", ""ko"")"),"비밀번호가 일치하지 않는지 확인하세요")</f>
        <v>비밀번호가 일치하지 않는지 확인하세요</v>
      </c>
      <c r="K113" s="2" t="s">
        <v>828</v>
      </c>
    </row>
    <row r="114" spans="1:11" ht="15">
      <c r="A114" s="2" t="s">
        <v>336</v>
      </c>
      <c r="B114" s="2" t="s">
        <v>8</v>
      </c>
      <c r="D114" s="1" t="s">
        <v>337</v>
      </c>
      <c r="E114" s="2" t="s">
        <v>338</v>
      </c>
      <c r="F114" s="2"/>
      <c r="G114" s="2" t="str">
        <f ca="1">IFERROR(__xludf.DUMMYFUNCTION("GoogleTranslate($E114, ""en"", ""zh-TW"")"),"名")</f>
        <v>名</v>
      </c>
      <c r="H114" s="2" t="str">
        <f ca="1">IFERROR(__xludf.DUMMYFUNCTION("GoogleTranslate($E114, ""en"", ""zh-CN"")"),"名")</f>
        <v>名</v>
      </c>
      <c r="J114" s="2" t="str">
        <f ca="1">IFERROR(__xludf.DUMMYFUNCTION("GoogleTranslate($E114, ""en"", ""ko"")"),"이름")</f>
        <v>이름</v>
      </c>
      <c r="K114" s="2" t="str">
        <f ca="1">IFERROR(__xludf.DUMMYFUNCTION("GoogleTranslate($E114, ""en"", ""ja"")"),"ファーストネーム")</f>
        <v>ファーストネーム</v>
      </c>
    </row>
    <row r="115" spans="1:11" ht="15">
      <c r="A115" s="2" t="s">
        <v>339</v>
      </c>
      <c r="B115" s="2" t="s">
        <v>8</v>
      </c>
      <c r="D115" s="1" t="s">
        <v>340</v>
      </c>
      <c r="E115" s="2" t="s">
        <v>341</v>
      </c>
      <c r="F115" s="2"/>
      <c r="G115" s="2" t="str">
        <f ca="1">IFERROR(__xludf.DUMMYFUNCTION("GoogleTranslate($E115, ""en"", ""zh-TW"")"),"姓")</f>
        <v>姓</v>
      </c>
      <c r="H115" s="2" t="str">
        <f ca="1">IFERROR(__xludf.DUMMYFUNCTION("GoogleTranslate($E115, ""en"", ""zh-CN"")"),"姓")</f>
        <v>姓</v>
      </c>
      <c r="J115" s="2" t="str">
        <f ca="1">IFERROR(__xludf.DUMMYFUNCTION("GoogleTranslate($E115, ""en"", ""ko"")"),"성")</f>
        <v>성</v>
      </c>
      <c r="K115" s="2" t="str">
        <f ca="1">IFERROR(__xludf.DUMMYFUNCTION("GoogleTranslate($E115, ""en"", ""ja"")"),"苗字")</f>
        <v>苗字</v>
      </c>
    </row>
    <row r="116" spans="1:11" ht="15">
      <c r="A116" s="2" t="s">
        <v>342</v>
      </c>
      <c r="B116" s="2" t="s">
        <v>8</v>
      </c>
      <c r="D116" s="1" t="s">
        <v>343</v>
      </c>
      <c r="E116" s="2" t="s">
        <v>344</v>
      </c>
      <c r="F116" s="2"/>
      <c r="G116" s="2" t="str">
        <f ca="1">IFERROR(__xludf.DUMMYFUNCTION("GoogleTranslate($E116, ""en"", ""zh-TW"")"),"出生日期")</f>
        <v>出生日期</v>
      </c>
      <c r="H116" s="2" t="str">
        <f ca="1">IFERROR(__xludf.DUMMYFUNCTION("GoogleTranslate($E116, ""en"", ""zh-CN"")"),"出生日期")</f>
        <v>出生日期</v>
      </c>
      <c r="J116" s="2" t="str">
        <f ca="1">IFERROR(__xludf.DUMMYFUNCTION("GoogleTranslate($E116, ""en"", ""ko"")"),"생일")</f>
        <v>생일</v>
      </c>
      <c r="K116" s="2" t="str">
        <f ca="1">IFERROR(__xludf.DUMMYFUNCTION("GoogleTranslate($E116, ""en"", ""ja"")"),"生年月日")</f>
        <v>生年月日</v>
      </c>
    </row>
    <row r="117" spans="1:11" ht="15">
      <c r="A117" s="2" t="s">
        <v>345</v>
      </c>
      <c r="B117" s="2" t="s">
        <v>8</v>
      </c>
      <c r="D117" s="1" t="s">
        <v>346</v>
      </c>
      <c r="E117" s="2" t="s">
        <v>347</v>
      </c>
      <c r="F117" s="2"/>
      <c r="G117" s="2" t="s">
        <v>829</v>
      </c>
      <c r="H117" s="2" t="str">
        <f ca="1">IFERROR(__xludf.DUMMYFUNCTION("GoogleTranslate($E117, ""en"", ""zh-CN"")"),"受伤的手")</f>
        <v>受伤的手</v>
      </c>
      <c r="I117" s="7" t="s">
        <v>940</v>
      </c>
      <c r="J117" s="2" t="str">
        <f ca="1">IFERROR(__xludf.DUMMYFUNCTION("GoogleTranslate($E117, ""en"", ""ko"")"),"다친 손")</f>
        <v>다친 손</v>
      </c>
      <c r="K117" s="2" t="s">
        <v>830</v>
      </c>
    </row>
    <row r="118" spans="1:11" ht="15">
      <c r="A118" s="2" t="s">
        <v>348</v>
      </c>
      <c r="B118" s="2" t="s">
        <v>8</v>
      </c>
      <c r="D118" s="1" t="s">
        <v>349</v>
      </c>
      <c r="E118" s="2" t="s">
        <v>350</v>
      </c>
      <c r="F118" s="2"/>
      <c r="G118" s="2" t="str">
        <f ca="1">IFERROR(__xludf.DUMMYFUNCTION("GoogleTranslate($E118, ""en"", ""zh-TW"")"),"左手")</f>
        <v>左手</v>
      </c>
      <c r="H118" s="2" t="str">
        <f ca="1">IFERROR(__xludf.DUMMYFUNCTION("GoogleTranslate($E118, ""en"", ""zh-CN"")"),"左手")</f>
        <v>左手</v>
      </c>
      <c r="J118" s="2" t="str">
        <f ca="1">IFERROR(__xludf.DUMMYFUNCTION("GoogleTranslate($E118, ""en"", ""ko"")"),"왼손")</f>
        <v>왼손</v>
      </c>
      <c r="K118" s="2" t="str">
        <f ca="1">IFERROR(__xludf.DUMMYFUNCTION("GoogleTranslate($E118, ""en"", ""ja"")"),"左手")</f>
        <v>左手</v>
      </c>
    </row>
    <row r="119" spans="1:11" ht="15">
      <c r="A119" s="2" t="s">
        <v>351</v>
      </c>
      <c r="B119" s="2" t="s">
        <v>8</v>
      </c>
      <c r="D119" s="1" t="s">
        <v>352</v>
      </c>
      <c r="E119" s="2" t="s">
        <v>353</v>
      </c>
      <c r="F119" s="2"/>
      <c r="G119" s="2" t="str">
        <f ca="1">IFERROR(__xludf.DUMMYFUNCTION("GoogleTranslate($E119, ""en"", ""zh-TW"")"),"右手")</f>
        <v>右手</v>
      </c>
      <c r="H119" s="2" t="str">
        <f ca="1">IFERROR(__xludf.DUMMYFUNCTION("GoogleTranslate($E119, ""en"", ""zh-CN"")"),"右手")</f>
        <v>右手</v>
      </c>
      <c r="J119" s="2" t="str">
        <f ca="1">IFERROR(__xludf.DUMMYFUNCTION("GoogleTranslate($E119, ""en"", ""ko"")"),"오른손")</f>
        <v>오른손</v>
      </c>
      <c r="K119" s="2" t="str">
        <f ca="1">IFERROR(__xludf.DUMMYFUNCTION("GoogleTranslate($E119, ""en"", ""ja"")"),"右手")</f>
        <v>右手</v>
      </c>
    </row>
    <row r="120" spans="1:11" ht="15">
      <c r="A120" s="2" t="s">
        <v>354</v>
      </c>
      <c r="B120" s="2" t="s">
        <v>8</v>
      </c>
      <c r="D120" s="1" t="s">
        <v>355</v>
      </c>
      <c r="E120" s="2" t="s">
        <v>356</v>
      </c>
      <c r="F120" s="2"/>
      <c r="G120" s="2" t="s">
        <v>831</v>
      </c>
      <c r="H120" s="2" t="str">
        <f ca="1">IFERROR(__xludf.DUMMYFUNCTION("GoogleTranslate($E120, ""en"", ""zh-CN"")"),"双手")</f>
        <v>双手</v>
      </c>
      <c r="J120" s="2" t="str">
        <f ca="1">IFERROR(__xludf.DUMMYFUNCTION("GoogleTranslate($E120, ""en"", ""ko"")"),"양손")</f>
        <v>양손</v>
      </c>
      <c r="K120" s="2" t="str">
        <f ca="1">IFERROR(__xludf.DUMMYFUNCTION("GoogleTranslate($E120, ""en"", ""ja"")"),"両手")</f>
        <v>両手</v>
      </c>
    </row>
    <row r="121" spans="1:11" ht="15">
      <c r="A121" s="2" t="s">
        <v>357</v>
      </c>
      <c r="B121" s="2" t="s">
        <v>8</v>
      </c>
      <c r="D121" s="1" t="s">
        <v>358</v>
      </c>
      <c r="E121" s="2" t="s">
        <v>357</v>
      </c>
      <c r="F121" s="2"/>
      <c r="G121" s="2" t="s">
        <v>832</v>
      </c>
      <c r="H121" s="2" t="str">
        <f ca="1">IFERROR(__xludf.DUMMYFUNCTION("GoogleTranslate($E121, ""en"", ""zh-CN"")"),"报告")</f>
        <v>报告</v>
      </c>
      <c r="I121" s="7" t="s">
        <v>698</v>
      </c>
      <c r="J121" s="2" t="str">
        <f ca="1">IFERROR(__xludf.DUMMYFUNCTION("GoogleTranslate($E121, ""en"", ""ko"")"),"보고서")</f>
        <v>보고서</v>
      </c>
      <c r="K121" s="2" t="s">
        <v>832</v>
      </c>
    </row>
    <row r="122" spans="1:11" ht="15">
      <c r="A122" s="2" t="s">
        <v>359</v>
      </c>
      <c r="B122" s="2" t="s">
        <v>8</v>
      </c>
      <c r="D122" s="1" t="s">
        <v>360</v>
      </c>
      <c r="E122" s="2" t="s">
        <v>361</v>
      </c>
      <c r="F122" s="2"/>
      <c r="G122" s="2" t="s">
        <v>833</v>
      </c>
      <c r="H122" s="2" t="str">
        <f ca="1">IFERROR(__xludf.DUMMYFUNCTION("GoogleTranslate($E122, ""en"", ""zh-CN"")"),"选择日期范围")</f>
        <v>选择日期范围</v>
      </c>
      <c r="J122" s="2" t="str">
        <f ca="1">IFERROR(__xludf.DUMMYFUNCTION("GoogleTranslate($E122, ""en"", ""ko"")"),"기간 선택")</f>
        <v>기간 선택</v>
      </c>
      <c r="K122" s="2" t="s">
        <v>834</v>
      </c>
    </row>
    <row r="123" spans="1:11" ht="15">
      <c r="A123" s="2" t="s">
        <v>362</v>
      </c>
      <c r="B123" s="2" t="s">
        <v>8</v>
      </c>
      <c r="D123" s="1" t="s">
        <v>363</v>
      </c>
      <c r="E123" s="2" t="s">
        <v>362</v>
      </c>
      <c r="F123" s="2"/>
      <c r="G123" s="2" t="s">
        <v>835</v>
      </c>
      <c r="H123" s="2" t="str">
        <f ca="1">IFERROR(__xludf.DUMMYFUNCTION("GoogleTranslate($E123, ""en"", ""zh-CN"")"),"从")</f>
        <v>从</v>
      </c>
      <c r="J123" s="2" t="str">
        <f ca="1">IFERROR(__xludf.DUMMYFUNCTION("GoogleTranslate($E123, ""en"", ""ko"")"),"에서")</f>
        <v>에서</v>
      </c>
      <c r="K123" s="2" t="str">
        <f ca="1">IFERROR(__xludf.DUMMYFUNCTION("GoogleTranslate($E123, ""en"", ""ja"")"),"から")</f>
        <v>から</v>
      </c>
    </row>
    <row r="124" spans="1:11" ht="15">
      <c r="A124" s="2" t="s">
        <v>364</v>
      </c>
      <c r="B124" s="2" t="s">
        <v>8</v>
      </c>
      <c r="D124" s="1" t="s">
        <v>365</v>
      </c>
      <c r="E124" s="2" t="s">
        <v>364</v>
      </c>
      <c r="F124" s="2"/>
      <c r="G124" s="2" t="str">
        <f ca="1">IFERROR(__xludf.DUMMYFUNCTION("GoogleTranslate($E124, ""en"", ""zh-TW"")"),"到")</f>
        <v>到</v>
      </c>
      <c r="H124" s="2" t="str">
        <f ca="1">IFERROR(__xludf.DUMMYFUNCTION("GoogleTranslate($E124, ""en"", ""zh-CN"")"),"到")</f>
        <v>到</v>
      </c>
      <c r="J124" s="2" t="str">
        <f ca="1">IFERROR(__xludf.DUMMYFUNCTION("GoogleTranslate($E124, ""en"", ""ko"")"),"에게")</f>
        <v>에게</v>
      </c>
      <c r="K124" s="2" t="str">
        <f ca="1">IFERROR(__xludf.DUMMYFUNCTION("GoogleTranslate($E124, ""en"", ""ja"")"),"に")</f>
        <v>に</v>
      </c>
    </row>
    <row r="125" spans="1:11" ht="15">
      <c r="A125" s="2" t="s">
        <v>366</v>
      </c>
      <c r="B125" s="2" t="s">
        <v>8</v>
      </c>
      <c r="D125" s="1" t="s">
        <v>367</v>
      </c>
      <c r="E125" s="2" t="s">
        <v>368</v>
      </c>
      <c r="F125" s="2"/>
      <c r="G125" s="2" t="s">
        <v>836</v>
      </c>
      <c r="H125" s="2" t="str">
        <f ca="1">IFERROR(__xludf.DUMMYFUNCTION("GoogleTranslate($E125, ""en"", ""zh-CN"")"),"下一页")</f>
        <v>下一页</v>
      </c>
      <c r="J125" s="2" t="str">
        <f ca="1">IFERROR(__xludf.DUMMYFUNCTION("GoogleTranslate($E125, ""en"", ""ko"")"),"다음 페이지")</f>
        <v>다음 페이지</v>
      </c>
      <c r="K125" s="2" t="str">
        <f ca="1">IFERROR(__xludf.DUMMYFUNCTION("GoogleTranslate($E125, ""en"", ""ja"")"),"次のページ")</f>
        <v>次のページ</v>
      </c>
    </row>
    <row r="126" spans="1:11" ht="15">
      <c r="A126" s="2" t="s">
        <v>369</v>
      </c>
      <c r="B126" s="2" t="s">
        <v>8</v>
      </c>
      <c r="D126" s="1" t="s">
        <v>370</v>
      </c>
      <c r="E126" s="2" t="s">
        <v>369</v>
      </c>
      <c r="F126" s="2"/>
      <c r="G126" s="2" t="str">
        <f ca="1">IFERROR(__xludf.DUMMYFUNCTION("GoogleTranslate($E126, ""en"", ""zh-TW"")"),"警告")</f>
        <v>警告</v>
      </c>
      <c r="H126" s="2" t="str">
        <f ca="1">IFERROR(__xludf.DUMMYFUNCTION("GoogleTranslate($E126, ""en"", ""zh-CN"")"),"警告")</f>
        <v>警告</v>
      </c>
      <c r="J126" s="2" t="str">
        <f ca="1">IFERROR(__xludf.DUMMYFUNCTION("GoogleTranslate($E126, ""en"", ""ko"")"),"경고")</f>
        <v>경고</v>
      </c>
      <c r="K126" s="2" t="str">
        <f ca="1">IFERROR(__xludf.DUMMYFUNCTION("GoogleTranslate($E126, ""en"", ""ja"")"),"警告")</f>
        <v>警告</v>
      </c>
    </row>
    <row r="127" spans="1:11" ht="15">
      <c r="A127" s="2" t="s">
        <v>371</v>
      </c>
      <c r="B127" s="2" t="s">
        <v>8</v>
      </c>
      <c r="D127" s="1" t="s">
        <v>372</v>
      </c>
      <c r="E127" s="2" t="s">
        <v>373</v>
      </c>
      <c r="F127" s="2"/>
      <c r="G127" s="2" t="s">
        <v>837</v>
      </c>
      <c r="H127" s="2" t="str">
        <f ca="1">IFERROR(__xludf.DUMMYFUNCTION("GoogleTranslate($E127, ""en"", ""zh-CN"")"),"设备电量低，请充电")</f>
        <v>设备电量低，请充电</v>
      </c>
      <c r="J127" s="2" t="str">
        <f ca="1">IFERROR(__xludf.DUMMYFUNCTION("GoogleTranslate($E127, ""en"", ""ko"")"),"기기 배터리가 부족합니다. 재충전하세요.")</f>
        <v>기기 배터리가 부족합니다. 재충전하세요.</v>
      </c>
      <c r="K127" s="2" t="s">
        <v>838</v>
      </c>
    </row>
    <row r="128" spans="1:11" ht="15">
      <c r="A128" s="2" t="s">
        <v>374</v>
      </c>
      <c r="B128" s="2" t="s">
        <v>8</v>
      </c>
      <c r="D128" s="1" t="s">
        <v>375</v>
      </c>
      <c r="E128" s="2" t="s">
        <v>376</v>
      </c>
      <c r="F128" s="2"/>
      <c r="G128" s="2" t="s">
        <v>839</v>
      </c>
      <c r="H128" s="2" t="str">
        <f ca="1">IFERROR(__xludf.DUMMYFUNCTION("GoogleTranslate($E128, ""en"", ""zh-CN"")"),"设备未校准")</f>
        <v>设备未校准</v>
      </c>
      <c r="J128" s="2" t="str">
        <f ca="1">IFERROR(__xludf.DUMMYFUNCTION("GoogleTranslate($E128, ""en"", ""ko"")"),"장치가 교정되지 않음")</f>
        <v>장치가 교정되지 않음</v>
      </c>
      <c r="K128" s="2" t="str">
        <f ca="1">IFERROR(__xludf.DUMMYFUNCTION("GoogleTranslate($E128, ""en"", ""ja"")"),"デバイスが校正されていません")</f>
        <v>デバイスが校正されていません</v>
      </c>
    </row>
    <row r="129" spans="1:11" ht="15">
      <c r="A129" s="2" t="s">
        <v>377</v>
      </c>
      <c r="B129" s="2" t="s">
        <v>8</v>
      </c>
      <c r="D129" s="1" t="s">
        <v>378</v>
      </c>
      <c r="E129" s="2" t="s">
        <v>379</v>
      </c>
      <c r="F129" s="2"/>
      <c r="G129" s="2" t="s">
        <v>840</v>
      </c>
      <c r="H129" s="2" t="str">
        <f ca="1">IFERROR(__xludf.DUMMYFUNCTION("GoogleTranslate($E129, ""en"", ""zh-CN"")"),"开始校准")</f>
        <v>开始校准</v>
      </c>
      <c r="J129" s="2" t="str">
        <f ca="1">IFERROR(__xludf.DUMMYFUNCTION("GoogleTranslate($E129, ""en"", ""ko"")"),"교정 시작")</f>
        <v>교정 시작</v>
      </c>
      <c r="K129" s="2" t="s">
        <v>841</v>
      </c>
    </row>
    <row r="130" spans="1:11" ht="15">
      <c r="A130" s="2" t="s">
        <v>380</v>
      </c>
      <c r="B130" s="2" t="s">
        <v>8</v>
      </c>
      <c r="D130" s="1" t="s">
        <v>381</v>
      </c>
      <c r="E130" s="2" t="s">
        <v>380</v>
      </c>
      <c r="F130" s="2"/>
      <c r="G130" s="2" t="s">
        <v>842</v>
      </c>
      <c r="H130" s="2" t="str">
        <f ca="1">IFERROR(__xludf.DUMMYFUNCTION("GoogleTranslate($E130, ""en"", ""zh-CN"")"),"抵达")</f>
        <v>抵达</v>
      </c>
      <c r="I130" s="10" t="s">
        <v>942</v>
      </c>
      <c r="J130" s="2" t="str">
        <f ca="1">IFERROR(__xludf.DUMMYFUNCTION("GoogleTranslate($E130, ""en"", ""ko"")"),"도달하다")</f>
        <v>도달하다</v>
      </c>
      <c r="K130" s="2" t="str">
        <f ca="1">IFERROR(__xludf.DUMMYFUNCTION("GoogleTranslate($E130, ""en"", ""ja"")"),"到着")</f>
        <v>到着</v>
      </c>
    </row>
    <row r="131" spans="1:11" ht="15">
      <c r="A131" s="2" t="s">
        <v>382</v>
      </c>
      <c r="B131" s="2" t="s">
        <v>8</v>
      </c>
      <c r="D131" s="1" t="s">
        <v>383</v>
      </c>
      <c r="E131" s="2" t="s">
        <v>384</v>
      </c>
      <c r="F131" s="2"/>
      <c r="G131" s="2" t="str">
        <f ca="1">IFERROR(__xludf.DUMMYFUNCTION("GoogleTranslate($E131, ""en"", ""zh-TW"")"),"病史")</f>
        <v>病史</v>
      </c>
      <c r="H131" s="2" t="str">
        <f ca="1">IFERROR(__xludf.DUMMYFUNCTION("GoogleTranslate($E131, ""en"", ""zh-CN"")"),"病史")</f>
        <v>病史</v>
      </c>
      <c r="J131" s="2" t="str">
        <f ca="1">IFERROR(__xludf.DUMMYFUNCTION("GoogleTranslate($E131, ""en"", ""ko"")"),"병력")</f>
        <v>병력</v>
      </c>
      <c r="K131" s="2" t="str">
        <f ca="1">IFERROR(__xludf.DUMMYFUNCTION("GoogleTranslate($E131, ""en"", ""ja"")"),"病歴")</f>
        <v>病歴</v>
      </c>
    </row>
    <row r="132" spans="1:11" ht="15">
      <c r="A132" s="2" t="s">
        <v>385</v>
      </c>
      <c r="B132" s="2" t="s">
        <v>8</v>
      </c>
      <c r="D132" s="1" t="s">
        <v>386</v>
      </c>
      <c r="E132" s="2" t="s">
        <v>387</v>
      </c>
      <c r="F132" s="2"/>
      <c r="G132" s="2" t="s">
        <v>843</v>
      </c>
      <c r="H132" s="2" t="str">
        <f ca="1">IFERROR(__xludf.DUMMYFUNCTION("GoogleTranslate($E132, ""en"", ""zh-CN"")"),"输入病史")</f>
        <v>输入病史</v>
      </c>
      <c r="J132" s="2" t="str">
        <f ca="1">IFERROR(__xludf.DUMMYFUNCTION("GoogleTranslate($E132, ""en"", ""ko"")"),"병력 입력")</f>
        <v>병력 입력</v>
      </c>
      <c r="K132" s="2" t="str">
        <f ca="1">IFERROR(__xludf.DUMMYFUNCTION("GoogleTranslate($E132, ""en"", ""ja"")"),"病歴を入力してください")</f>
        <v>病歴を入力してください</v>
      </c>
    </row>
    <row r="133" spans="1:11" ht="15">
      <c r="A133" s="2" t="s">
        <v>388</v>
      </c>
      <c r="B133" s="2" t="s">
        <v>8</v>
      </c>
      <c r="D133" s="1" t="s">
        <v>389</v>
      </c>
      <c r="E133" s="2" t="s">
        <v>390</v>
      </c>
      <c r="F133" s="2"/>
      <c r="G133" s="2" t="s">
        <v>844</v>
      </c>
      <c r="H133" s="2" t="str">
        <f ca="1">IFERROR(__xludf.DUMMYFUNCTION("GoogleTranslate($E133, ""en"", ""zh-CN"")"),"设备已断开连接")</f>
        <v>设备已断开连接</v>
      </c>
      <c r="J133" s="2" t="str">
        <f ca="1">IFERROR(__xludf.DUMMYFUNCTION("GoogleTranslate($E133, ""en"", ""ko"")"),"장치 연결이 끊어졌습니다.")</f>
        <v>장치 연결이 끊어졌습니다.</v>
      </c>
      <c r="K133" s="2" t="str">
        <f ca="1">IFERROR(__xludf.DUMMYFUNCTION("GoogleTranslate($E133, ""en"", ""ja"")"),"デバイスが切断されました")</f>
        <v>デバイスが切断されました</v>
      </c>
    </row>
    <row r="134" spans="1:11" ht="15">
      <c r="A134" s="2" t="s">
        <v>391</v>
      </c>
      <c r="B134" s="2" t="s">
        <v>8</v>
      </c>
      <c r="D134" s="1" t="s">
        <v>392</v>
      </c>
      <c r="E134" s="2" t="s">
        <v>393</v>
      </c>
      <c r="F134" s="2"/>
      <c r="G134" s="2" t="s">
        <v>845</v>
      </c>
      <c r="H134" s="2" t="str">
        <f ca="1">IFERROR(__xludf.DUMMYFUNCTION("GoogleTranslate($E134, ""en"", ""zh-CN"")"),"连接设备失败")</f>
        <v>连接设备失败</v>
      </c>
      <c r="J134" s="2" t="str">
        <f ca="1">IFERROR(__xludf.DUMMYFUNCTION("GoogleTranslate($E134, ""en"", ""ko"")"),"장치 연결 실패")</f>
        <v>장치 연결 실패</v>
      </c>
      <c r="K134" s="2" t="s">
        <v>846</v>
      </c>
    </row>
    <row r="135" spans="1:11" ht="15">
      <c r="A135" s="2" t="s">
        <v>394</v>
      </c>
      <c r="B135" s="2" t="s">
        <v>8</v>
      </c>
      <c r="D135" s="1" t="s">
        <v>395</v>
      </c>
      <c r="E135" s="2" t="s">
        <v>396</v>
      </c>
      <c r="F135" s="2"/>
      <c r="G135" s="2" t="s">
        <v>847</v>
      </c>
      <c r="H135" s="2" t="str">
        <f ca="1">IFERROR(__xludf.DUMMYFUNCTION("GoogleTranslate($E135, ""en"", ""zh-CN"")"),"重新连接到设备")</f>
        <v>重新连接到设备</v>
      </c>
      <c r="J135" s="2" t="str">
        <f ca="1">IFERROR(__xludf.DUMMYFUNCTION("GoogleTranslate($E135, ""en"", ""ko"")"),"기기에 다시 연결하는 중")</f>
        <v>기기에 다시 연결하는 중</v>
      </c>
      <c r="K135" s="2" t="str">
        <f ca="1">IFERROR(__xludf.DUMMYFUNCTION("GoogleTranslate($E135, ""en"", ""ja"")"),"デバイスに再接続しています")</f>
        <v>デバイスに再接続しています</v>
      </c>
    </row>
    <row r="136" spans="1:11" ht="15">
      <c r="A136" s="2" t="s">
        <v>397</v>
      </c>
      <c r="B136" s="2" t="s">
        <v>8</v>
      </c>
      <c r="D136" s="1" t="s">
        <v>398</v>
      </c>
      <c r="E136" s="2" t="s">
        <v>399</v>
      </c>
      <c r="F136" s="2"/>
      <c r="G136" s="2" t="s">
        <v>848</v>
      </c>
      <c r="H136" s="2" t="str">
        <f ca="1">IFERROR(__xludf.DUMMYFUNCTION("GoogleTranslate($E136, ""en"", ""zh-CN"")"),"找不到设备")</f>
        <v>找不到设备</v>
      </c>
      <c r="J136" s="2" t="str">
        <f ca="1">IFERROR(__xludf.DUMMYFUNCTION("GoogleTranslate($E136, ""en"", ""ko"")"),"장치를 찾을 수 없음")</f>
        <v>장치를 찾을 수 없음</v>
      </c>
      <c r="K136" s="2" t="s">
        <v>849</v>
      </c>
    </row>
    <row r="137" spans="1:11" ht="15">
      <c r="A137" s="2" t="s">
        <v>400</v>
      </c>
      <c r="B137" s="2" t="s">
        <v>8</v>
      </c>
      <c r="D137" s="1" t="s">
        <v>401</v>
      </c>
      <c r="E137" s="2" t="s">
        <v>402</v>
      </c>
      <c r="F137" s="2"/>
      <c r="G137" s="2" t="s">
        <v>850</v>
      </c>
      <c r="H137" s="2" t="str">
        <f ca="1">IFERROR(__xludf.DUMMYFUNCTION("GoogleTranslate($E137, ""en"", ""zh-CN"")"),"位置许可")</f>
        <v>位置许可</v>
      </c>
      <c r="J137" s="2" t="str">
        <f ca="1">IFERROR(__xludf.DUMMYFUNCTION("GoogleTranslate($E137, ""en"", ""ko"")"),"위치 권한")</f>
        <v>위치 권한</v>
      </c>
      <c r="K137" s="2" t="s">
        <v>850</v>
      </c>
    </row>
    <row r="138" spans="1:11" ht="15">
      <c r="A138" s="2" t="s">
        <v>403</v>
      </c>
      <c r="B138" s="2" t="s">
        <v>8</v>
      </c>
      <c r="D138" s="1" t="s">
        <v>404</v>
      </c>
      <c r="E138" s="2" t="s">
        <v>405</v>
      </c>
      <c r="F138" s="2"/>
      <c r="G138" s="2" t="s">
        <v>851</v>
      </c>
      <c r="H138" s="2" t="str">
        <f ca="1">IFERROR(__xludf.DUMMYFUNCTION("GoogleTranslate($E138, ""en"", ""zh-CN"")"),"位置服务")</f>
        <v>位置服务</v>
      </c>
      <c r="J138" s="2" t="str">
        <f ca="1">IFERROR(__xludf.DUMMYFUNCTION("GoogleTranslate($E138, ""en"", ""ko"")"),"위치 서비스")</f>
        <v>위치 서비스</v>
      </c>
      <c r="K138" s="2" t="s">
        <v>852</v>
      </c>
    </row>
    <row r="139" spans="1:11" ht="15">
      <c r="A139" s="2" t="s">
        <v>406</v>
      </c>
      <c r="B139" s="2" t="s">
        <v>8</v>
      </c>
      <c r="D139" s="1" t="s">
        <v>407</v>
      </c>
      <c r="E139" s="2" t="s">
        <v>408</v>
      </c>
      <c r="F139" s="2"/>
      <c r="G139" s="2" t="s">
        <v>853</v>
      </c>
      <c r="H139" s="2" t="str">
        <f ca="1">IFERROR(__xludf.DUMMYFUNCTION("GoogleTranslate($E139, ""en"", ""zh-CN"")"),"蓝牙权限")</f>
        <v>蓝牙权限</v>
      </c>
      <c r="J139" s="2" t="str">
        <f ca="1">IFERROR(__xludf.DUMMYFUNCTION("GoogleTranslate($E139, ""en"", ""ko"")"),"블루투스 권한")</f>
        <v>블루투스 권한</v>
      </c>
      <c r="K139" s="2" t="s">
        <v>854</v>
      </c>
    </row>
    <row r="140" spans="1:11" ht="15">
      <c r="A140" s="2" t="s">
        <v>409</v>
      </c>
      <c r="B140" s="2" t="s">
        <v>8</v>
      </c>
      <c r="D140" s="1" t="s">
        <v>410</v>
      </c>
      <c r="E140" s="2" t="s">
        <v>409</v>
      </c>
      <c r="F140" s="2"/>
      <c r="G140" s="2" t="s">
        <v>855</v>
      </c>
      <c r="H140" s="2" t="str">
        <f ca="1">IFERROR(__xludf.DUMMYFUNCTION("GoogleTranslate($E140, ""en"", ""zh-CN"")"),"权限")</f>
        <v>权限</v>
      </c>
      <c r="J140" s="2" t="str">
        <f ca="1">IFERROR(__xludf.DUMMYFUNCTION("GoogleTranslate($E140, ""en"", ""ko"")"),"권한")</f>
        <v>권한</v>
      </c>
      <c r="K140" s="2" t="str">
        <f ca="1">IFERROR(__xludf.DUMMYFUNCTION("GoogleTranslate($E140, ""en"", ""ja"")"),"権限")</f>
        <v>権限</v>
      </c>
    </row>
    <row r="141" spans="1:11" ht="15">
      <c r="A141" s="2" t="s">
        <v>411</v>
      </c>
      <c r="B141" s="2" t="s">
        <v>8</v>
      </c>
      <c r="D141" s="1" t="s">
        <v>412</v>
      </c>
      <c r="E141" s="2" t="s">
        <v>411</v>
      </c>
      <c r="F141" s="2"/>
      <c r="G141" s="2" t="s">
        <v>856</v>
      </c>
      <c r="H141" s="2" t="str">
        <f ca="1">IFERROR(__xludf.DUMMYFUNCTION("GoogleTranslate($E141, ""en"", ""zh-CN"")"),"信息")</f>
        <v>信息</v>
      </c>
      <c r="J141" s="2" t="str">
        <f ca="1">IFERROR(__xludf.DUMMYFUNCTION("GoogleTranslate($E141, ""en"", ""ko"")"),"정보")</f>
        <v>정보</v>
      </c>
      <c r="K141" s="2" t="s">
        <v>857</v>
      </c>
    </row>
    <row r="142" spans="1:11" ht="15">
      <c r="A142" s="2" t="s">
        <v>413</v>
      </c>
      <c r="B142" s="2" t="s">
        <v>8</v>
      </c>
      <c r="D142" s="1" t="s">
        <v>414</v>
      </c>
      <c r="E142" s="2" t="s">
        <v>415</v>
      </c>
      <c r="F142" s="2"/>
      <c r="G142" s="2" t="s">
        <v>858</v>
      </c>
      <c r="H142" s="2" t="str">
        <f ca="1">IFERROR(__xludf.DUMMYFUNCTION("GoogleTranslate($E142, ""en"", ""zh-CN"")"),"软件发布版本：")</f>
        <v>软件发布版本：</v>
      </c>
      <c r="J142" s="2" t="str">
        <f ca="1">IFERROR(__xludf.DUMMYFUNCTION("GoogleTranslate($E142, ""en"", ""ko"")"),"소프트웨어 릴리스 버전:")</f>
        <v>소프트웨어 릴리스 버전:</v>
      </c>
      <c r="K142" s="2" t="str">
        <f ca="1">IFERROR(__xludf.DUMMYFUNCTION("GoogleTranslate($E142, ""en"", ""ja"")"),"ソフトウェア リリース バージョン:")</f>
        <v>ソフトウェア リリース バージョン:</v>
      </c>
    </row>
    <row r="143" spans="1:11" ht="15">
      <c r="A143" s="2" t="s">
        <v>416</v>
      </c>
      <c r="B143" s="2" t="s">
        <v>8</v>
      </c>
      <c r="D143" s="1" t="s">
        <v>417</v>
      </c>
      <c r="E143" s="2" t="s">
        <v>418</v>
      </c>
      <c r="F143" s="2"/>
      <c r="G143" s="2" t="s">
        <v>859</v>
      </c>
      <c r="H143" s="2" t="str">
        <f ca="1">IFERROR(__xludf.DUMMYFUNCTION("GoogleTranslate($E143, ""en"", ""zh-CN"")"),"软件完整版：")</f>
        <v>软件完整版：</v>
      </c>
      <c r="J143" s="2" t="str">
        <f ca="1">IFERROR(__xludf.DUMMYFUNCTION("GoogleTranslate($E143, ""en"", ""ko"")"),"소프트웨어 정식 버전:")</f>
        <v>소프트웨어 정식 버전:</v>
      </c>
      <c r="K143" s="2" t="str">
        <f ca="1">IFERROR(__xludf.DUMMYFUNCTION("GoogleTranslate($E143, ""en"", ""ja"")"),"ソフトウェアのフルバージョン:")</f>
        <v>ソフトウェアのフルバージョン:</v>
      </c>
    </row>
    <row r="144" spans="1:11" ht="15">
      <c r="A144" s="2" t="s">
        <v>419</v>
      </c>
      <c r="B144" s="2" t="s">
        <v>8</v>
      </c>
      <c r="D144" s="1" t="s">
        <v>420</v>
      </c>
      <c r="E144" s="2" t="s">
        <v>419</v>
      </c>
      <c r="F144" s="2"/>
      <c r="G144" s="2" t="s">
        <v>860</v>
      </c>
      <c r="H144" s="2" t="str">
        <f ca="1">IFERROR(__xludf.DUMMYFUNCTION("GoogleTranslate($E144, ""en"", ""zh-CN"")"),"用户名")</f>
        <v>用户名</v>
      </c>
      <c r="J144" s="2" t="str">
        <f ca="1">IFERROR(__xludf.DUMMYFUNCTION("GoogleTranslate($E144, ""en"", ""ko"")"),"사용자 이름")</f>
        <v>사용자 이름</v>
      </c>
      <c r="K144" s="2" t="str">
        <f ca="1">IFERROR(__xludf.DUMMYFUNCTION("GoogleTranslate($E144, ""en"", ""ja"")"),"ユーザー名")</f>
        <v>ユーザー名</v>
      </c>
    </row>
    <row r="145" spans="1:11" ht="15">
      <c r="A145" s="2" t="s">
        <v>421</v>
      </c>
      <c r="B145" s="2" t="s">
        <v>8</v>
      </c>
      <c r="D145" s="1" t="s">
        <v>422</v>
      </c>
      <c r="E145" s="2" t="s">
        <v>421</v>
      </c>
      <c r="F145" s="2"/>
      <c r="G145" s="2" t="s">
        <v>861</v>
      </c>
      <c r="H145" s="2" t="str">
        <f ca="1">IFERROR(__xludf.DUMMYFUNCTION("GoogleTranslate($E145, ""en"", ""zh-CN"")"),"密码")</f>
        <v>密码</v>
      </c>
      <c r="J145" s="2" t="str">
        <f ca="1">IFERROR(__xludf.DUMMYFUNCTION("GoogleTranslate($E145, ""en"", ""ko"")"),"비밀번호")</f>
        <v>비밀번호</v>
      </c>
      <c r="K145" s="2" t="str">
        <f ca="1">IFERROR(__xludf.DUMMYFUNCTION("GoogleTranslate($E145, ""en"", ""ja"")"),"パスワード")</f>
        <v>パスワード</v>
      </c>
    </row>
    <row r="146" spans="1:11" ht="15">
      <c r="A146" s="2" t="s">
        <v>423</v>
      </c>
      <c r="B146" s="2" t="s">
        <v>8</v>
      </c>
      <c r="D146" s="1" t="s">
        <v>424</v>
      </c>
      <c r="E146" s="2" t="s">
        <v>425</v>
      </c>
      <c r="F146" s="2"/>
      <c r="G146" s="2" t="s">
        <v>862</v>
      </c>
      <c r="H146" s="2" t="str">
        <f ca="1">IFERROR(__xludf.DUMMYFUNCTION("GoogleTranslate($E146, ""en"", ""zh-CN"")"),"输入用户名")</f>
        <v>输入用户名</v>
      </c>
      <c r="J146" s="2" t="str">
        <f ca="1">IFERROR(__xludf.DUMMYFUNCTION("GoogleTranslate($E146, ""en"", ""ko"")"),"사용자 이름을 입력하세요")</f>
        <v>사용자 이름을 입력하세요</v>
      </c>
      <c r="K146" s="2" t="str">
        <f ca="1">IFERROR(__xludf.DUMMYFUNCTION("GoogleTranslate($E146, ""en"", ""ja"")"),"ユーザーネームを入力してください")</f>
        <v>ユーザーネームを入力してください</v>
      </c>
    </row>
    <row r="147" spans="1:11" ht="15">
      <c r="A147" s="2" t="s">
        <v>426</v>
      </c>
      <c r="B147" s="2" t="s">
        <v>8</v>
      </c>
      <c r="D147" s="1" t="s">
        <v>427</v>
      </c>
      <c r="E147" s="2" t="s">
        <v>428</v>
      </c>
      <c r="F147" s="2"/>
      <c r="G147" s="2" t="str">
        <f ca="1">IFERROR(__xludf.DUMMYFUNCTION("GoogleTranslate($E147, ""en"", ""zh-TW"")"),"登入")</f>
        <v>登入</v>
      </c>
      <c r="H147" s="2" t="str">
        <f ca="1">IFERROR(__xludf.DUMMYFUNCTION("GoogleTranslate($E147, ""en"", ""zh-CN"")"),"登入")</f>
        <v>登入</v>
      </c>
      <c r="J147" s="2" t="str">
        <f ca="1">IFERROR(__xludf.DUMMYFUNCTION("GoogleTranslate($E147, ""en"", ""ko"")"),"로그인")</f>
        <v>로그인</v>
      </c>
      <c r="K147" s="2" t="str">
        <f ca="1">IFERROR(__xludf.DUMMYFUNCTION("GoogleTranslate($E147, ""en"", ""ja"")"),"サインイン")</f>
        <v>サインイン</v>
      </c>
    </row>
    <row r="148" spans="1:11" ht="15">
      <c r="A148" s="2" t="s">
        <v>429</v>
      </c>
      <c r="B148" s="2" t="s">
        <v>8</v>
      </c>
      <c r="D148" s="1" t="s">
        <v>430</v>
      </c>
      <c r="E148" s="2" t="s">
        <v>431</v>
      </c>
      <c r="F148" s="2"/>
      <c r="G148" s="2" t="s">
        <v>863</v>
      </c>
      <c r="H148" s="2" t="str">
        <f ca="1">IFERROR(__xludf.DUMMYFUNCTION("GoogleTranslate($E148, ""en"", ""zh-CN"")"),"报名")</f>
        <v>报名</v>
      </c>
      <c r="I148" s="7" t="s">
        <v>682</v>
      </c>
      <c r="J148" s="2" t="str">
        <f ca="1">IFERROR(__xludf.DUMMYFUNCTION("GoogleTranslate($E148, ""en"", ""ko"")"),"가입하기")</f>
        <v>가입하기</v>
      </c>
      <c r="K148" s="2" t="str">
        <f ca="1">IFERROR(__xludf.DUMMYFUNCTION("GoogleTranslate($E148, ""en"", ""ja"")"),"サインアップ")</f>
        <v>サインアップ</v>
      </c>
    </row>
    <row r="149" spans="1:11" ht="15">
      <c r="A149" s="2" t="s">
        <v>432</v>
      </c>
      <c r="B149" s="2" t="s">
        <v>8</v>
      </c>
      <c r="D149" s="1" t="s">
        <v>433</v>
      </c>
      <c r="E149" s="2" t="s">
        <v>434</v>
      </c>
      <c r="F149" s="2"/>
      <c r="G149" s="2" t="s">
        <v>864</v>
      </c>
      <c r="H149" s="2" t="str">
        <f ca="1">IFERROR(__xludf.DUMMYFUNCTION("GoogleTranslate($E149, ""en"", ""zh-CN"")"),"以访客身份登录")</f>
        <v>以访客身份登录</v>
      </c>
      <c r="I149" s="7" t="s">
        <v>683</v>
      </c>
      <c r="J149" s="2" t="str">
        <f ca="1">IFERROR(__xludf.DUMMYFUNCTION("GoogleTranslate($E149, ""en"", ""ko"")"),"손님으로 로그인")</f>
        <v>손님으로 로그인</v>
      </c>
      <c r="K149" s="2" t="str">
        <f ca="1">IFERROR(__xludf.DUMMYFUNCTION("GoogleTranslate($E149, ""en"", ""ja"")"),"ゲストとしてサインインする")</f>
        <v>ゲストとしてサインインする</v>
      </c>
    </row>
    <row r="150" spans="1:11" ht="15">
      <c r="A150" s="2" t="s">
        <v>435</v>
      </c>
      <c r="B150" s="2" t="s">
        <v>8</v>
      </c>
      <c r="D150" s="1" t="s">
        <v>436</v>
      </c>
      <c r="E150" s="2" t="s">
        <v>437</v>
      </c>
      <c r="F150" s="2"/>
      <c r="G150" s="2" t="s">
        <v>865</v>
      </c>
      <c r="H150" s="2" t="str">
        <f ca="1">IFERROR(__xludf.DUMMYFUNCTION("GoogleTranslate($E150, ""en"", ""zh-CN"")"),"忘记密码")</f>
        <v>忘记密码</v>
      </c>
      <c r="J150" s="2" t="str">
        <f ca="1">IFERROR(__xludf.DUMMYFUNCTION("GoogleTranslate($E150, ""en"", ""ko"")"),"비밀번호 분실")</f>
        <v>비밀번호 분실</v>
      </c>
      <c r="K150" s="2" t="s">
        <v>866</v>
      </c>
    </row>
    <row r="151" spans="1:11" ht="15">
      <c r="A151" s="2" t="s">
        <v>438</v>
      </c>
      <c r="B151" s="2" t="s">
        <v>8</v>
      </c>
      <c r="D151" s="1" t="s">
        <v>439</v>
      </c>
      <c r="E151" s="2" t="s">
        <v>438</v>
      </c>
      <c r="F151" s="2"/>
      <c r="G151" s="2" t="str">
        <f ca="1">IFERROR(__xludf.DUMMYFUNCTION("GoogleTranslate($E151, ""en"", ""zh-TW"")"),"成功")</f>
        <v>成功</v>
      </c>
      <c r="H151" s="2" t="str">
        <f ca="1">IFERROR(__xludf.DUMMYFUNCTION("GoogleTranslate($E151, ""en"", ""zh-CN"")"),"成功")</f>
        <v>成功</v>
      </c>
      <c r="J151" s="2" t="str">
        <f ca="1">IFERROR(__xludf.DUMMYFUNCTION("GoogleTranslate($E151, ""en"", ""ko"")"),"성공")</f>
        <v>성공</v>
      </c>
      <c r="K151" s="2" t="str">
        <f ca="1">IFERROR(__xludf.DUMMYFUNCTION("GoogleTranslate($E151, ""en"", ""ja"")"),"成功")</f>
        <v>成功</v>
      </c>
    </row>
    <row r="152" spans="1:11" ht="15">
      <c r="A152" s="2" t="s">
        <v>440</v>
      </c>
      <c r="B152" s="2" t="s">
        <v>8</v>
      </c>
      <c r="D152" s="1" t="s">
        <v>441</v>
      </c>
      <c r="E152" s="2" t="s">
        <v>442</v>
      </c>
      <c r="F152" s="2"/>
      <c r="G152" s="2" t="s">
        <v>867</v>
      </c>
      <c r="H152" s="2" t="str">
        <f ca="1">IFERROR(__xludf.DUMMYFUNCTION("GoogleTranslate($E152, ""en"", ""zh-CN"")"),"未找到用户")</f>
        <v>未找到用户</v>
      </c>
      <c r="J152" s="2" t="str">
        <f ca="1">IFERROR(__xludf.DUMMYFUNCTION("GoogleTranslate($E152, ""en"", ""ko"")"),"사용자를 찾을 수 없습니다")</f>
        <v>사용자를 찾을 수 없습니다</v>
      </c>
      <c r="K152" s="2" t="s">
        <v>868</v>
      </c>
    </row>
    <row r="153" spans="1:11" ht="15">
      <c r="A153" s="2" t="s">
        <v>443</v>
      </c>
      <c r="B153" s="2" t="s">
        <v>8</v>
      </c>
      <c r="D153" s="1" t="s">
        <v>444</v>
      </c>
      <c r="E153" s="2" t="s">
        <v>445</v>
      </c>
      <c r="F153" s="2"/>
      <c r="G153" s="2" t="s">
        <v>869</v>
      </c>
      <c r="H153" s="2" t="str">
        <f ca="1">IFERROR(__xludf.DUMMYFUNCTION("GoogleTranslate($E153, ""en"", ""zh-CN"")"),"用户名已存在")</f>
        <v>用户名已存在</v>
      </c>
      <c r="J153" s="2" t="str">
        <f ca="1">IFERROR(__xludf.DUMMYFUNCTION("GoogleTranslate($E153, ""en"", ""ko"")"),"사용자 이름이 이미 존재합니다.")</f>
        <v>사용자 이름이 이미 존재합니다.</v>
      </c>
      <c r="K153" s="2" t="str">
        <f ca="1">IFERROR(__xludf.DUMMYFUNCTION("GoogleTranslate($E153, ""en"", ""ja"")"),"ユーザー名はすでに存在します")</f>
        <v>ユーザー名はすでに存在します</v>
      </c>
    </row>
    <row r="154" spans="1:11" ht="15">
      <c r="A154" s="2" t="s">
        <v>446</v>
      </c>
      <c r="B154" s="2" t="s">
        <v>8</v>
      </c>
      <c r="D154" s="1" t="s">
        <v>447</v>
      </c>
      <c r="E154" s="2" t="s">
        <v>448</v>
      </c>
      <c r="F154" s="2"/>
      <c r="G154" s="2" t="s">
        <v>870</v>
      </c>
      <c r="H154" s="2" t="str">
        <f ca="1">IFERROR(__xludf.DUMMYFUNCTION("GoogleTranslate($E154, ""en"", ""zh-CN"")"),"用户名为空")</f>
        <v>用户名为空</v>
      </c>
      <c r="J154" s="2" t="str">
        <f ca="1">IFERROR(__xludf.DUMMYFUNCTION("GoogleTranslate($E154, ""en"", ""ko"")"),"사용자 이름이 비어 있습니다.")</f>
        <v>사용자 이름이 비어 있습니다.</v>
      </c>
      <c r="K154" s="2" t="str">
        <f ca="1">IFERROR(__xludf.DUMMYFUNCTION("GoogleTranslate($E154, ""en"", ""ja"")"),"ユーザー名が空です")</f>
        <v>ユーザー名が空です</v>
      </c>
    </row>
    <row r="155" spans="1:11" ht="15">
      <c r="A155" s="2" t="s">
        <v>449</v>
      </c>
      <c r="B155" s="2" t="s">
        <v>8</v>
      </c>
      <c r="D155" s="1" t="s">
        <v>450</v>
      </c>
      <c r="E155" s="2" t="s">
        <v>451</v>
      </c>
      <c r="F155" s="2"/>
      <c r="G155" s="2" t="s">
        <v>871</v>
      </c>
      <c r="H155" s="2" t="str">
        <f ca="1">IFERROR(__xludf.DUMMYFUNCTION("GoogleTranslate($E155, ""en"", ""zh-CN"")"),"密码为空")</f>
        <v>密码为空</v>
      </c>
      <c r="J155" s="2" t="str">
        <f ca="1">IFERROR(__xludf.DUMMYFUNCTION("GoogleTranslate($E155, ""en"", ""ko"")"),"비밀번호가 비어 있습니다.")</f>
        <v>비밀번호가 비어 있습니다.</v>
      </c>
      <c r="K155" s="2" t="str">
        <f ca="1">IFERROR(__xludf.DUMMYFUNCTION("GoogleTranslate($E155, ""en"", ""ja"")"),"パスワードが空です")</f>
        <v>パスワードが空です</v>
      </c>
    </row>
    <row r="156" spans="1:11" ht="15">
      <c r="A156" s="2" t="s">
        <v>452</v>
      </c>
      <c r="B156" s="2" t="s">
        <v>8</v>
      </c>
      <c r="D156" s="1" t="s">
        <v>453</v>
      </c>
      <c r="E156" s="2" t="s">
        <v>454</v>
      </c>
      <c r="F156" s="2"/>
      <c r="G156" s="2" t="s">
        <v>872</v>
      </c>
      <c r="H156" s="2" t="str">
        <f ca="1">IFERROR(__xludf.DUMMYFUNCTION("GoogleTranslate($E156, ""en"", ""zh-CN"")"),"请稍等 ...")</f>
        <v>请稍等 ...</v>
      </c>
      <c r="J156" s="2" t="str">
        <f ca="1">IFERROR(__xludf.DUMMYFUNCTION("GoogleTranslate($E156, ""en"", ""ko"")"),"기다리세요 ...")</f>
        <v>기다리세요 ...</v>
      </c>
      <c r="K156" s="2" t="str">
        <f ca="1">IFERROR(__xludf.DUMMYFUNCTION("GoogleTranslate($E156, ""en"", ""ja"")"),"お待ちください ...")</f>
        <v>お待ちください ...</v>
      </c>
    </row>
    <row r="157" spans="1:11" ht="15">
      <c r="A157" s="2" t="s">
        <v>455</v>
      </c>
      <c r="B157" s="2" t="s">
        <v>8</v>
      </c>
      <c r="D157" s="1" t="s">
        <v>456</v>
      </c>
      <c r="E157" s="2" t="s">
        <v>457</v>
      </c>
      <c r="F157" s="2"/>
      <c r="G157" s="2" t="s">
        <v>873</v>
      </c>
      <c r="H157" s="2" t="str">
        <f ca="1">IFERROR(__xludf.DUMMYFUNCTION("GoogleTranslate($E157, ""en"", ""zh-CN"")"),"用户名包含无效字符")</f>
        <v>用户名包含无效字符</v>
      </c>
      <c r="J157" s="2" t="str">
        <f ca="1">IFERROR(__xludf.DUMMYFUNCTION("GoogleTranslate($E157, ""en"", ""ko"")"),"사용자 이름에 잘못된 문자가 포함되어 있습니다.")</f>
        <v>사용자 이름에 잘못된 문자가 포함되어 있습니다.</v>
      </c>
      <c r="K157" s="2" t="s">
        <v>874</v>
      </c>
    </row>
    <row r="158" spans="1:11" ht="15">
      <c r="A158" s="2" t="s">
        <v>458</v>
      </c>
      <c r="B158" s="2" t="s">
        <v>8</v>
      </c>
      <c r="D158" s="1" t="s">
        <v>459</v>
      </c>
      <c r="E158" s="2" t="s">
        <v>460</v>
      </c>
      <c r="F158" s="2"/>
      <c r="G158" s="2" t="s">
        <v>875</v>
      </c>
      <c r="H158" s="2" t="str">
        <f ca="1">IFERROR(__xludf.DUMMYFUNCTION("GoogleTranslate($E158, ""en"", ""zh-CN"")"),"密码太短")</f>
        <v>密码太短</v>
      </c>
      <c r="J158" s="2" t="str">
        <f ca="1">IFERROR(__xludf.DUMMYFUNCTION("GoogleTranslate($E158, ""en"", ""ko"")"),"비밀번호가 너무 짧습니다")</f>
        <v>비밀번호가 너무 짧습니다</v>
      </c>
      <c r="K158" s="2" t="str">
        <f ca="1">IFERROR(__xludf.DUMMYFUNCTION("GoogleTranslate($E158, ""en"", ""ja"")"),"パスワードが短すぎます")</f>
        <v>パスワードが短すぎます</v>
      </c>
    </row>
    <row r="159" spans="1:11" ht="15">
      <c r="A159" s="2" t="s">
        <v>461</v>
      </c>
      <c r="B159" s="2" t="s">
        <v>8</v>
      </c>
      <c r="D159" s="1" t="s">
        <v>462</v>
      </c>
      <c r="E159" s="2" t="s">
        <v>463</v>
      </c>
      <c r="F159" s="2"/>
      <c r="G159" s="2" t="s">
        <v>876</v>
      </c>
      <c r="H159" s="2" t="str">
        <f ca="1">IFERROR(__xludf.DUMMYFUNCTION("GoogleTranslate($E159, ""en"", ""zh-CN"")"),"固件信息")</f>
        <v>固件信息</v>
      </c>
      <c r="J159" s="2" t="str">
        <f ca="1">IFERROR(__xludf.DUMMYFUNCTION("GoogleTranslate($E159, ""en"", ""ko"")"),"펌웨어 정보")</f>
        <v>펌웨어 정보</v>
      </c>
      <c r="K159" s="2" t="s">
        <v>877</v>
      </c>
    </row>
    <row r="160" spans="1:11" ht="15">
      <c r="A160" s="2" t="s">
        <v>464</v>
      </c>
      <c r="B160" s="2" t="s">
        <v>8</v>
      </c>
      <c r="D160" s="1" t="s">
        <v>465</v>
      </c>
      <c r="E160" s="2" t="s">
        <v>466</v>
      </c>
      <c r="F160" s="2"/>
      <c r="G160" s="2" t="s">
        <v>878</v>
      </c>
      <c r="H160" s="2" t="str">
        <f ca="1">IFERROR(__xludf.DUMMYFUNCTION("GoogleTranslate($E160, ""en"", ""zh-CN"")"),"软件信息")</f>
        <v>软件信息</v>
      </c>
      <c r="J160" s="2" t="str">
        <f ca="1">IFERROR(__xludf.DUMMYFUNCTION("GoogleTranslate($E160, ""en"", ""ko"")"),"소프트웨어 정보")</f>
        <v>소프트웨어 정보</v>
      </c>
      <c r="K160" s="2" t="s">
        <v>879</v>
      </c>
    </row>
    <row r="161" spans="1:11" ht="15">
      <c r="A161" s="2" t="s">
        <v>467</v>
      </c>
      <c r="B161" s="2" t="s">
        <v>8</v>
      </c>
      <c r="D161" s="1" t="s">
        <v>468</v>
      </c>
      <c r="E161" s="2" t="s">
        <v>469</v>
      </c>
      <c r="F161" s="2"/>
      <c r="G161" s="2" t="s">
        <v>880</v>
      </c>
      <c r="H161" s="2" t="str">
        <f ca="1">IFERROR(__xludf.DUMMYFUNCTION("GoogleTranslate($E161, ""en"", ""zh-CN"")"),"固件发布版本：")</f>
        <v>固件发布版本：</v>
      </c>
      <c r="J161" s="2" t="str">
        <f ca="1">IFERROR(__xludf.DUMMYFUNCTION("GoogleTranslate($E161, ""en"", ""ko"")"),"펌웨어 릴리스 버전:")</f>
        <v>펌웨어 릴리스 버전:</v>
      </c>
      <c r="K161" s="2" t="str">
        <f ca="1">IFERROR(__xludf.DUMMYFUNCTION("GoogleTranslate($E161, ""en"", ""ja"")"),"ファームウェアのリリースバージョン:")</f>
        <v>ファームウェアのリリースバージョン:</v>
      </c>
    </row>
    <row r="162" spans="1:11" ht="15">
      <c r="A162" s="2" t="s">
        <v>470</v>
      </c>
      <c r="B162" s="2" t="s">
        <v>8</v>
      </c>
      <c r="D162" s="1" t="s">
        <v>471</v>
      </c>
      <c r="E162" s="2" t="s">
        <v>472</v>
      </c>
      <c r="F162" s="2"/>
      <c r="G162" s="2" t="s">
        <v>881</v>
      </c>
      <c r="H162" s="2" t="str">
        <f ca="1">IFERROR(__xludf.DUMMYFUNCTION("GoogleTranslate($E162, ""en"", ""zh-CN"")"),"固件完整版：")</f>
        <v>固件完整版：</v>
      </c>
      <c r="J162" s="2" t="str">
        <f ca="1">IFERROR(__xludf.DUMMYFUNCTION("GoogleTranslate($E162, ""en"", ""ko"")"),"펌웨어 정식 버전:")</f>
        <v>펌웨어 정식 버전:</v>
      </c>
      <c r="K162" s="2" t="str">
        <f ca="1">IFERROR(__xludf.DUMMYFUNCTION("GoogleTranslate($E162, ""en"", ""ja"")"),"ファームウェアのフルバージョン:")</f>
        <v>ファームウェアのフルバージョン:</v>
      </c>
    </row>
    <row r="163" spans="1:11" ht="15">
      <c r="A163" s="2" t="s">
        <v>473</v>
      </c>
      <c r="B163" s="2" t="s">
        <v>8</v>
      </c>
      <c r="D163" s="1" t="s">
        <v>474</v>
      </c>
      <c r="E163" s="2" t="s">
        <v>475</v>
      </c>
      <c r="F163" s="2"/>
      <c r="G163" s="2" t="str">
        <f ca="1">IFERROR(__xludf.DUMMYFUNCTION("GoogleTranslate($E163, ""en"", ""zh-TW"")"),"登出")</f>
        <v>登出</v>
      </c>
      <c r="H163" s="2" t="str">
        <f ca="1">IFERROR(__xludf.DUMMYFUNCTION("GoogleTranslate($E163, ""en"", ""zh-CN"")"),"登出")</f>
        <v>登出</v>
      </c>
      <c r="J163" s="2" t="str">
        <f ca="1">IFERROR(__xludf.DUMMYFUNCTION("GoogleTranslate($E163, ""en"", ""ko"")"),"로그아웃")</f>
        <v>로그아웃</v>
      </c>
      <c r="K163" s="2" t="str">
        <f ca="1">IFERROR(__xludf.DUMMYFUNCTION("GoogleTranslate($E163, ""en"", ""ja"")"),"サインアウト")</f>
        <v>サインアウト</v>
      </c>
    </row>
    <row r="164" spans="1:11" ht="15">
      <c r="A164" s="2" t="s">
        <v>476</v>
      </c>
      <c r="B164" s="2" t="s">
        <v>8</v>
      </c>
      <c r="D164" s="1" t="s">
        <v>477</v>
      </c>
      <c r="E164" s="2" t="s">
        <v>478</v>
      </c>
      <c r="F164" s="2"/>
      <c r="G164" s="2" t="s">
        <v>882</v>
      </c>
      <c r="H164" s="2" t="str">
        <f ca="1">IFERROR(__xludf.DUMMYFUNCTION("GoogleTranslate($E164, ""en"", ""zh-CN"")"),"确认退出？")</f>
        <v>确认退出？</v>
      </c>
      <c r="J164" s="2" t="str">
        <f ca="1">IFERROR(__xludf.DUMMYFUNCTION("GoogleTranslate($E164, ""en"", ""ko"")"),"로그아웃을 확인하시겠습니까?")</f>
        <v>로그아웃을 확인하시겠습니까?</v>
      </c>
      <c r="K164" s="2" t="s">
        <v>883</v>
      </c>
    </row>
    <row r="165" spans="1:11" ht="15">
      <c r="A165" s="2" t="s">
        <v>479</v>
      </c>
      <c r="B165" s="2" t="s">
        <v>8</v>
      </c>
      <c r="D165" s="1" t="s">
        <v>480</v>
      </c>
      <c r="E165" s="2" t="s">
        <v>479</v>
      </c>
      <c r="F165" s="2"/>
      <c r="G165" s="2" t="s">
        <v>481</v>
      </c>
      <c r="H165" s="2" t="s">
        <v>481</v>
      </c>
      <c r="J165" s="2" t="s">
        <v>482</v>
      </c>
      <c r="K165" s="2" t="s">
        <v>481</v>
      </c>
    </row>
    <row r="166" spans="1:11" ht="15">
      <c r="A166" s="2" t="s">
        <v>483</v>
      </c>
      <c r="B166" s="2" t="s">
        <v>8</v>
      </c>
      <c r="D166" s="1" t="s">
        <v>484</v>
      </c>
      <c r="E166" s="2" t="s">
        <v>485</v>
      </c>
      <c r="F166" s="2"/>
      <c r="G166" s="2" t="s">
        <v>884</v>
      </c>
      <c r="H166" s="2" t="str">
        <f ca="1">IFERROR(__xludf.DUMMYFUNCTION("GoogleTranslate($E166, ""en"", ""zh-CN"")"),"培训记录")</f>
        <v>培训记录</v>
      </c>
      <c r="I166" s="7" t="s">
        <v>684</v>
      </c>
      <c r="J166" s="2" t="str">
        <f ca="1">IFERROR(__xludf.DUMMYFUNCTION("GoogleTranslate($E166, ""en"", ""ko"")"),"훈련 기록")</f>
        <v>훈련 기록</v>
      </c>
      <c r="K166" s="2" t="s">
        <v>885</v>
      </c>
    </row>
    <row r="167" spans="1:11" ht="15">
      <c r="A167" s="2" t="s">
        <v>486</v>
      </c>
      <c r="B167" s="2" t="s">
        <v>8</v>
      </c>
      <c r="D167" s="1" t="s">
        <v>487</v>
      </c>
      <c r="E167" s="2" t="s">
        <v>486</v>
      </c>
      <c r="F167" s="2"/>
      <c r="G167" s="2" t="s">
        <v>886</v>
      </c>
      <c r="H167" s="2" t="str">
        <f ca="1">IFERROR(__xludf.DUMMYFUNCTION("GoogleTranslate($E167, ""en"", ""zh-CN"")"),"历史")</f>
        <v>历史</v>
      </c>
      <c r="J167" s="2" t="str">
        <f ca="1">IFERROR(__xludf.DUMMYFUNCTION("GoogleTranslate($E167, ""en"", ""ko"")"),"역사")</f>
        <v>역사</v>
      </c>
      <c r="K167" s="2" t="str">
        <f ca="1">IFERROR(__xludf.DUMMYFUNCTION("GoogleTranslate($E167, ""en"", ""ja"")"),"歴史")</f>
        <v>歴史</v>
      </c>
    </row>
    <row r="168" spans="1:11" ht="15">
      <c r="A168" s="2" t="s">
        <v>488</v>
      </c>
      <c r="B168" s="2" t="s">
        <v>8</v>
      </c>
      <c r="D168" s="1" t="s">
        <v>489</v>
      </c>
      <c r="E168" s="2" t="s">
        <v>488</v>
      </c>
      <c r="F168" s="2"/>
      <c r="G168" s="2" t="str">
        <f ca="1">IFERROR(__xludf.DUMMYFUNCTION("GoogleTranslate($E168, ""en"", ""zh-TW"")"),"概括")</f>
        <v>概括</v>
      </c>
      <c r="H168" s="2" t="str">
        <f ca="1">IFERROR(__xludf.DUMMYFUNCTION("GoogleTranslate($E168, ""en"", ""zh-CN"")"),"概括")</f>
        <v>概括</v>
      </c>
      <c r="J168" s="2" t="str">
        <f ca="1">IFERROR(__xludf.DUMMYFUNCTION("GoogleTranslate($E168, ""en"", ""ko"")"),"요약")</f>
        <v>요약</v>
      </c>
      <c r="K168" s="2" t="str">
        <f ca="1">IFERROR(__xludf.DUMMYFUNCTION("GoogleTranslate($E168, ""en"", ""ja"")"),"まとめ")</f>
        <v>まとめ</v>
      </c>
    </row>
    <row r="169" spans="1:11" ht="15">
      <c r="A169" s="2" t="s">
        <v>490</v>
      </c>
      <c r="B169" s="2" t="s">
        <v>8</v>
      </c>
      <c r="D169" s="1" t="s">
        <v>491</v>
      </c>
      <c r="E169" s="2" t="s">
        <v>490</v>
      </c>
      <c r="F169" s="2"/>
      <c r="G169" s="2" t="s">
        <v>887</v>
      </c>
      <c r="H169" s="2" t="str">
        <f ca="1">IFERROR(__xludf.DUMMYFUNCTION("GoogleTranslate($E169, ""en"", ""zh-CN"")"),"图表")</f>
        <v>图表</v>
      </c>
      <c r="J169" s="2" t="str">
        <f ca="1">IFERROR(__xludf.DUMMYFUNCTION("GoogleTranslate($E169, ""en"", ""ko"")"),"차트")</f>
        <v>차트</v>
      </c>
      <c r="K169" s="2" t="str">
        <f ca="1">IFERROR(__xludf.DUMMYFUNCTION("GoogleTranslate($E169, ""en"", ""ja"")"),"チャート")</f>
        <v>チャート</v>
      </c>
    </row>
    <row r="170" spans="1:11" ht="15">
      <c r="A170" s="2" t="s">
        <v>492</v>
      </c>
      <c r="B170" s="2" t="s">
        <v>8</v>
      </c>
      <c r="D170" s="1" t="s">
        <v>493</v>
      </c>
      <c r="E170" s="2" t="s">
        <v>494</v>
      </c>
      <c r="F170" s="2"/>
      <c r="G170" s="2" t="s">
        <v>888</v>
      </c>
      <c r="H170" s="2" t="str">
        <f ca="1">IFERROR(__xludf.DUMMYFUNCTION("GoogleTranslate($E170, ""en"", ""zh-CN"")"),"日期和时间")</f>
        <v>日期和时间</v>
      </c>
      <c r="J170" s="2" t="str">
        <f ca="1">IFERROR(__xludf.DUMMYFUNCTION("GoogleTranslate($E170, ""en"", ""ko"")"),"날짜와 시간")</f>
        <v>날짜와 시간</v>
      </c>
      <c r="K170" s="2" t="s">
        <v>889</v>
      </c>
    </row>
    <row r="171" spans="1:11" ht="15">
      <c r="A171" s="2" t="s">
        <v>495</v>
      </c>
      <c r="B171" s="2" t="s">
        <v>8</v>
      </c>
      <c r="D171" s="1" t="s">
        <v>496</v>
      </c>
      <c r="E171" s="2" t="s">
        <v>495</v>
      </c>
      <c r="F171" s="2"/>
      <c r="G171" s="2" t="str">
        <f ca="1">IFERROR(__xludf.DUMMYFUNCTION("GoogleTranslate($E171, ""en"", ""zh-TW"")"),"描述")</f>
        <v>描述</v>
      </c>
      <c r="H171" s="2" t="str">
        <f ca="1">IFERROR(__xludf.DUMMYFUNCTION("GoogleTranslate($E171, ""en"", ""zh-CN"")"),"描述")</f>
        <v>描述</v>
      </c>
      <c r="J171" s="2" t="str">
        <f ca="1">IFERROR(__xludf.DUMMYFUNCTION("GoogleTranslate($E171, ""en"", ""ko"")"),"설명")</f>
        <v>설명</v>
      </c>
      <c r="K171" s="2" t="s">
        <v>890</v>
      </c>
    </row>
    <row r="172" spans="1:11" ht="15">
      <c r="A172" s="2" t="s">
        <v>497</v>
      </c>
      <c r="B172" s="2" t="s">
        <v>8</v>
      </c>
      <c r="D172" s="1" t="s">
        <v>498</v>
      </c>
      <c r="E172" s="2" t="s">
        <v>499</v>
      </c>
      <c r="F172" s="2"/>
      <c r="G172" s="2" t="str">
        <f ca="1">IFERROR(__xludf.DUMMYFUNCTION("GoogleTranslate($E172, ""en"", ""zh-TW"")"),"展示更多")</f>
        <v>展示更多</v>
      </c>
      <c r="H172" s="2" t="str">
        <f ca="1">IFERROR(__xludf.DUMMYFUNCTION("GoogleTranslate($E172, ""en"", ""zh-CN"")"),"展示更多")</f>
        <v>展示更多</v>
      </c>
      <c r="I172" s="7" t="s">
        <v>688</v>
      </c>
      <c r="J172" s="2" t="str">
        <f ca="1">IFERROR(__xludf.DUMMYFUNCTION("GoogleTranslate($E172, ""en"", ""ko"")"),"자세히보기")</f>
        <v>자세히보기</v>
      </c>
      <c r="K172" s="2" t="s">
        <v>891</v>
      </c>
    </row>
    <row r="173" spans="1:11" ht="15">
      <c r="A173" s="2" t="s">
        <v>500</v>
      </c>
      <c r="B173" s="2" t="s">
        <v>8</v>
      </c>
      <c r="D173" s="1" t="s">
        <v>501</v>
      </c>
      <c r="E173" s="2" t="s">
        <v>502</v>
      </c>
      <c r="F173" s="2"/>
      <c r="G173" s="2" t="s">
        <v>503</v>
      </c>
      <c r="H173" s="2" t="s">
        <v>503</v>
      </c>
      <c r="J173" s="2" t="s">
        <v>504</v>
      </c>
      <c r="K173" s="2" t="s">
        <v>503</v>
      </c>
    </row>
    <row r="174" spans="1:11" ht="15">
      <c r="A174" s="2" t="s">
        <v>505</v>
      </c>
      <c r="B174" s="2" t="s">
        <v>8</v>
      </c>
      <c r="D174" s="1" t="s">
        <v>506</v>
      </c>
      <c r="E174" s="2" t="s">
        <v>507</v>
      </c>
      <c r="F174" s="2"/>
      <c r="G174" s="2" t="s">
        <v>508</v>
      </c>
      <c r="H174" s="2" t="s">
        <v>508</v>
      </c>
      <c r="J174" s="2" t="s">
        <v>509</v>
      </c>
      <c r="K174" s="2" t="s">
        <v>508</v>
      </c>
    </row>
    <row r="175" spans="1:11" ht="15">
      <c r="A175" s="2" t="s">
        <v>510</v>
      </c>
      <c r="B175" s="2" t="s">
        <v>8</v>
      </c>
      <c r="D175" s="1" t="s">
        <v>511</v>
      </c>
      <c r="E175" s="2" t="s">
        <v>510</v>
      </c>
      <c r="F175" s="2"/>
      <c r="G175" s="2" t="s">
        <v>892</v>
      </c>
      <c r="H175" s="2" t="str">
        <f ca="1">IFERROR(__xludf.DUMMYFUNCTION("GoogleTranslate($E175, ""en"", ""zh-CN"")"),"期间")</f>
        <v>期间</v>
      </c>
      <c r="J175" s="2" t="str">
        <f ca="1">IFERROR(__xludf.DUMMYFUNCTION("GoogleTranslate($E175, ""en"", ""ko"")"),"지속")</f>
        <v>지속</v>
      </c>
      <c r="K175" s="2" t="s">
        <v>893</v>
      </c>
    </row>
    <row r="176" spans="1:11" ht="16">
      <c r="A176" s="2" t="s">
        <v>512</v>
      </c>
      <c r="B176" s="2" t="s">
        <v>8</v>
      </c>
      <c r="D176" s="1" t="s">
        <v>513</v>
      </c>
      <c r="E176" s="2" t="s">
        <v>514</v>
      </c>
      <c r="F176" s="2"/>
      <c r="G176" s="3" t="s">
        <v>515</v>
      </c>
      <c r="H176" s="3" t="s">
        <v>515</v>
      </c>
      <c r="I176" s="7" t="s">
        <v>685</v>
      </c>
      <c r="J176" s="4" t="s">
        <v>516</v>
      </c>
      <c r="K176" s="5" t="s">
        <v>517</v>
      </c>
    </row>
    <row r="177" spans="1:11" ht="15">
      <c r="A177" s="2" t="s">
        <v>518</v>
      </c>
      <c r="B177" s="2" t="s">
        <v>8</v>
      </c>
      <c r="D177" s="1" t="s">
        <v>519</v>
      </c>
      <c r="E177" s="2" t="s">
        <v>520</v>
      </c>
      <c r="F177" s="2"/>
      <c r="G177" s="2" t="s">
        <v>894</v>
      </c>
      <c r="H177" s="2" t="str">
        <f ca="1">IFERROR(__xludf.DUMMYFUNCTION("GoogleTranslate($E177, ""en"", ""zh-CN"")"),"游戏设置")</f>
        <v>游戏设置</v>
      </c>
      <c r="J177" s="2" t="str">
        <f ca="1">IFERROR(__xludf.DUMMYFUNCTION("GoogleTranslate($E177, ""en"", ""ko"")"),"게임 설정")</f>
        <v>게임 설정</v>
      </c>
      <c r="K177" s="2" t="s">
        <v>895</v>
      </c>
    </row>
    <row r="178" spans="1:11" ht="15">
      <c r="A178" s="2" t="s">
        <v>521</v>
      </c>
      <c r="B178" s="2" t="s">
        <v>8</v>
      </c>
      <c r="D178" s="1" t="s">
        <v>522</v>
      </c>
      <c r="E178" s="2" t="s">
        <v>523</v>
      </c>
      <c r="F178" s="2"/>
      <c r="G178" s="2" t="str">
        <f ca="1">IFERROR(__xludf.DUMMYFUNCTION("GoogleTranslate($E178, ""en"", ""zh-TW"")"),"主音量")</f>
        <v>主音量</v>
      </c>
      <c r="H178" s="2" t="str">
        <f ca="1">IFERROR(__xludf.DUMMYFUNCTION("GoogleTranslate($E178, ""en"", ""zh-CN"")"),"主音量")</f>
        <v>主音量</v>
      </c>
      <c r="J178" s="2" t="str">
        <f ca="1">IFERROR(__xludf.DUMMYFUNCTION("GoogleTranslate($E178, ""en"", ""ko"")"),"마스터 볼륨")</f>
        <v>마스터 볼륨</v>
      </c>
      <c r="K178" s="2" t="str">
        <f ca="1">IFERROR(__xludf.DUMMYFUNCTION("GoogleTranslate($E178, ""en"", ""ja"")"),"マスターボリューム")</f>
        <v>マスターボリューム</v>
      </c>
    </row>
    <row r="179" spans="1:11" ht="15">
      <c r="A179" s="2" t="s">
        <v>524</v>
      </c>
      <c r="B179" s="2" t="s">
        <v>8</v>
      </c>
      <c r="D179" s="1" t="s">
        <v>525</v>
      </c>
      <c r="E179" s="2" t="s">
        <v>524</v>
      </c>
      <c r="F179" s="2"/>
      <c r="G179" s="2" t="str">
        <f ca="1">IFERROR(__xludf.DUMMYFUNCTION("GoogleTranslate($E179, ""en"", ""zh-TW"")"),"全部")</f>
        <v>全部</v>
      </c>
      <c r="H179" s="2" t="str">
        <f ca="1">IFERROR(__xludf.DUMMYFUNCTION("GoogleTranslate($E179, ""en"", ""zh-CN"")"),"全部")</f>
        <v>全部</v>
      </c>
      <c r="J179" s="2" t="str">
        <f ca="1">IFERROR(__xludf.DUMMYFUNCTION("GoogleTranslate($E179, ""en"", ""ko"")"),"모두")</f>
        <v>모두</v>
      </c>
      <c r="K179" s="2" t="str">
        <f ca="1">IFERROR(__xludf.DUMMYFUNCTION("GoogleTranslate($E179, ""en"", ""ja"")"),"全て")</f>
        <v>全て</v>
      </c>
    </row>
    <row r="180" spans="1:11" ht="15">
      <c r="A180" s="2" t="s">
        <v>526</v>
      </c>
      <c r="B180" s="2" t="s">
        <v>8</v>
      </c>
      <c r="D180" s="1" t="s">
        <v>527</v>
      </c>
      <c r="E180" s="2" t="s">
        <v>528</v>
      </c>
      <c r="F180" s="2"/>
      <c r="G180" s="2" t="s">
        <v>896</v>
      </c>
      <c r="H180" s="2" t="str">
        <f ca="1">IFERROR(__xludf.DUMMYFUNCTION("GoogleTranslate($E180, ""en"", ""zh-CN"")"),"培训次数")</f>
        <v>培训次数</v>
      </c>
      <c r="I180" s="7" t="s">
        <v>686</v>
      </c>
      <c r="J180" s="2" t="str">
        <f ca="1">IFERROR(__xludf.DUMMYFUNCTION("GoogleTranslate($E180, ""en"", ""ko"")"),"교육 세션 수")</f>
        <v>교육 세션 수</v>
      </c>
      <c r="K180" s="2" t="str">
        <f ca="1">IFERROR(__xludf.DUMMYFUNCTION("GoogleTranslate($E180, ""en"", ""ja"")"),"トレーニングセッション数")</f>
        <v>トレーニングセッション数</v>
      </c>
    </row>
    <row r="181" spans="1:11" ht="15">
      <c r="A181" s="2" t="s">
        <v>529</v>
      </c>
      <c r="B181" s="2" t="s">
        <v>8</v>
      </c>
      <c r="D181" s="1" t="s">
        <v>530</v>
      </c>
      <c r="E181" s="2" t="s">
        <v>529</v>
      </c>
      <c r="F181" s="2"/>
      <c r="G181" s="2" t="s">
        <v>897</v>
      </c>
      <c r="H181" s="2" t="str">
        <f ca="1">IFERROR(__xludf.DUMMYFUNCTION("GoogleTranslate($E181, ""en"", ""zh-CN"")"),"扫描")</f>
        <v>扫描</v>
      </c>
      <c r="J181" s="2" t="str">
        <f ca="1">IFERROR(__xludf.DUMMYFUNCTION("GoogleTranslate($E181, ""en"", ""ko"")"),"주사")</f>
        <v>주사</v>
      </c>
      <c r="K181" s="2" t="str">
        <f ca="1">IFERROR(__xludf.DUMMYFUNCTION("GoogleTranslate($E181, ""en"", ""ja"")"),"スキャン")</f>
        <v>スキャン</v>
      </c>
    </row>
    <row r="182" spans="1:11" ht="15">
      <c r="A182" s="2" t="s">
        <v>531</v>
      </c>
      <c r="B182" s="2" t="s">
        <v>8</v>
      </c>
      <c r="D182" s="1" t="s">
        <v>532</v>
      </c>
      <c r="E182" s="2" t="s">
        <v>531</v>
      </c>
      <c r="F182" s="2"/>
      <c r="G182" s="2" t="str">
        <f ca="1">IFERROR(__xludf.DUMMYFUNCTION("GoogleTranslate($E182, ""en"", ""zh-TW"")"),"月")</f>
        <v>月</v>
      </c>
      <c r="H182" s="2" t="str">
        <f ca="1">IFERROR(__xludf.DUMMYFUNCTION("GoogleTranslate($E182, ""en"", ""zh-CN"")"),"月")</f>
        <v>月</v>
      </c>
      <c r="J182" s="2" t="str">
        <f ca="1">IFERROR(__xludf.DUMMYFUNCTION("GoogleTranslate($E182, ""en"", ""ko"")"),"월")</f>
        <v>월</v>
      </c>
      <c r="K182" s="2" t="str">
        <f ca="1">IFERROR(__xludf.DUMMYFUNCTION("GoogleTranslate($E182, ""en"", ""ja"")"),"月")</f>
        <v>月</v>
      </c>
    </row>
    <row r="183" spans="1:11" ht="15">
      <c r="A183" s="2" t="s">
        <v>533</v>
      </c>
      <c r="B183" s="2" t="s">
        <v>8</v>
      </c>
      <c r="D183" s="1" t="s">
        <v>534</v>
      </c>
      <c r="E183" s="2" t="s">
        <v>533</v>
      </c>
      <c r="F183" s="2"/>
      <c r="G183" s="2" t="s">
        <v>535</v>
      </c>
      <c r="H183" s="2" t="s">
        <v>535</v>
      </c>
      <c r="J183" s="2" t="str">
        <f ca="1">IFERROR(__xludf.DUMMYFUNCTION("GoogleTranslate($E183, ""en"", ""ko"")"),"낮")</f>
        <v>낮</v>
      </c>
      <c r="K183" s="2" t="str">
        <f ca="1">IFERROR(__xludf.DUMMYFUNCTION("GoogleTranslate($E183, ""en"", ""ja"")"),"日")</f>
        <v>日</v>
      </c>
    </row>
    <row r="184" spans="1:11" ht="15">
      <c r="A184" s="2" t="s">
        <v>536</v>
      </c>
      <c r="B184" s="2" t="s">
        <v>8</v>
      </c>
      <c r="D184" s="1" t="s">
        <v>537</v>
      </c>
      <c r="E184" s="2" t="s">
        <v>536</v>
      </c>
      <c r="F184" s="2"/>
      <c r="G184" s="2" t="str">
        <f ca="1">IFERROR(__xludf.DUMMYFUNCTION("GoogleTranslate($E184, ""en"", ""zh-TW"")"),"年")</f>
        <v>年</v>
      </c>
      <c r="H184" s="2" t="str">
        <f ca="1">IFERROR(__xludf.DUMMYFUNCTION("GoogleTranslate($E184, ""en"", ""zh-CN"")"),"年")</f>
        <v>年</v>
      </c>
      <c r="J184" s="2" t="str">
        <f ca="1">IFERROR(__xludf.DUMMYFUNCTION("GoogleTranslate($E184, ""en"", ""ko"")"),"년도")</f>
        <v>년도</v>
      </c>
      <c r="K184" s="2" t="str">
        <f ca="1">IFERROR(__xludf.DUMMYFUNCTION("GoogleTranslate($E184, ""en"", ""ja"")"),"年")</f>
        <v>年</v>
      </c>
    </row>
    <row r="185" spans="1:11" ht="15">
      <c r="A185" s="2" t="s">
        <v>538</v>
      </c>
      <c r="B185" s="2" t="s">
        <v>8</v>
      </c>
      <c r="D185" s="1" t="s">
        <v>539</v>
      </c>
      <c r="E185" s="2" t="s">
        <v>540</v>
      </c>
      <c r="F185" s="2"/>
      <c r="G185" s="2" t="s">
        <v>898</v>
      </c>
      <c r="H185" s="2" t="str">
        <f ca="1">IFERROR(__xludf.DUMMYFUNCTION("GoogleTranslate($E185, ""en"", ""zh-CN"")"),"郁金香花园")</f>
        <v>郁金香花园</v>
      </c>
      <c r="J185" s="2" t="str">
        <f ca="1">IFERROR(__xludf.DUMMYFUNCTION("GoogleTranslate($E185, ""en"", ""ko"")"),"튤립 정원")</f>
        <v>튤립 정원</v>
      </c>
      <c r="K185" s="2" t="s">
        <v>899</v>
      </c>
    </row>
    <row r="186" spans="1:11" ht="15">
      <c r="A186" s="2" t="s">
        <v>541</v>
      </c>
      <c r="B186" s="2" t="s">
        <v>8</v>
      </c>
      <c r="D186" s="1" t="s">
        <v>542</v>
      </c>
      <c r="E186" s="2" t="s">
        <v>543</v>
      </c>
      <c r="F186" s="2"/>
      <c r="G186" s="2" t="str">
        <f ca="1">IFERROR(__xludf.DUMMYFUNCTION("GoogleTranslate($E186, ""en"", ""zh-TW"")"),"本地ID")</f>
        <v>本地ID</v>
      </c>
      <c r="H186" s="2" t="str">
        <f ca="1">IFERROR(__xludf.DUMMYFUNCTION("GoogleTranslate($E186, ""en"", ""zh-CN"")"),"本地ID")</f>
        <v>本地ID</v>
      </c>
      <c r="I186" s="7" t="s">
        <v>941</v>
      </c>
      <c r="J186" s="2" t="str">
        <f ca="1">IFERROR(__xludf.DUMMYFUNCTION("GoogleTranslate($E186, ""en"", ""ko"")"),"로컬 ID")</f>
        <v>로컬 ID</v>
      </c>
      <c r="K186" s="2" t="str">
        <f ca="1">IFERROR(__xludf.DUMMYFUNCTION("GoogleTranslate($E186, ""en"", ""ja"")"),"ローカルID")</f>
        <v>ローカルID</v>
      </c>
    </row>
    <row r="187" spans="1:11" ht="15">
      <c r="A187" s="2" t="s">
        <v>544</v>
      </c>
      <c r="B187" s="2" t="s">
        <v>8</v>
      </c>
      <c r="D187" s="1" t="s">
        <v>545</v>
      </c>
      <c r="E187" s="2" t="s">
        <v>546</v>
      </c>
      <c r="F187" s="2"/>
      <c r="G187" s="2" t="s">
        <v>900</v>
      </c>
      <c r="H187" s="2" t="str">
        <f ca="1">IFERROR(__xludf.DUMMYFUNCTION("GoogleTranslate($E187, ""en"", ""zh-CN"")"),"健康证")</f>
        <v>健康证</v>
      </c>
      <c r="J187" s="2" t="str">
        <f ca="1">IFERROR(__xludf.DUMMYFUNCTION("GoogleTranslate($E187, ""en"", ""ko"")"),"건강 ID")</f>
        <v>건강 ID</v>
      </c>
      <c r="K187" s="2" t="str">
        <f ca="1">IFERROR(__xludf.DUMMYFUNCTION("GoogleTranslate($E187, ""en"", ""ja"")"),"健康ID")</f>
        <v>健康ID</v>
      </c>
    </row>
    <row r="188" spans="1:11" ht="15">
      <c r="A188" s="2" t="s">
        <v>547</v>
      </c>
      <c r="B188" s="2" t="s">
        <v>8</v>
      </c>
      <c r="D188" s="1" t="s">
        <v>548</v>
      </c>
      <c r="E188" s="2" t="s">
        <v>547</v>
      </c>
      <c r="F188" s="2"/>
      <c r="G188" s="2" t="s">
        <v>901</v>
      </c>
      <c r="H188" s="2" t="str">
        <f ca="1">IFERROR(__xludf.DUMMYFUNCTION("GoogleTranslate($E188, ""en"", ""zh-CN"")"),"性别")</f>
        <v>性别</v>
      </c>
      <c r="J188" s="2" t="str">
        <f ca="1">IFERROR(__xludf.DUMMYFUNCTION("GoogleTranslate($E188, ""en"", ""ko"")"),"성별")</f>
        <v>성별</v>
      </c>
      <c r="K188" s="2" t="s">
        <v>901</v>
      </c>
    </row>
    <row r="189" spans="1:11" ht="15">
      <c r="A189" s="2" t="s">
        <v>549</v>
      </c>
      <c r="B189" s="2" t="s">
        <v>8</v>
      </c>
      <c r="D189" s="1" t="s">
        <v>550</v>
      </c>
      <c r="E189" s="2" t="s">
        <v>549</v>
      </c>
      <c r="F189" s="2"/>
      <c r="G189" s="2" t="str">
        <f ca="1">IFERROR(__xludf.DUMMYFUNCTION("GoogleTranslate($E189, ""en"", ""zh-TW"")"),"男性")</f>
        <v>男性</v>
      </c>
      <c r="H189" s="2" t="str">
        <f ca="1">IFERROR(__xludf.DUMMYFUNCTION("GoogleTranslate($E189, ""en"", ""zh-CN"")"),"男性")</f>
        <v>男性</v>
      </c>
      <c r="J189" s="2" t="str">
        <f ca="1">IFERROR(__xludf.DUMMYFUNCTION("GoogleTranslate($E189, ""en"", ""ko"")"),"남성")</f>
        <v>남성</v>
      </c>
      <c r="K189" s="2" t="str">
        <f ca="1">IFERROR(__xludf.DUMMYFUNCTION("GoogleTranslate($E189, ""en"", ""ja"")"),"男")</f>
        <v>男</v>
      </c>
    </row>
    <row r="190" spans="1:11" ht="15">
      <c r="A190" s="2" t="s">
        <v>551</v>
      </c>
      <c r="B190" s="2" t="s">
        <v>8</v>
      </c>
      <c r="D190" s="1" t="s">
        <v>552</v>
      </c>
      <c r="E190" s="2" t="s">
        <v>551</v>
      </c>
      <c r="F190" s="2"/>
      <c r="G190" s="2" t="str">
        <f ca="1">IFERROR(__xludf.DUMMYFUNCTION("GoogleTranslate($E190, ""en"", ""zh-TW"")"),"女性")</f>
        <v>女性</v>
      </c>
      <c r="H190" s="2" t="str">
        <f ca="1">IFERROR(__xludf.DUMMYFUNCTION("GoogleTranslate($E190, ""en"", ""zh-CN"")"),"女性")</f>
        <v>女性</v>
      </c>
      <c r="J190" s="2" t="str">
        <f ca="1">IFERROR(__xludf.DUMMYFUNCTION("GoogleTranslate($E190, ""en"", ""ko"")"),"여성")</f>
        <v>여성</v>
      </c>
      <c r="K190" s="2" t="str">
        <f ca="1">IFERROR(__xludf.DUMMYFUNCTION("GoogleTranslate($E190, ""en"", ""ja"")"),"女性")</f>
        <v>女性</v>
      </c>
    </row>
    <row r="191" spans="1:11" ht="15">
      <c r="A191" s="2" t="s">
        <v>553</v>
      </c>
      <c r="B191" s="2" t="s">
        <v>8</v>
      </c>
      <c r="D191" s="1" t="s">
        <v>554</v>
      </c>
      <c r="E191" s="2" t="s">
        <v>555</v>
      </c>
      <c r="F191" s="2"/>
      <c r="G191" s="2" t="str">
        <f ca="1">IFERROR(__xludf.DUMMYFUNCTION("GoogleTranslate($E191, ""en"", ""zh-TW"")"),"未指定")</f>
        <v>未指定</v>
      </c>
      <c r="H191" s="2" t="str">
        <f ca="1">IFERROR(__xludf.DUMMYFUNCTION("GoogleTranslate($E191, ""en"", ""zh-CN"")"),"未指定")</f>
        <v>未指定</v>
      </c>
      <c r="J191" s="2" t="str">
        <f ca="1">IFERROR(__xludf.DUMMYFUNCTION("GoogleTranslate($E191, ""en"", ""ko"")"),"지정하지 않음")</f>
        <v>지정하지 않음</v>
      </c>
      <c r="K191" s="2" t="str">
        <f ca="1">IFERROR(__xludf.DUMMYFUNCTION("GoogleTranslate($E191, ""en"", ""ja"")"),"指定しない")</f>
        <v>指定しない</v>
      </c>
    </row>
    <row r="192" spans="1:11" ht="15">
      <c r="A192" s="2" t="s">
        <v>556</v>
      </c>
      <c r="B192" s="2" t="s">
        <v>8</v>
      </c>
      <c r="D192" s="1" t="s">
        <v>557</v>
      </c>
      <c r="E192" s="2" t="s">
        <v>558</v>
      </c>
      <c r="F192" s="2"/>
      <c r="G192" s="2" t="str">
        <f ca="1">IFERROR(__xludf.DUMMYFUNCTION("GoogleTranslate($E192, ""en"", ""zh-TW"")"),"希望之手")</f>
        <v>希望之手</v>
      </c>
      <c r="H192" s="2" t="str">
        <f ca="1">IFERROR(__xludf.DUMMYFUNCTION("GoogleTranslate($E192, ""en"", ""zh-CN"")"),"希望之手")</f>
        <v>希望之手</v>
      </c>
      <c r="I192" s="7" t="s">
        <v>687</v>
      </c>
      <c r="J192" s="2" t="str">
        <f ca="1">IFERROR(__xludf.DUMMYFUNCTION("GoogleTranslate($E192, ""en"", ""ko"")"),"희망의 손")</f>
        <v>희망의 손</v>
      </c>
      <c r="K192" s="2" t="str">
        <f ca="1">IFERROR(__xludf.DUMMYFUNCTION("GoogleTranslate($E192, ""en"", ""ja"")"),"希望の手")</f>
        <v>希望の手</v>
      </c>
    </row>
    <row r="193" spans="1:11" ht="15">
      <c r="A193" s="2" t="s">
        <v>559</v>
      </c>
      <c r="B193" s="2" t="s">
        <v>8</v>
      </c>
      <c r="D193" s="1" t="s">
        <v>560</v>
      </c>
      <c r="E193" s="2" t="s">
        <v>559</v>
      </c>
      <c r="F193" s="2"/>
      <c r="G193" s="2" t="str">
        <f ca="1">IFERROR(__xludf.DUMMYFUNCTION("GoogleTranslate($E193, ""en"", ""zh-TW"")"),"或者")</f>
        <v>或者</v>
      </c>
      <c r="H193" s="2" t="str">
        <f ca="1">IFERROR(__xludf.DUMMYFUNCTION("GoogleTranslate($E193, ""en"", ""zh-CN"")"),"或者")</f>
        <v>或者</v>
      </c>
      <c r="J193" s="2" t="str">
        <f ca="1">IFERROR(__xludf.DUMMYFUNCTION("GoogleTranslate($E193, ""en"", ""ko"")"),"또는")</f>
        <v>또는</v>
      </c>
      <c r="K193" s="2" t="str">
        <f ca="1">IFERROR(__xludf.DUMMYFUNCTION("GoogleTranslate($E193, ""en"", ""ja"")"),"または")</f>
        <v>または</v>
      </c>
    </row>
    <row r="194" spans="1:11" ht="15">
      <c r="A194" s="2" t="s">
        <v>102</v>
      </c>
      <c r="B194" s="2" t="s">
        <v>8</v>
      </c>
      <c r="D194" s="1" t="s">
        <v>561</v>
      </c>
      <c r="E194" s="2" t="s">
        <v>102</v>
      </c>
      <c r="F194" s="2"/>
      <c r="G194" s="2" t="s">
        <v>740</v>
      </c>
      <c r="H194" s="2" t="str">
        <f ca="1">IFERROR(__xludf.DUMMYFUNCTION("GoogleTranslate($E194, ""en"", ""zh-CN"")"),"训练")</f>
        <v>训练</v>
      </c>
      <c r="J194" s="2" t="str">
        <f ca="1">IFERROR(__xludf.DUMMYFUNCTION("GoogleTranslate($E194, ""en"", ""ko"")"),"훈련")</f>
        <v>훈련</v>
      </c>
      <c r="K194" s="2" t="str">
        <f ca="1">IFERROR(__xludf.DUMMYFUNCTION("GoogleTranslate($E194, ""en"", ""ja"")"),"トレーニング")</f>
        <v>トレーニング</v>
      </c>
    </row>
    <row r="195" spans="1:11" ht="15">
      <c r="A195" s="2" t="s">
        <v>562</v>
      </c>
      <c r="B195" s="2" t="s">
        <v>8</v>
      </c>
      <c r="D195" s="1" t="s">
        <v>563</v>
      </c>
      <c r="E195" s="2" t="s">
        <v>564</v>
      </c>
      <c r="F195" s="2"/>
      <c r="G195" s="2" t="s">
        <v>902</v>
      </c>
      <c r="H195" s="2" t="str">
        <f ca="1">IFERROR(__xludf.DUMMYFUNCTION("GoogleTranslate($E195, ""en"", ""zh-CN"")"),"设备状态")</f>
        <v>设备状态</v>
      </c>
      <c r="J195" s="2" t="str">
        <f ca="1">IFERROR(__xludf.DUMMYFUNCTION("GoogleTranslate($E195, ""en"", ""ko"")"),"장치 상태")</f>
        <v>장치 상태</v>
      </c>
      <c r="K195" s="2" t="str">
        <f ca="1">IFERROR(__xludf.DUMMYFUNCTION("GoogleTranslate($E195, ""en"", ""ja"")"),"デバイスのステータス")</f>
        <v>デバイスのステータス</v>
      </c>
    </row>
    <row r="196" spans="1:11" ht="15">
      <c r="A196" s="2" t="s">
        <v>565</v>
      </c>
      <c r="B196" s="2" t="s">
        <v>8</v>
      </c>
      <c r="D196" s="1" t="s">
        <v>566</v>
      </c>
      <c r="E196" s="2" t="s">
        <v>565</v>
      </c>
      <c r="F196" s="2"/>
      <c r="G196" s="2" t="s">
        <v>897</v>
      </c>
      <c r="H196" s="2" t="str">
        <f ca="1">IFERROR(__xludf.DUMMYFUNCTION("GoogleTranslate($E196, ""en"", ""zh-CN"")"),"扫描")</f>
        <v>扫描</v>
      </c>
      <c r="J196" s="2" t="str">
        <f ca="1">IFERROR(__xludf.DUMMYFUNCTION("GoogleTranslate($E196, ""en"", ""ko"")"),"스캐닝")</f>
        <v>스캐닝</v>
      </c>
      <c r="K196" s="2" t="str">
        <f ca="1">IFERROR(__xludf.DUMMYFUNCTION("GoogleTranslate($E196, ""en"", ""ja"")"),"走査")</f>
        <v>走査</v>
      </c>
    </row>
    <row r="197" spans="1:11" ht="15">
      <c r="A197" s="2" t="s">
        <v>567</v>
      </c>
      <c r="B197" s="2" t="s">
        <v>8</v>
      </c>
      <c r="D197" s="1" t="s">
        <v>568</v>
      </c>
      <c r="E197" s="2" t="s">
        <v>569</v>
      </c>
      <c r="F197" s="10" t="s">
        <v>952</v>
      </c>
      <c r="G197" s="2" t="s">
        <v>903</v>
      </c>
      <c r="H197" s="2" t="str">
        <f ca="1">IFERROR(__xludf.DUMMYFUNCTION("GoogleTranslate($E197, ""en"", ""zh-CN"")"),"连续被动运动 (CPM) 疗法使用机器被动、重复地移动关节至一组度数和移动速度。")</f>
        <v>连续被动运动 (CPM) 疗法使用机器被动、重复地移动关节至一组度数和移动速度。</v>
      </c>
      <c r="I197" s="10" t="s">
        <v>949</v>
      </c>
      <c r="J197" s="2" t="str">
        <f ca="1">IFERROR(__xludf.DUMMYFUNCTION("GoogleTranslate($E197, ""en"", ""ko"")"),"연속 수동 운동(CPM) 치료는 기계를 사용하여 관절을 일련의 각도와 운동 속도로 수동적이고 반복적으로 움직입니다.")</f>
        <v>연속 수동 운동(CPM) 치료는 기계를 사용하여 관절을 일련의 각도와 운동 속도로 수동적이고 반복적으로 움직입니다.</v>
      </c>
      <c r="K197" s="2" t="s">
        <v>904</v>
      </c>
    </row>
    <row r="198" spans="1:11" ht="15">
      <c r="A198" s="2" t="s">
        <v>570</v>
      </c>
      <c r="B198" s="2" t="s">
        <v>8</v>
      </c>
      <c r="D198" s="1" t="s">
        <v>571</v>
      </c>
      <c r="E198" s="2" t="s">
        <v>572</v>
      </c>
      <c r="F198" s="10" t="s">
        <v>953</v>
      </c>
      <c r="G198" s="2" t="s">
        <v>905</v>
      </c>
      <c r="H198" s="2" t="str">
        <f ca="1">IFERROR(__xludf.DUMMYFUNCTION("GoogleTranslate($E198, ""en"", ""zh-CN"")"),"肌电图 (EMG) 通过电极测量肌肉活动并显示其有效性。")</f>
        <v>肌电图 (EMG) 通过电极测量肌肉活动并显示其有效性。</v>
      </c>
      <c r="I198" s="10" t="s">
        <v>950</v>
      </c>
      <c r="J198" s="2" t="str">
        <f ca="1">IFERROR(__xludf.DUMMYFUNCTION("GoogleTranslate($E198, ""en"", ""ko"")"),"근전도검사(EMG)는 전극을 통해 근육 활동을 측정하며 그 효과가 표시됩니다.")</f>
        <v>근전도검사(EMG)는 전극을 통해 근육 활동을 측정하며 그 효과가 표시됩니다.</v>
      </c>
      <c r="K198" s="2" t="s">
        <v>906</v>
      </c>
    </row>
    <row r="199" spans="1:11" ht="15">
      <c r="A199" s="2" t="s">
        <v>573</v>
      </c>
      <c r="B199" s="2" t="s">
        <v>8</v>
      </c>
      <c r="D199" s="1" t="s">
        <v>574</v>
      </c>
      <c r="E199" s="2" t="s">
        <v>572</v>
      </c>
      <c r="F199" s="10" t="s">
        <v>954</v>
      </c>
      <c r="G199" s="2" t="s">
        <v>905</v>
      </c>
      <c r="H199" s="2" t="str">
        <f ca="1">IFERROR(__xludf.DUMMYFUNCTION("GoogleTranslate($E199, ""en"", ""zh-CN"")"),"肌电图 (EMG) 通过电极测量肌肉活动并显示其有效性。")</f>
        <v>肌电图 (EMG) 通过电极测量肌肉活动并显示其有效性。</v>
      </c>
      <c r="I199" s="10" t="s">
        <v>951</v>
      </c>
      <c r="J199" s="2" t="str">
        <f ca="1">IFERROR(__xludf.DUMMYFUNCTION("GoogleTranslate($E199, ""en"", ""ko"")"),"근전도검사(EMG)는 전극을 통해 근육 활동을 측정하며 그 효과가 표시됩니다.")</f>
        <v>근전도검사(EMG)는 전극을 통해 근육 활동을 측정하며 그 효과가 표시됩니다.</v>
      </c>
      <c r="K199" s="2" t="s">
        <v>906</v>
      </c>
    </row>
    <row r="200" spans="1:11" ht="15">
      <c r="A200" s="2" t="s">
        <v>575</v>
      </c>
      <c r="B200" s="2" t="s">
        <v>8</v>
      </c>
      <c r="D200" s="1" t="s">
        <v>576</v>
      </c>
      <c r="E200" s="2" t="s">
        <v>575</v>
      </c>
      <c r="F200" s="10"/>
      <c r="G200" s="2" t="str">
        <f ca="1">IFERROR(__xludf.DUMMYFUNCTION("GoogleTranslate($E200, ""en"", ""zh-TW"")"),"其他")</f>
        <v>其他</v>
      </c>
      <c r="H200" s="2" t="str">
        <f ca="1">IFERROR(__xludf.DUMMYFUNCTION("GoogleTranslate($E200, ""en"", ""zh-CN"")"),"其他")</f>
        <v>其他</v>
      </c>
      <c r="J200" s="2" t="str">
        <f ca="1">IFERROR(__xludf.DUMMYFUNCTION("GoogleTranslate($E200, ""en"", ""ko"")"),"다른")</f>
        <v>다른</v>
      </c>
      <c r="K200" s="2" t="str">
        <f ca="1">IFERROR(__xludf.DUMMYFUNCTION("GoogleTranslate($E200, ""en"", ""ja"")"),"他の")</f>
        <v>他の</v>
      </c>
    </row>
    <row r="201" spans="1:11" ht="15">
      <c r="A201" s="2" t="s">
        <v>577</v>
      </c>
      <c r="B201" s="2" t="s">
        <v>8</v>
      </c>
      <c r="D201" s="1" t="s">
        <v>578</v>
      </c>
      <c r="E201" s="2" t="s">
        <v>579</v>
      </c>
      <c r="F201" s="10" t="s">
        <v>955</v>
      </c>
      <c r="G201" s="2" t="str">
        <f ca="1">IFERROR(__xludf.DUMMYFUNCTION("GoogleTranslate($E201, ""en"", ""zh-TW"")"),"特殊模式")</f>
        <v>特殊模式</v>
      </c>
      <c r="H201" s="2" t="str">
        <f ca="1">IFERROR(__xludf.DUMMYFUNCTION("GoogleTranslate($E201, ""en"", ""zh-CN"")"),"特殊模式")</f>
        <v>特殊模式</v>
      </c>
      <c r="I201" s="10" t="s">
        <v>943</v>
      </c>
      <c r="J201" s="2" t="str">
        <f ca="1">IFERROR(__xludf.DUMMYFUNCTION("GoogleTranslate($E201, ""en"", ""ko"")"),"특수 모드")</f>
        <v>특수 모드</v>
      </c>
      <c r="K201" s="2" t="str">
        <f ca="1">IFERROR(__xludf.DUMMYFUNCTION("GoogleTranslate($E201, ""en"", ""ja"")"),"スペシャルモード")</f>
        <v>スペシャルモード</v>
      </c>
    </row>
    <row r="202" spans="1:11" ht="15">
      <c r="A202" s="2" t="s">
        <v>580</v>
      </c>
      <c r="B202" s="2" t="s">
        <v>8</v>
      </c>
      <c r="D202" s="1" t="s">
        <v>581</v>
      </c>
      <c r="E202" s="2" t="s">
        <v>580</v>
      </c>
      <c r="F202" s="2"/>
      <c r="G202" s="2" t="s">
        <v>907</v>
      </c>
      <c r="H202" s="2" t="str">
        <f ca="1">IFERROR(__xludf.DUMMYFUNCTION("GoogleTranslate($E202, ""en"", ""zh-CN"")"),"临界点")</f>
        <v>临界点</v>
      </c>
      <c r="J202" s="2" t="str">
        <f ca="1">IFERROR(__xludf.DUMMYFUNCTION("GoogleTranslate($E202, ""en"", ""ko"")"),"한계점")</f>
        <v>한계점</v>
      </c>
      <c r="K202" s="2" t="str">
        <f ca="1">IFERROR(__xludf.DUMMYFUNCTION("GoogleTranslate($E202, ""en"", ""ja"")"),"しきい値")</f>
        <v>しきい値</v>
      </c>
    </row>
    <row r="203" spans="1:11" ht="15">
      <c r="A203" s="2" t="s">
        <v>582</v>
      </c>
      <c r="B203" s="2" t="s">
        <v>8</v>
      </c>
      <c r="D203" s="1" t="s">
        <v>583</v>
      </c>
      <c r="E203" s="2" t="s">
        <v>584</v>
      </c>
      <c r="F203" s="2"/>
      <c r="G203" s="2" t="str">
        <f ca="1">IFERROR(__xludf.DUMMYFUNCTION("GoogleTranslate($E203, ""en"", ""zh-TW"")"),"噪音太高")</f>
        <v>噪音太高</v>
      </c>
      <c r="H203" s="2" t="str">
        <f ca="1">IFERROR(__xludf.DUMMYFUNCTION("GoogleTranslate($E203, ""en"", ""zh-CN"")"),"噪音太高")</f>
        <v>噪音太高</v>
      </c>
      <c r="J203" s="2" t="str">
        <f ca="1">IFERROR(__xludf.DUMMYFUNCTION("GoogleTranslate($E203, ""en"", ""ko"")"),"소음이 너무 높음")</f>
        <v>소음이 너무 높음</v>
      </c>
      <c r="K203" s="2" t="str">
        <f ca="1">IFERROR(__xludf.DUMMYFUNCTION("GoogleTranslate($E203, ""en"", ""ja"")"),"ノイズが高すぎる")</f>
        <v>ノイズが高すぎる</v>
      </c>
    </row>
    <row r="204" spans="1:11" ht="15">
      <c r="A204" s="2" t="s">
        <v>585</v>
      </c>
      <c r="B204" s="2" t="s">
        <v>8</v>
      </c>
      <c r="D204" s="1" t="s">
        <v>586</v>
      </c>
      <c r="E204" s="2" t="s">
        <v>587</v>
      </c>
      <c r="F204" s="2"/>
      <c r="G204" s="2" t="s">
        <v>908</v>
      </c>
      <c r="H204" s="2" t="str">
        <f ca="1">IFERROR(__xludf.DUMMYFUNCTION("GoogleTranslate($E204, ""en"", ""zh-CN"")"),"请再试一次")</f>
        <v>请再试一次</v>
      </c>
      <c r="I204" s="7" t="s">
        <v>692</v>
      </c>
      <c r="J204" s="2" t="str">
        <f ca="1">IFERROR(__xludf.DUMMYFUNCTION("GoogleTranslate($E204, ""en"", ""ko"")"),"다시 시도해 주세요")</f>
        <v>다시 시도해 주세요</v>
      </c>
      <c r="K204" s="2" t="s">
        <v>909</v>
      </c>
    </row>
    <row r="205" spans="1:11" ht="15">
      <c r="A205" s="2" t="s">
        <v>588</v>
      </c>
      <c r="B205" s="2" t="s">
        <v>8</v>
      </c>
      <c r="D205" s="1" t="s">
        <v>589</v>
      </c>
      <c r="E205" s="2" t="s">
        <v>590</v>
      </c>
      <c r="F205" s="2"/>
      <c r="G205" s="2" t="s">
        <v>910</v>
      </c>
      <c r="H205" s="2" t="str">
        <f ca="1">IFERROR(__xludf.DUMMYFUNCTION("GoogleTranslate($E205, ""en"", ""zh-CN"")"),"选择日期")</f>
        <v>选择日期</v>
      </c>
      <c r="J205" s="2" t="str">
        <f ca="1">IFERROR(__xludf.DUMMYFUNCTION("GoogleTranslate($E205, ""en"", ""ko"")"),"날짜 선택")</f>
        <v>날짜 선택</v>
      </c>
      <c r="K205" s="2" t="s">
        <v>911</v>
      </c>
    </row>
    <row r="206" spans="1:11" ht="15">
      <c r="A206" s="2" t="s">
        <v>591</v>
      </c>
      <c r="B206" s="2" t="s">
        <v>8</v>
      </c>
      <c r="D206" s="1" t="s">
        <v>592</v>
      </c>
      <c r="E206" s="2" t="s">
        <v>593</v>
      </c>
      <c r="F206" s="2"/>
      <c r="G206" s="2" t="s">
        <v>912</v>
      </c>
      <c r="H206" s="2" t="str">
        <f ca="1">IFERROR(__xludf.DUMMYFUNCTION("GoogleTranslate($E206, ""en"", ""zh-CN"")"),"正在保存数据，请稍候...")</f>
        <v>正在保存数据，请稍候...</v>
      </c>
      <c r="J206" s="2" t="s">
        <v>913</v>
      </c>
      <c r="K206" s="2" t="str">
        <f ca="1">IFERROR(__xludf.DUMMYFUNCTION("GoogleTranslate($E206, ""en"", ""ja"")"),"データを保存中です。しばらくお待ちください...")</f>
        <v>データを保存中です。しばらくお待ちください...</v>
      </c>
    </row>
    <row r="207" spans="1:11" ht="15">
      <c r="A207" s="2" t="s">
        <v>594</v>
      </c>
      <c r="B207" s="2" t="s">
        <v>8</v>
      </c>
      <c r="D207" s="1" t="s">
        <v>595</v>
      </c>
      <c r="E207" s="2" t="s">
        <v>594</v>
      </c>
      <c r="F207" s="2"/>
      <c r="G207" s="2" t="s">
        <v>596</v>
      </c>
      <c r="H207" s="2" t="s">
        <v>596</v>
      </c>
      <c r="J207" s="2" t="s">
        <v>597</v>
      </c>
      <c r="K207" s="2" t="s">
        <v>598</v>
      </c>
    </row>
    <row r="208" spans="1:11" ht="15">
      <c r="A208" s="2" t="s">
        <v>599</v>
      </c>
      <c r="B208" s="2" t="s">
        <v>8</v>
      </c>
      <c r="D208" s="1" t="s">
        <v>600</v>
      </c>
      <c r="E208" s="2" t="s">
        <v>599</v>
      </c>
      <c r="F208" s="2"/>
      <c r="G208" s="2" t="s">
        <v>914</v>
      </c>
      <c r="H208" s="2" t="str">
        <f ca="1">IFERROR(__xludf.DUMMYFUNCTION("GoogleTranslate($E208, ""en"", ""zh-CN"")"),"基线")</f>
        <v>基线</v>
      </c>
      <c r="J208" s="2" t="str">
        <f ca="1">IFERROR(__xludf.DUMMYFUNCTION("GoogleTranslate($E208, ""en"", ""ko"")"),"기준선")</f>
        <v>기준선</v>
      </c>
      <c r="K208" s="2" t="str">
        <f ca="1">IFERROR(__xludf.DUMMYFUNCTION("GoogleTranslate($E208, ""en"", ""ja"")"),"ベースライン")</f>
        <v>ベースライン</v>
      </c>
    </row>
    <row r="209" spans="1:11" ht="15">
      <c r="A209" s="2" t="s">
        <v>601</v>
      </c>
      <c r="B209" s="2" t="s">
        <v>8</v>
      </c>
      <c r="D209" s="1" t="s">
        <v>602</v>
      </c>
      <c r="E209" s="2" t="s">
        <v>601</v>
      </c>
      <c r="F209" s="2"/>
      <c r="G209" s="2" t="s">
        <v>603</v>
      </c>
      <c r="H209" s="2" t="s">
        <v>603</v>
      </c>
      <c r="I209" s="10" t="s">
        <v>944</v>
      </c>
      <c r="J209" s="2" t="s">
        <v>604</v>
      </c>
      <c r="K209" s="2" t="s">
        <v>915</v>
      </c>
    </row>
    <row r="210" spans="1:11" ht="15">
      <c r="A210" s="2" t="s">
        <v>605</v>
      </c>
      <c r="B210" s="2" t="s">
        <v>8</v>
      </c>
      <c r="D210" s="1" t="s">
        <v>606</v>
      </c>
      <c r="E210" s="2" t="s">
        <v>607</v>
      </c>
      <c r="F210" s="2"/>
      <c r="G210" s="2" t="s">
        <v>916</v>
      </c>
      <c r="H210" s="2" t="str">
        <f ca="1">IFERROR(__xludf.DUMMYFUNCTION("GoogleTranslate($E210, ""en"", ""zh-CN"")"),"训练时间（秒）")</f>
        <v>训练时间（秒）</v>
      </c>
      <c r="J210" s="2" t="str">
        <f ca="1">IFERROR(__xludf.DUMMYFUNCTION("GoogleTranslate($E210, ""en"", ""ko"")"),"훈련 시간(초)")</f>
        <v>훈련 시간(초)</v>
      </c>
      <c r="K210" s="2" t="s">
        <v>917</v>
      </c>
    </row>
    <row r="211" spans="1:11" ht="15">
      <c r="A211" s="2" t="s">
        <v>608</v>
      </c>
      <c r="B211" s="2" t="s">
        <v>8</v>
      </c>
      <c r="D211" s="1" t="s">
        <v>609</v>
      </c>
      <c r="E211" s="2" t="s">
        <v>610</v>
      </c>
      <c r="F211" s="2"/>
      <c r="G211" s="2" t="s">
        <v>918</v>
      </c>
      <c r="H211" s="2" t="str">
        <f ca="1">IFERROR(__xludf.DUMMYFUNCTION("GoogleTranslate($E211, ""en"", ""zh-CN"")"),"训练时间（分钟）")</f>
        <v>训练时间（分钟）</v>
      </c>
      <c r="J211" s="2" t="str">
        <f ca="1">IFERROR(__xludf.DUMMYFUNCTION("GoogleTranslate($E211, ""en"", ""ko"")"),"훈련 시간(분)")</f>
        <v>훈련 시간(분)</v>
      </c>
      <c r="K211" s="2" t="s">
        <v>919</v>
      </c>
    </row>
    <row r="212" spans="1:11" ht="15">
      <c r="A212" s="2" t="s">
        <v>611</v>
      </c>
      <c r="B212" s="2" t="s">
        <v>8</v>
      </c>
      <c r="D212" s="1" t="s">
        <v>612</v>
      </c>
      <c r="E212" s="2" t="s">
        <v>613</v>
      </c>
      <c r="F212" s="2"/>
      <c r="G212" s="2" t="s">
        <v>920</v>
      </c>
      <c r="H212" s="2" t="str">
        <f ca="1">IFERROR(__xludf.DUMMYFUNCTION("GoogleTranslate($E212, ""en"", ""zh-CN"")"),"肌电图水平 (mV)")</f>
        <v>肌电图水平 (mV)</v>
      </c>
      <c r="J212" s="2" t="str">
        <f ca="1">IFERROR(__xludf.DUMMYFUNCTION("GoogleTranslate($E212, ""en"", ""ko"")"),"EMG 레벨(mV)")</f>
        <v>EMG 레벨(mV)</v>
      </c>
      <c r="K212" s="2" t="str">
        <f ca="1">IFERROR(__xludf.DUMMYFUNCTION("GoogleTranslate($E212, ""en"", ""ja"")"),"EMG レベル (mV)")</f>
        <v>EMG レベル (mV)</v>
      </c>
    </row>
    <row r="213" spans="1:11" ht="15">
      <c r="A213" s="2" t="s">
        <v>614</v>
      </c>
      <c r="B213" s="2" t="s">
        <v>8</v>
      </c>
      <c r="D213" s="1" t="s">
        <v>615</v>
      </c>
      <c r="E213" s="2" t="s">
        <v>616</v>
      </c>
      <c r="F213" s="2"/>
      <c r="G213" s="2" t="s">
        <v>921</v>
      </c>
      <c r="H213" s="2" t="str">
        <f ca="1">IFERROR(__xludf.DUMMYFUNCTION("GoogleTranslate($E213, ""en"", ""zh-CN"")"),"全部缩放")</f>
        <v>全部缩放</v>
      </c>
      <c r="J213" s="2" t="str">
        <f ca="1">IFERROR(__xludf.DUMMYFUNCTION("GoogleTranslate($E213, ""en"", ""ko"")"),"모두 확대")</f>
        <v>모두 확대</v>
      </c>
      <c r="K213" s="2" t="str">
        <f ca="1">IFERROR(__xludf.DUMMYFUNCTION("GoogleTranslate($E213, ""en"", ""ja"")"),"すべてをズーム")</f>
        <v>すべてをズーム</v>
      </c>
    </row>
    <row r="214" spans="1:11" ht="15">
      <c r="A214" s="2" t="s">
        <v>617</v>
      </c>
      <c r="B214" s="2" t="s">
        <v>8</v>
      </c>
      <c r="D214" s="1" t="s">
        <v>618</v>
      </c>
      <c r="E214" s="2" t="s">
        <v>617</v>
      </c>
      <c r="F214" s="2"/>
      <c r="G214" s="2" t="s">
        <v>922</v>
      </c>
      <c r="H214" s="2" t="str">
        <f ca="1">IFERROR(__xludf.DUMMYFUNCTION("GoogleTranslate($E214, ""en"", ""zh-CN"")"),"小时")</f>
        <v>小时</v>
      </c>
      <c r="J214" s="2" t="str">
        <f ca="1">IFERROR(__xludf.DUMMYFUNCTION("GoogleTranslate($E214, ""en"", ""ko"")"),"시간")</f>
        <v>시간</v>
      </c>
      <c r="K214" s="2" t="s">
        <v>923</v>
      </c>
    </row>
    <row r="215" spans="1:11" ht="15">
      <c r="A215" s="2" t="s">
        <v>619</v>
      </c>
      <c r="B215" s="2" t="s">
        <v>8</v>
      </c>
      <c r="D215" s="1" t="s">
        <v>620</v>
      </c>
      <c r="E215" s="2" t="s">
        <v>619</v>
      </c>
      <c r="F215" s="2"/>
      <c r="G215" s="2" t="str">
        <f ca="1">IFERROR(__xludf.DUMMYFUNCTION("GoogleTranslate($E215, ""en"", ""zh-TW"")"),"星期")</f>
        <v>星期</v>
      </c>
      <c r="H215" s="2" t="str">
        <f ca="1">IFERROR(__xludf.DUMMYFUNCTION("GoogleTranslate($E215, ""en"", ""zh-CN"")"),"星期")</f>
        <v>星期</v>
      </c>
      <c r="J215" s="2" t="str">
        <f ca="1">IFERROR(__xludf.DUMMYFUNCTION("GoogleTranslate($E215, ""en"", ""ko"")"),"주")</f>
        <v>주</v>
      </c>
      <c r="K215" s="2" t="s">
        <v>924</v>
      </c>
    </row>
    <row r="216" spans="1:11" ht="15">
      <c r="A216" s="2" t="s">
        <v>621</v>
      </c>
      <c r="B216" s="2" t="s">
        <v>8</v>
      </c>
      <c r="D216" s="1" t="s">
        <v>622</v>
      </c>
      <c r="E216" s="2" t="s">
        <v>623</v>
      </c>
      <c r="F216" s="2"/>
      <c r="G216" s="2" t="s">
        <v>925</v>
      </c>
      <c r="H216" s="2" t="str">
        <f ca="1">IFERROR(__xludf.DUMMYFUNCTION("GoogleTranslate($E216, ""en"", ""zh-CN"")"),"训练时间")</f>
        <v>训练时间</v>
      </c>
      <c r="J216" s="2" t="str">
        <f ca="1">IFERROR(__xludf.DUMMYFUNCTION("GoogleTranslate($E216, ""en"", ""ko"")"),"훈련 시간")</f>
        <v>훈련 시간</v>
      </c>
      <c r="K216" s="2" t="s">
        <v>926</v>
      </c>
    </row>
    <row r="217" spans="1:11" ht="15">
      <c r="A217" s="2" t="s">
        <v>624</v>
      </c>
      <c r="B217" s="2" t="s">
        <v>8</v>
      </c>
      <c r="D217" s="1" t="s">
        <v>625</v>
      </c>
      <c r="E217" s="2" t="s">
        <v>624</v>
      </c>
      <c r="F217" s="2"/>
      <c r="G217" s="2" t="s">
        <v>927</v>
      </c>
      <c r="H217" s="6" t="str">
        <f ca="1">IFERROR(__xludf.DUMMYFUNCTION("GoogleTranslate($E217, ""en"", ""zh-CN"")"),"使能够")</f>
        <v>使能够</v>
      </c>
      <c r="I217" s="11" t="s">
        <v>945</v>
      </c>
      <c r="J217" s="2" t="str">
        <f ca="1">IFERROR(__xludf.DUMMYFUNCTION("GoogleTranslate($E217, ""en"", ""ko"")"),"할 수 있게 하다")</f>
        <v>할 수 있게 하다</v>
      </c>
      <c r="K217" s="2" t="str">
        <f ca="1">IFERROR(__xludf.DUMMYFUNCTION("GoogleTranslate($E217, ""en"", ""ja"")"),"有効にする")</f>
        <v>有効にする</v>
      </c>
    </row>
    <row r="218" spans="1:11" ht="15">
      <c r="A218" s="2" t="s">
        <v>626</v>
      </c>
      <c r="B218" s="2" t="s">
        <v>8</v>
      </c>
      <c r="D218" s="1" t="s">
        <v>627</v>
      </c>
      <c r="E218" s="2" t="s">
        <v>626</v>
      </c>
      <c r="F218" s="2"/>
      <c r="G218" s="2" t="s">
        <v>928</v>
      </c>
      <c r="H218" s="2" t="str">
        <f ca="1">IFERROR(__xludf.DUMMYFUNCTION("GoogleTranslate($E218, ""en"", ""zh-CN"")"),"占据")</f>
        <v>占据</v>
      </c>
      <c r="I218" s="10" t="s">
        <v>946</v>
      </c>
      <c r="J218" s="2" t="str">
        <f ca="1">IFERROR(__xludf.DUMMYFUNCTION("GoogleTranslate($E218, ""en"", ""ko"")"),"가득차 있는")</f>
        <v>가득차 있는</v>
      </c>
      <c r="K218" s="2" t="s">
        <v>929</v>
      </c>
    </row>
    <row r="219" spans="1:11" ht="15">
      <c r="A219" s="2" t="s">
        <v>628</v>
      </c>
      <c r="B219" s="2" t="s">
        <v>8</v>
      </c>
      <c r="D219" s="1" t="s">
        <v>629</v>
      </c>
      <c r="E219" s="2" t="s">
        <v>628</v>
      </c>
      <c r="F219" s="2"/>
      <c r="G219" s="2" t="s">
        <v>930</v>
      </c>
      <c r="H219" s="2" t="str">
        <f ca="1">IFERROR(__xludf.DUMMYFUNCTION("GoogleTranslate($E219, ""en"", ""zh-CN"")"),"校准")</f>
        <v>校准</v>
      </c>
      <c r="J219" s="2" t="str">
        <f ca="1">IFERROR(__xludf.DUMMYFUNCTION("GoogleTranslate($E219, ""en"", ""ko"")"),"구경 측정")</f>
        <v>구경 측정</v>
      </c>
      <c r="K219" s="2" t="s">
        <v>931</v>
      </c>
    </row>
    <row r="220" spans="1:11" ht="15">
      <c r="A220" s="2" t="s">
        <v>630</v>
      </c>
      <c r="B220" s="2" t="s">
        <v>8</v>
      </c>
      <c r="D220" s="1" t="s">
        <v>631</v>
      </c>
      <c r="E220" s="2" t="s">
        <v>632</v>
      </c>
      <c r="F220" s="2"/>
      <c r="G220" s="2" t="s">
        <v>932</v>
      </c>
      <c r="H220" s="2" t="str">
        <f ca="1">IFERROR(__xludf.DUMMYFUNCTION("GoogleTranslate($E220, ""en"", ""zh-CN"")"),"游戏时长")</f>
        <v>游戏时长</v>
      </c>
      <c r="J220" s="2" t="str">
        <f ca="1">IFERROR(__xludf.DUMMYFUNCTION("GoogleTranslate($E220, ""en"", ""ko"")"),"게임 시간")</f>
        <v>게임 시간</v>
      </c>
      <c r="K220" s="2" t="s">
        <v>933</v>
      </c>
    </row>
    <row r="221" spans="1:11" ht="15">
      <c r="A221" s="2" t="s">
        <v>633</v>
      </c>
      <c r="B221" s="2" t="s">
        <v>8</v>
      </c>
      <c r="D221" s="1" t="s">
        <v>634</v>
      </c>
      <c r="E221" s="2" t="s">
        <v>633</v>
      </c>
      <c r="F221" s="2"/>
      <c r="G221" s="2" t="s">
        <v>934</v>
      </c>
      <c r="H221" s="2" t="str">
        <f ca="1">IFERROR(__xludf.DUMMYFUNCTION("GoogleTranslate($E221, ""en"", ""zh-CN"")"),"扩大")</f>
        <v>扩大</v>
      </c>
      <c r="I221" s="10" t="s">
        <v>694</v>
      </c>
      <c r="J221" s="2" t="str">
        <f ca="1">IFERROR(__xludf.DUMMYFUNCTION("GoogleTranslate($E221, ""en"", ""ko"")"),"확대")</f>
        <v>확대</v>
      </c>
      <c r="K221" s="2" t="str">
        <f ca="1">IFERROR(__xludf.DUMMYFUNCTION("GoogleTranslate($E221, ""en"", ""ja"")"),"拡大")</f>
        <v>拡大</v>
      </c>
    </row>
    <row r="222" spans="1:11" ht="15">
      <c r="A222" s="2" t="s">
        <v>635</v>
      </c>
      <c r="B222" s="2" t="s">
        <v>8</v>
      </c>
      <c r="D222" s="1" t="s">
        <v>636</v>
      </c>
      <c r="E222" s="2" t="s">
        <v>635</v>
      </c>
      <c r="F222" s="2"/>
      <c r="G222" s="2" t="str">
        <f ca="1">IFERROR(__xludf.DUMMYFUNCTION("GoogleTranslate($E222, ""en"", ""zh-TW"")"),"屈曲")</f>
        <v>屈曲</v>
      </c>
      <c r="H222" s="2" t="str">
        <f ca="1">IFERROR(__xludf.DUMMYFUNCTION("GoogleTranslate($E222, ""en"", ""zh-CN"")"),"屈曲")</f>
        <v>屈曲</v>
      </c>
      <c r="I222" s="10" t="s">
        <v>947</v>
      </c>
      <c r="J222" s="2" t="str">
        <f ca="1">IFERROR(__xludf.DUMMYFUNCTION("GoogleTranslate($E222, ""en"", ""ko"")"),"굴곡")</f>
        <v>굴곡</v>
      </c>
      <c r="K222" s="2" t="str">
        <f ca="1">IFERROR(__xludf.DUMMYFUNCTION("GoogleTranslate($E222, ""en"", ""ja"")"),"屈曲")</f>
        <v>屈曲</v>
      </c>
    </row>
    <row r="223" spans="1:11" ht="15">
      <c r="A223" s="2" t="s">
        <v>637</v>
      </c>
      <c r="B223" s="2" t="s">
        <v>8</v>
      </c>
      <c r="D223" s="1" t="s">
        <v>638</v>
      </c>
      <c r="E223" s="2" t="s">
        <v>637</v>
      </c>
      <c r="F223" s="2"/>
      <c r="G223" s="2" t="str">
        <f ca="1">IFERROR(__xludf.DUMMYFUNCTION("GoogleTranslate($E223, ""en"", ""zh-TW"")"),"普通的")</f>
        <v>普通的</v>
      </c>
      <c r="H223" s="2" t="str">
        <f ca="1">IFERROR(__xludf.DUMMYFUNCTION("GoogleTranslate($E223, ""en"", ""zh-CN"")"),"普通的")</f>
        <v>普通的</v>
      </c>
      <c r="I223" s="7" t="s">
        <v>691</v>
      </c>
      <c r="J223" s="2" t="str">
        <f ca="1">IFERROR(__xludf.DUMMYFUNCTION("GoogleTranslate($E223, ""en"", ""ko"")"),"정상")</f>
        <v>정상</v>
      </c>
      <c r="K223" s="2" t="str">
        <f ca="1">IFERROR(__xludf.DUMMYFUNCTION("GoogleTranslate($E223, ""en"", ""ja"")"),"普通")</f>
        <v>普通</v>
      </c>
    </row>
    <row r="224" spans="1:11" ht="15">
      <c r="A224" s="2" t="s">
        <v>639</v>
      </c>
      <c r="B224" s="2" t="s">
        <v>8</v>
      </c>
      <c r="D224" s="1" t="s">
        <v>640</v>
      </c>
      <c r="E224" s="2" t="s">
        <v>639</v>
      </c>
      <c r="F224" s="2"/>
      <c r="G224" s="2" t="s">
        <v>935</v>
      </c>
      <c r="H224" s="2" t="str">
        <f ca="1">IFERROR(__xludf.DUMMYFUNCTION("GoogleTranslate($E224, ""en"", ""zh-CN"")"),"顺序")</f>
        <v>顺序</v>
      </c>
      <c r="J224" s="2" t="str">
        <f ca="1">IFERROR(__xludf.DUMMYFUNCTION("GoogleTranslate($E224, ""en"", ""ko"")"),"잇달아 일어나는")</f>
        <v>잇달아 일어나는</v>
      </c>
      <c r="K224" s="2" t="s">
        <v>936</v>
      </c>
    </row>
    <row r="225" spans="1:11" ht="15">
      <c r="A225" s="2" t="s">
        <v>641</v>
      </c>
      <c r="B225" s="2" t="s">
        <v>8</v>
      </c>
      <c r="D225" s="1" t="s">
        <v>642</v>
      </c>
      <c r="E225" s="2" t="s">
        <v>643</v>
      </c>
      <c r="F225" s="2"/>
      <c r="G225" s="2" t="str">
        <f ca="1">IFERROR(__xludf.DUMMYFUNCTION("GoogleTranslate($E225, ""en"", ""zh-TW"")"),"逆序")</f>
        <v>逆序</v>
      </c>
      <c r="H225" s="2" t="str">
        <f ca="1">IFERROR(__xludf.DUMMYFUNCTION("GoogleTranslate($E225, ""en"", ""zh-CN"")"),"逆序")</f>
        <v>逆序</v>
      </c>
      <c r="J225" s="2" t="str">
        <f ca="1">IFERROR(__xludf.DUMMYFUNCTION("GoogleTranslate($E225, ""en"", ""ko"")"),"역순차")</f>
        <v>역순차</v>
      </c>
      <c r="K225" s="2" t="str">
        <f ca="1">IFERROR(__xludf.DUMMYFUNCTION("GoogleTranslate($E225, ""en"", ""ja"")"),"リバースシーケンシャル")</f>
        <v>リバースシーケンシャル</v>
      </c>
    </row>
    <row r="226" spans="1:11" ht="15">
      <c r="A226" s="2" t="s">
        <v>644</v>
      </c>
      <c r="B226" s="2" t="s">
        <v>8</v>
      </c>
      <c r="D226" s="1" t="s">
        <v>645</v>
      </c>
      <c r="E226" s="2" t="s">
        <v>646</v>
      </c>
      <c r="F226" s="2"/>
      <c r="G226" s="2" t="str">
        <f ca="1">IFERROR(__xludf.DUMMYFUNCTION("GoogleTranslate($E226, ""en"", ""zh-TW"")"),"模式")</f>
        <v>模式</v>
      </c>
      <c r="H226" s="2" t="str">
        <f ca="1">IFERROR(__xludf.DUMMYFUNCTION("GoogleTranslate($E226, ""en"", ""zh-CN"")"),"模式")</f>
        <v>模式</v>
      </c>
      <c r="J226" s="2" t="str">
        <f ca="1">IFERROR(__xludf.DUMMYFUNCTION("GoogleTranslate($E226, ""en"", ""ko"")"),"방법")</f>
        <v>방법</v>
      </c>
      <c r="K226" s="2" t="str">
        <f ca="1">IFERROR(__xludf.DUMMYFUNCTION("GoogleTranslate($E226, ""en"", ""ja"")"),"モード")</f>
        <v>モード</v>
      </c>
    </row>
    <row r="227" spans="1:11" ht="15">
      <c r="A227" s="2" t="s">
        <v>647</v>
      </c>
      <c r="B227" s="2" t="s">
        <v>8</v>
      </c>
      <c r="D227" s="1" t="s">
        <v>648</v>
      </c>
      <c r="E227" s="2" t="s">
        <v>649</v>
      </c>
      <c r="F227" s="2"/>
      <c r="G227" s="2" t="s">
        <v>937</v>
      </c>
      <c r="H227" s="2" t="str">
        <f ca="1">IFERROR(__xludf.DUMMYFUNCTION("GoogleTranslate($E227, ""en"", ""zh-CN"")"),"达到灵敏度")</f>
        <v>达到灵敏度</v>
      </c>
      <c r="I227" s="10" t="s">
        <v>948</v>
      </c>
      <c r="J227" s="2" t="str">
        <f ca="1">IFERROR(__xludf.DUMMYFUNCTION("GoogleTranslate($E227, ""en"", ""ko"")"),"감도에 도달")</f>
        <v>감도에 도달</v>
      </c>
      <c r="K227" s="2" t="s">
        <v>938</v>
      </c>
    </row>
    <row r="228" spans="1:11" ht="15">
      <c r="A228" s="2" t="s">
        <v>650</v>
      </c>
      <c r="B228" s="2" t="s">
        <v>8</v>
      </c>
      <c r="D228" s="1" t="s">
        <v>651</v>
      </c>
      <c r="E228" s="2" t="s">
        <v>650</v>
      </c>
      <c r="F228" s="2"/>
      <c r="G228" s="2" t="str">
        <f ca="1">IFERROR(__xludf.DUMMYFUNCTION("GoogleTranslate($E228, ""en"", ""zh-TW"")"),"今天")</f>
        <v>今天</v>
      </c>
      <c r="H228" s="2" t="str">
        <f ca="1">IFERROR(__xludf.DUMMYFUNCTION("GoogleTranslate($E228, ""en"", ""zh-CN"")"),"今天")</f>
        <v>今天</v>
      </c>
      <c r="J228" s="2" t="str">
        <f ca="1">IFERROR(__xludf.DUMMYFUNCTION("GoogleTranslate($E228, ""en"", ""ko"")"),"오늘")</f>
        <v>오늘</v>
      </c>
      <c r="K228" s="2" t="str">
        <f ca="1">IFERROR(__xludf.DUMMYFUNCTION("GoogleTranslate($E228, ""en"", ""ja"")"),"今日")</f>
        <v>今日</v>
      </c>
    </row>
    <row r="229" spans="1:11" ht="15">
      <c r="A229" s="2" t="s">
        <v>652</v>
      </c>
      <c r="B229" s="2" t="s">
        <v>8</v>
      </c>
      <c r="D229" s="1" t="s">
        <v>653</v>
      </c>
      <c r="E229" s="2" t="s">
        <v>652</v>
      </c>
      <c r="F229" s="2"/>
      <c r="G229" s="2" t="s">
        <v>939</v>
      </c>
      <c r="H229" s="2" t="str">
        <f ca="1">IFERROR(__xludf.DUMMYFUNCTION("GoogleTranslate($E229, ""en"", ""zh-CN"")"),"默认")</f>
        <v>默认</v>
      </c>
      <c r="J229" s="2" t="str">
        <f ca="1">IFERROR(__xludf.DUMMYFUNCTION("GoogleTranslate($E229, ""en"", ""ko"")"),"기본")</f>
        <v>기본</v>
      </c>
      <c r="K229" s="2" t="str">
        <f ca="1">IFERROR(__xludf.DUMMYFUNCTION("GoogleTranslate($E229, ""en"", ""ja"")"),"デフォルト")</f>
        <v>デフォルト</v>
      </c>
    </row>
  </sheetData>
  <hyperlinks>
    <hyperlink ref="G176" r:id="rId1" display="夾娃娃機"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Ling Fung Yeung (R&amp;D/RRC)</cp:lastModifiedBy>
  <dcterms:modified xsi:type="dcterms:W3CDTF">2024-06-19T11:20:10Z</dcterms:modified>
</cp:coreProperties>
</file>