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- QC Anh\Downloads\"/>
    </mc:Choice>
  </mc:AlternateContent>
  <xr:revisionPtr revIDLastSave="0" documentId="13_ncr:1_{181626C0-98C5-48A3-8407-E837CA0B32D2}" xr6:coauthVersionLast="47" xr6:coauthVersionMax="47" xr10:uidLastSave="{00000000-0000-0000-0000-000000000000}"/>
  <bookViews>
    <workbookView xWindow="-120" yWindow="-120" windowWidth="20730" windowHeight="11160" activeTab="2" xr2:uid="{5F080CAB-B7A9-4AB8-8EF4-D5BB510210F0}"/>
  </bookViews>
  <sheets>
    <sheet name="Chấm công" sheetId="2" r:id="rId1"/>
    <sheet name="Chấm công mới" sheetId="1" r:id="rId2"/>
    <sheet name="Tính lươ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3" i="3"/>
  <c r="L19" i="3"/>
  <c r="L21" i="3" s="1"/>
  <c r="J4" i="3"/>
  <c r="J16" i="3" s="1"/>
  <c r="C36" i="2"/>
  <c r="A36" i="2" s="1"/>
  <c r="C35" i="2"/>
  <c r="A35" i="2" s="1"/>
  <c r="C34" i="2"/>
  <c r="A34" i="2" s="1"/>
  <c r="A33" i="2"/>
  <c r="A32" i="2"/>
  <c r="A31" i="2"/>
  <c r="A30" i="2"/>
  <c r="A29" i="2"/>
  <c r="A28" i="2"/>
  <c r="A27" i="2"/>
  <c r="A26" i="2"/>
  <c r="A25" i="2"/>
  <c r="A24" i="2"/>
  <c r="L23" i="2"/>
  <c r="A23" i="2"/>
  <c r="L22" i="2"/>
  <c r="A22" i="2"/>
  <c r="A21" i="2"/>
  <c r="A20" i="2"/>
  <c r="A19" i="2"/>
  <c r="T18" i="2"/>
  <c r="T19" i="2" s="1"/>
  <c r="A18" i="2"/>
  <c r="A17" i="2"/>
  <c r="A16" i="2"/>
  <c r="A15" i="2"/>
  <c r="A14" i="2"/>
  <c r="A13" i="2"/>
  <c r="A12" i="2"/>
  <c r="K11" i="2"/>
  <c r="A11" i="2"/>
  <c r="K10" i="2"/>
  <c r="A10" i="2"/>
  <c r="A9" i="2"/>
  <c r="A8" i="2"/>
  <c r="A7" i="2"/>
  <c r="A6" i="2"/>
  <c r="R3" i="2"/>
  <c r="R15" i="2" s="1"/>
  <c r="R17" i="2" l="1"/>
  <c r="L17" i="3"/>
  <c r="K5" i="2"/>
  <c r="L5" i="2" s="1"/>
  <c r="K2" i="2"/>
  <c r="L2" i="2" s="1"/>
  <c r="K4" i="2"/>
  <c r="L4" i="2" s="1"/>
  <c r="D9" i="3"/>
  <c r="D4" i="3"/>
  <c r="D7" i="3"/>
  <c r="D11" i="3"/>
  <c r="J13" i="3"/>
  <c r="J17" i="3"/>
  <c r="J7" i="3"/>
  <c r="J11" i="3"/>
  <c r="J14" i="3"/>
  <c r="D8" i="3"/>
  <c r="J9" i="3"/>
  <c r="D5" i="3"/>
  <c r="D10" i="3"/>
  <c r="D12" i="3"/>
  <c r="J15" i="3"/>
  <c r="J18" i="3"/>
  <c r="L20" i="3"/>
  <c r="D3" i="3"/>
  <c r="D6" i="3"/>
  <c r="J8" i="3"/>
  <c r="J10" i="3"/>
  <c r="J12" i="3"/>
  <c r="L18" i="3"/>
  <c r="T20" i="2"/>
  <c r="K6" i="2"/>
  <c r="L6" i="2" s="1"/>
  <c r="K8" i="2"/>
  <c r="L8" i="2" s="1"/>
  <c r="R12" i="2"/>
  <c r="R14" i="2"/>
  <c r="R16" i="2"/>
  <c r="T17" i="2"/>
  <c r="K3" i="2"/>
  <c r="L3" i="2" s="1"/>
  <c r="K7" i="2"/>
  <c r="L7" i="2" s="1"/>
  <c r="K9" i="2"/>
  <c r="L9" i="2" s="1"/>
  <c r="L10" i="2"/>
  <c r="L11" i="2"/>
  <c r="T16" i="2"/>
  <c r="R6" i="2"/>
  <c r="R7" i="2"/>
  <c r="R8" i="2"/>
  <c r="R9" i="2"/>
  <c r="R10" i="2"/>
  <c r="R11" i="2"/>
  <c r="R13" i="2"/>
  <c r="D21" i="3" l="1"/>
  <c r="L20" i="2"/>
  <c r="L21" i="2" l="1"/>
  <c r="L24" i="2" s="1"/>
  <c r="D22" i="3"/>
  <c r="D25" i="3" s="1"/>
  <c r="K36" i="1"/>
  <c r="C36" i="1"/>
  <c r="A36" i="1" s="1"/>
  <c r="I36" i="1" s="1"/>
  <c r="K35" i="1"/>
  <c r="C35" i="1"/>
  <c r="A35" i="1" s="1"/>
  <c r="I35" i="1" s="1"/>
  <c r="O35" i="1" s="1"/>
  <c r="K34" i="1"/>
  <c r="C34" i="1"/>
  <c r="A34" i="1" s="1"/>
  <c r="I34" i="1" s="1"/>
  <c r="K33" i="1"/>
  <c r="A33" i="1"/>
  <c r="I33" i="1" s="1"/>
  <c r="Q33" i="1" s="1"/>
  <c r="K32" i="1"/>
  <c r="A32" i="1"/>
  <c r="I32" i="1" s="1"/>
  <c r="K31" i="1"/>
  <c r="A31" i="1"/>
  <c r="I31" i="1" s="1"/>
  <c r="Q31" i="1" s="1"/>
  <c r="K30" i="1"/>
  <c r="A30" i="1"/>
  <c r="I30" i="1" s="1"/>
  <c r="K29" i="1"/>
  <c r="A29" i="1"/>
  <c r="I29" i="1" s="1"/>
  <c r="K28" i="1"/>
  <c r="A28" i="1"/>
  <c r="I28" i="1" s="1"/>
  <c r="O28" i="1" s="1"/>
  <c r="K27" i="1"/>
  <c r="A27" i="1"/>
  <c r="I27" i="1" s="1"/>
  <c r="M27" i="1" s="1"/>
  <c r="K26" i="1"/>
  <c r="A26" i="1"/>
  <c r="I26" i="1" s="1"/>
  <c r="O26" i="1" s="1"/>
  <c r="K25" i="1"/>
  <c r="A25" i="1"/>
  <c r="I25" i="1" s="1"/>
  <c r="M25" i="1" s="1"/>
  <c r="K24" i="1"/>
  <c r="A24" i="1"/>
  <c r="I24" i="1" s="1"/>
  <c r="U23" i="1"/>
  <c r="K23" i="1"/>
  <c r="A23" i="1"/>
  <c r="I23" i="1" s="1"/>
  <c r="L23" i="1" s="1"/>
  <c r="U22" i="1"/>
  <c r="K22" i="1"/>
  <c r="A22" i="1"/>
  <c r="I22" i="1" s="1"/>
  <c r="N22" i="1" s="1"/>
  <c r="K21" i="1"/>
  <c r="A21" i="1"/>
  <c r="I21" i="1" s="1"/>
  <c r="K20" i="1"/>
  <c r="A20" i="1"/>
  <c r="I20" i="1" s="1"/>
  <c r="L20" i="1" s="1"/>
  <c r="K19" i="1"/>
  <c r="A19" i="1"/>
  <c r="I19" i="1" s="1"/>
  <c r="O19" i="1" s="1"/>
  <c r="AC18" i="1"/>
  <c r="AC16" i="1" s="1"/>
  <c r="K18" i="1"/>
  <c r="A18" i="1"/>
  <c r="I18" i="1" s="1"/>
  <c r="O18" i="1" s="1"/>
  <c r="K17" i="1"/>
  <c r="A17" i="1"/>
  <c r="I17" i="1" s="1"/>
  <c r="P17" i="1" s="1"/>
  <c r="K16" i="1"/>
  <c r="A16" i="1"/>
  <c r="I16" i="1" s="1"/>
  <c r="L16" i="1" s="1"/>
  <c r="K15" i="1"/>
  <c r="A15" i="1"/>
  <c r="I15" i="1" s="1"/>
  <c r="K14" i="1"/>
  <c r="A14" i="1"/>
  <c r="I14" i="1" s="1"/>
  <c r="K13" i="1"/>
  <c r="A13" i="1"/>
  <c r="I13" i="1" s="1"/>
  <c r="K12" i="1"/>
  <c r="A12" i="1"/>
  <c r="I12" i="1" s="1"/>
  <c r="O12" i="1" s="1"/>
  <c r="K11" i="1"/>
  <c r="A11" i="1"/>
  <c r="I11" i="1" s="1"/>
  <c r="K10" i="1"/>
  <c r="A10" i="1"/>
  <c r="I10" i="1" s="1"/>
  <c r="K9" i="1"/>
  <c r="A9" i="1"/>
  <c r="I9" i="1" s="1"/>
  <c r="J9" i="1" s="1"/>
  <c r="K8" i="1"/>
  <c r="A8" i="1"/>
  <c r="I8" i="1" s="1"/>
  <c r="O8" i="1" s="1"/>
  <c r="K7" i="1"/>
  <c r="A7" i="1"/>
  <c r="I7" i="1" s="1"/>
  <c r="K6" i="1"/>
  <c r="A6" i="1"/>
  <c r="I6" i="1" s="1"/>
  <c r="AA3" i="1"/>
  <c r="AA17" i="1" l="1"/>
  <c r="AA7" i="1"/>
  <c r="N9" i="1"/>
  <c r="AC17" i="1"/>
  <c r="Q21" i="1"/>
  <c r="J21" i="1"/>
  <c r="AA8" i="1"/>
  <c r="L28" i="1"/>
  <c r="J10" i="1"/>
  <c r="Q10" i="1"/>
  <c r="M10" i="1"/>
  <c r="J6" i="1"/>
  <c r="Q6" i="1"/>
  <c r="M6" i="1"/>
  <c r="J14" i="1"/>
  <c r="Q14" i="1"/>
  <c r="M14" i="1"/>
  <c r="M13" i="1"/>
  <c r="L13" i="1"/>
  <c r="J29" i="1"/>
  <c r="M29" i="1"/>
  <c r="AA11" i="1"/>
  <c r="AA15" i="1"/>
  <c r="AA14" i="1"/>
  <c r="L18" i="1"/>
  <c r="M21" i="1"/>
  <c r="L26" i="1"/>
  <c r="T3" i="1"/>
  <c r="U3" i="1" s="1"/>
  <c r="L8" i="1"/>
  <c r="J35" i="1"/>
  <c r="O7" i="1"/>
  <c r="N7" i="1"/>
  <c r="J7" i="1"/>
  <c r="L7" i="1"/>
  <c r="P7" i="1"/>
  <c r="M7" i="1"/>
  <c r="Q7" i="1"/>
  <c r="O11" i="1"/>
  <c r="N11" i="1"/>
  <c r="J11" i="1"/>
  <c r="P11" i="1"/>
  <c r="L11" i="1"/>
  <c r="Q11" i="1"/>
  <c r="M11" i="1"/>
  <c r="O24" i="1"/>
  <c r="N24" i="1"/>
  <c r="J24" i="1"/>
  <c r="P24" i="1"/>
  <c r="M24" i="1"/>
  <c r="L24" i="1"/>
  <c r="Q24" i="1"/>
  <c r="Q15" i="1"/>
  <c r="M15" i="1"/>
  <c r="P15" i="1"/>
  <c r="L15" i="1"/>
  <c r="L12" i="1"/>
  <c r="N16" i="1"/>
  <c r="J16" i="1"/>
  <c r="Q16" i="1"/>
  <c r="M16" i="1"/>
  <c r="P16" i="1"/>
  <c r="L17" i="1"/>
  <c r="P18" i="1"/>
  <c r="O20" i="1"/>
  <c r="N20" i="1"/>
  <c r="J20" i="1"/>
  <c r="P20" i="1"/>
  <c r="N23" i="1"/>
  <c r="J23" i="1"/>
  <c r="Q23" i="1"/>
  <c r="M23" i="1"/>
  <c r="P23" i="1"/>
  <c r="P6" i="1"/>
  <c r="L6" i="1"/>
  <c r="O6" i="1"/>
  <c r="N6" i="1"/>
  <c r="Q13" i="1"/>
  <c r="N15" i="1"/>
  <c r="O17" i="1"/>
  <c r="AC19" i="1"/>
  <c r="AC20" i="1"/>
  <c r="Q20" i="1"/>
  <c r="P29" i="1"/>
  <c r="L29" i="1"/>
  <c r="N29" i="1"/>
  <c r="O29" i="1"/>
  <c r="Q29" i="1"/>
  <c r="Q22" i="1"/>
  <c r="M22" i="1"/>
  <c r="P22" i="1"/>
  <c r="L22" i="1"/>
  <c r="O22" i="1"/>
  <c r="P25" i="1"/>
  <c r="L25" i="1"/>
  <c r="O25" i="1"/>
  <c r="N25" i="1"/>
  <c r="P27" i="1"/>
  <c r="L27" i="1"/>
  <c r="O27" i="1"/>
  <c r="N27" i="1"/>
  <c r="N30" i="1"/>
  <c r="J30" i="1"/>
  <c r="Q30" i="1"/>
  <c r="M30" i="1"/>
  <c r="P30" i="1"/>
  <c r="L30" i="1"/>
  <c r="P31" i="1"/>
  <c r="L31" i="1"/>
  <c r="O31" i="1"/>
  <c r="N31" i="1"/>
  <c r="J31" i="1"/>
  <c r="N32" i="1"/>
  <c r="J32" i="1"/>
  <c r="P32" i="1"/>
  <c r="L32" i="1"/>
  <c r="Q32" i="1"/>
  <c r="M32" i="1"/>
  <c r="P33" i="1"/>
  <c r="L33" i="1"/>
  <c r="N33" i="1"/>
  <c r="O33" i="1"/>
  <c r="J33" i="1"/>
  <c r="O34" i="1"/>
  <c r="Q34" i="1"/>
  <c r="M34" i="1"/>
  <c r="P34" i="1"/>
  <c r="L34" i="1"/>
  <c r="N34" i="1"/>
  <c r="N12" i="1"/>
  <c r="J12" i="1"/>
  <c r="Q12" i="1"/>
  <c r="M12" i="1"/>
  <c r="P12" i="1"/>
  <c r="N17" i="1"/>
  <c r="J17" i="1"/>
  <c r="Q17" i="1"/>
  <c r="M17" i="1"/>
  <c r="N19" i="1"/>
  <c r="J19" i="1"/>
  <c r="Q19" i="1"/>
  <c r="M19" i="1"/>
  <c r="P19" i="1"/>
  <c r="Q9" i="1"/>
  <c r="M9" i="1"/>
  <c r="P9" i="1"/>
  <c r="L9" i="1"/>
  <c r="O9" i="1"/>
  <c r="P10" i="1"/>
  <c r="L10" i="1"/>
  <c r="O10" i="1"/>
  <c r="N10" i="1"/>
  <c r="P14" i="1"/>
  <c r="L14" i="1"/>
  <c r="O14" i="1"/>
  <c r="N14" i="1"/>
  <c r="J15" i="1"/>
  <c r="O16" i="1"/>
  <c r="M20" i="1"/>
  <c r="P21" i="1"/>
  <c r="L21" i="1"/>
  <c r="O21" i="1"/>
  <c r="N21" i="1"/>
  <c r="J22" i="1"/>
  <c r="O23" i="1"/>
  <c r="J25" i="1"/>
  <c r="Q25" i="1"/>
  <c r="J27" i="1"/>
  <c r="Q27" i="1"/>
  <c r="P35" i="1"/>
  <c r="L35" i="1"/>
  <c r="N35" i="1"/>
  <c r="Q35" i="1"/>
  <c r="M35" i="1"/>
  <c r="Q36" i="1"/>
  <c r="M36" i="1"/>
  <c r="P36" i="1"/>
  <c r="L36" i="1"/>
  <c r="O36" i="1"/>
  <c r="N36" i="1"/>
  <c r="O15" i="1"/>
  <c r="N8" i="1"/>
  <c r="J8" i="1"/>
  <c r="Q8" i="1"/>
  <c r="M8" i="1"/>
  <c r="P8" i="1"/>
  <c r="O13" i="1"/>
  <c r="N13" i="1"/>
  <c r="J13" i="1"/>
  <c r="P13" i="1"/>
  <c r="N18" i="1"/>
  <c r="J18" i="1"/>
  <c r="Q18" i="1"/>
  <c r="M18" i="1"/>
  <c r="L19" i="1"/>
  <c r="N26" i="1"/>
  <c r="J26" i="1"/>
  <c r="Q26" i="1"/>
  <c r="M26" i="1"/>
  <c r="P26" i="1"/>
  <c r="P28" i="1"/>
  <c r="N28" i="1"/>
  <c r="J28" i="1"/>
  <c r="Q28" i="1"/>
  <c r="M28" i="1"/>
  <c r="O30" i="1"/>
  <c r="M31" i="1"/>
  <c r="O32" i="1"/>
  <c r="M33" i="1"/>
  <c r="J34" i="1"/>
  <c r="AA9" i="1"/>
  <c r="AA13" i="1"/>
  <c r="J36" i="1"/>
  <c r="AA6" i="1"/>
  <c r="AA10" i="1"/>
  <c r="AA12" i="1"/>
  <c r="AA16" i="1"/>
  <c r="T5" i="1" l="1"/>
  <c r="U5" i="1" s="1"/>
  <c r="T2" i="1"/>
  <c r="U2" i="1" s="1"/>
  <c r="T9" i="1"/>
  <c r="U9" i="1" s="1"/>
  <c r="T10" i="1"/>
  <c r="U10" i="1" s="1"/>
  <c r="U20" i="1"/>
  <c r="T7" i="1"/>
  <c r="U7" i="1" s="1"/>
  <c r="T4" i="1"/>
  <c r="U4" i="1" s="1"/>
  <c r="T11" i="1"/>
  <c r="U11" i="1" s="1"/>
  <c r="T8" i="1"/>
  <c r="U8" i="1" s="1"/>
  <c r="T6" i="1"/>
  <c r="U6" i="1" s="1"/>
  <c r="U21" i="1" l="1"/>
  <c r="U24" i="1"/>
</calcChain>
</file>

<file path=xl/sharedStrings.xml><?xml version="1.0" encoding="utf-8"?>
<sst xmlns="http://schemas.openxmlformats.org/spreadsheetml/2006/main" count="197" uniqueCount="72">
  <si>
    <t>Bảng chấm công</t>
  </si>
  <si>
    <t>Ngày</t>
  </si>
  <si>
    <t>Giờ nghỉ không lương</t>
  </si>
  <si>
    <r>
      <t xml:space="preserve">Tăng ca 150% </t>
    </r>
    <r>
      <rPr>
        <b/>
        <sz val="10"/>
        <color rgb="FFFF0000"/>
        <rFont val="Times New Roman"/>
        <family val="1"/>
      </rPr>
      <t>CN 300%</t>
    </r>
  </si>
  <si>
    <r>
      <t xml:space="preserve">Tăng ca 200%
</t>
    </r>
    <r>
      <rPr>
        <b/>
        <sz val="10"/>
        <color rgb="FFFF0000"/>
        <rFont val="Times New Roman"/>
        <family val="1"/>
      </rPr>
      <t>CN 340%</t>
    </r>
  </si>
  <si>
    <r>
      <t xml:space="preserve">Trợ cấp đêm 30%
</t>
    </r>
    <r>
      <rPr>
        <b/>
        <sz val="9"/>
        <color rgb="FFFF0000"/>
        <rFont val="Times New Roman"/>
        <family val="1"/>
      </rPr>
      <t>CN 70%</t>
    </r>
  </si>
  <si>
    <t>Khoản mục</t>
  </si>
  <si>
    <t>Thời gian</t>
  </si>
  <si>
    <t>Tiền lương</t>
  </si>
  <si>
    <r>
      <t xml:space="preserve">Lương cơ bản </t>
    </r>
    <r>
      <rPr>
        <i/>
        <sz val="16"/>
        <color rgb="FF3E1B59"/>
        <rFont val="Times New Roman"/>
        <family val="1"/>
      </rPr>
      <t>→</t>
    </r>
  </si>
  <si>
    <t>Thâm niên</t>
  </si>
  <si>
    <t>Chức vụ</t>
  </si>
  <si>
    <t>Tháng:</t>
  </si>
  <si>
    <t>Ngày thường</t>
  </si>
  <si>
    <t>Ngày công 100%</t>
  </si>
  <si>
    <r>
      <t>Kỹ năng ABC (</t>
    </r>
    <r>
      <rPr>
        <i/>
        <sz val="16"/>
        <color rgb="FF3E1B59"/>
        <rFont val="Times New Roman"/>
        <family val="1"/>
      </rPr>
      <t>công C)→</t>
    </r>
  </si>
  <si>
    <t>Tăng ca 150%</t>
  </si>
  <si>
    <t>Số ngày công trong tháng (không tính chủ nhật):</t>
  </si>
  <si>
    <t>Năm:</t>
  </si>
  <si>
    <t>Tăng ca 200%</t>
  </si>
  <si>
    <t>Lương ngày lễ, tết, thông ca</t>
  </si>
  <si>
    <t>Trợ cấp đêm 30%</t>
  </si>
  <si>
    <t>Số tiếng</t>
  </si>
  <si>
    <t>% Lương</t>
  </si>
  <si>
    <t>Ngày chủ nhật</t>
  </si>
  <si>
    <t>Ngày công 200%</t>
  </si>
  <si>
    <t>Giờ Hành Chính</t>
  </si>
  <si>
    <t>Tăng ca 300%</t>
  </si>
  <si>
    <t>Tăng ca, thông ca</t>
  </si>
  <si>
    <t>Phụ cấp điện thoại</t>
  </si>
  <si>
    <t>Tăng ca 340%</t>
  </si>
  <si>
    <t>Trợ cấp đêm</t>
  </si>
  <si>
    <t>Trợ cấp đêm 70%</t>
  </si>
  <si>
    <r>
      <t xml:space="preserve">Phép năm </t>
    </r>
    <r>
      <rPr>
        <i/>
        <sz val="12"/>
        <color rgb="FF0070C0"/>
        <rFont val="Times New Roman"/>
        <family val="1"/>
      </rPr>
      <t>(100% lương)</t>
    </r>
  </si>
  <si>
    <r>
      <t xml:space="preserve">Ngày lễ </t>
    </r>
    <r>
      <rPr>
        <i/>
        <sz val="12"/>
        <color rgb="FF0070C0"/>
        <rFont val="Times New Roman"/>
        <family val="1"/>
      </rPr>
      <t>(100% lương)</t>
    </r>
  </si>
  <si>
    <r>
      <t>Phụ cấp kỹ năng ABC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</si>
  <si>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>Phụ cấp chuyên cần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</si>
  <si>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 xml:space="preserve">Trợ cấp thâm niên </t>
    </r>
    <r>
      <rPr>
        <i/>
        <sz val="12"/>
        <color rgb="FFFF0000"/>
        <rFont val="Times New Roman"/>
        <family val="1"/>
      </rPr>
      <t>(nhập ô bên phải →)</t>
    </r>
  </si>
  <si>
    <r>
      <t xml:space="preserve">Trợ cấp chức vụ </t>
    </r>
    <r>
      <rPr>
        <i/>
        <sz val="12"/>
        <color rgb="FFFF0000"/>
        <rFont val="Times New Roman"/>
        <family val="1"/>
      </rPr>
      <t>(nhập ô bên phải →)</t>
    </r>
  </si>
  <si>
    <t>Phụ cấp kỹ năng ABC</t>
  </si>
  <si>
    <r>
      <t xml:space="preserve">Hỗ trợ đi lại </t>
    </r>
    <r>
      <rPr>
        <i/>
        <sz val="12"/>
        <color rgb="FFFF0000"/>
        <rFont val="Times New Roman"/>
        <family val="1"/>
      </rPr>
      <t>(nhập ô bên phải →)</t>
    </r>
  </si>
  <si>
    <r>
      <t>Hỗ trợ điện thoại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</si>
  <si>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(50.000đ/trẻ)</t>
    </r>
  </si>
  <si>
    <t>Phiên bản 2.5.6, ngày cập nhật: 21.04.2025</t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</si>
  <si>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ăn…)</t>
    </r>
  </si>
  <si>
    <t>Tổng thu nhập</t>
  </si>
  <si>
    <t>Bảo hiểm xã hội, y tế, thất nghiệp 10.5%</t>
  </si>
  <si>
    <t>Trợ cấp con nhỏ</t>
  </si>
  <si>
    <t>Công đoàn 1.0 %</t>
  </si>
  <si>
    <r>
      <t xml:space="preserve">Thực lĩnh </t>
    </r>
    <r>
      <rPr>
        <i/>
        <sz val="12"/>
        <color rgb="FFFF0000"/>
        <rFont val="Times New Roman"/>
        <family val="1"/>
      </rPr>
      <t>(chưa khấu trừ thuế TNCN)</t>
    </r>
  </si>
  <si>
    <t>Tăng ca trưa, cuối giờ</t>
  </si>
  <si>
    <t>Tăng ca giữa giờ đêm</t>
  </si>
  <si>
    <r>
      <rPr>
        <b/>
        <sz val="12"/>
        <rFont val="Times New Roman"/>
        <family val="1"/>
      </rPr>
      <t xml:space="preserve">Trợ cấp đêm </t>
    </r>
    <r>
      <rPr>
        <b/>
        <sz val="10"/>
        <color rgb="FFFF0000"/>
        <rFont val="Times New Roman"/>
        <family val="1"/>
      </rPr>
      <t>22h~4h</t>
    </r>
  </si>
  <si>
    <t>BẢNG PHỤ</t>
  </si>
  <si>
    <t>CHẤM CÔNG CHI TIẾT</t>
  </si>
  <si>
    <t>Ngày công (số giờ)</t>
  </si>
  <si>
    <t>Tăng ca 150% (số giờ)</t>
  </si>
  <si>
    <t>Tăng ca 200% (số giờ)</t>
  </si>
  <si>
    <t>Trợ cấp đêm 30% (số giờ)</t>
  </si>
  <si>
    <t>Ngày công chủ nhật (số giờ)</t>
  </si>
  <si>
    <t>Tăng ca 300% (số giờ)</t>
  </si>
  <si>
    <t>Tăng ca 340% (Số giờ)</t>
  </si>
  <si>
    <t>Trợ cấp đêm chủ nhật 70%</t>
  </si>
  <si>
    <r>
      <t xml:space="preserve">Kỹ năng ABC </t>
    </r>
    <r>
      <rPr>
        <i/>
        <sz val="16"/>
        <color rgb="FF3E1B59"/>
        <rFont val="Times New Roman"/>
        <family val="1"/>
      </rPr>
      <t>(công C)→</t>
    </r>
  </si>
  <si>
    <r>
      <t xml:space="preserve">Phụ cấp chuyên cần </t>
    </r>
    <r>
      <rPr>
        <i/>
        <sz val="12"/>
        <color rgb="FFFF0000"/>
        <rFont val="Times New Roman"/>
        <family val="1"/>
      </rPr>
      <t>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</si>
  <si>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 →)</t>
    </r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</si>
  <si>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ăn…→)</t>
    </r>
  </si>
  <si>
    <t>Bảng tính lương tháng:</t>
  </si>
  <si>
    <t>Nhập đúng tháng, năm cần tính</t>
  </si>
  <si>
    <r>
      <t xml:space="preserve">Kỹ năng ABC </t>
    </r>
    <r>
      <rPr>
        <b/>
        <i/>
        <sz val="16"/>
        <color rgb="FF3E1B59"/>
        <rFont val="Times New Roman"/>
        <family val="1"/>
      </rPr>
      <t>(</t>
    </r>
    <r>
      <rPr>
        <i/>
        <sz val="16"/>
        <color rgb="FF3E1B59"/>
        <rFont val="Times New Roman"/>
        <family val="1"/>
      </rPr>
      <t>công C) →</t>
    </r>
  </si>
  <si>
    <t>Phiên bản: 2.5.6, ngày cập nhật: 21.04.2025</t>
  </si>
  <si>
    <r>
      <rPr>
        <b/>
        <sz val="16"/>
        <color rgb="FF7030A0"/>
        <rFont val="Times New Roman"/>
        <family val="1"/>
      </rPr>
      <t>Truy cập vào trang:</t>
    </r>
    <r>
      <rPr>
        <b/>
        <sz val="13"/>
        <color rgb="FF7030A0"/>
        <rFont val="Times New Roman"/>
        <family val="1"/>
      </rPr>
      <t xml:space="preserve">
</t>
    </r>
    <r>
      <rPr>
        <b/>
        <u/>
        <sz val="18"/>
        <color rgb="FF0070C0"/>
        <rFont val="Times New Roman"/>
        <family val="1"/>
      </rPr>
      <t>tinhluong.pages.dev</t>
    </r>
    <r>
      <rPr>
        <b/>
        <sz val="13"/>
        <color rgb="FF7030A0"/>
        <rFont val="Times New Roman"/>
        <family val="1"/>
      </rPr>
      <t xml:space="preserve">
hoặc quét mã QR bên phải để cập nhật phiên bản mới nhất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</si>
</sst>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[$₫-42A]_-;\-* #,##0\ [$₫-42A]_-;_-* &quot;-&quot;??\ [$₫-42A]_-;_-@"/>
    <numFmt numFmtId="165" formatCode="_-* #,##0.00\ _₫_-;\-* #,##0.00\ _₫_-;_-* &quot;-&quot;??\ _₫_-;_-@_-"/>
    <numFmt numFmtId="166" formatCode="0.00&quot; ngày&quot;"/>
    <numFmt numFmtId="167" formatCode="_-* #,##0\ [$₫-42A]_-;\-* #,##0\ [$₫-42A]_-;_-* &quot;-&quot;??\ [$₫-42A]_-;_-@_-"/>
    <numFmt numFmtId="168" formatCode="0.00&quot; tiếng&quot;"/>
    <numFmt numFmtId="169" formatCode="0&quot; ngày&quot;"/>
    <numFmt numFmtId="170" formatCode="_-* #,##0\ _₫_-;\-* #,##0\ _₫_-;_-* &quot;-&quot;??\ _₫_-;_-@_-"/>
    <numFmt numFmtId="171" formatCode="0.0"/>
    <numFmt numFmtId="172" formatCode="0.0&quot; ngày&quot;"/>
  </numFmts>
  <fonts count="5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i/>
      <sz val="12"/>
      <color rgb="FF00206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0"/>
      <name val="Calibri"/>
      <family val="2"/>
      <charset val="163"/>
    </font>
    <font>
      <sz val="36"/>
      <color theme="10"/>
      <name val="Times New Roman"/>
      <family val="1"/>
    </font>
    <font>
      <sz val="11"/>
      <color theme="10"/>
      <name val="Times New Roman"/>
      <family val="1"/>
    </font>
    <font>
      <sz val="14"/>
      <color theme="1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b/>
      <sz val="16"/>
      <color rgb="FF3E1B59"/>
      <name val="Times New Roman"/>
      <family val="1"/>
    </font>
    <font>
      <i/>
      <sz val="16"/>
      <color rgb="FF3E1B5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Calibri"/>
      <family val="2"/>
      <charset val="163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0.5"/>
      <color rgb="FF7030A0"/>
      <name val="Times New Roman"/>
      <family val="1"/>
    </font>
    <font>
      <i/>
      <sz val="13"/>
      <color rgb="FF7030A0"/>
      <name val="Times New Roman"/>
      <family val="1"/>
    </font>
    <font>
      <b/>
      <sz val="11"/>
      <color rgb="FF141414"/>
      <name val="Times New Roman"/>
      <family val="1"/>
    </font>
    <font>
      <sz val="14"/>
      <color rgb="FFFF0000"/>
      <name val="Times New Roman"/>
      <family val="1"/>
    </font>
    <font>
      <i/>
      <sz val="12"/>
      <color rgb="FF0070C0"/>
      <name val="Times New Roman"/>
      <family val="1"/>
    </font>
    <font>
      <i/>
      <sz val="12"/>
      <color rgb="FFFF0000"/>
      <name val="Times New Roman"/>
      <family val="1"/>
    </font>
    <font>
      <b/>
      <i/>
      <sz val="14"/>
      <color theme="8" tint="-0.499984740745262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theme="10"/>
      <name val="Times New Roman"/>
      <family val="1"/>
    </font>
    <font>
      <sz val="14"/>
      <color rgb="FF00B0F0"/>
      <name val="Times New Roman"/>
      <family val="1"/>
    </font>
    <font>
      <sz val="13"/>
      <name val="Times New Roman"/>
      <family val="1"/>
    </font>
    <font>
      <b/>
      <i/>
      <sz val="11"/>
      <color rgb="FF3E1B59"/>
      <name val="Times New Roman"/>
      <family val="1"/>
    </font>
    <font>
      <sz val="13"/>
      <color rgb="FF0070C0"/>
      <name val="Times New Roman"/>
      <family val="1"/>
    </font>
    <font>
      <i/>
      <u/>
      <sz val="13"/>
      <color rgb="FF7030A0"/>
      <name val="Times New Roman"/>
      <family val="1"/>
    </font>
    <font>
      <b/>
      <sz val="9"/>
      <color rgb="FFFF0000"/>
      <name val="Times New Roman"/>
      <family val="1"/>
    </font>
    <font>
      <b/>
      <i/>
      <sz val="22"/>
      <color rgb="FFFF0000"/>
      <name val="Times New Roman"/>
      <family val="1"/>
    </font>
    <font>
      <b/>
      <sz val="22"/>
      <color rgb="FF3E1B59"/>
      <name val="Times New Roman"/>
      <family val="1"/>
    </font>
    <font>
      <b/>
      <sz val="18"/>
      <color rgb="FFFF0000"/>
      <name val="Times New Roman"/>
      <family val="1"/>
    </font>
    <font>
      <b/>
      <i/>
      <sz val="16"/>
      <color rgb="FF3E1B59"/>
      <name val="Times New Roman"/>
      <family val="1"/>
    </font>
    <font>
      <b/>
      <i/>
      <sz val="15"/>
      <color rgb="FF002060"/>
      <name val="Times New Roman"/>
      <family val="1"/>
    </font>
    <font>
      <b/>
      <sz val="16"/>
      <name val="Times New Roman"/>
      <family val="1"/>
    </font>
    <font>
      <b/>
      <i/>
      <sz val="11"/>
      <color rgb="FF00206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4"/>
      <color rgb="FF7030A0"/>
      <name val="Times New Roman"/>
      <family val="1"/>
    </font>
    <font>
      <sz val="13"/>
      <name val="Times New Roman"/>
      <family val="1"/>
      <charset val="163"/>
    </font>
    <font>
      <b/>
      <sz val="18"/>
      <color rgb="FF7030A0"/>
      <name val="Times New Roman"/>
      <family val="1"/>
    </font>
    <font>
      <b/>
      <i/>
      <sz val="22"/>
      <color rgb="FF002060"/>
      <name val="Times New Roman"/>
      <family val="1"/>
    </font>
    <font>
      <b/>
      <sz val="13"/>
      <color rgb="FF7030A0"/>
      <name val="Times New Roman"/>
      <family val="1"/>
    </font>
    <font>
      <b/>
      <u/>
      <sz val="18"/>
      <color rgb="FF0070C0"/>
      <name val="Times New Roman"/>
      <family val="1"/>
    </font>
    <font>
      <b/>
      <sz val="16"/>
      <color rgb="FF7030A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75923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E5C1"/>
        <bgColor indexed="64"/>
      </patternFill>
    </fill>
    <fill>
      <patternFill patternType="solid">
        <fgColor rgb="FFD9EBCD"/>
        <bgColor rgb="FF75923B"/>
      </patternFill>
    </fill>
    <fill>
      <patternFill patternType="solid">
        <fgColor rgb="FFD9EBCD"/>
        <bgColor indexed="64"/>
      </patternFill>
    </fill>
  </fills>
  <borders count="43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39994506668294322"/>
      </left>
      <right/>
      <top style="thin">
        <color theme="4" tint="0.39985351115451523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4" tint="0.39985351115451523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91454817346722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8" tint="0.39994506668294322"/>
      </left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399914548173467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4506668294322"/>
      </right>
      <top/>
      <bottom/>
      <diagonal/>
    </border>
    <border>
      <left/>
      <right/>
      <top style="thin">
        <color theme="8" tint="0.59996337778862885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399914548173467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59996337778862885"/>
      </left>
      <right/>
      <top style="thin">
        <color theme="8" tint="0.39991454817346722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/>
      <right/>
      <top style="thin">
        <color theme="8" tint="0.3999450666829432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6" fillId="0" borderId="0" applyFont="0" applyFill="0" applyBorder="0" applyAlignment="0" applyProtection="0"/>
  </cellStyleXfs>
  <cellXfs count="180">
    <xf numFmtId="0" fontId="0" fillId="0" borderId="0" xfId="0"/>
    <xf numFmtId="0" fontId="9" fillId="0" borderId="7" xfId="2" applyFont="1" applyFill="1" applyBorder="1" applyAlignment="1" applyProtection="1">
      <alignment horizontal="center" wrapText="1"/>
    </xf>
    <xf numFmtId="0" fontId="10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166" fontId="17" fillId="0" borderId="3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" fontId="18" fillId="0" borderId="0" xfId="4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168" fontId="17" fillId="2" borderId="3" xfId="0" applyNumberFormat="1" applyFont="1" applyFill="1" applyBorder="1" applyAlignment="1">
      <alignment vertical="center"/>
    </xf>
    <xf numFmtId="167" fontId="17" fillId="2" borderId="3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169" fontId="20" fillId="0" borderId="0" xfId="3" applyNumberFormat="1" applyFont="1" applyAlignment="1">
      <alignment horizontal="center" vertical="center" wrapText="1"/>
    </xf>
    <xf numFmtId="170" fontId="18" fillId="0" borderId="0" xfId="4" applyNumberFormat="1" applyFont="1" applyFill="1" applyBorder="1" applyAlignment="1" applyProtection="1">
      <alignment horizontal="center" vertical="center"/>
    </xf>
    <xf numFmtId="168" fontId="17" fillId="0" borderId="3" xfId="0" applyNumberFormat="1" applyFont="1" applyBorder="1" applyAlignment="1">
      <alignment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1" fontId="4" fillId="0" borderId="3" xfId="0" applyNumberFormat="1" applyFont="1" applyBorder="1" applyAlignment="1" applyProtection="1">
      <alignment horizontal="center" vertical="center"/>
      <protection locked="0"/>
    </xf>
    <xf numFmtId="171" fontId="21" fillId="0" borderId="3" xfId="0" applyNumberFormat="1" applyFont="1" applyBorder="1" applyAlignment="1" applyProtection="1">
      <alignment horizontal="center" vertical="center"/>
      <protection locked="0"/>
    </xf>
    <xf numFmtId="0" fontId="8" fillId="0" borderId="6" xfId="2" applyFont="1" applyFill="1" applyBorder="1" applyAlignment="1" applyProtection="1">
      <alignment horizontal="center"/>
    </xf>
    <xf numFmtId="0" fontId="0" fillId="0" borderId="6" xfId="0" applyBorder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9" fontId="18" fillId="0" borderId="3" xfId="1" applyFont="1" applyBorder="1" applyProtection="1">
      <protection locked="0"/>
    </xf>
    <xf numFmtId="167" fontId="18" fillId="0" borderId="3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71" fontId="4" fillId="2" borderId="3" xfId="0" applyNumberFormat="1" applyFont="1" applyFill="1" applyBorder="1" applyAlignment="1" applyProtection="1">
      <alignment horizontal="center" vertical="center"/>
      <protection locked="0"/>
    </xf>
    <xf numFmtId="171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 applyProtection="1">
      <alignment horizontal="center" vertical="center"/>
      <protection locked="0"/>
    </xf>
    <xf numFmtId="9" fontId="18" fillId="2" borderId="3" xfId="1" applyFont="1" applyFill="1" applyBorder="1" applyProtection="1">
      <protection locked="0"/>
    </xf>
    <xf numFmtId="0" fontId="4" fillId="0" borderId="0" xfId="3" applyFont="1">
      <alignment vertical="center"/>
    </xf>
    <xf numFmtId="167" fontId="18" fillId="2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17" fillId="7" borderId="3" xfId="0" applyNumberFormat="1" applyFont="1" applyFill="1" applyBorder="1" applyAlignment="1">
      <alignment vertical="center"/>
    </xf>
    <xf numFmtId="167" fontId="17" fillId="7" borderId="3" xfId="0" applyNumberFormat="1" applyFont="1" applyFill="1" applyBorder="1" applyAlignment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17" fillId="2" borderId="3" xfId="0" applyNumberFormat="1" applyFont="1" applyFill="1" applyBorder="1" applyAlignment="1" applyProtection="1">
      <alignment horizontal="center" vertical="center"/>
      <protection locked="0"/>
    </xf>
    <xf numFmtId="164" fontId="17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3" applyFont="1">
      <alignment vertical="center"/>
    </xf>
    <xf numFmtId="164" fontId="10" fillId="8" borderId="3" xfId="0" applyNumberFormat="1" applyFont="1" applyFill="1" applyBorder="1" applyAlignment="1">
      <alignment vertical="center"/>
    </xf>
    <xf numFmtId="0" fontId="28" fillId="0" borderId="0" xfId="0" applyFont="1" applyAlignment="1">
      <alignment vertical="center" wrapText="1"/>
    </xf>
    <xf numFmtId="164" fontId="24" fillId="0" borderId="25" xfId="0" applyNumberFormat="1" applyFont="1" applyBorder="1" applyAlignment="1">
      <alignment vertical="center"/>
    </xf>
    <xf numFmtId="0" fontId="29" fillId="0" borderId="0" xfId="0" applyFont="1" applyAlignment="1">
      <alignment vertical="center" wrapText="1"/>
    </xf>
    <xf numFmtId="164" fontId="24" fillId="2" borderId="25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3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70" fontId="18" fillId="0" borderId="0" xfId="4" applyNumberFormat="1" applyFont="1" applyBorder="1" applyAlignment="1" applyProtection="1">
      <alignment horizontal="center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vertical="top" wrapText="1"/>
    </xf>
    <xf numFmtId="172" fontId="14" fillId="0" borderId="0" xfId="0" applyNumberFormat="1" applyFont="1" applyAlignment="1">
      <alignment vertical="center"/>
    </xf>
    <xf numFmtId="9" fontId="1" fillId="0" borderId="0" xfId="1" applyProtection="1">
      <protection locked="0"/>
    </xf>
    <xf numFmtId="0" fontId="36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1" fontId="39" fillId="0" borderId="15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vertical="center"/>
    </xf>
    <xf numFmtId="0" fontId="39" fillId="0" borderId="41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>
      <alignment vertical="center"/>
    </xf>
    <xf numFmtId="166" fontId="17" fillId="0" borderId="6" xfId="0" applyNumberFormat="1" applyFont="1" applyBorder="1" applyAlignment="1" applyProtection="1">
      <alignment vertical="center"/>
      <protection locked="0"/>
    </xf>
    <xf numFmtId="167" fontId="17" fillId="0" borderId="6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7" fontId="17" fillId="2" borderId="6" xfId="0" applyNumberFormat="1" applyFont="1" applyFill="1" applyBorder="1" applyAlignment="1">
      <alignment horizontal="center" vertical="center"/>
    </xf>
    <xf numFmtId="168" fontId="17" fillId="0" borderId="6" xfId="0" applyNumberFormat="1" applyFont="1" applyBorder="1" applyAlignment="1" applyProtection="1">
      <alignment vertical="center"/>
      <protection locked="0"/>
    </xf>
    <xf numFmtId="164" fontId="17" fillId="0" borderId="6" xfId="0" applyNumberFormat="1" applyFont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 applyProtection="1">
      <alignment vertical="center"/>
      <protection locked="0"/>
    </xf>
    <xf numFmtId="167" fontId="17" fillId="7" borderId="6" xfId="0" applyNumberFormat="1" applyFont="1" applyFill="1" applyBorder="1" applyAlignment="1">
      <alignment horizontal="center" vertical="center"/>
    </xf>
    <xf numFmtId="164" fontId="17" fillId="0" borderId="6" xfId="0" applyNumberFormat="1" applyFont="1" applyBorder="1" applyAlignment="1" applyProtection="1">
      <alignment horizontal="center" vertical="center"/>
      <protection locked="0"/>
    </xf>
    <xf numFmtId="164" fontId="17" fillId="2" borderId="6" xfId="0" applyNumberFormat="1" applyFont="1" applyFill="1" applyBorder="1" applyAlignment="1" applyProtection="1">
      <alignment horizontal="center" vertical="center"/>
      <protection locked="0"/>
    </xf>
    <xf numFmtId="164" fontId="10" fillId="8" borderId="6" xfId="0" applyNumberFormat="1" applyFont="1" applyFill="1" applyBorder="1" applyAlignment="1">
      <alignment vertical="center"/>
    </xf>
    <xf numFmtId="164" fontId="24" fillId="0" borderId="6" xfId="0" applyNumberFormat="1" applyFont="1" applyBorder="1" applyAlignment="1">
      <alignment vertical="center"/>
    </xf>
    <xf numFmtId="164" fontId="24" fillId="2" borderId="6" xfId="0" applyNumberFormat="1" applyFont="1" applyFill="1" applyBorder="1" applyAlignment="1">
      <alignment vertical="center"/>
    </xf>
    <xf numFmtId="9" fontId="1" fillId="0" borderId="0" xfId="1" applyProtection="1"/>
    <xf numFmtId="164" fontId="10" fillId="10" borderId="6" xfId="0" applyNumberFormat="1" applyFont="1" applyFill="1" applyBorder="1" applyAlignment="1">
      <alignment vertical="center"/>
    </xf>
    <xf numFmtId="0" fontId="46" fillId="0" borderId="0" xfId="2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2" applyFont="1" applyBorder="1" applyAlignment="1">
      <alignment vertical="center" wrapText="1"/>
    </xf>
    <xf numFmtId="0" fontId="49" fillId="0" borderId="19" xfId="2" applyFont="1" applyBorder="1" applyAlignment="1">
      <alignment vertical="center" wrapText="1"/>
    </xf>
    <xf numFmtId="0" fontId="49" fillId="0" borderId="0" xfId="2" applyFont="1" applyAlignment="1">
      <alignment vertical="center" wrapText="1"/>
    </xf>
    <xf numFmtId="0" fontId="45" fillId="0" borderId="0" xfId="2" applyFont="1" applyAlignment="1">
      <alignment vertical="center" wrapText="1"/>
    </xf>
    <xf numFmtId="0" fontId="47" fillId="0" borderId="0" xfId="0" applyFont="1" applyAlignment="1">
      <alignment wrapText="1"/>
    </xf>
    <xf numFmtId="0" fontId="50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17" xfId="2" applyFont="1" applyFill="1" applyBorder="1" applyAlignment="1" applyProtection="1">
      <alignment horizontal="center" vertical="center" wrapText="1"/>
    </xf>
    <xf numFmtId="0" fontId="9" fillId="0" borderId="18" xfId="2" applyFont="1" applyFill="1" applyBorder="1" applyAlignment="1" applyProtection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</xf>
    <xf numFmtId="0" fontId="12" fillId="4" borderId="12" xfId="3" applyFont="1" applyFill="1" applyBorder="1" applyAlignment="1">
      <alignment horizontal="left" vertical="center"/>
    </xf>
    <xf numFmtId="164" fontId="12" fillId="4" borderId="12" xfId="3" applyNumberFormat="1" applyFont="1" applyFill="1" applyBorder="1" applyProtection="1">
      <alignment vertical="center"/>
      <protection locked="0"/>
    </xf>
    <xf numFmtId="0" fontId="19" fillId="0" borderId="4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10" borderId="36" xfId="0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horizontal="left" vertical="center"/>
    </xf>
    <xf numFmtId="0" fontId="10" fillId="10" borderId="38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left" vertical="center"/>
    </xf>
    <xf numFmtId="0" fontId="3" fillId="9" borderId="39" xfId="3" applyFont="1" applyFill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15" xfId="0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22" fillId="0" borderId="27" xfId="2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center" wrapText="1"/>
    </xf>
    <xf numFmtId="0" fontId="22" fillId="0" borderId="10" xfId="2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0" fontId="7" fillId="0" borderId="4" xfId="2" applyFont="1" applyFill="1" applyBorder="1" applyAlignment="1" applyProtection="1">
      <alignment horizontal="center" textRotation="90"/>
    </xf>
    <xf numFmtId="0" fontId="7" fillId="0" borderId="0" xfId="2" applyFont="1" applyFill="1" applyBorder="1" applyAlignment="1" applyProtection="1">
      <alignment horizontal="center" textRotation="90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1" fontId="43" fillId="0" borderId="15" xfId="4" applyNumberFormat="1" applyFont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8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>
      <alignment vertical="center"/>
    </xf>
    <xf numFmtId="0" fontId="10" fillId="8" borderId="21" xfId="0" applyFont="1" applyFill="1" applyBorder="1" applyAlignment="1">
      <alignment vertical="center"/>
    </xf>
    <xf numFmtId="0" fontId="10" fillId="8" borderId="22" xfId="0" applyFont="1" applyFill="1" applyBorder="1" applyAlignment="1">
      <alignment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31" fillId="0" borderId="0" xfId="2" applyFont="1" applyFill="1" applyBorder="1" applyAlignment="1" applyProtection="1">
      <alignment horizontal="center" vertical="center" textRotation="90" wrapText="1"/>
    </xf>
    <xf numFmtId="0" fontId="8" fillId="0" borderId="5" xfId="2" applyFont="1" applyFill="1" applyBorder="1" applyAlignment="1" applyProtection="1">
      <alignment horizontal="center"/>
    </xf>
    <xf numFmtId="0" fontId="8" fillId="0" borderId="16" xfId="2" applyFont="1" applyFill="1" applyBorder="1" applyAlignment="1" applyProtection="1">
      <alignment horizontal="center"/>
    </xf>
    <xf numFmtId="0" fontId="8" fillId="0" borderId="25" xfId="2" applyFont="1" applyFill="1" applyBorder="1" applyAlignment="1" applyProtection="1">
      <alignment horizontal="center"/>
    </xf>
    <xf numFmtId="0" fontId="9" fillId="0" borderId="6" xfId="2" applyFont="1" applyFill="1" applyBorder="1" applyAlignment="1" applyProtection="1">
      <alignment horizontal="center" wrapText="1"/>
    </xf>
    <xf numFmtId="0" fontId="26" fillId="0" borderId="20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6" xfId="2" applyFont="1" applyFill="1" applyBorder="1" applyAlignment="1" applyProtection="1">
      <alignment horizontal="center" wrapText="1"/>
    </xf>
    <xf numFmtId="0" fontId="8" fillId="0" borderId="7" xfId="2" applyFont="1" applyFill="1" applyBorder="1" applyAlignment="1" applyProtection="1">
      <alignment horizontal="center" wrapText="1"/>
    </xf>
    <xf numFmtId="164" fontId="12" fillId="4" borderId="13" xfId="3" applyNumberFormat="1" applyFont="1" applyFill="1" applyBorder="1" applyProtection="1">
      <alignment vertical="center"/>
      <protection locked="0"/>
    </xf>
    <xf numFmtId="0" fontId="12" fillId="4" borderId="11" xfId="3" applyFont="1" applyFill="1" applyBorder="1">
      <alignment vertical="center"/>
    </xf>
    <xf numFmtId="0" fontId="12" fillId="4" borderId="12" xfId="3" applyFont="1" applyFill="1" applyBorder="1">
      <alignment vertical="center"/>
    </xf>
    <xf numFmtId="0" fontId="9" fillId="0" borderId="6" xfId="2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22" fillId="0" borderId="6" xfId="2" applyFont="1" applyFill="1" applyBorder="1" applyAlignment="1" applyProtection="1">
      <alignment horizontal="center" vertical="center" wrapText="1"/>
    </xf>
    <xf numFmtId="0" fontId="17" fillId="7" borderId="6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44" fillId="0" borderId="42" xfId="0" applyFont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24" fillId="0" borderId="6" xfId="0" applyFont="1" applyBorder="1" applyAlignment="1">
      <alignment horizontal="left" vertical="center"/>
    </xf>
    <xf numFmtId="0" fontId="51" fillId="0" borderId="0" xfId="2" applyFont="1" applyAlignment="1">
      <alignment horizontal="center" vertical="center" wrapText="1"/>
    </xf>
  </cellXfs>
  <cellStyles count="5">
    <cellStyle name="Comma 2" xfId="4" xr:uid="{D66F4B2D-FA06-4BFB-83F2-F6992ED7D7C3}"/>
    <cellStyle name="Hyperlink" xfId="2" builtinId="8"/>
    <cellStyle name="Normal" xfId="0" builtinId="0"/>
    <cellStyle name="Normal 2" xfId="3" xr:uid="{96283C5B-8B59-4F90-A85C-580B1C599FB2}"/>
    <cellStyle name="Percent" xfId="1" builtinId="5"/>
  </cellStyles>
  <dxfs count="2">
    <dxf>
      <fill>
        <patternFill>
          <bgColor rgb="FFFFDAD9"/>
        </patternFill>
      </fill>
    </dxf>
    <dxf>
      <fill>
        <patternFill>
          <bgColor rgb="FFFFDAD9"/>
        </patternFill>
      </fill>
    </dxf>
  </dxfs>
  <tableStyles count="0" defaultTableStyle="TableStyleMedium2" defaultPivotStyle="PivotStyleLight16"/>
  <colors>
    <mruColors>
      <color rgb="FFD9EBCD"/>
      <color rgb="FFD0E5C1"/>
      <color rgb="FF75DBFF"/>
      <color rgb="FF2D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inhluong.pages.de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19</xdr:row>
      <xdr:rowOff>85725</xdr:rowOff>
    </xdr:from>
    <xdr:to>
      <xdr:col>16</xdr:col>
      <xdr:colOff>400050</xdr:colOff>
      <xdr:row>22</xdr:row>
      <xdr:rowOff>95250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BD6A7-3239-44BB-AAC9-891EAC89E1A2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561975</xdr:colOff>
      <xdr:row>18</xdr:row>
      <xdr:rowOff>66675</xdr:rowOff>
    </xdr:from>
    <xdr:to>
      <xdr:col>17</xdr:col>
      <xdr:colOff>884327</xdr:colOff>
      <xdr:row>23</xdr:row>
      <xdr:rowOff>161430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96B8F-517C-4F82-B0E2-4C0EF1600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3667125"/>
          <a:ext cx="1084352" cy="1094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19</xdr:row>
      <xdr:rowOff>85725</xdr:rowOff>
    </xdr:from>
    <xdr:to>
      <xdr:col>25</xdr:col>
      <xdr:colOff>400050</xdr:colOff>
      <xdr:row>22</xdr:row>
      <xdr:rowOff>95250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F11EE-AFCD-47D8-8C96-D4526768A148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495300</xdr:colOff>
      <xdr:row>18</xdr:row>
      <xdr:rowOff>47625</xdr:rowOff>
    </xdr:from>
    <xdr:to>
      <xdr:col>26</xdr:col>
      <xdr:colOff>817652</xdr:colOff>
      <xdr:row>23</xdr:row>
      <xdr:rowOff>142380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6CDA0-C9A5-4437-961D-2E6CA9ED2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3648075"/>
          <a:ext cx="1084352" cy="1094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0</xdr:row>
      <xdr:rowOff>66675</xdr:rowOff>
    </xdr:from>
    <xdr:to>
      <xdr:col>7</xdr:col>
      <xdr:colOff>19050</xdr:colOff>
      <xdr:row>0</xdr:row>
      <xdr:rowOff>285750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22C1082C-B7BB-DE8A-0526-9B83DE20BA25}"/>
            </a:ext>
          </a:extLst>
        </xdr:cNvPr>
        <xdr:cNvSpPr/>
      </xdr:nvSpPr>
      <xdr:spPr>
        <a:xfrm>
          <a:off x="5524500" y="66675"/>
          <a:ext cx="400050" cy="21907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20</xdr:row>
      <xdr:rowOff>85725</xdr:rowOff>
    </xdr:from>
    <xdr:to>
      <xdr:col>8</xdr:col>
      <xdr:colOff>400050</xdr:colOff>
      <xdr:row>23</xdr:row>
      <xdr:rowOff>95250</xdr:rowOff>
    </xdr:to>
    <xdr:sp macro="" textlink="">
      <xdr:nvSpPr>
        <xdr:cNvPr id="4" name="Arrow: Righ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22B3C-2D99-0641-2917-B1670BCC2FAD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552450</xdr:colOff>
      <xdr:row>19</xdr:row>
      <xdr:rowOff>76200</xdr:rowOff>
    </xdr:from>
    <xdr:to>
      <xdr:col>9</xdr:col>
      <xdr:colOff>874802</xdr:colOff>
      <xdr:row>24</xdr:row>
      <xdr:rowOff>170955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9A6DB-9652-4255-AB4A-4ACFA8662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4019550"/>
          <a:ext cx="1084352" cy="109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nhluong.pages.dev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inhluong.pages.de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hluong.pages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B2E-B263-4FBC-B07A-11E1DC32A4D8}">
  <sheetPr>
    <tabColor theme="7" tint="0.59999389629810485"/>
  </sheetPr>
  <dimension ref="A1:U36"/>
  <sheetViews>
    <sheetView showGridLines="0" showRowColHeaders="0" zoomScaleNormal="100" workbookViewId="0">
      <selection activeCell="Q1" sqref="Q1:R1"/>
    </sheetView>
  </sheetViews>
  <sheetFormatPr defaultColWidth="0" defaultRowHeight="15" zeroHeight="1" x14ac:dyDescent="0.25"/>
  <cols>
    <col min="1" max="1" width="10.140625" customWidth="1"/>
    <col min="2" max="2" width="7.28515625" customWidth="1"/>
    <col min="3" max="3" width="6.140625" bestFit="1" customWidth="1"/>
    <col min="4" max="7" width="7.42578125" customWidth="1"/>
    <col min="8" max="8" width="0.7109375" customWidth="1"/>
    <col min="9" max="9" width="9.5703125" customWidth="1"/>
    <col min="10" max="10" width="19.140625" customWidth="1"/>
    <col min="11" max="11" width="15.28515625" bestFit="1" customWidth="1"/>
    <col min="12" max="12" width="16.42578125" customWidth="1"/>
    <col min="13" max="13" width="1.28515625" customWidth="1"/>
    <col min="14" max="14" width="6.28515625" customWidth="1"/>
    <col min="15" max="15" width="17.5703125" customWidth="1"/>
    <col min="16" max="16" width="9.28515625" customWidth="1"/>
    <col min="17" max="17" width="11.42578125" customWidth="1"/>
    <col min="18" max="18" width="14.28515625" customWidth="1"/>
    <col min="19" max="19" width="2.7109375" hidden="1" customWidth="1"/>
    <col min="20" max="20" width="14.140625" hidden="1" customWidth="1"/>
    <col min="21" max="21" width="11.85546875" hidden="1" customWidth="1"/>
    <col min="22" max="16384" width="9.140625" hidden="1"/>
  </cols>
  <sheetData>
    <row r="1" spans="1:21" ht="15.75" customHeight="1" x14ac:dyDescent="0.25">
      <c r="A1" s="119" t="s">
        <v>0</v>
      </c>
      <c r="B1" s="120"/>
      <c r="C1" s="12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29"/>
      <c r="I1" s="131" t="s">
        <v>6</v>
      </c>
      <c r="J1" s="132"/>
      <c r="K1" s="2" t="s">
        <v>7</v>
      </c>
      <c r="L1" s="2" t="s">
        <v>8</v>
      </c>
      <c r="M1" s="3"/>
      <c r="N1" s="99" t="s">
        <v>9</v>
      </c>
      <c r="O1" s="99"/>
      <c r="P1" s="99"/>
      <c r="Q1" s="100">
        <v>5110000</v>
      </c>
      <c r="R1" s="100"/>
      <c r="S1" s="4"/>
      <c r="T1" s="5" t="s">
        <v>10</v>
      </c>
      <c r="U1" s="5" t="s">
        <v>11</v>
      </c>
    </row>
    <row r="2" spans="1:21" ht="15.75" customHeight="1" x14ac:dyDescent="0.25">
      <c r="A2" s="112" t="s">
        <v>12</v>
      </c>
      <c r="B2" s="133">
        <v>7</v>
      </c>
      <c r="C2" s="121"/>
      <c r="D2" s="111"/>
      <c r="E2" s="111"/>
      <c r="F2" s="111"/>
      <c r="G2" s="111"/>
      <c r="H2" s="130"/>
      <c r="I2" s="96" t="s">
        <v>13</v>
      </c>
      <c r="J2" s="6" t="s">
        <v>14</v>
      </c>
      <c r="K2" s="7">
        <f>R3-K10-K11-COUNTIF(D6:D36,"N70")*0.3-COUNTIFS(A6:A36,"Thứ Bảy",G6:G36,"&gt;0")/2+COUNTIFS(A6:A36,"Chủ Nhật",G6:G36,"&gt;0")/2</f>
        <v>27</v>
      </c>
      <c r="L2" s="8">
        <f>Q1/IF(R3&gt;26,26,R3)*K2</f>
        <v>5306538.461538461</v>
      </c>
      <c r="M2" s="9"/>
      <c r="N2" s="99" t="s">
        <v>15</v>
      </c>
      <c r="O2" s="99"/>
      <c r="P2" s="99"/>
      <c r="Q2" s="100">
        <v>200000</v>
      </c>
      <c r="R2" s="100"/>
      <c r="S2" s="4"/>
      <c r="T2" s="10">
        <v>0</v>
      </c>
      <c r="U2" s="10">
        <v>0</v>
      </c>
    </row>
    <row r="3" spans="1:21" ht="15.75" customHeight="1" x14ac:dyDescent="0.25">
      <c r="A3" s="112"/>
      <c r="B3" s="133"/>
      <c r="C3" s="121"/>
      <c r="D3" s="111"/>
      <c r="E3" s="111"/>
      <c r="F3" s="111"/>
      <c r="G3" s="111"/>
      <c r="H3" s="130"/>
      <c r="I3" s="97"/>
      <c r="J3" s="11" t="s">
        <v>16</v>
      </c>
      <c r="K3" s="12">
        <f>SUMIF($A$6:$A$36,"&lt;&gt;Chủ Nhật",E$6:E$36)+SUMIFS(E6:E36,A6:A36,"Chủ Nhật",G6:G36,"&gt;0")-SUMIFS(E6:E36,A6:A36,"Thứ Bảy",G6:G36,"&gt;0")</f>
        <v>0</v>
      </c>
      <c r="L3" s="13">
        <f>SUM(Q1,L14:L16)/IF(R3&gt;26,26,R3)/8*K3*150%</f>
        <v>0</v>
      </c>
      <c r="M3" s="9"/>
      <c r="N3" s="101" t="s">
        <v>17</v>
      </c>
      <c r="O3" s="101"/>
      <c r="P3" s="101"/>
      <c r="Q3" s="101"/>
      <c r="R3" s="15">
        <f>EOMONTH(DATE(B4,B2,1),0)-DATE(B4,B2,1)+1-INT((EOMONTH(DATE(B4,B2,1),0)-DATE(B4,B2,1)-WEEKDAY(EOMONTH(DATE(B4,B2,1),0)-7)+8)/7)</f>
        <v>27</v>
      </c>
      <c r="S3" s="4"/>
      <c r="T3" s="16">
        <v>200000</v>
      </c>
      <c r="U3" s="16">
        <v>100000</v>
      </c>
    </row>
    <row r="4" spans="1:21" ht="15.75" customHeight="1" x14ac:dyDescent="0.25">
      <c r="A4" s="112" t="s">
        <v>18</v>
      </c>
      <c r="B4" s="114">
        <v>2025</v>
      </c>
      <c r="C4" s="121"/>
      <c r="D4" s="111"/>
      <c r="E4" s="111"/>
      <c r="F4" s="111"/>
      <c r="G4" s="111"/>
      <c r="H4" s="130"/>
      <c r="I4" s="97"/>
      <c r="J4" s="6" t="s">
        <v>19</v>
      </c>
      <c r="K4" s="17">
        <f>SUMIF($A$6:$A$36,"&lt;&gt;Chủ Nhật",F$6:F$36)+SUMIFS(F6:F36,A6:A36,"Chủ Nhật",G6:G36,"&gt;0")-SUMIFS(F6:F36,A6:A36,"Thứ Bảy",G6:G36,"&gt;0")</f>
        <v>0</v>
      </c>
      <c r="L4" s="18">
        <f>SUM(Q1,L14:L16)/IF(R3&gt;26,26,R3)/8*K4*200%</f>
        <v>0</v>
      </c>
      <c r="M4" s="9"/>
      <c r="N4" s="116" t="s">
        <v>20</v>
      </c>
      <c r="O4" s="117"/>
      <c r="P4" s="117"/>
      <c r="Q4" s="117"/>
      <c r="R4" s="118"/>
      <c r="S4" s="4"/>
      <c r="T4" s="16">
        <v>300000</v>
      </c>
    </row>
    <row r="5" spans="1:21" ht="15.75" customHeight="1" x14ac:dyDescent="0.25">
      <c r="A5" s="113"/>
      <c r="B5" s="115"/>
      <c r="C5" s="121"/>
      <c r="D5" s="111"/>
      <c r="E5" s="111"/>
      <c r="F5" s="111"/>
      <c r="G5" s="111"/>
      <c r="H5" s="130"/>
      <c r="I5" s="98"/>
      <c r="J5" s="11" t="s">
        <v>21</v>
      </c>
      <c r="K5" s="12">
        <f>SUMIF($A$6:$A$36,"&lt;&gt;Chủ Nhật",G$6:G$36)+SUMIFS(G6:G36,A6:A36,"Chủ Nhật",G6:G36,"&gt;0")*2/3-SUMIFS(G6:G36,A6:A36,"Thứ Bảy",G6:G36,"&gt;0")*2/3</f>
        <v>0</v>
      </c>
      <c r="L5" s="19">
        <f>SUM(Q1,L14:L16)/IF(R3&gt;26,26,R3)/8*K5*30%</f>
        <v>0</v>
      </c>
      <c r="M5" s="9"/>
      <c r="N5" s="20" t="s">
        <v>1</v>
      </c>
      <c r="O5" s="20" t="s">
        <v>7</v>
      </c>
      <c r="P5" s="20" t="s">
        <v>22</v>
      </c>
      <c r="Q5" s="20" t="s">
        <v>23</v>
      </c>
      <c r="R5" s="20" t="s">
        <v>8</v>
      </c>
      <c r="S5" s="4"/>
      <c r="T5" s="16">
        <v>400000</v>
      </c>
    </row>
    <row r="6" spans="1:21" ht="15.75" customHeight="1" x14ac:dyDescent="0.25">
      <c r="A6" s="122" t="str">
        <f t="shared" ref="A6:A33" si="0">CHOOSE(WEEKDAY(DATE($B$4,$B$2,C6)),"Chủ Nhật","Thứ Hai","Thứ Ba","Thứ Tư","Thứ Năm","Thứ Sáu","Thứ Bảy")</f>
        <v>Thứ Ba</v>
      </c>
      <c r="B6" s="122"/>
      <c r="C6" s="21">
        <v>1</v>
      </c>
      <c r="D6" s="22"/>
      <c r="E6" s="23"/>
      <c r="F6" s="22"/>
      <c r="G6" s="22"/>
      <c r="H6" s="130"/>
      <c r="I6" s="123" t="s">
        <v>24</v>
      </c>
      <c r="J6" s="6" t="s">
        <v>25</v>
      </c>
      <c r="K6" s="7">
        <f>SUMIF($A$6:$A$36,"Chủ Nhật",D$6:D$36)/8-COUNTIFS(A6:A36,"Chủ Nhật",G6:G36,"&gt;0")/2+COUNTIFS(A6:A36,"Thứ Bảy",G6:G36,"&gt;0")/2</f>
        <v>0</v>
      </c>
      <c r="L6" s="18">
        <f>Q1/IF(R3&gt;26,26,R3)*K6*200%</f>
        <v>0</v>
      </c>
      <c r="M6" s="9"/>
      <c r="N6" s="126"/>
      <c r="O6" s="28" t="s">
        <v>26</v>
      </c>
      <c r="P6" s="29"/>
      <c r="Q6" s="30"/>
      <c r="R6" s="31">
        <f>P6*Q6*Q1/IF(R3&gt;26,26,R3)/8</f>
        <v>0</v>
      </c>
      <c r="S6" s="4"/>
      <c r="T6" s="16"/>
    </row>
    <row r="7" spans="1:21" ht="15.75" customHeight="1" x14ac:dyDescent="0.25">
      <c r="A7" s="127" t="str">
        <f t="shared" si="0"/>
        <v>Thứ Tư</v>
      </c>
      <c r="B7" s="127"/>
      <c r="C7" s="32">
        <v>2</v>
      </c>
      <c r="D7" s="33"/>
      <c r="E7" s="34"/>
      <c r="F7" s="33"/>
      <c r="G7" s="33"/>
      <c r="H7" s="130"/>
      <c r="I7" s="124"/>
      <c r="J7" s="11" t="s">
        <v>27</v>
      </c>
      <c r="K7" s="12">
        <f>SUMIF($A$6:$A$36,"Chủ Nhật",E$6:E$36)-SUMIFS(E6:E36,A6:A36,"Chủ Nhật",G6:G36,"&gt;0")+SUMIFS(E6:E36,A6:A36,"Thứ Bảy",G6:G36,"&gt;0")</f>
        <v>0</v>
      </c>
      <c r="L7" s="19">
        <f>SUM(Q1,L14:L16)/IF(R3&gt;26,26,R3)/8*K7*300%</f>
        <v>0</v>
      </c>
      <c r="M7" s="9"/>
      <c r="N7" s="126"/>
      <c r="O7" s="35" t="s">
        <v>28</v>
      </c>
      <c r="P7" s="36"/>
      <c r="Q7" s="37"/>
      <c r="R7" s="39">
        <f>P7*Q7*SUM($Q$1,$L$14:$L$16)/IF($R$3&gt;26,26,$R$3)/8</f>
        <v>0</v>
      </c>
      <c r="S7" s="4"/>
      <c r="T7" s="38" t="s">
        <v>29</v>
      </c>
    </row>
    <row r="8" spans="1:21" ht="15.75" customHeight="1" x14ac:dyDescent="0.25">
      <c r="A8" s="122" t="str">
        <f t="shared" si="0"/>
        <v>Thứ Năm</v>
      </c>
      <c r="B8" s="122"/>
      <c r="C8" s="21">
        <v>3</v>
      </c>
      <c r="D8" s="22"/>
      <c r="E8" s="23"/>
      <c r="F8" s="22"/>
      <c r="G8" s="22"/>
      <c r="H8" s="130"/>
      <c r="I8" s="124"/>
      <c r="J8" s="6" t="s">
        <v>30</v>
      </c>
      <c r="K8" s="17">
        <f>SUMIF($A$6:$A$36,"Chủ Nhật",F$6:F$36)-SUMIFS(F6:F36,A6:A36,"Chủ Nhật",G6:G36,"&gt;0")+SUMIFS(F6:F36,A6:A36,"Thứ Bảy",G6:G36,"&gt;0")</f>
        <v>0</v>
      </c>
      <c r="L8" s="18">
        <f>SUM(Q1,L14:L16)/IF(R3&gt;26,26,R3)/8*K8*340%</f>
        <v>0</v>
      </c>
      <c r="M8" s="9"/>
      <c r="N8" s="126"/>
      <c r="O8" s="28" t="s">
        <v>31</v>
      </c>
      <c r="P8" s="29"/>
      <c r="Q8" s="30"/>
      <c r="R8" s="31">
        <f>P8*Q8*Q1/IF(R3&gt;26,26,R3)/8</f>
        <v>0</v>
      </c>
      <c r="S8" s="4"/>
      <c r="T8" s="10">
        <v>0</v>
      </c>
    </row>
    <row r="9" spans="1:21" ht="15.75" customHeight="1" x14ac:dyDescent="0.25">
      <c r="A9" s="127" t="str">
        <f t="shared" si="0"/>
        <v>Thứ Sáu</v>
      </c>
      <c r="B9" s="127"/>
      <c r="C9" s="32">
        <v>4</v>
      </c>
      <c r="D9" s="33"/>
      <c r="E9" s="34"/>
      <c r="F9" s="33"/>
      <c r="G9" s="33"/>
      <c r="H9" s="130"/>
      <c r="I9" s="125"/>
      <c r="J9" s="11" t="s">
        <v>32</v>
      </c>
      <c r="K9" s="12">
        <f>SUMIF($A$6:$A$36,"Chủ Nhật",G$6:G$36)-SUMIFS(G6:G36,A6:A36,"Chủ Nhật",G6:G36,"&gt;0")*2/3+SUMIFS(G6:G36,A6:A36,"Thứ Bảy",G6:G36,"&gt;0")*2/3</f>
        <v>0</v>
      </c>
      <c r="L9" s="19">
        <f>SUM(Q1,L14:L16)/IF(R3&gt;26,26,R3)/8*K9*70%</f>
        <v>0</v>
      </c>
      <c r="M9" s="9"/>
      <c r="N9" s="126"/>
      <c r="O9" s="35" t="s">
        <v>26</v>
      </c>
      <c r="P9" s="36"/>
      <c r="Q9" s="37"/>
      <c r="R9" s="39">
        <f>P9*Q9*Q1/IF(R3&gt;26,26,R3)/8</f>
        <v>0</v>
      </c>
      <c r="S9" s="4"/>
      <c r="T9" s="16">
        <v>1500000</v>
      </c>
    </row>
    <row r="10" spans="1:21" ht="15.75" customHeight="1" x14ac:dyDescent="0.25">
      <c r="A10" s="122" t="str">
        <f t="shared" si="0"/>
        <v>Thứ Bảy</v>
      </c>
      <c r="B10" s="122"/>
      <c r="C10" s="21">
        <v>5</v>
      </c>
      <c r="D10" s="22"/>
      <c r="E10" s="23"/>
      <c r="F10" s="22"/>
      <c r="G10" s="22"/>
      <c r="H10" s="130"/>
      <c r="I10" s="128" t="s">
        <v>33</v>
      </c>
      <c r="J10" s="108"/>
      <c r="K10" s="7">
        <f>COUNTIF(D6:D36,"PN")+0.5*COUNTIF(D6:D36,"PN/2")</f>
        <v>0</v>
      </c>
      <c r="L10" s="18">
        <f>$Q$1/IF(R3&gt;26,26,R3)*K10</f>
        <v>0</v>
      </c>
      <c r="M10" s="9"/>
      <c r="N10" s="126"/>
      <c r="O10" s="28" t="s">
        <v>28</v>
      </c>
      <c r="P10" s="29"/>
      <c r="Q10" s="30"/>
      <c r="R10" s="31">
        <f>P10*Q10*SUM($Q$1,$L$14:$L$16)/IF($R$3&gt;26,26,$R$3)/8</f>
        <v>0</v>
      </c>
      <c r="S10" s="4"/>
      <c r="T10" s="16">
        <v>2500000</v>
      </c>
    </row>
    <row r="11" spans="1:21" ht="15.75" customHeight="1" x14ac:dyDescent="0.25">
      <c r="A11" s="127" t="str">
        <f t="shared" si="0"/>
        <v>Chủ Nhật</v>
      </c>
      <c r="B11" s="127"/>
      <c r="C11" s="32">
        <v>6</v>
      </c>
      <c r="D11" s="33"/>
      <c r="E11" s="34"/>
      <c r="F11" s="33"/>
      <c r="G11" s="33"/>
      <c r="H11" s="130"/>
      <c r="I11" s="109" t="s">
        <v>34</v>
      </c>
      <c r="J11" s="110"/>
      <c r="K11" s="41">
        <f>COUNTIF(D6:D36,"NL")</f>
        <v>0</v>
      </c>
      <c r="L11" s="42">
        <f>$Q$1/IF(R3&gt;26,26,R3)*K11</f>
        <v>0</v>
      </c>
      <c r="M11" s="9"/>
      <c r="N11" s="126"/>
      <c r="O11" s="35" t="s">
        <v>31</v>
      </c>
      <c r="P11" s="36"/>
      <c r="Q11" s="37"/>
      <c r="R11" s="39">
        <f>P11*Q11*Q1/IF(R3&gt;26,26,R3)/8</f>
        <v>0</v>
      </c>
      <c r="S11" s="4"/>
      <c r="T11" s="16">
        <v>3000000</v>
      </c>
    </row>
    <row r="12" spans="1:21" ht="15.75" customHeight="1" x14ac:dyDescent="0.25">
      <c r="A12" s="122" t="str">
        <f t="shared" si="0"/>
        <v>Thứ Hai</v>
      </c>
      <c r="B12" s="122"/>
      <c r="C12" s="21">
        <v>7</v>
      </c>
      <c r="D12" s="22"/>
      <c r="E12" s="23"/>
      <c r="F12" s="22"/>
      <c r="G12" s="22"/>
      <c r="H12" s="130"/>
      <c r="I12" s="106" t="s">
        <v>35</v>
      </c>
      <c r="J12" s="107"/>
      <c r="K12" s="108"/>
      <c r="L12" s="43">
        <v>200000</v>
      </c>
      <c r="M12" s="9"/>
      <c r="N12" s="126"/>
      <c r="O12" s="28" t="s">
        <v>26</v>
      </c>
      <c r="P12" s="29"/>
      <c r="Q12" s="30"/>
      <c r="R12" s="31">
        <f>P12*Q12*Q1/IF(R3&gt;26,26,R3)/8</f>
        <v>0</v>
      </c>
      <c r="S12" s="44"/>
      <c r="T12" s="16">
        <v>4000000</v>
      </c>
    </row>
    <row r="13" spans="1:21" ht="15.75" customHeight="1" x14ac:dyDescent="0.25">
      <c r="A13" s="127" t="str">
        <f t="shared" si="0"/>
        <v>Thứ Ba</v>
      </c>
      <c r="B13" s="127"/>
      <c r="C13" s="32">
        <v>8</v>
      </c>
      <c r="D13" s="33"/>
      <c r="E13" s="34"/>
      <c r="F13" s="33"/>
      <c r="G13" s="33"/>
      <c r="H13" s="130"/>
      <c r="I13" s="134" t="s">
        <v>36</v>
      </c>
      <c r="J13" s="135"/>
      <c r="K13" s="136"/>
      <c r="L13" s="45">
        <v>200000</v>
      </c>
      <c r="M13" s="4"/>
      <c r="N13" s="126"/>
      <c r="O13" s="35" t="s">
        <v>28</v>
      </c>
      <c r="P13" s="36"/>
      <c r="Q13" s="37"/>
      <c r="R13" s="39">
        <f>P13*Q13*SUM($Q$1,$L$14:$L$16)/IF($R$3&gt;26,26,$R$3)/8</f>
        <v>0</v>
      </c>
      <c r="S13" s="4"/>
      <c r="T13" s="16">
        <v>5000000</v>
      </c>
    </row>
    <row r="14" spans="1:21" ht="15.75" customHeight="1" x14ac:dyDescent="0.25">
      <c r="A14" s="122" t="str">
        <f t="shared" si="0"/>
        <v>Thứ Tư</v>
      </c>
      <c r="B14" s="122"/>
      <c r="C14" s="21">
        <v>9</v>
      </c>
      <c r="D14" s="22"/>
      <c r="E14" s="23"/>
      <c r="F14" s="22"/>
      <c r="G14" s="22"/>
      <c r="H14" s="130"/>
      <c r="I14" s="106" t="s">
        <v>37</v>
      </c>
      <c r="J14" s="107"/>
      <c r="K14" s="108"/>
      <c r="L14" s="46">
        <v>200000</v>
      </c>
      <c r="M14" s="4"/>
      <c r="N14" s="126"/>
      <c r="O14" s="28" t="s">
        <v>31</v>
      </c>
      <c r="P14" s="29"/>
      <c r="Q14" s="30"/>
      <c r="R14" s="31">
        <f>P14*Q14*Q1/IF(R3&gt;26,26,R3)/8</f>
        <v>0</v>
      </c>
      <c r="S14" s="4"/>
      <c r="T14" s="47"/>
    </row>
    <row r="15" spans="1:21" ht="15.75" customHeight="1" x14ac:dyDescent="0.25">
      <c r="A15" s="127" t="str">
        <f t="shared" si="0"/>
        <v>Thứ Năm</v>
      </c>
      <c r="B15" s="127"/>
      <c r="C15" s="32">
        <v>10</v>
      </c>
      <c r="D15" s="33"/>
      <c r="E15" s="34"/>
      <c r="F15" s="33"/>
      <c r="G15" s="33"/>
      <c r="H15" s="130"/>
      <c r="I15" s="134" t="s">
        <v>38</v>
      </c>
      <c r="J15" s="135"/>
      <c r="K15" s="136"/>
      <c r="L15" s="45">
        <v>0</v>
      </c>
      <c r="M15" s="4"/>
      <c r="N15" s="137"/>
      <c r="O15" s="35" t="s">
        <v>26</v>
      </c>
      <c r="P15" s="36"/>
      <c r="Q15" s="37"/>
      <c r="R15" s="39">
        <f>P15*Q15*Q1/IF(R3&gt;26,26,R3)/8</f>
        <v>0</v>
      </c>
      <c r="S15" s="4"/>
      <c r="T15" s="47" t="s">
        <v>39</v>
      </c>
    </row>
    <row r="16" spans="1:21" ht="15.75" customHeight="1" x14ac:dyDescent="0.25">
      <c r="A16" s="122" t="str">
        <f t="shared" si="0"/>
        <v>Thứ Sáu</v>
      </c>
      <c r="B16" s="122"/>
      <c r="C16" s="21">
        <v>11</v>
      </c>
      <c r="D16" s="22"/>
      <c r="E16" s="23"/>
      <c r="F16" s="22"/>
      <c r="G16" s="22"/>
      <c r="H16" s="130"/>
      <c r="I16" s="106" t="s">
        <v>40</v>
      </c>
      <c r="J16" s="107"/>
      <c r="K16" s="108"/>
      <c r="L16" s="46">
        <v>500000</v>
      </c>
      <c r="M16" s="4"/>
      <c r="N16" s="138"/>
      <c r="O16" s="28" t="s">
        <v>28</v>
      </c>
      <c r="P16" s="29"/>
      <c r="Q16" s="30"/>
      <c r="R16" s="31">
        <f>P16*Q16*SUM($Q$1,$L$14:$L$16)/IF($R$3&gt;26,26,$R$3)/8</f>
        <v>0</v>
      </c>
      <c r="S16" s="4"/>
      <c r="T16" s="16">
        <f>ROUND(1.5*T18/1000,0)*1000</f>
        <v>300000</v>
      </c>
    </row>
    <row r="17" spans="1:20" ht="15.75" customHeight="1" x14ac:dyDescent="0.25">
      <c r="A17" s="127" t="str">
        <f t="shared" si="0"/>
        <v>Thứ Bảy</v>
      </c>
      <c r="B17" s="127"/>
      <c r="C17" s="32">
        <v>12</v>
      </c>
      <c r="D17" s="33"/>
      <c r="E17" s="34"/>
      <c r="F17" s="33"/>
      <c r="G17" s="33"/>
      <c r="H17" s="130"/>
      <c r="I17" s="134" t="s">
        <v>41</v>
      </c>
      <c r="J17" s="135"/>
      <c r="K17" s="136"/>
      <c r="L17" s="45">
        <v>0</v>
      </c>
      <c r="M17" s="4"/>
      <c r="N17" s="139"/>
      <c r="O17" s="35" t="s">
        <v>31</v>
      </c>
      <c r="P17" s="36"/>
      <c r="Q17" s="37"/>
      <c r="R17" s="39">
        <f>P17*Q17*Q1/IF(R3&gt;26,26,R3)/8</f>
        <v>0</v>
      </c>
      <c r="S17" s="4"/>
      <c r="T17" s="16">
        <f>ROUND(1.3*T18/1000,0)*1000</f>
        <v>260000</v>
      </c>
    </row>
    <row r="18" spans="1:20" ht="15.75" customHeight="1" x14ac:dyDescent="0.25">
      <c r="A18" s="122" t="str">
        <f t="shared" si="0"/>
        <v>Chủ Nhật</v>
      </c>
      <c r="B18" s="122"/>
      <c r="C18" s="21">
        <v>13</v>
      </c>
      <c r="D18" s="22"/>
      <c r="E18" s="23"/>
      <c r="F18" s="22"/>
      <c r="G18" s="22"/>
      <c r="H18" s="130"/>
      <c r="I18" s="106" t="s">
        <v>42</v>
      </c>
      <c r="J18" s="107"/>
      <c r="K18" s="108"/>
      <c r="L18" s="46">
        <v>0</v>
      </c>
      <c r="M18" s="4"/>
      <c r="N18" s="102" t="s">
        <v>43</v>
      </c>
      <c r="O18" s="102"/>
      <c r="P18" s="102"/>
      <c r="Q18" s="102"/>
      <c r="R18" s="102"/>
      <c r="S18" s="4"/>
      <c r="T18" s="16">
        <f>Q2</f>
        <v>200000</v>
      </c>
    </row>
    <row r="19" spans="1:20" ht="15.75" customHeight="1" x14ac:dyDescent="0.25">
      <c r="A19" s="127" t="str">
        <f t="shared" si="0"/>
        <v>Thứ Hai</v>
      </c>
      <c r="B19" s="127"/>
      <c r="C19" s="32">
        <v>14</v>
      </c>
      <c r="D19" s="33"/>
      <c r="E19" s="34"/>
      <c r="F19" s="33"/>
      <c r="G19" s="33"/>
      <c r="H19" s="130"/>
      <c r="I19" s="134" t="s">
        <v>44</v>
      </c>
      <c r="J19" s="135"/>
      <c r="K19" s="136"/>
      <c r="L19" s="45"/>
      <c r="M19" s="4"/>
      <c r="N19" s="179" t="s">
        <v>71</v>
      </c>
      <c r="O19" s="179"/>
      <c r="P19" s="179"/>
      <c r="R19" s="4"/>
      <c r="S19" s="4"/>
      <c r="T19" s="16">
        <f>ROUND(0.7*T18/1000,0)*1000</f>
        <v>140000</v>
      </c>
    </row>
    <row r="20" spans="1:20" ht="15.75" customHeight="1" x14ac:dyDescent="0.3">
      <c r="A20" s="122" t="str">
        <f t="shared" si="0"/>
        <v>Thứ Ba</v>
      </c>
      <c r="B20" s="122"/>
      <c r="C20" s="21">
        <v>15</v>
      </c>
      <c r="D20" s="22"/>
      <c r="E20" s="23"/>
      <c r="F20" s="22"/>
      <c r="G20" s="22"/>
      <c r="H20" s="130"/>
      <c r="I20" s="106" t="s">
        <v>20</v>
      </c>
      <c r="J20" s="107"/>
      <c r="K20" s="108"/>
      <c r="L20" s="18">
        <f>SUM(R6:R17)</f>
        <v>0</v>
      </c>
      <c r="M20" s="4"/>
      <c r="N20" s="179"/>
      <c r="O20" s="179"/>
      <c r="P20" s="179"/>
      <c r="Q20" s="93"/>
      <c r="R20" s="4"/>
      <c r="S20" s="4"/>
      <c r="T20" s="16">
        <f>ROUND(0.5*T18/1000,0)*1000</f>
        <v>100000</v>
      </c>
    </row>
    <row r="21" spans="1:20" ht="15.75" customHeight="1" x14ac:dyDescent="0.3">
      <c r="A21" s="127" t="str">
        <f t="shared" si="0"/>
        <v>Thứ Tư</v>
      </c>
      <c r="B21" s="127"/>
      <c r="C21" s="32">
        <v>16</v>
      </c>
      <c r="D21" s="33"/>
      <c r="E21" s="34"/>
      <c r="F21" s="33"/>
      <c r="G21" s="33"/>
      <c r="H21" s="130"/>
      <c r="I21" s="140" t="s">
        <v>45</v>
      </c>
      <c r="J21" s="141"/>
      <c r="K21" s="142"/>
      <c r="L21" s="48">
        <f>SUM(L2:L20)</f>
        <v>6406538.461538461</v>
      </c>
      <c r="M21" s="49"/>
      <c r="N21" s="179"/>
      <c r="O21" s="179"/>
      <c r="P21" s="179"/>
      <c r="Q21" s="93"/>
      <c r="R21" s="4"/>
      <c r="S21" s="4"/>
      <c r="T21" s="47"/>
    </row>
    <row r="22" spans="1:20" ht="15.75" customHeight="1" x14ac:dyDescent="0.3">
      <c r="A22" s="122" t="str">
        <f t="shared" si="0"/>
        <v>Thứ Năm</v>
      </c>
      <c r="B22" s="122"/>
      <c r="C22" s="21">
        <v>17</v>
      </c>
      <c r="D22" s="22"/>
      <c r="E22" s="23"/>
      <c r="F22" s="22"/>
      <c r="G22" s="22"/>
      <c r="H22" s="130"/>
      <c r="I22" s="143" t="s">
        <v>46</v>
      </c>
      <c r="J22" s="144"/>
      <c r="K22" s="145"/>
      <c r="L22" s="50">
        <f>SUM(Q1,L14:L15)*10.5%</f>
        <v>557550</v>
      </c>
      <c r="M22" s="51"/>
      <c r="N22" s="179"/>
      <c r="O22" s="179"/>
      <c r="P22" s="179"/>
      <c r="Q22" s="93"/>
      <c r="R22" s="4"/>
      <c r="S22" s="4"/>
      <c r="T22" s="47" t="s">
        <v>47</v>
      </c>
    </row>
    <row r="23" spans="1:20" ht="15.75" customHeight="1" x14ac:dyDescent="0.25">
      <c r="A23" s="127" t="str">
        <f t="shared" si="0"/>
        <v>Thứ Sáu</v>
      </c>
      <c r="B23" s="127"/>
      <c r="C23" s="32">
        <v>18</v>
      </c>
      <c r="D23" s="33"/>
      <c r="E23" s="34"/>
      <c r="F23" s="33"/>
      <c r="G23" s="33"/>
      <c r="H23" s="130"/>
      <c r="I23" s="146" t="s">
        <v>48</v>
      </c>
      <c r="J23" s="147"/>
      <c r="K23" s="148"/>
      <c r="L23" s="52">
        <f>SUM(Q1,L14:L15)*1%</f>
        <v>53100</v>
      </c>
      <c r="M23" s="4"/>
      <c r="N23" s="179"/>
      <c r="O23" s="179"/>
      <c r="P23" s="179"/>
      <c r="Q23" s="4"/>
      <c r="R23" s="4"/>
      <c r="S23" s="53"/>
      <c r="T23" s="10">
        <v>0</v>
      </c>
    </row>
    <row r="24" spans="1:20" ht="15.75" customHeight="1" x14ac:dyDescent="0.25">
      <c r="A24" s="122" t="str">
        <f t="shared" si="0"/>
        <v>Thứ Bảy</v>
      </c>
      <c r="B24" s="122"/>
      <c r="C24" s="21">
        <v>19</v>
      </c>
      <c r="D24" s="22"/>
      <c r="E24" s="23"/>
      <c r="F24" s="22"/>
      <c r="G24" s="22"/>
      <c r="H24" s="149"/>
      <c r="I24" s="103" t="s">
        <v>49</v>
      </c>
      <c r="J24" s="104"/>
      <c r="K24" s="105"/>
      <c r="L24" s="86">
        <f>L21-L22-L23</f>
        <v>5795888.461538461</v>
      </c>
      <c r="M24" s="54"/>
      <c r="N24" s="179"/>
      <c r="O24" s="179"/>
      <c r="P24" s="179"/>
      <c r="Q24" s="4"/>
      <c r="R24" s="4"/>
      <c r="S24" s="55"/>
      <c r="T24" s="16">
        <v>50000</v>
      </c>
    </row>
    <row r="25" spans="1:20" ht="15.75" customHeight="1" x14ac:dyDescent="0.25">
      <c r="A25" s="127" t="str">
        <f t="shared" si="0"/>
        <v>Chủ Nhật</v>
      </c>
      <c r="B25" s="127"/>
      <c r="C25" s="32">
        <v>20</v>
      </c>
      <c r="D25" s="33"/>
      <c r="E25" s="34"/>
      <c r="F25" s="33"/>
      <c r="G25" s="33"/>
      <c r="H25" s="149"/>
      <c r="M25" s="56"/>
      <c r="S25" s="55"/>
      <c r="T25" s="16">
        <v>100000</v>
      </c>
    </row>
    <row r="26" spans="1:20" ht="15.75" customHeight="1" x14ac:dyDescent="0.25">
      <c r="A26" s="122" t="str">
        <f t="shared" si="0"/>
        <v>Thứ Hai</v>
      </c>
      <c r="B26" s="122"/>
      <c r="C26" s="21">
        <v>21</v>
      </c>
      <c r="D26" s="22"/>
      <c r="E26" s="23"/>
      <c r="F26" s="22"/>
      <c r="G26" s="22"/>
      <c r="H26" s="149"/>
      <c r="M26" s="57"/>
      <c r="N26" s="88"/>
      <c r="O26" s="88"/>
      <c r="P26" s="88"/>
      <c r="Q26" s="88"/>
      <c r="R26" s="88"/>
      <c r="S26" s="4"/>
      <c r="T26" s="16">
        <v>150000</v>
      </c>
    </row>
    <row r="27" spans="1:20" ht="15.75" customHeight="1" x14ac:dyDescent="0.25">
      <c r="A27" s="127" t="str">
        <f t="shared" si="0"/>
        <v>Thứ Ba</v>
      </c>
      <c r="B27" s="127"/>
      <c r="C27" s="32">
        <v>22</v>
      </c>
      <c r="D27" s="33"/>
      <c r="E27" s="34"/>
      <c r="F27" s="33"/>
      <c r="G27" s="33"/>
      <c r="H27" s="149"/>
      <c r="M27" s="57"/>
      <c r="N27" s="88"/>
      <c r="O27" s="88"/>
      <c r="P27" s="88"/>
      <c r="Q27" s="88"/>
      <c r="R27" s="88"/>
      <c r="S27" s="55"/>
      <c r="T27" s="16">
        <v>200000</v>
      </c>
    </row>
    <row r="28" spans="1:20" ht="15.75" customHeight="1" x14ac:dyDescent="0.25">
      <c r="A28" s="122" t="str">
        <f t="shared" si="0"/>
        <v>Thứ Tư</v>
      </c>
      <c r="B28" s="122"/>
      <c r="C28" s="21">
        <v>23</v>
      </c>
      <c r="D28" s="22"/>
      <c r="E28" s="23"/>
      <c r="F28" s="22"/>
      <c r="G28" s="22"/>
      <c r="H28" s="149"/>
      <c r="I28" s="4"/>
      <c r="J28" s="4"/>
      <c r="K28" s="4"/>
      <c r="L28" s="4"/>
      <c r="M28" s="57"/>
      <c r="N28" s="88"/>
      <c r="O28" s="88"/>
      <c r="P28" s="88"/>
      <c r="Q28" s="88"/>
      <c r="R28" s="88"/>
      <c r="S28" s="58"/>
      <c r="T28" s="16">
        <v>250000</v>
      </c>
    </row>
    <row r="29" spans="1:20" ht="15.75" customHeight="1" x14ac:dyDescent="0.25">
      <c r="A29" s="127" t="str">
        <f t="shared" si="0"/>
        <v>Thứ Năm</v>
      </c>
      <c r="B29" s="127"/>
      <c r="C29" s="32">
        <v>24</v>
      </c>
      <c r="D29" s="33"/>
      <c r="E29" s="34"/>
      <c r="F29" s="33"/>
      <c r="G29" s="33"/>
      <c r="H29" s="149"/>
      <c r="I29" s="4"/>
      <c r="J29" s="4"/>
      <c r="K29" s="4"/>
      <c r="L29" s="4"/>
      <c r="M29" s="57"/>
      <c r="N29" s="88"/>
      <c r="O29" s="88"/>
      <c r="P29" s="88"/>
      <c r="Q29" s="88"/>
      <c r="R29" s="88"/>
      <c r="S29" s="58"/>
      <c r="T29" s="59">
        <v>300000</v>
      </c>
    </row>
    <row r="30" spans="1:20" ht="15.75" customHeight="1" x14ac:dyDescent="0.25">
      <c r="A30" s="122" t="str">
        <f t="shared" si="0"/>
        <v>Thứ Sáu</v>
      </c>
      <c r="B30" s="122"/>
      <c r="C30" s="21">
        <v>25</v>
      </c>
      <c r="D30" s="22"/>
      <c r="E30" s="23"/>
      <c r="F30" s="22"/>
      <c r="G30" s="22"/>
      <c r="H30" s="149"/>
      <c r="I30" s="65"/>
      <c r="J30" s="65"/>
      <c r="K30" s="65"/>
      <c r="L30" s="65"/>
      <c r="M30" s="60"/>
      <c r="N30" s="87"/>
      <c r="O30" s="87"/>
      <c r="P30" s="87"/>
      <c r="Q30" s="4"/>
      <c r="R30" s="4"/>
      <c r="S30" s="58"/>
      <c r="T30" s="62"/>
    </row>
    <row r="31" spans="1:20" ht="15.75" customHeight="1" x14ac:dyDescent="0.25">
      <c r="A31" s="127" t="str">
        <f t="shared" si="0"/>
        <v>Thứ Bảy</v>
      </c>
      <c r="B31" s="127"/>
      <c r="C31" s="32">
        <v>26</v>
      </c>
      <c r="D31" s="33"/>
      <c r="E31" s="34"/>
      <c r="F31" s="33"/>
      <c r="G31" s="33"/>
      <c r="H31" s="149"/>
      <c r="I31" s="65"/>
      <c r="J31" s="65"/>
      <c r="K31" s="65"/>
      <c r="L31" s="65"/>
      <c r="M31" s="60"/>
      <c r="N31" s="87"/>
      <c r="O31" s="87"/>
      <c r="P31" s="87"/>
      <c r="Q31" s="61"/>
      <c r="R31" s="61"/>
      <c r="S31" s="58"/>
      <c r="T31" s="63">
        <v>0.9</v>
      </c>
    </row>
    <row r="32" spans="1:20" ht="15.75" customHeight="1" x14ac:dyDescent="0.25">
      <c r="A32" s="122" t="str">
        <f t="shared" si="0"/>
        <v>Chủ Nhật</v>
      </c>
      <c r="B32" s="122"/>
      <c r="C32" s="21">
        <v>27</v>
      </c>
      <c r="D32" s="22"/>
      <c r="E32" s="23"/>
      <c r="F32" s="22"/>
      <c r="G32" s="22"/>
      <c r="H32" s="149"/>
      <c r="I32" s="60"/>
      <c r="J32" s="60"/>
      <c r="K32" s="60"/>
      <c r="L32" s="60"/>
      <c r="M32" s="60"/>
      <c r="N32" s="87"/>
      <c r="O32" s="87"/>
      <c r="P32" s="87"/>
      <c r="Q32" s="61"/>
      <c r="R32" s="61"/>
      <c r="S32" s="58"/>
      <c r="T32" s="63">
        <v>3</v>
      </c>
    </row>
    <row r="33" spans="1:20" ht="15.75" customHeight="1" x14ac:dyDescent="0.25">
      <c r="A33" s="127" t="str">
        <f t="shared" si="0"/>
        <v>Thứ Hai</v>
      </c>
      <c r="B33" s="127"/>
      <c r="C33" s="32">
        <v>28</v>
      </c>
      <c r="D33" s="33"/>
      <c r="E33" s="34"/>
      <c r="F33" s="33"/>
      <c r="G33" s="33"/>
      <c r="H33" s="149"/>
      <c r="I33" s="64"/>
      <c r="J33" s="64"/>
      <c r="K33" s="64"/>
      <c r="L33" s="64"/>
      <c r="M33" s="64"/>
      <c r="N33" s="92"/>
      <c r="O33" s="92"/>
      <c r="P33" s="92"/>
      <c r="Q33" s="61"/>
      <c r="R33" s="61"/>
      <c r="S33" s="58"/>
      <c r="T33" s="63">
        <v>5</v>
      </c>
    </row>
    <row r="34" spans="1:20" ht="15.75" customHeight="1" x14ac:dyDescent="0.25">
      <c r="A34" s="122" t="str">
        <f>IFERROR(CHOOSE(WEEKDAY(DATE($B$4,$B$2,C34)),"Chủ Nhật","Thứ Hai","Thứ Ba","Thứ Tư","Thứ Năm","Thứ Sáu","Thứ Bảy"),"")</f>
        <v>Thứ Ba</v>
      </c>
      <c r="B34" s="122"/>
      <c r="C34" s="21">
        <f>IF((EOMONTH(DATE(B4,B2,1),0)-DATE(B4,B2,1)+1)&gt;28,29,"")</f>
        <v>29</v>
      </c>
      <c r="D34" s="22"/>
      <c r="E34" s="23"/>
      <c r="F34" s="22"/>
      <c r="G34" s="22"/>
      <c r="H34" s="149"/>
      <c r="I34" s="60"/>
      <c r="J34" s="60"/>
      <c r="K34" s="60"/>
      <c r="L34" s="60"/>
      <c r="M34" s="60"/>
      <c r="N34" s="92"/>
      <c r="O34" s="92"/>
      <c r="P34" s="92"/>
      <c r="Q34" s="61"/>
      <c r="R34" s="61"/>
      <c r="S34" s="58"/>
      <c r="T34" s="63">
        <v>3.8</v>
      </c>
    </row>
    <row r="35" spans="1:20" ht="15.75" customHeight="1" x14ac:dyDescent="0.25">
      <c r="A35" s="127" t="str">
        <f>IFERROR(CHOOSE(WEEKDAY(DATE($B$4,$B$2,C35)),"Chủ Nhật","Thứ Hai","Thứ Ba","Thứ Tư","Thứ Năm","Thứ Sáu","Thứ Bảy"),"")</f>
        <v>Thứ Tư</v>
      </c>
      <c r="B35" s="127"/>
      <c r="C35" s="32">
        <f>IF((EOMONTH(DATE(B4,B2,1),0)-DATE(B4,B2,1)+1)&gt;29,30,"")</f>
        <v>30</v>
      </c>
      <c r="D35" s="33"/>
      <c r="E35" s="34"/>
      <c r="F35" s="33"/>
      <c r="G35" s="33"/>
      <c r="H35" s="149"/>
      <c r="I35" s="60"/>
      <c r="J35" s="60"/>
      <c r="K35" s="60"/>
      <c r="L35" s="60"/>
      <c r="M35" s="60"/>
      <c r="N35" s="92"/>
      <c r="O35" s="92"/>
      <c r="P35" s="92"/>
      <c r="Q35" s="61"/>
      <c r="R35" s="61"/>
      <c r="S35" s="58"/>
      <c r="T35" s="63">
        <v>4.5</v>
      </c>
    </row>
    <row r="36" spans="1:20" ht="15.75" customHeight="1" x14ac:dyDescent="0.25">
      <c r="A36" s="122" t="str">
        <f>IFERROR(CHOOSE(WEEKDAY(DATE($B$4,$B$2,C36)),"Chủ Nhật","Thứ Hai","Thứ Ba","Thứ Tư","Thứ Năm","Thứ Sáu","Thứ Bảy"),"")</f>
        <v>Thứ Năm</v>
      </c>
      <c r="B36" s="122"/>
      <c r="C36" s="21">
        <f>IF((EOMONTH(DATE(B4,B2,1),0)-DATE(B4,B2,1)+1)&gt;30,31,"")</f>
        <v>31</v>
      </c>
      <c r="D36" s="22"/>
      <c r="E36" s="23"/>
      <c r="F36" s="22"/>
      <c r="G36" s="22"/>
      <c r="H36" s="149"/>
      <c r="I36" s="60"/>
      <c r="J36" s="60"/>
      <c r="K36" s="60"/>
      <c r="L36" s="60"/>
      <c r="M36" s="60"/>
      <c r="N36" s="92"/>
      <c r="O36" s="92"/>
      <c r="P36" s="92"/>
      <c r="Q36" s="61"/>
      <c r="R36" s="61"/>
      <c r="S36" s="4"/>
      <c r="T36" s="63">
        <v>5.0999999999999996</v>
      </c>
    </row>
  </sheetData>
  <sheetProtection algorithmName="SHA-512" hashValue="RrW2jRCu/aCR+lrva3tTjp3DmIrtBH2vUIUHWFwOQXoQzBQ4q7jaNMODiO0jYjdb1JBXtd1JGbrn+OuGyq+8wg==" saltValue="ka2wx+YTC/NM5WVvuo/KlQ==" spinCount="100000" sheet="1" objects="1" scenarios="1" selectLockedCells="1"/>
  <mergeCells count="73">
    <mergeCell ref="A23:B23"/>
    <mergeCell ref="I23:K23"/>
    <mergeCell ref="A26:B26"/>
    <mergeCell ref="A27:B27"/>
    <mergeCell ref="A21:B21"/>
    <mergeCell ref="A24:B24"/>
    <mergeCell ref="H24:H36"/>
    <mergeCell ref="A25:B25"/>
    <mergeCell ref="A30:B30"/>
    <mergeCell ref="A36:B36"/>
    <mergeCell ref="A31:B31"/>
    <mergeCell ref="A32:B32"/>
    <mergeCell ref="A33:B33"/>
    <mergeCell ref="A34:B34"/>
    <mergeCell ref="A35:B35"/>
    <mergeCell ref="A28:B28"/>
    <mergeCell ref="A20:B20"/>
    <mergeCell ref="I21:K21"/>
    <mergeCell ref="A22:B22"/>
    <mergeCell ref="I22:K22"/>
    <mergeCell ref="I19:K19"/>
    <mergeCell ref="A29:B29"/>
    <mergeCell ref="A18:B18"/>
    <mergeCell ref="A12:B12"/>
    <mergeCell ref="I12:K12"/>
    <mergeCell ref="N12:N14"/>
    <mergeCell ref="A13:B13"/>
    <mergeCell ref="I13:K13"/>
    <mergeCell ref="A14:B14"/>
    <mergeCell ref="I14:K14"/>
    <mergeCell ref="A15:B15"/>
    <mergeCell ref="I15:K15"/>
    <mergeCell ref="N15:N17"/>
    <mergeCell ref="A16:B16"/>
    <mergeCell ref="I16:K16"/>
    <mergeCell ref="A17:B17"/>
    <mergeCell ref="I17:K17"/>
    <mergeCell ref="A6:B6"/>
    <mergeCell ref="I6:I9"/>
    <mergeCell ref="N6:N8"/>
    <mergeCell ref="A7:B7"/>
    <mergeCell ref="A8:B8"/>
    <mergeCell ref="A9:B9"/>
    <mergeCell ref="N9:N11"/>
    <mergeCell ref="A10:B10"/>
    <mergeCell ref="I10:J10"/>
    <mergeCell ref="H1:H23"/>
    <mergeCell ref="I1:J1"/>
    <mergeCell ref="N1:P1"/>
    <mergeCell ref="A2:A3"/>
    <mergeCell ref="B2:B3"/>
    <mergeCell ref="A11:B11"/>
    <mergeCell ref="A19:B19"/>
    <mergeCell ref="G1:G5"/>
    <mergeCell ref="A4:A5"/>
    <mergeCell ref="B4:B5"/>
    <mergeCell ref="N4:R4"/>
    <mergeCell ref="Q1:R1"/>
    <mergeCell ref="A1:B1"/>
    <mergeCell ref="C1:C5"/>
    <mergeCell ref="D1:D5"/>
    <mergeCell ref="E1:E5"/>
    <mergeCell ref="F1:F5"/>
    <mergeCell ref="N19:P24"/>
    <mergeCell ref="I2:I5"/>
    <mergeCell ref="N2:P2"/>
    <mergeCell ref="Q2:R2"/>
    <mergeCell ref="N3:Q3"/>
    <mergeCell ref="N18:R18"/>
    <mergeCell ref="I24:K24"/>
    <mergeCell ref="I20:K20"/>
    <mergeCell ref="I11:J11"/>
    <mergeCell ref="I18:K18"/>
  </mergeCells>
  <conditionalFormatting sqref="A6:G36">
    <cfRule type="expression" dxfId="1" priority="1">
      <formula>$A6="Chủ Nhật"</formula>
    </cfRule>
  </conditionalFormatting>
  <dataValidations count="10">
    <dataValidation type="list" allowBlank="1" showInputMessage="1" prompt="Ngày lễ: 300%_x000a_Ngày tết: 500%" sqref="Q9 Q12 Q15 Q6" xr:uid="{D80C8B48-3730-42CE-94A4-901AC6EA55B1}">
      <formula1>$T$32:$T$33</formula1>
    </dataValidation>
    <dataValidation type="list" allowBlank="1" showInputMessage="1" prompt="Thông ca chủ nhật: 380%_x000a_Tăng ca ngày lễ: 450%_x000a_Tăng ca đêm lễ: 510%" sqref="Q7 Q10 Q13 Q16" xr:uid="{DD08BD4B-3D60-470C-A9D1-4A5EDC6C77D3}">
      <formula1>$T$34:$T$36</formula1>
    </dataValidation>
    <dataValidation type="list" allowBlank="1" showInputMessage="1" prompt="Ngày lễ: 90%_x000a_Ngày tết: 90%_x000a_Thông ca: 0%" sqref="Q8 Q11 Q14 Q17" xr:uid="{C599E0DB-C7B3-4EA7-AFF0-1CFEE0A0AC89}">
      <formula1>$T$31</formula1>
    </dataValidation>
    <dataValidation type="list" allowBlank="1" showInputMessage="1" showErrorMessage="1" prompt="Nghỉ việc viêng, nghỉ ốm, đi muộn, về sớm quá 8 giờ trong 1 tháng mất chuyên cần" sqref="L13" xr:uid="{3B280353-A76F-46C1-8A86-42772ACDA997}">
      <formula1>$T$2:$T$3</formula1>
    </dataValidation>
    <dataValidation type="list" allowBlank="1" showInputMessage="1" sqref="L18" xr:uid="{5F91F4CC-6787-473D-9B35-3E87952A36F2}">
      <formula1>$T$23:$T$29</formula1>
    </dataValidation>
    <dataValidation type="list" allowBlank="1" showInputMessage="1" prompt="- Trợ Lý: 1.500.000_x000a_- Tổ Trưởng: 2.500.000_x000a_- Trưởng ca: 3.000.000_x000a_- Phó quản lý: 4.000.000_x000a_- Quản lý: 5.000.000" sqref="L17" xr:uid="{3BBD929F-F35C-4C5C-9AA0-66BBED0BD42E}">
      <formula1>$T$8:$T$13</formula1>
    </dataValidation>
    <dataValidation type="list" allowBlank="1" showInputMessage="1" sqref="L12" xr:uid="{8FF939B8-4C5E-47DE-AF81-088389B464AD}">
      <formula1>$T$16:$T$20</formula1>
    </dataValidation>
    <dataValidation type="list" allowBlank="1" showInputMessage="1" prompt="- Dưới 1 năm: 200.000_x000a_- Dưới 2 năm: 300.000_x000a_- 2 năm trở lên: 400.000" sqref="L14" xr:uid="{9A1DE547-6976-43FE-B368-4535AD04C1CF}">
      <formula1>$T$3:$T$5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9A23237B-D69F-4529-9954-B0F6462ACE29}">
      <formula1>"PN,PN/2,NL,N70"</formula1>
    </dataValidation>
    <dataValidation type="list" allowBlank="1" showInputMessage="1" prompt="- Sơ cấp cứu: 100.000" sqref="L15" xr:uid="{11827208-6B14-4960-B412-1AE1FB8AD078}">
      <formula1>$U$2:$U$3</formula1>
    </dataValidation>
  </dataValidations>
  <hyperlinks>
    <hyperlink ref="N19:P24" r:id="rId1" display="https://tinhluong.pages.dev/" xr:uid="{E9DC57F6-60F2-4A38-A806-AFAF8B24E91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35C-6631-47FD-887D-990A2B86470A}">
  <sheetPr>
    <tabColor rgb="FF75DBFF"/>
  </sheetPr>
  <dimension ref="A1:HU36"/>
  <sheetViews>
    <sheetView showGridLines="0" showRowColHeaders="0" workbookViewId="0">
      <selection activeCell="Z1" sqref="Z1:AA1"/>
    </sheetView>
  </sheetViews>
  <sheetFormatPr defaultColWidth="0" defaultRowHeight="15" zeroHeight="1" x14ac:dyDescent="0.25"/>
  <cols>
    <col min="1" max="1" width="10.140625" style="4" customWidth="1"/>
    <col min="2" max="2" width="7.5703125" style="4" customWidth="1"/>
    <col min="3" max="3" width="6.140625" style="4" bestFit="1" customWidth="1"/>
    <col min="4" max="7" width="7.42578125" style="4" customWidth="1"/>
    <col min="8" max="8" width="0.7109375" style="4" customWidth="1"/>
    <col min="9" max="9" width="14.5703125" style="4" hidden="1" customWidth="1"/>
    <col min="10" max="16" width="9.42578125" style="4" hidden="1" customWidth="1"/>
    <col min="17" max="17" width="23.28515625" style="4" hidden="1" customWidth="1"/>
    <col min="18" max="18" width="9.5703125" style="4" customWidth="1"/>
    <col min="19" max="19" width="19.140625" style="4" customWidth="1"/>
    <col min="20" max="20" width="15.28515625" style="4" bestFit="1" customWidth="1"/>
    <col min="21" max="21" width="16.42578125" style="4" customWidth="1"/>
    <col min="22" max="22" width="1.28515625" style="4" customWidth="1"/>
    <col min="23" max="23" width="6.28515625" style="4" customWidth="1"/>
    <col min="24" max="24" width="18.28515625" style="4" customWidth="1"/>
    <col min="25" max="25" width="9.28515625" style="4" customWidth="1"/>
    <col min="26" max="26" width="11.42578125" style="4" customWidth="1"/>
    <col min="27" max="27" width="13.42578125" style="4" customWidth="1"/>
    <col min="28" max="28" width="2.7109375" style="4" hidden="1" customWidth="1"/>
    <col min="29" max="29" width="14.140625" style="4" hidden="1" customWidth="1"/>
    <col min="30" max="229" width="14" style="4" hidden="1" customWidth="1"/>
    <col min="230" max="16384" width="9" style="4" hidden="1"/>
  </cols>
  <sheetData>
    <row r="1" spans="1:30" ht="15.75" customHeight="1" x14ac:dyDescent="0.3">
      <c r="A1" s="119" t="s">
        <v>0</v>
      </c>
      <c r="B1" s="120"/>
      <c r="C1" s="157" t="s">
        <v>1</v>
      </c>
      <c r="D1" s="157" t="s">
        <v>2</v>
      </c>
      <c r="E1" s="157" t="s">
        <v>50</v>
      </c>
      <c r="F1" s="158" t="s">
        <v>51</v>
      </c>
      <c r="G1" s="159" t="s">
        <v>52</v>
      </c>
      <c r="H1" s="129"/>
      <c r="I1" s="150" t="s">
        <v>53</v>
      </c>
      <c r="J1" s="153" t="s">
        <v>54</v>
      </c>
      <c r="K1" s="153"/>
      <c r="L1" s="153"/>
      <c r="M1" s="153"/>
      <c r="N1" s="153"/>
      <c r="O1" s="153"/>
      <c r="P1" s="153"/>
      <c r="Q1" s="1"/>
      <c r="R1" s="155" t="s">
        <v>6</v>
      </c>
      <c r="S1" s="156"/>
      <c r="T1" s="2" t="s">
        <v>7</v>
      </c>
      <c r="U1" s="2" t="s">
        <v>8</v>
      </c>
      <c r="V1" s="3"/>
      <c r="W1" s="163" t="s">
        <v>9</v>
      </c>
      <c r="X1" s="164"/>
      <c r="Y1" s="164"/>
      <c r="Z1" s="100">
        <v>5110000</v>
      </c>
      <c r="AA1" s="162"/>
      <c r="AC1" s="5" t="s">
        <v>10</v>
      </c>
      <c r="AD1" s="5" t="s">
        <v>11</v>
      </c>
    </row>
    <row r="2" spans="1:30" ht="15.75" customHeight="1" x14ac:dyDescent="0.25">
      <c r="A2" s="112" t="s">
        <v>12</v>
      </c>
      <c r="B2" s="133">
        <v>7</v>
      </c>
      <c r="C2" s="157"/>
      <c r="D2" s="157"/>
      <c r="E2" s="157"/>
      <c r="F2" s="158"/>
      <c r="G2" s="158"/>
      <c r="H2" s="130"/>
      <c r="I2" s="151"/>
      <c r="J2" s="160" t="s">
        <v>55</v>
      </c>
      <c r="K2" s="160" t="s">
        <v>56</v>
      </c>
      <c r="L2" s="160" t="s">
        <v>57</v>
      </c>
      <c r="M2" s="160" t="s">
        <v>58</v>
      </c>
      <c r="N2" s="160" t="s">
        <v>59</v>
      </c>
      <c r="O2" s="160" t="s">
        <v>60</v>
      </c>
      <c r="P2" s="160" t="s">
        <v>61</v>
      </c>
      <c r="Q2" s="161" t="s">
        <v>62</v>
      </c>
      <c r="R2" s="96" t="s">
        <v>13</v>
      </c>
      <c r="S2" s="6" t="s">
        <v>14</v>
      </c>
      <c r="T2" s="7">
        <f>SUM(J6:J36)/8+COUNTIF(J6:J36,"N70")*0.7+COUNTIF(J6:J36,"PN/2")*0.5</f>
        <v>27</v>
      </c>
      <c r="U2" s="8">
        <f>Z1/IF(AA3&gt;26,26,AA3)*T2</f>
        <v>5306538.461538461</v>
      </c>
      <c r="V2" s="9"/>
      <c r="W2" s="163" t="s">
        <v>63</v>
      </c>
      <c r="X2" s="164"/>
      <c r="Y2" s="164"/>
      <c r="Z2" s="100">
        <v>200000</v>
      </c>
      <c r="AA2" s="162"/>
      <c r="AC2" s="10">
        <v>0</v>
      </c>
      <c r="AD2" s="10">
        <v>0</v>
      </c>
    </row>
    <row r="3" spans="1:30" ht="15.75" customHeight="1" x14ac:dyDescent="0.25">
      <c r="A3" s="112"/>
      <c r="B3" s="133"/>
      <c r="C3" s="157"/>
      <c r="D3" s="157"/>
      <c r="E3" s="157"/>
      <c r="F3" s="158"/>
      <c r="G3" s="158"/>
      <c r="H3" s="130"/>
      <c r="I3" s="151"/>
      <c r="J3" s="160"/>
      <c r="K3" s="160"/>
      <c r="L3" s="160"/>
      <c r="M3" s="160"/>
      <c r="N3" s="160"/>
      <c r="O3" s="160"/>
      <c r="P3" s="160"/>
      <c r="Q3" s="161"/>
      <c r="R3" s="97"/>
      <c r="S3" s="11" t="s">
        <v>16</v>
      </c>
      <c r="T3" s="12">
        <f>SUM(K6:K36)</f>
        <v>0</v>
      </c>
      <c r="U3" s="13">
        <f>SUM(Z1,U14:U16)/IF(AA3&gt;26,26,AA3)/8*T3*150%</f>
        <v>0</v>
      </c>
      <c r="V3" s="9"/>
      <c r="W3" s="14" t="s">
        <v>17</v>
      </c>
      <c r="X3" s="14"/>
      <c r="Y3" s="14"/>
      <c r="AA3" s="15">
        <f>EOMONTH(DATE(B4,B2,1),0)-DATE(B4,B2,1)+1-INT((EOMONTH(DATE(B4,B2,1),0)-DATE(B4,B2,1)-WEEKDAY(EOMONTH(DATE(B4,B2,1),0)-7)+8)/7)</f>
        <v>27</v>
      </c>
      <c r="AC3" s="16">
        <v>200000</v>
      </c>
      <c r="AD3" s="16">
        <v>100000</v>
      </c>
    </row>
    <row r="4" spans="1:30" ht="15.75" customHeight="1" x14ac:dyDescent="0.25">
      <c r="A4" s="112" t="s">
        <v>18</v>
      </c>
      <c r="B4" s="114">
        <v>2025</v>
      </c>
      <c r="C4" s="157"/>
      <c r="D4" s="157"/>
      <c r="E4" s="157"/>
      <c r="F4" s="158"/>
      <c r="G4" s="158"/>
      <c r="H4" s="130"/>
      <c r="I4" s="151"/>
      <c r="J4" s="160"/>
      <c r="K4" s="160"/>
      <c r="L4" s="160"/>
      <c r="M4" s="160"/>
      <c r="N4" s="160"/>
      <c r="O4" s="160"/>
      <c r="P4" s="160"/>
      <c r="Q4" s="161"/>
      <c r="R4" s="97"/>
      <c r="S4" s="6" t="s">
        <v>19</v>
      </c>
      <c r="T4" s="17">
        <f>SUM(L6:L36)</f>
        <v>0</v>
      </c>
      <c r="U4" s="18">
        <f>SUM(Z1,U14:U16)/IF(AA3&gt;26,26,AA3)/8*T4*200%</f>
        <v>0</v>
      </c>
      <c r="V4" s="9"/>
      <c r="W4" s="116" t="s">
        <v>20</v>
      </c>
      <c r="X4" s="117"/>
      <c r="Y4" s="117"/>
      <c r="Z4" s="117"/>
      <c r="AA4" s="118"/>
      <c r="AC4" s="16">
        <v>300000</v>
      </c>
    </row>
    <row r="5" spans="1:30" ht="15.75" customHeight="1" x14ac:dyDescent="0.25">
      <c r="A5" s="113"/>
      <c r="B5" s="115"/>
      <c r="C5" s="157"/>
      <c r="D5" s="157"/>
      <c r="E5" s="157"/>
      <c r="F5" s="158"/>
      <c r="G5" s="158"/>
      <c r="H5" s="130"/>
      <c r="I5" s="152"/>
      <c r="J5" s="160"/>
      <c r="K5" s="160"/>
      <c r="L5" s="160"/>
      <c r="M5" s="160"/>
      <c r="N5" s="160"/>
      <c r="O5" s="160"/>
      <c r="P5" s="160"/>
      <c r="Q5" s="161"/>
      <c r="R5" s="98"/>
      <c r="S5" s="11" t="s">
        <v>21</v>
      </c>
      <c r="T5" s="12">
        <f>SUM(M6:M36)</f>
        <v>0</v>
      </c>
      <c r="U5" s="19">
        <f>SUM(Z1,U14:U16)/IF(AA3&gt;26,26,AA3)/8*T5*30%</f>
        <v>0</v>
      </c>
      <c r="V5" s="9"/>
      <c r="W5" s="20" t="s">
        <v>1</v>
      </c>
      <c r="X5" s="20" t="s">
        <v>7</v>
      </c>
      <c r="Y5" s="20" t="s">
        <v>22</v>
      </c>
      <c r="Z5" s="20" t="s">
        <v>23</v>
      </c>
      <c r="AA5" s="20" t="s">
        <v>8</v>
      </c>
      <c r="AC5" s="16">
        <v>400000</v>
      </c>
    </row>
    <row r="6" spans="1:30" ht="15.75" customHeight="1" x14ac:dyDescent="0.25">
      <c r="A6" s="122" t="str">
        <f t="shared" ref="A6:A33" si="0">CHOOSE(WEEKDAY(DATE($B$4,$B$2,C6)),"Chủ Nhật","Thứ Hai","Thứ Ba","Thứ Tư","Thứ Năm","Thứ Sáu","Thứ Bảy")</f>
        <v>Thứ Ba</v>
      </c>
      <c r="B6" s="122"/>
      <c r="C6" s="21">
        <v>1</v>
      </c>
      <c r="D6" s="22"/>
      <c r="E6" s="23"/>
      <c r="F6" s="22"/>
      <c r="G6" s="22"/>
      <c r="H6" s="130"/>
      <c r="I6" s="24" t="str">
        <f t="shared" ref="I6:I36" si="1">IF(OR(AND(A6&lt;&gt;"Thứ Bảy",A6&lt;&gt;"Chủ Nhật"),AND(A6="Thứ Bảy",G6=0)),"Ngày Thường",IF(AND(A6="Thứ Bảy",G6&gt;0),"Thứ Bảy Đêm",IF(AND(A6="Chủ Nhật",G6=0),"Chủ Nhật Ngày","Chủ Nhật Đêm")))</f>
        <v>Ngày Thường</v>
      </c>
      <c r="J6" s="25">
        <f>IFERROR(IF(C6="","",IF(D6="N70","N70",IF(D6="PN","PN",IF(D6="PN/2","PN/2",IF(D6="NL","NL",IF(I6="Ngày Thường",8-D6,IF(I6="Thứ Bảy Đêm",IF(D6&gt;=4,"",4-D6),IF(I6="Chủ Nhật Ngày","",D6-4)))))))),8)</f>
        <v>8</v>
      </c>
      <c r="K6" s="25" t="str">
        <f t="shared" ref="K6:K36" si="2">IF(E6="","",IF(AND(I6="Ngày Thường",G6=0),E6,IF(OR(AND(I6="Ngày Thường",G6&gt;0),I6="Chủ Nhật Đêm"),IF(E6&gt;2,E6-2,""),"")))</f>
        <v/>
      </c>
      <c r="L6" s="26" t="str">
        <f t="shared" ref="L6:L36" si="3">IF(OR(AND(I6="Ngày Thường",G6&gt;0),I6="Chủ Nhật Đêm"),IF(E6&gt;2,2+F6,E6+F6),"")</f>
        <v/>
      </c>
      <c r="M6" s="25" t="str">
        <f t="shared" ref="M6:M36" si="4">IF(AND(I6="Ngày Thường",G6&gt;0),G6,IF(I6="Thứ Bảy Đêm",G6-4,IF(I6="Chủ Nhật Đêm",4,"")))</f>
        <v/>
      </c>
      <c r="N6" s="25" t="str">
        <f t="shared" ref="N6:N36" si="5">IF(I6="Chủ Nhật Ngày",D6,IF(I6="Chủ Nhật Đêm",D6-4,IF(I6="Thứ Bảy Đêm",4,"")))</f>
        <v/>
      </c>
      <c r="O6" s="25" t="str">
        <f t="shared" ref="O6:O36" si="6">IF(I6="Chủ Nhật Ngày",E6,"")</f>
        <v/>
      </c>
      <c r="P6" s="25" t="str">
        <f t="shared" ref="P6:P36" si="7">IF(I6="Thứ Bảy Đêm",E6+F6,"")</f>
        <v/>
      </c>
      <c r="Q6" s="27" t="str">
        <f t="shared" ref="Q6:Q36" si="8">IF(I6="Thứ Bảy Đêm",4,IF(I6="Chủ Nhật Đêm",G6-4,""))</f>
        <v/>
      </c>
      <c r="R6" s="123" t="s">
        <v>24</v>
      </c>
      <c r="S6" s="6" t="s">
        <v>25</v>
      </c>
      <c r="T6" s="7">
        <f>SUM(N6:N36)/8</f>
        <v>0</v>
      </c>
      <c r="U6" s="18">
        <f>Z1/IF(AA3&gt;26,26,AA3)*T6*200%</f>
        <v>0</v>
      </c>
      <c r="V6" s="9"/>
      <c r="W6" s="126"/>
      <c r="X6" s="28" t="s">
        <v>26</v>
      </c>
      <c r="Y6" s="29"/>
      <c r="Z6" s="30"/>
      <c r="AA6" s="31">
        <f>Y6*Z6*Z1/IF(AA3&gt;26,26,AA3)/8</f>
        <v>0</v>
      </c>
      <c r="AC6" s="16"/>
    </row>
    <row r="7" spans="1:30" ht="15.75" customHeight="1" x14ac:dyDescent="0.25">
      <c r="A7" s="127" t="str">
        <f t="shared" si="0"/>
        <v>Thứ Tư</v>
      </c>
      <c r="B7" s="127"/>
      <c r="C7" s="32">
        <v>2</v>
      </c>
      <c r="D7" s="33"/>
      <c r="E7" s="34"/>
      <c r="F7" s="33"/>
      <c r="G7" s="33"/>
      <c r="H7" s="130"/>
      <c r="I7" s="24" t="str">
        <f t="shared" si="1"/>
        <v>Ngày Thường</v>
      </c>
      <c r="J7" s="25">
        <f t="shared" ref="J7:J36" si="9">IFERROR(IF(C7="","",IF(D7="N70","N70",IF(D7="PN","PN",IF(D7="PN/2","PN/2",IF(D7="NL","NL",IF(I7="Ngày Thường",8-D7,IF(I7="Thứ Bảy Đêm",IF(D7&gt;=4,"",4-D7),IF(I7="Chủ Nhật Ngày","",D7-4)))))))),8)</f>
        <v>8</v>
      </c>
      <c r="K7" s="25" t="str">
        <f t="shared" si="2"/>
        <v/>
      </c>
      <c r="L7" s="26" t="str">
        <f t="shared" si="3"/>
        <v/>
      </c>
      <c r="M7" s="25" t="str">
        <f t="shared" si="4"/>
        <v/>
      </c>
      <c r="N7" s="25" t="str">
        <f t="shared" si="5"/>
        <v/>
      </c>
      <c r="O7" s="25" t="str">
        <f t="shared" si="6"/>
        <v/>
      </c>
      <c r="P7" s="25" t="str">
        <f t="shared" si="7"/>
        <v/>
      </c>
      <c r="Q7" s="27" t="str">
        <f t="shared" si="8"/>
        <v/>
      </c>
      <c r="R7" s="124"/>
      <c r="S7" s="11" t="s">
        <v>27</v>
      </c>
      <c r="T7" s="12">
        <f>SUM(O6:O36)</f>
        <v>0</v>
      </c>
      <c r="U7" s="19">
        <f>SUM(Z1,U14:U16)/IF(AA3&gt;26,26,AA3)/8*T7*300%</f>
        <v>0</v>
      </c>
      <c r="V7" s="9"/>
      <c r="W7" s="126"/>
      <c r="X7" s="35" t="s">
        <v>28</v>
      </c>
      <c r="Y7" s="36"/>
      <c r="Z7" s="37"/>
      <c r="AA7" s="39">
        <f>Y7*Z7*SUM($Z$1,$U$14:$U$16)/IF($AA$3&gt;26,26,$AA$3)/8</f>
        <v>0</v>
      </c>
      <c r="AC7" s="38" t="s">
        <v>29</v>
      </c>
    </row>
    <row r="8" spans="1:30" ht="15.75" customHeight="1" x14ac:dyDescent="0.25">
      <c r="A8" s="122" t="str">
        <f t="shared" si="0"/>
        <v>Thứ Năm</v>
      </c>
      <c r="B8" s="122"/>
      <c r="C8" s="21">
        <v>3</v>
      </c>
      <c r="D8" s="22"/>
      <c r="E8" s="23"/>
      <c r="F8" s="22"/>
      <c r="G8" s="22"/>
      <c r="H8" s="130"/>
      <c r="I8" s="24" t="str">
        <f t="shared" si="1"/>
        <v>Ngày Thường</v>
      </c>
      <c r="J8" s="25">
        <f t="shared" si="9"/>
        <v>8</v>
      </c>
      <c r="K8" s="25" t="str">
        <f t="shared" si="2"/>
        <v/>
      </c>
      <c r="L8" s="26" t="str">
        <f t="shared" si="3"/>
        <v/>
      </c>
      <c r="M8" s="25" t="str">
        <f t="shared" si="4"/>
        <v/>
      </c>
      <c r="N8" s="25" t="str">
        <f t="shared" si="5"/>
        <v/>
      </c>
      <c r="O8" s="25" t="str">
        <f t="shared" si="6"/>
        <v/>
      </c>
      <c r="P8" s="25" t="str">
        <f t="shared" si="7"/>
        <v/>
      </c>
      <c r="Q8" s="27" t="str">
        <f t="shared" si="8"/>
        <v/>
      </c>
      <c r="R8" s="124"/>
      <c r="S8" s="6" t="s">
        <v>30</v>
      </c>
      <c r="T8" s="17">
        <f>SUM(P6:P36)</f>
        <v>0</v>
      </c>
      <c r="U8" s="18">
        <f>SUM(Z1,U14:U16)/IF(AA3&gt;26,26,AA3)/8*T8*340%</f>
        <v>0</v>
      </c>
      <c r="V8" s="9"/>
      <c r="W8" s="126"/>
      <c r="X8" s="28" t="s">
        <v>31</v>
      </c>
      <c r="Y8" s="29"/>
      <c r="Z8" s="30"/>
      <c r="AA8" s="31">
        <f>Y8*Z8*Z1/IF(AA3&gt;26,26,AA3)/8</f>
        <v>0</v>
      </c>
      <c r="AC8" s="10">
        <v>0</v>
      </c>
    </row>
    <row r="9" spans="1:30" ht="15.75" customHeight="1" x14ac:dyDescent="0.25">
      <c r="A9" s="127" t="str">
        <f t="shared" si="0"/>
        <v>Thứ Sáu</v>
      </c>
      <c r="B9" s="127"/>
      <c r="C9" s="32">
        <v>4</v>
      </c>
      <c r="D9" s="33"/>
      <c r="E9" s="34"/>
      <c r="F9" s="33"/>
      <c r="G9" s="33"/>
      <c r="H9" s="130"/>
      <c r="I9" s="24" t="str">
        <f t="shared" si="1"/>
        <v>Ngày Thường</v>
      </c>
      <c r="J9" s="25">
        <f t="shared" si="9"/>
        <v>8</v>
      </c>
      <c r="K9" s="25" t="str">
        <f t="shared" si="2"/>
        <v/>
      </c>
      <c r="L9" s="26" t="str">
        <f t="shared" si="3"/>
        <v/>
      </c>
      <c r="M9" s="25" t="str">
        <f t="shared" si="4"/>
        <v/>
      </c>
      <c r="N9" s="25" t="str">
        <f t="shared" si="5"/>
        <v/>
      </c>
      <c r="O9" s="25" t="str">
        <f t="shared" si="6"/>
        <v/>
      </c>
      <c r="P9" s="25" t="str">
        <f t="shared" si="7"/>
        <v/>
      </c>
      <c r="Q9" s="27" t="str">
        <f t="shared" si="8"/>
        <v/>
      </c>
      <c r="R9" s="125"/>
      <c r="S9" s="11" t="s">
        <v>32</v>
      </c>
      <c r="T9" s="12">
        <f>SUM(Q6:Q36)</f>
        <v>0</v>
      </c>
      <c r="U9" s="19">
        <f>SUM(Z1,U14:U16)/IF(AA3&gt;26,26,AA3)/8*T9*70%</f>
        <v>0</v>
      </c>
      <c r="V9" s="9"/>
      <c r="W9" s="126"/>
      <c r="X9" s="35" t="s">
        <v>26</v>
      </c>
      <c r="Y9" s="36"/>
      <c r="Z9" s="37"/>
      <c r="AA9" s="39">
        <f>Y9*Z9*Z1/IF(AA3&gt;26,26,AA3)/8</f>
        <v>0</v>
      </c>
      <c r="AC9" s="16">
        <v>1500000</v>
      </c>
      <c r="AD9" s="40"/>
    </row>
    <row r="10" spans="1:30" ht="15.75" customHeight="1" x14ac:dyDescent="0.25">
      <c r="A10" s="122" t="str">
        <f t="shared" si="0"/>
        <v>Thứ Bảy</v>
      </c>
      <c r="B10" s="122"/>
      <c r="C10" s="21">
        <v>5</v>
      </c>
      <c r="D10" s="22"/>
      <c r="E10" s="23"/>
      <c r="F10" s="22"/>
      <c r="G10" s="22"/>
      <c r="H10" s="130"/>
      <c r="I10" s="24" t="str">
        <f t="shared" si="1"/>
        <v>Ngày Thường</v>
      </c>
      <c r="J10" s="25">
        <f t="shared" si="9"/>
        <v>8</v>
      </c>
      <c r="K10" s="25" t="str">
        <f t="shared" si="2"/>
        <v/>
      </c>
      <c r="L10" s="26" t="str">
        <f t="shared" si="3"/>
        <v/>
      </c>
      <c r="M10" s="25" t="str">
        <f t="shared" si="4"/>
        <v/>
      </c>
      <c r="N10" s="25" t="str">
        <f t="shared" si="5"/>
        <v/>
      </c>
      <c r="O10" s="25" t="str">
        <f t="shared" si="6"/>
        <v/>
      </c>
      <c r="P10" s="25" t="str">
        <f t="shared" si="7"/>
        <v/>
      </c>
      <c r="Q10" s="27" t="str">
        <f t="shared" si="8"/>
        <v/>
      </c>
      <c r="R10" s="128" t="s">
        <v>33</v>
      </c>
      <c r="S10" s="108"/>
      <c r="T10" s="7">
        <f>COUNTIF(J6:J36,"PN")+0.5*COUNTIF(J6:J36,"PN/2")</f>
        <v>0</v>
      </c>
      <c r="U10" s="18">
        <f>$Z$1/IF(AA3&gt;26,26,AA3)*T10</f>
        <v>0</v>
      </c>
      <c r="V10" s="9"/>
      <c r="W10" s="126"/>
      <c r="X10" s="28" t="s">
        <v>28</v>
      </c>
      <c r="Y10" s="29"/>
      <c r="Z10" s="30"/>
      <c r="AA10" s="31">
        <f>Y10*Z10*SUM($Z$1,$U$14:$U$16)/IF($AA$3&gt;26,26,$AA$3)/8</f>
        <v>0</v>
      </c>
      <c r="AC10" s="16">
        <v>2500000</v>
      </c>
    </row>
    <row r="11" spans="1:30" ht="15.75" customHeight="1" x14ac:dyDescent="0.25">
      <c r="A11" s="127" t="str">
        <f t="shared" si="0"/>
        <v>Chủ Nhật</v>
      </c>
      <c r="B11" s="127"/>
      <c r="C11" s="32">
        <v>6</v>
      </c>
      <c r="D11" s="33"/>
      <c r="E11" s="34"/>
      <c r="F11" s="33"/>
      <c r="G11" s="33"/>
      <c r="H11" s="130"/>
      <c r="I11" s="24" t="str">
        <f t="shared" si="1"/>
        <v>Chủ Nhật Ngày</v>
      </c>
      <c r="J11" s="25" t="str">
        <f t="shared" si="9"/>
        <v/>
      </c>
      <c r="K11" s="25" t="str">
        <f t="shared" si="2"/>
        <v/>
      </c>
      <c r="L11" s="26" t="str">
        <f t="shared" si="3"/>
        <v/>
      </c>
      <c r="M11" s="25" t="str">
        <f t="shared" si="4"/>
        <v/>
      </c>
      <c r="N11" s="25">
        <f t="shared" si="5"/>
        <v>0</v>
      </c>
      <c r="O11" s="25">
        <f t="shared" si="6"/>
        <v>0</v>
      </c>
      <c r="P11" s="25" t="str">
        <f t="shared" si="7"/>
        <v/>
      </c>
      <c r="Q11" s="27" t="str">
        <f t="shared" si="8"/>
        <v/>
      </c>
      <c r="R11" s="109" t="s">
        <v>34</v>
      </c>
      <c r="S11" s="110"/>
      <c r="T11" s="41">
        <f>COUNTIF(J6:J36,"NL")</f>
        <v>0</v>
      </c>
      <c r="U11" s="42">
        <f>$Z$1/IF(AA3&gt;26,26,AA3)*T11</f>
        <v>0</v>
      </c>
      <c r="V11" s="9"/>
      <c r="W11" s="126"/>
      <c r="X11" s="35" t="s">
        <v>31</v>
      </c>
      <c r="Y11" s="36"/>
      <c r="Z11" s="37"/>
      <c r="AA11" s="39">
        <f>Y11*Z11*Z1/IF(AA3&gt;26,26,AA3)/8</f>
        <v>0</v>
      </c>
      <c r="AC11" s="16">
        <v>3000000</v>
      </c>
    </row>
    <row r="12" spans="1:30" ht="15.75" customHeight="1" x14ac:dyDescent="0.25">
      <c r="A12" s="122" t="str">
        <f t="shared" si="0"/>
        <v>Thứ Hai</v>
      </c>
      <c r="B12" s="122"/>
      <c r="C12" s="21">
        <v>7</v>
      </c>
      <c r="D12" s="22"/>
      <c r="E12" s="23"/>
      <c r="F12" s="22"/>
      <c r="G12" s="22"/>
      <c r="H12" s="130"/>
      <c r="I12" s="24" t="str">
        <f t="shared" si="1"/>
        <v>Ngày Thường</v>
      </c>
      <c r="J12" s="25">
        <f t="shared" si="9"/>
        <v>8</v>
      </c>
      <c r="K12" s="25" t="str">
        <f t="shared" si="2"/>
        <v/>
      </c>
      <c r="L12" s="26" t="str">
        <f t="shared" si="3"/>
        <v/>
      </c>
      <c r="M12" s="25" t="str">
        <f t="shared" si="4"/>
        <v/>
      </c>
      <c r="N12" s="25" t="str">
        <f t="shared" si="5"/>
        <v/>
      </c>
      <c r="O12" s="25" t="str">
        <f t="shared" si="6"/>
        <v/>
      </c>
      <c r="P12" s="25" t="str">
        <f t="shared" si="7"/>
        <v/>
      </c>
      <c r="Q12" s="27" t="str">
        <f t="shared" si="8"/>
        <v/>
      </c>
      <c r="R12" s="106" t="s">
        <v>35</v>
      </c>
      <c r="S12" s="107"/>
      <c r="T12" s="108"/>
      <c r="U12" s="43">
        <v>200000</v>
      </c>
      <c r="V12" s="9"/>
      <c r="W12" s="126"/>
      <c r="X12" s="28" t="s">
        <v>26</v>
      </c>
      <c r="Y12" s="29"/>
      <c r="Z12" s="30"/>
      <c r="AA12" s="31">
        <f>Y12*Z12*Z1/IF(AA3&gt;26,26,AA3)/8</f>
        <v>0</v>
      </c>
      <c r="AB12" s="44"/>
      <c r="AC12" s="16">
        <v>4000000</v>
      </c>
    </row>
    <row r="13" spans="1:30" ht="15.75" customHeight="1" x14ac:dyDescent="0.25">
      <c r="A13" s="127" t="str">
        <f t="shared" si="0"/>
        <v>Thứ Ba</v>
      </c>
      <c r="B13" s="127"/>
      <c r="C13" s="32">
        <v>8</v>
      </c>
      <c r="D13" s="33"/>
      <c r="E13" s="34"/>
      <c r="F13" s="33"/>
      <c r="G13" s="33"/>
      <c r="H13" s="130"/>
      <c r="I13" s="24" t="str">
        <f t="shared" si="1"/>
        <v>Ngày Thường</v>
      </c>
      <c r="J13" s="25">
        <f t="shared" si="9"/>
        <v>8</v>
      </c>
      <c r="K13" s="25" t="str">
        <f t="shared" si="2"/>
        <v/>
      </c>
      <c r="L13" s="26" t="str">
        <f t="shared" si="3"/>
        <v/>
      </c>
      <c r="M13" s="25" t="str">
        <f t="shared" si="4"/>
        <v/>
      </c>
      <c r="N13" s="25" t="str">
        <f t="shared" si="5"/>
        <v/>
      </c>
      <c r="O13" s="25" t="str">
        <f t="shared" si="6"/>
        <v/>
      </c>
      <c r="P13" s="25" t="str">
        <f t="shared" si="7"/>
        <v/>
      </c>
      <c r="Q13" s="27" t="str">
        <f t="shared" si="8"/>
        <v/>
      </c>
      <c r="R13" s="134" t="s">
        <v>64</v>
      </c>
      <c r="S13" s="135"/>
      <c r="T13" s="136"/>
      <c r="U13" s="45">
        <v>200000</v>
      </c>
      <c r="W13" s="126"/>
      <c r="X13" s="35" t="s">
        <v>28</v>
      </c>
      <c r="Y13" s="36"/>
      <c r="Z13" s="37"/>
      <c r="AA13" s="39">
        <f>Y13*Z13*SUM($Z$1,$U$14:$U$16)/IF($AA$3&gt;26,26,$AA$3)/8</f>
        <v>0</v>
      </c>
      <c r="AC13" s="16">
        <v>5000000</v>
      </c>
    </row>
    <row r="14" spans="1:30" ht="15.75" customHeight="1" x14ac:dyDescent="0.25">
      <c r="A14" s="122" t="str">
        <f t="shared" si="0"/>
        <v>Thứ Tư</v>
      </c>
      <c r="B14" s="122"/>
      <c r="C14" s="21">
        <v>9</v>
      </c>
      <c r="D14" s="22"/>
      <c r="E14" s="23"/>
      <c r="F14" s="22"/>
      <c r="G14" s="22"/>
      <c r="H14" s="130"/>
      <c r="I14" s="24" t="str">
        <f t="shared" si="1"/>
        <v>Ngày Thường</v>
      </c>
      <c r="J14" s="25">
        <f t="shared" si="9"/>
        <v>8</v>
      </c>
      <c r="K14" s="25" t="str">
        <f t="shared" si="2"/>
        <v/>
      </c>
      <c r="L14" s="26" t="str">
        <f t="shared" si="3"/>
        <v/>
      </c>
      <c r="M14" s="25" t="str">
        <f t="shared" si="4"/>
        <v/>
      </c>
      <c r="N14" s="25" t="str">
        <f t="shared" si="5"/>
        <v/>
      </c>
      <c r="O14" s="25" t="str">
        <f t="shared" si="6"/>
        <v/>
      </c>
      <c r="P14" s="25" t="str">
        <f t="shared" si="7"/>
        <v/>
      </c>
      <c r="Q14" s="27" t="str">
        <f t="shared" si="8"/>
        <v/>
      </c>
      <c r="R14" s="106" t="s">
        <v>37</v>
      </c>
      <c r="S14" s="107"/>
      <c r="T14" s="108"/>
      <c r="U14" s="46">
        <v>200000</v>
      </c>
      <c r="W14" s="126"/>
      <c r="X14" s="28" t="s">
        <v>31</v>
      </c>
      <c r="Y14" s="29"/>
      <c r="Z14" s="30"/>
      <c r="AA14" s="31">
        <f>Y14*Z14*Z1/IF(AA3&gt;26,26,AA3)/8</f>
        <v>0</v>
      </c>
      <c r="AC14" s="47"/>
    </row>
    <row r="15" spans="1:30" ht="15.75" customHeight="1" x14ac:dyDescent="0.25">
      <c r="A15" s="127" t="str">
        <f t="shared" si="0"/>
        <v>Thứ Năm</v>
      </c>
      <c r="B15" s="127"/>
      <c r="C15" s="32">
        <v>10</v>
      </c>
      <c r="D15" s="33"/>
      <c r="E15" s="34"/>
      <c r="F15" s="33"/>
      <c r="G15" s="33"/>
      <c r="H15" s="130"/>
      <c r="I15" s="24" t="str">
        <f t="shared" si="1"/>
        <v>Ngày Thường</v>
      </c>
      <c r="J15" s="25">
        <f t="shared" si="9"/>
        <v>8</v>
      </c>
      <c r="K15" s="25" t="str">
        <f t="shared" si="2"/>
        <v/>
      </c>
      <c r="L15" s="26" t="str">
        <f t="shared" si="3"/>
        <v/>
      </c>
      <c r="M15" s="25" t="str">
        <f t="shared" si="4"/>
        <v/>
      </c>
      <c r="N15" s="25" t="str">
        <f t="shared" si="5"/>
        <v/>
      </c>
      <c r="O15" s="25" t="str">
        <f t="shared" si="6"/>
        <v/>
      </c>
      <c r="P15" s="25" t="str">
        <f t="shared" si="7"/>
        <v/>
      </c>
      <c r="Q15" s="27" t="str">
        <f t="shared" si="8"/>
        <v/>
      </c>
      <c r="R15" s="134" t="s">
        <v>38</v>
      </c>
      <c r="S15" s="135"/>
      <c r="T15" s="136"/>
      <c r="U15" s="45">
        <v>0</v>
      </c>
      <c r="W15" s="137"/>
      <c r="X15" s="35" t="s">
        <v>26</v>
      </c>
      <c r="Y15" s="36"/>
      <c r="Z15" s="37"/>
      <c r="AA15" s="39">
        <f>Y15*Z15*Z1/IF(AA3&gt;26,26,AA3)/8</f>
        <v>0</v>
      </c>
      <c r="AC15" s="47" t="s">
        <v>39</v>
      </c>
    </row>
    <row r="16" spans="1:30" ht="15.75" customHeight="1" x14ac:dyDescent="0.25">
      <c r="A16" s="122" t="str">
        <f t="shared" si="0"/>
        <v>Thứ Sáu</v>
      </c>
      <c r="B16" s="122"/>
      <c r="C16" s="21">
        <v>11</v>
      </c>
      <c r="D16" s="22"/>
      <c r="E16" s="23"/>
      <c r="F16" s="22"/>
      <c r="G16" s="22"/>
      <c r="H16" s="130"/>
      <c r="I16" s="24" t="str">
        <f t="shared" si="1"/>
        <v>Ngày Thường</v>
      </c>
      <c r="J16" s="25">
        <f t="shared" si="9"/>
        <v>8</v>
      </c>
      <c r="K16" s="25" t="str">
        <f t="shared" si="2"/>
        <v/>
      </c>
      <c r="L16" s="26" t="str">
        <f t="shared" si="3"/>
        <v/>
      </c>
      <c r="M16" s="25" t="str">
        <f t="shared" si="4"/>
        <v/>
      </c>
      <c r="N16" s="25" t="str">
        <f t="shared" si="5"/>
        <v/>
      </c>
      <c r="O16" s="25" t="str">
        <f t="shared" si="6"/>
        <v/>
      </c>
      <c r="P16" s="25" t="str">
        <f t="shared" si="7"/>
        <v/>
      </c>
      <c r="Q16" s="27" t="str">
        <f t="shared" si="8"/>
        <v/>
      </c>
      <c r="R16" s="106" t="s">
        <v>40</v>
      </c>
      <c r="S16" s="107"/>
      <c r="T16" s="108"/>
      <c r="U16" s="46">
        <v>500000</v>
      </c>
      <c r="W16" s="138"/>
      <c r="X16" s="28" t="s">
        <v>28</v>
      </c>
      <c r="Y16" s="29"/>
      <c r="Z16" s="30"/>
      <c r="AA16" s="31">
        <f>Y16*Z16*SUM($Z$1,$U$14:$U$16)/IF($AA$3&gt;26,26,$AA$3)/8</f>
        <v>0</v>
      </c>
      <c r="AC16" s="16">
        <f>ROUND(1.5*AC18/1000,0)*1000</f>
        <v>300000</v>
      </c>
    </row>
    <row r="17" spans="1:29" ht="15.75" customHeight="1" x14ac:dyDescent="0.25">
      <c r="A17" s="127" t="str">
        <f t="shared" si="0"/>
        <v>Thứ Bảy</v>
      </c>
      <c r="B17" s="127"/>
      <c r="C17" s="32">
        <v>12</v>
      </c>
      <c r="D17" s="33"/>
      <c r="E17" s="34"/>
      <c r="F17" s="33"/>
      <c r="G17" s="33"/>
      <c r="H17" s="130"/>
      <c r="I17" s="24" t="str">
        <f t="shared" si="1"/>
        <v>Ngày Thường</v>
      </c>
      <c r="J17" s="25">
        <f t="shared" si="9"/>
        <v>8</v>
      </c>
      <c r="K17" s="25" t="str">
        <f t="shared" si="2"/>
        <v/>
      </c>
      <c r="L17" s="26" t="str">
        <f t="shared" si="3"/>
        <v/>
      </c>
      <c r="M17" s="25" t="str">
        <f t="shared" si="4"/>
        <v/>
      </c>
      <c r="N17" s="25" t="str">
        <f t="shared" si="5"/>
        <v/>
      </c>
      <c r="O17" s="25" t="str">
        <f t="shared" si="6"/>
        <v/>
      </c>
      <c r="P17" s="25" t="str">
        <f t="shared" si="7"/>
        <v/>
      </c>
      <c r="Q17" s="27" t="str">
        <f t="shared" si="8"/>
        <v/>
      </c>
      <c r="R17" s="134" t="s">
        <v>41</v>
      </c>
      <c r="S17" s="135"/>
      <c r="T17" s="136"/>
      <c r="U17" s="45">
        <v>0</v>
      </c>
      <c r="W17" s="139"/>
      <c r="X17" s="35" t="s">
        <v>31</v>
      </c>
      <c r="Y17" s="36"/>
      <c r="Z17" s="37"/>
      <c r="AA17" s="39">
        <f>Y17*Z17*Z1/IF(AA3&gt;26,26,AA3)/8</f>
        <v>0</v>
      </c>
      <c r="AC17" s="16">
        <f>ROUND(1.3*AC18/1000,0)*1000</f>
        <v>260000</v>
      </c>
    </row>
    <row r="18" spans="1:29" ht="15.75" customHeight="1" x14ac:dyDescent="0.25">
      <c r="A18" s="122" t="str">
        <f t="shared" si="0"/>
        <v>Chủ Nhật</v>
      </c>
      <c r="B18" s="122"/>
      <c r="C18" s="21">
        <v>13</v>
      </c>
      <c r="D18" s="22"/>
      <c r="E18" s="23"/>
      <c r="F18" s="22"/>
      <c r="G18" s="22"/>
      <c r="H18" s="130"/>
      <c r="I18" s="24" t="str">
        <f t="shared" si="1"/>
        <v>Chủ Nhật Ngày</v>
      </c>
      <c r="J18" s="25" t="str">
        <f t="shared" si="9"/>
        <v/>
      </c>
      <c r="K18" s="25" t="str">
        <f t="shared" si="2"/>
        <v/>
      </c>
      <c r="L18" s="26" t="str">
        <f t="shared" si="3"/>
        <v/>
      </c>
      <c r="M18" s="25" t="str">
        <f t="shared" si="4"/>
        <v/>
      </c>
      <c r="N18" s="25">
        <f t="shared" si="5"/>
        <v>0</v>
      </c>
      <c r="O18" s="25">
        <f t="shared" si="6"/>
        <v>0</v>
      </c>
      <c r="P18" s="25" t="str">
        <f t="shared" si="7"/>
        <v/>
      </c>
      <c r="Q18" s="27" t="str">
        <f t="shared" si="8"/>
        <v/>
      </c>
      <c r="R18" s="154" t="s">
        <v>65</v>
      </c>
      <c r="S18" s="107"/>
      <c r="T18" s="108"/>
      <c r="U18" s="46">
        <v>0</v>
      </c>
      <c r="W18" s="102" t="s">
        <v>43</v>
      </c>
      <c r="X18" s="102"/>
      <c r="Y18" s="102"/>
      <c r="Z18" s="102"/>
      <c r="AA18" s="102"/>
      <c r="AC18" s="16">
        <f>Z2</f>
        <v>200000</v>
      </c>
    </row>
    <row r="19" spans="1:29" ht="15.75" customHeight="1" x14ac:dyDescent="0.25">
      <c r="A19" s="127" t="str">
        <f t="shared" si="0"/>
        <v>Thứ Hai</v>
      </c>
      <c r="B19" s="127"/>
      <c r="C19" s="32">
        <v>14</v>
      </c>
      <c r="D19" s="33"/>
      <c r="E19" s="34"/>
      <c r="F19" s="33"/>
      <c r="G19" s="33"/>
      <c r="H19" s="130"/>
      <c r="I19" s="24" t="str">
        <f t="shared" si="1"/>
        <v>Ngày Thường</v>
      </c>
      <c r="J19" s="25">
        <f t="shared" si="9"/>
        <v>8</v>
      </c>
      <c r="K19" s="25" t="str">
        <f t="shared" si="2"/>
        <v/>
      </c>
      <c r="L19" s="26" t="str">
        <f t="shared" si="3"/>
        <v/>
      </c>
      <c r="M19" s="25" t="str">
        <f t="shared" si="4"/>
        <v/>
      </c>
      <c r="N19" s="25" t="str">
        <f t="shared" si="5"/>
        <v/>
      </c>
      <c r="O19" s="25" t="str">
        <f t="shared" si="6"/>
        <v/>
      </c>
      <c r="P19" s="25" t="str">
        <f t="shared" si="7"/>
        <v/>
      </c>
      <c r="Q19" s="27" t="str">
        <f t="shared" si="8"/>
        <v/>
      </c>
      <c r="R19" s="134" t="s">
        <v>66</v>
      </c>
      <c r="S19" s="135"/>
      <c r="T19" s="136"/>
      <c r="U19" s="45"/>
      <c r="W19" s="179" t="s">
        <v>71</v>
      </c>
      <c r="X19" s="179"/>
      <c r="Y19" s="179"/>
      <c r="Z19"/>
      <c r="AC19" s="16">
        <f>ROUND(0.7*AC18/1000,0)*1000</f>
        <v>140000</v>
      </c>
    </row>
    <row r="20" spans="1:29" ht="15.75" customHeight="1" x14ac:dyDescent="0.3">
      <c r="A20" s="122" t="str">
        <f t="shared" si="0"/>
        <v>Thứ Ba</v>
      </c>
      <c r="B20" s="122"/>
      <c r="C20" s="21">
        <v>15</v>
      </c>
      <c r="D20" s="22"/>
      <c r="E20" s="23"/>
      <c r="F20" s="22"/>
      <c r="G20" s="22"/>
      <c r="H20" s="130"/>
      <c r="I20" s="24" t="str">
        <f t="shared" si="1"/>
        <v>Ngày Thường</v>
      </c>
      <c r="J20" s="25">
        <f t="shared" si="9"/>
        <v>8</v>
      </c>
      <c r="K20" s="25" t="str">
        <f t="shared" si="2"/>
        <v/>
      </c>
      <c r="L20" s="26" t="str">
        <f t="shared" si="3"/>
        <v/>
      </c>
      <c r="M20" s="25" t="str">
        <f t="shared" si="4"/>
        <v/>
      </c>
      <c r="N20" s="25" t="str">
        <f t="shared" si="5"/>
        <v/>
      </c>
      <c r="O20" s="25" t="str">
        <f t="shared" si="6"/>
        <v/>
      </c>
      <c r="P20" s="25" t="str">
        <f t="shared" si="7"/>
        <v/>
      </c>
      <c r="Q20" s="27" t="str">
        <f t="shared" si="8"/>
        <v/>
      </c>
      <c r="R20" s="106" t="s">
        <v>20</v>
      </c>
      <c r="S20" s="107"/>
      <c r="T20" s="108"/>
      <c r="U20" s="18">
        <f>SUM(AA6:AA17)</f>
        <v>0</v>
      </c>
      <c r="W20" s="179"/>
      <c r="X20" s="179"/>
      <c r="Y20" s="179"/>
      <c r="Z20" s="93"/>
      <c r="AC20" s="16">
        <f>ROUND(0.5*AC18/1000,0)*1000</f>
        <v>100000</v>
      </c>
    </row>
    <row r="21" spans="1:29" ht="15.75" customHeight="1" x14ac:dyDescent="0.3">
      <c r="A21" s="127" t="str">
        <f t="shared" si="0"/>
        <v>Thứ Tư</v>
      </c>
      <c r="B21" s="127"/>
      <c r="C21" s="32">
        <v>16</v>
      </c>
      <c r="D21" s="33"/>
      <c r="E21" s="34"/>
      <c r="F21" s="33"/>
      <c r="G21" s="33"/>
      <c r="H21" s="130"/>
      <c r="I21" s="24" t="str">
        <f t="shared" si="1"/>
        <v>Ngày Thường</v>
      </c>
      <c r="J21" s="25">
        <f t="shared" si="9"/>
        <v>8</v>
      </c>
      <c r="K21" s="25" t="str">
        <f t="shared" si="2"/>
        <v/>
      </c>
      <c r="L21" s="26" t="str">
        <f t="shared" si="3"/>
        <v/>
      </c>
      <c r="M21" s="25" t="str">
        <f t="shared" si="4"/>
        <v/>
      </c>
      <c r="N21" s="25" t="str">
        <f t="shared" si="5"/>
        <v/>
      </c>
      <c r="O21" s="25" t="str">
        <f t="shared" si="6"/>
        <v/>
      </c>
      <c r="P21" s="25" t="str">
        <f t="shared" si="7"/>
        <v/>
      </c>
      <c r="Q21" s="27" t="str">
        <f t="shared" si="8"/>
        <v/>
      </c>
      <c r="R21" s="140" t="s">
        <v>45</v>
      </c>
      <c r="S21" s="141"/>
      <c r="T21" s="142"/>
      <c r="U21" s="48">
        <f>SUM(U2:U20)</f>
        <v>6406538.461538461</v>
      </c>
      <c r="V21" s="49"/>
      <c r="W21" s="179"/>
      <c r="X21" s="179"/>
      <c r="Y21" s="179"/>
      <c r="Z21" s="93"/>
      <c r="AC21" s="47"/>
    </row>
    <row r="22" spans="1:29" ht="15.75" customHeight="1" x14ac:dyDescent="0.3">
      <c r="A22" s="122" t="str">
        <f t="shared" si="0"/>
        <v>Thứ Năm</v>
      </c>
      <c r="B22" s="122"/>
      <c r="C22" s="21">
        <v>17</v>
      </c>
      <c r="D22" s="22"/>
      <c r="E22" s="23"/>
      <c r="F22" s="22"/>
      <c r="G22" s="22"/>
      <c r="H22" s="130"/>
      <c r="I22" s="24" t="str">
        <f t="shared" si="1"/>
        <v>Ngày Thường</v>
      </c>
      <c r="J22" s="25">
        <f t="shared" si="9"/>
        <v>8</v>
      </c>
      <c r="K22" s="25" t="str">
        <f t="shared" si="2"/>
        <v/>
      </c>
      <c r="L22" s="26" t="str">
        <f t="shared" si="3"/>
        <v/>
      </c>
      <c r="M22" s="25" t="str">
        <f t="shared" si="4"/>
        <v/>
      </c>
      <c r="N22" s="25" t="str">
        <f t="shared" si="5"/>
        <v/>
      </c>
      <c r="O22" s="25" t="str">
        <f t="shared" si="6"/>
        <v/>
      </c>
      <c r="P22" s="25" t="str">
        <f t="shared" si="7"/>
        <v/>
      </c>
      <c r="Q22" s="27" t="str">
        <f t="shared" si="8"/>
        <v/>
      </c>
      <c r="R22" s="143" t="s">
        <v>46</v>
      </c>
      <c r="S22" s="144"/>
      <c r="T22" s="145"/>
      <c r="U22" s="50">
        <f>SUM(Z1,U14:U15)*10.5%</f>
        <v>557550</v>
      </c>
      <c r="V22" s="51"/>
      <c r="W22" s="179"/>
      <c r="X22" s="179"/>
      <c r="Y22" s="179"/>
      <c r="Z22" s="93"/>
      <c r="AC22" s="47" t="s">
        <v>47</v>
      </c>
    </row>
    <row r="23" spans="1:29" ht="15.75" customHeight="1" x14ac:dyDescent="0.25">
      <c r="A23" s="127" t="str">
        <f t="shared" si="0"/>
        <v>Thứ Sáu</v>
      </c>
      <c r="B23" s="127"/>
      <c r="C23" s="32">
        <v>18</v>
      </c>
      <c r="D23" s="33"/>
      <c r="E23" s="34"/>
      <c r="F23" s="33"/>
      <c r="G23" s="33"/>
      <c r="H23" s="130"/>
      <c r="I23" s="24" t="str">
        <f t="shared" si="1"/>
        <v>Ngày Thường</v>
      </c>
      <c r="J23" s="25">
        <f t="shared" si="9"/>
        <v>8</v>
      </c>
      <c r="K23" s="25" t="str">
        <f t="shared" si="2"/>
        <v/>
      </c>
      <c r="L23" s="26" t="str">
        <f t="shared" si="3"/>
        <v/>
      </c>
      <c r="M23" s="25" t="str">
        <f t="shared" si="4"/>
        <v/>
      </c>
      <c r="N23" s="25" t="str">
        <f t="shared" si="5"/>
        <v/>
      </c>
      <c r="O23" s="25" t="str">
        <f t="shared" si="6"/>
        <v/>
      </c>
      <c r="P23" s="25" t="str">
        <f t="shared" si="7"/>
        <v/>
      </c>
      <c r="Q23" s="25" t="str">
        <f t="shared" si="8"/>
        <v/>
      </c>
      <c r="R23" s="146" t="s">
        <v>48</v>
      </c>
      <c r="S23" s="147"/>
      <c r="T23" s="148"/>
      <c r="U23" s="52">
        <f>SUM(Z1,U14:U15)*1%</f>
        <v>53100</v>
      </c>
      <c r="W23" s="179"/>
      <c r="X23" s="179"/>
      <c r="Y23" s="179"/>
      <c r="AB23" s="53"/>
      <c r="AC23" s="10">
        <v>0</v>
      </c>
    </row>
    <row r="24" spans="1:29" ht="15.75" customHeight="1" x14ac:dyDescent="0.25">
      <c r="A24" s="122" t="str">
        <f t="shared" si="0"/>
        <v>Thứ Bảy</v>
      </c>
      <c r="B24" s="122"/>
      <c r="C24" s="21">
        <v>19</v>
      </c>
      <c r="D24" s="22"/>
      <c r="E24" s="23"/>
      <c r="F24" s="22"/>
      <c r="G24" s="22"/>
      <c r="H24" s="149"/>
      <c r="I24" s="24" t="str">
        <f t="shared" si="1"/>
        <v>Ngày Thường</v>
      </c>
      <c r="J24" s="25">
        <f t="shared" si="9"/>
        <v>8</v>
      </c>
      <c r="K24" s="25" t="str">
        <f t="shared" si="2"/>
        <v/>
      </c>
      <c r="L24" s="26" t="str">
        <f t="shared" si="3"/>
        <v/>
      </c>
      <c r="M24" s="25" t="str">
        <f t="shared" si="4"/>
        <v/>
      </c>
      <c r="N24" s="25" t="str">
        <f t="shared" si="5"/>
        <v/>
      </c>
      <c r="O24" s="25" t="str">
        <f t="shared" si="6"/>
        <v/>
      </c>
      <c r="P24" s="25" t="str">
        <f t="shared" si="7"/>
        <v/>
      </c>
      <c r="Q24" s="27" t="str">
        <f t="shared" si="8"/>
        <v/>
      </c>
      <c r="R24" s="103" t="s">
        <v>49</v>
      </c>
      <c r="S24" s="104"/>
      <c r="T24" s="105"/>
      <c r="U24" s="86">
        <f>U21-U22-U23</f>
        <v>5795888.461538461</v>
      </c>
      <c r="V24" s="54"/>
      <c r="W24" s="179"/>
      <c r="X24" s="179"/>
      <c r="Y24" s="179"/>
      <c r="AB24" s="55"/>
      <c r="AC24" s="16">
        <v>50000</v>
      </c>
    </row>
    <row r="25" spans="1:29" ht="15.75" customHeight="1" x14ac:dyDescent="0.25">
      <c r="A25" s="127" t="str">
        <f t="shared" si="0"/>
        <v>Chủ Nhật</v>
      </c>
      <c r="B25" s="127"/>
      <c r="C25" s="32">
        <v>20</v>
      </c>
      <c r="D25" s="33"/>
      <c r="E25" s="34"/>
      <c r="F25" s="33"/>
      <c r="G25" s="33"/>
      <c r="H25" s="149"/>
      <c r="I25" s="24" t="str">
        <f t="shared" si="1"/>
        <v>Chủ Nhật Ngày</v>
      </c>
      <c r="J25" s="25" t="str">
        <f t="shared" si="9"/>
        <v/>
      </c>
      <c r="K25" s="25" t="str">
        <f t="shared" si="2"/>
        <v/>
      </c>
      <c r="L25" s="26" t="str">
        <f t="shared" si="3"/>
        <v/>
      </c>
      <c r="M25" s="25" t="str">
        <f t="shared" si="4"/>
        <v/>
      </c>
      <c r="N25" s="25">
        <f t="shared" si="5"/>
        <v>0</v>
      </c>
      <c r="O25" s="25">
        <f t="shared" si="6"/>
        <v>0</v>
      </c>
      <c r="P25" s="25" t="str">
        <f t="shared" si="7"/>
        <v/>
      </c>
      <c r="Q25" s="25" t="str">
        <f t="shared" si="8"/>
        <v/>
      </c>
      <c r="R25" s="90"/>
      <c r="S25" s="90"/>
      <c r="T25" s="90"/>
      <c r="U25" s="90"/>
      <c r="V25" s="56"/>
      <c r="AB25" s="55"/>
      <c r="AC25" s="16">
        <v>100000</v>
      </c>
    </row>
    <row r="26" spans="1:29" ht="15.75" customHeight="1" x14ac:dyDescent="0.25">
      <c r="A26" s="122" t="str">
        <f t="shared" si="0"/>
        <v>Thứ Hai</v>
      </c>
      <c r="B26" s="122"/>
      <c r="C26" s="21">
        <v>21</v>
      </c>
      <c r="D26" s="22"/>
      <c r="E26" s="23"/>
      <c r="F26" s="22"/>
      <c r="G26" s="22"/>
      <c r="H26" s="149"/>
      <c r="I26" s="24" t="str">
        <f t="shared" si="1"/>
        <v>Ngày Thường</v>
      </c>
      <c r="J26" s="25">
        <f t="shared" si="9"/>
        <v>8</v>
      </c>
      <c r="K26" s="25" t="str">
        <f t="shared" si="2"/>
        <v/>
      </c>
      <c r="L26" s="26" t="str">
        <f t="shared" si="3"/>
        <v/>
      </c>
      <c r="M26" s="25" t="str">
        <f t="shared" si="4"/>
        <v/>
      </c>
      <c r="N26" s="25" t="str">
        <f t="shared" si="5"/>
        <v/>
      </c>
      <c r="O26" s="25" t="str">
        <f t="shared" si="6"/>
        <v/>
      </c>
      <c r="P26" s="25" t="str">
        <f t="shared" si="7"/>
        <v/>
      </c>
      <c r="Q26" s="27" t="str">
        <f t="shared" si="8"/>
        <v/>
      </c>
      <c r="R26" s="91"/>
      <c r="S26" s="91"/>
      <c r="T26" s="91"/>
      <c r="U26" s="91"/>
      <c r="V26" s="57"/>
      <c r="W26" s="88"/>
      <c r="X26" s="88"/>
      <c r="Y26" s="88"/>
      <c r="Z26" s="88"/>
      <c r="AA26" s="88"/>
      <c r="AC26" s="16">
        <v>150000</v>
      </c>
    </row>
    <row r="27" spans="1:29" ht="15.75" customHeight="1" x14ac:dyDescent="0.25">
      <c r="A27" s="127" t="str">
        <f t="shared" si="0"/>
        <v>Thứ Ba</v>
      </c>
      <c r="B27" s="127"/>
      <c r="C27" s="32">
        <v>22</v>
      </c>
      <c r="D27" s="33"/>
      <c r="E27" s="34"/>
      <c r="F27" s="33"/>
      <c r="G27" s="33"/>
      <c r="H27" s="149"/>
      <c r="I27" s="24" t="str">
        <f t="shared" si="1"/>
        <v>Ngày Thường</v>
      </c>
      <c r="J27" s="25">
        <f t="shared" si="9"/>
        <v>8</v>
      </c>
      <c r="K27" s="25" t="str">
        <f t="shared" si="2"/>
        <v/>
      </c>
      <c r="L27" s="26" t="str">
        <f t="shared" si="3"/>
        <v/>
      </c>
      <c r="M27" s="25" t="str">
        <f t="shared" si="4"/>
        <v/>
      </c>
      <c r="N27" s="25" t="str">
        <f t="shared" si="5"/>
        <v/>
      </c>
      <c r="O27" s="25" t="str">
        <f t="shared" si="6"/>
        <v/>
      </c>
      <c r="P27" s="25" t="str">
        <f t="shared" si="7"/>
        <v/>
      </c>
      <c r="Q27" s="27" t="str">
        <f t="shared" si="8"/>
        <v/>
      </c>
      <c r="R27" s="91"/>
      <c r="S27" s="91"/>
      <c r="T27" s="91"/>
      <c r="U27" s="91"/>
      <c r="V27" s="57"/>
      <c r="W27" s="88"/>
      <c r="X27" s="88"/>
      <c r="Y27" s="88"/>
      <c r="Z27" s="88"/>
      <c r="AA27" s="88"/>
      <c r="AB27" s="55"/>
      <c r="AC27" s="16">
        <v>200000</v>
      </c>
    </row>
    <row r="28" spans="1:29" ht="15.75" customHeight="1" x14ac:dyDescent="0.25">
      <c r="A28" s="122" t="str">
        <f t="shared" si="0"/>
        <v>Thứ Tư</v>
      </c>
      <c r="B28" s="122"/>
      <c r="C28" s="21">
        <v>23</v>
      </c>
      <c r="D28" s="22"/>
      <c r="E28" s="23"/>
      <c r="F28" s="22"/>
      <c r="G28" s="22"/>
      <c r="H28" s="149"/>
      <c r="I28" s="24" t="str">
        <f t="shared" si="1"/>
        <v>Ngày Thường</v>
      </c>
      <c r="J28" s="25">
        <f t="shared" si="9"/>
        <v>8</v>
      </c>
      <c r="K28" s="25" t="str">
        <f t="shared" si="2"/>
        <v/>
      </c>
      <c r="L28" s="26" t="str">
        <f t="shared" si="3"/>
        <v/>
      </c>
      <c r="M28" s="25" t="str">
        <f t="shared" si="4"/>
        <v/>
      </c>
      <c r="N28" s="25" t="str">
        <f t="shared" si="5"/>
        <v/>
      </c>
      <c r="O28" s="25" t="str">
        <f t="shared" si="6"/>
        <v/>
      </c>
      <c r="P28" s="25" t="str">
        <f t="shared" si="7"/>
        <v/>
      </c>
      <c r="Q28" s="27" t="str">
        <f t="shared" si="8"/>
        <v/>
      </c>
      <c r="V28" s="57"/>
      <c r="W28" s="88"/>
      <c r="X28" s="88"/>
      <c r="Y28" s="88"/>
      <c r="Z28" s="88"/>
      <c r="AA28" s="88"/>
      <c r="AB28" s="58"/>
      <c r="AC28" s="16">
        <v>250000</v>
      </c>
    </row>
    <row r="29" spans="1:29" ht="15.75" customHeight="1" x14ac:dyDescent="0.25">
      <c r="A29" s="127" t="str">
        <f t="shared" si="0"/>
        <v>Thứ Năm</v>
      </c>
      <c r="B29" s="127"/>
      <c r="C29" s="32">
        <v>24</v>
      </c>
      <c r="D29" s="33"/>
      <c r="E29" s="34"/>
      <c r="F29" s="33"/>
      <c r="G29" s="33"/>
      <c r="H29" s="149"/>
      <c r="I29" s="24" t="str">
        <f t="shared" si="1"/>
        <v>Ngày Thường</v>
      </c>
      <c r="J29" s="25">
        <f t="shared" si="9"/>
        <v>8</v>
      </c>
      <c r="K29" s="25" t="str">
        <f t="shared" si="2"/>
        <v/>
      </c>
      <c r="L29" s="26" t="str">
        <f t="shared" si="3"/>
        <v/>
      </c>
      <c r="M29" s="25" t="str">
        <f t="shared" si="4"/>
        <v/>
      </c>
      <c r="N29" s="25" t="str">
        <f t="shared" si="5"/>
        <v/>
      </c>
      <c r="O29" s="25" t="str">
        <f t="shared" si="6"/>
        <v/>
      </c>
      <c r="P29" s="25" t="str">
        <f t="shared" si="7"/>
        <v/>
      </c>
      <c r="Q29" s="27" t="str">
        <f t="shared" si="8"/>
        <v/>
      </c>
      <c r="V29" s="57"/>
      <c r="W29" s="88"/>
      <c r="X29" s="88"/>
      <c r="Y29" s="88"/>
      <c r="Z29" s="88"/>
      <c r="AA29" s="88"/>
      <c r="AB29" s="58"/>
      <c r="AC29" s="59">
        <v>300000</v>
      </c>
    </row>
    <row r="30" spans="1:29" ht="15.75" customHeight="1" x14ac:dyDescent="0.25">
      <c r="A30" s="122" t="str">
        <f t="shared" si="0"/>
        <v>Thứ Sáu</v>
      </c>
      <c r="B30" s="122"/>
      <c r="C30" s="21">
        <v>25</v>
      </c>
      <c r="D30" s="22"/>
      <c r="E30" s="23"/>
      <c r="F30" s="22"/>
      <c r="G30" s="22"/>
      <c r="H30" s="149"/>
      <c r="I30" s="24" t="str">
        <f t="shared" si="1"/>
        <v>Ngày Thường</v>
      </c>
      <c r="J30" s="25">
        <f t="shared" si="9"/>
        <v>8</v>
      </c>
      <c r="K30" s="25" t="str">
        <f t="shared" si="2"/>
        <v/>
      </c>
      <c r="L30" s="26" t="str">
        <f t="shared" si="3"/>
        <v/>
      </c>
      <c r="M30" s="25" t="str">
        <f t="shared" si="4"/>
        <v/>
      </c>
      <c r="N30" s="25" t="str">
        <f t="shared" si="5"/>
        <v/>
      </c>
      <c r="O30" s="25" t="str">
        <f t="shared" si="6"/>
        <v/>
      </c>
      <c r="P30" s="25" t="str">
        <f t="shared" si="7"/>
        <v/>
      </c>
      <c r="Q30" s="27" t="str">
        <f t="shared" si="8"/>
        <v/>
      </c>
      <c r="R30" s="65"/>
      <c r="S30" s="65"/>
      <c r="T30" s="65"/>
      <c r="U30" s="65"/>
      <c r="V30" s="60"/>
      <c r="W30" s="87"/>
      <c r="X30" s="87"/>
      <c r="Y30" s="87"/>
      <c r="Z30" s="61"/>
      <c r="AA30" s="61"/>
      <c r="AB30" s="58"/>
      <c r="AC30" s="62"/>
    </row>
    <row r="31" spans="1:29" ht="15.75" customHeight="1" x14ac:dyDescent="0.25">
      <c r="A31" s="127" t="str">
        <f t="shared" si="0"/>
        <v>Thứ Bảy</v>
      </c>
      <c r="B31" s="127"/>
      <c r="C31" s="32">
        <v>26</v>
      </c>
      <c r="D31" s="33"/>
      <c r="E31" s="34"/>
      <c r="F31" s="33"/>
      <c r="G31" s="33"/>
      <c r="H31" s="149"/>
      <c r="I31" s="24" t="str">
        <f t="shared" si="1"/>
        <v>Ngày Thường</v>
      </c>
      <c r="J31" s="25">
        <f t="shared" si="9"/>
        <v>8</v>
      </c>
      <c r="K31" s="25" t="str">
        <f t="shared" si="2"/>
        <v/>
      </c>
      <c r="L31" s="26" t="str">
        <f t="shared" si="3"/>
        <v/>
      </c>
      <c r="M31" s="25" t="str">
        <f t="shared" si="4"/>
        <v/>
      </c>
      <c r="N31" s="25" t="str">
        <f t="shared" si="5"/>
        <v/>
      </c>
      <c r="O31" s="25" t="str">
        <f t="shared" si="6"/>
        <v/>
      </c>
      <c r="P31" s="25" t="str">
        <f t="shared" si="7"/>
        <v/>
      </c>
      <c r="Q31" s="25" t="str">
        <f t="shared" si="8"/>
        <v/>
      </c>
      <c r="R31" s="65"/>
      <c r="S31" s="65"/>
      <c r="T31" s="65"/>
      <c r="U31" s="65"/>
      <c r="V31" s="60"/>
      <c r="W31" s="87"/>
      <c r="X31" s="87"/>
      <c r="Y31" s="87"/>
      <c r="Z31" s="61"/>
      <c r="AA31" s="61"/>
      <c r="AB31" s="58"/>
      <c r="AC31" s="63">
        <v>0.9</v>
      </c>
    </row>
    <row r="32" spans="1:29" ht="15.75" customHeight="1" x14ac:dyDescent="0.25">
      <c r="A32" s="122" t="str">
        <f t="shared" si="0"/>
        <v>Chủ Nhật</v>
      </c>
      <c r="B32" s="122"/>
      <c r="C32" s="21">
        <v>27</v>
      </c>
      <c r="D32" s="22"/>
      <c r="E32" s="23"/>
      <c r="F32" s="22"/>
      <c r="G32" s="22"/>
      <c r="H32" s="149"/>
      <c r="I32" s="24" t="str">
        <f t="shared" si="1"/>
        <v>Chủ Nhật Ngày</v>
      </c>
      <c r="J32" s="25" t="str">
        <f t="shared" si="9"/>
        <v/>
      </c>
      <c r="K32" s="25" t="str">
        <f t="shared" si="2"/>
        <v/>
      </c>
      <c r="L32" s="26" t="str">
        <f t="shared" si="3"/>
        <v/>
      </c>
      <c r="M32" s="25" t="str">
        <f t="shared" si="4"/>
        <v/>
      </c>
      <c r="N32" s="25">
        <f t="shared" si="5"/>
        <v>0</v>
      </c>
      <c r="O32" s="25">
        <f t="shared" si="6"/>
        <v>0</v>
      </c>
      <c r="P32" s="25" t="str">
        <f t="shared" si="7"/>
        <v/>
      </c>
      <c r="Q32" s="27" t="str">
        <f t="shared" si="8"/>
        <v/>
      </c>
      <c r="R32" s="60"/>
      <c r="S32" s="60"/>
      <c r="T32" s="60"/>
      <c r="U32" s="60"/>
      <c r="V32" s="60"/>
      <c r="W32" s="87"/>
      <c r="X32" s="87"/>
      <c r="Y32" s="87"/>
      <c r="Z32" s="61"/>
      <c r="AA32" s="61"/>
      <c r="AB32" s="58"/>
      <c r="AC32" s="63">
        <v>3</v>
      </c>
    </row>
    <row r="33" spans="1:29" ht="15.75" customHeight="1" x14ac:dyDescent="0.25">
      <c r="A33" s="127" t="str">
        <f t="shared" si="0"/>
        <v>Thứ Hai</v>
      </c>
      <c r="B33" s="127"/>
      <c r="C33" s="32">
        <v>28</v>
      </c>
      <c r="D33" s="33"/>
      <c r="E33" s="34"/>
      <c r="F33" s="33"/>
      <c r="G33" s="33"/>
      <c r="H33" s="149"/>
      <c r="I33" s="24" t="str">
        <f t="shared" si="1"/>
        <v>Ngày Thường</v>
      </c>
      <c r="J33" s="25">
        <f t="shared" si="9"/>
        <v>8</v>
      </c>
      <c r="K33" s="25" t="str">
        <f t="shared" si="2"/>
        <v/>
      </c>
      <c r="L33" s="26" t="str">
        <f t="shared" si="3"/>
        <v/>
      </c>
      <c r="M33" s="25" t="str">
        <f t="shared" si="4"/>
        <v/>
      </c>
      <c r="N33" s="25" t="str">
        <f t="shared" si="5"/>
        <v/>
      </c>
      <c r="O33" s="25" t="str">
        <f t="shared" si="6"/>
        <v/>
      </c>
      <c r="P33" s="25" t="str">
        <f t="shared" si="7"/>
        <v/>
      </c>
      <c r="Q33" s="27" t="str">
        <f t="shared" si="8"/>
        <v/>
      </c>
      <c r="R33" s="64"/>
      <c r="S33" s="64"/>
      <c r="T33" s="64"/>
      <c r="U33" s="64"/>
      <c r="V33" s="64"/>
      <c r="W33" s="92"/>
      <c r="X33" s="92"/>
      <c r="Y33" s="92"/>
      <c r="Z33" s="61"/>
      <c r="AA33" s="61"/>
      <c r="AB33" s="58"/>
      <c r="AC33" s="63">
        <v>5</v>
      </c>
    </row>
    <row r="34" spans="1:29" ht="15.75" customHeight="1" x14ac:dyDescent="0.25">
      <c r="A34" s="122" t="str">
        <f>IFERROR(CHOOSE(WEEKDAY(DATE($B$4,$B$2,C34)),"Chủ Nhật","Thứ Hai","Thứ Ba","Thứ Tư","Thứ Năm","Thứ Sáu","Thứ Bảy"),"")</f>
        <v>Thứ Ba</v>
      </c>
      <c r="B34" s="122"/>
      <c r="C34" s="21">
        <f>IF((EOMONTH(DATE(B4,B2,1),0)-DATE(B4,B2,1)+1)&gt;28,29,"")</f>
        <v>29</v>
      </c>
      <c r="D34" s="22"/>
      <c r="E34" s="23"/>
      <c r="F34" s="22"/>
      <c r="G34" s="22"/>
      <c r="H34" s="149"/>
      <c r="I34" s="24" t="str">
        <f t="shared" si="1"/>
        <v>Ngày Thường</v>
      </c>
      <c r="J34" s="25">
        <f t="shared" si="9"/>
        <v>8</v>
      </c>
      <c r="K34" s="25" t="str">
        <f t="shared" si="2"/>
        <v/>
      </c>
      <c r="L34" s="26" t="str">
        <f t="shared" si="3"/>
        <v/>
      </c>
      <c r="M34" s="25" t="str">
        <f t="shared" si="4"/>
        <v/>
      </c>
      <c r="N34" s="25" t="str">
        <f t="shared" si="5"/>
        <v/>
      </c>
      <c r="O34" s="25" t="str">
        <f t="shared" si="6"/>
        <v/>
      </c>
      <c r="P34" s="25" t="str">
        <f t="shared" si="7"/>
        <v/>
      </c>
      <c r="Q34" s="27" t="str">
        <f t="shared" si="8"/>
        <v/>
      </c>
      <c r="R34" s="60"/>
      <c r="S34" s="60"/>
      <c r="T34" s="60"/>
      <c r="U34" s="60"/>
      <c r="V34" s="60"/>
      <c r="W34" s="92"/>
      <c r="X34" s="92"/>
      <c r="Y34" s="92"/>
      <c r="Z34" s="61"/>
      <c r="AA34" s="61"/>
      <c r="AB34" s="58"/>
      <c r="AC34" s="63">
        <v>3.8</v>
      </c>
    </row>
    <row r="35" spans="1:29" ht="15.75" customHeight="1" x14ac:dyDescent="0.25">
      <c r="A35" s="127" t="str">
        <f>IFERROR(CHOOSE(WEEKDAY(DATE($B$4,$B$2,C35)),"Chủ Nhật","Thứ Hai","Thứ Ba","Thứ Tư","Thứ Năm","Thứ Sáu","Thứ Bảy"),"")</f>
        <v>Thứ Tư</v>
      </c>
      <c r="B35" s="127"/>
      <c r="C35" s="32">
        <f>IF((EOMONTH(DATE(B4,B2,1),0)-DATE(B4,B2,1)+1)&gt;29,30,"")</f>
        <v>30</v>
      </c>
      <c r="D35" s="33"/>
      <c r="E35" s="34"/>
      <c r="F35" s="33"/>
      <c r="G35" s="33"/>
      <c r="H35" s="149"/>
      <c r="I35" s="24" t="str">
        <f t="shared" si="1"/>
        <v>Ngày Thường</v>
      </c>
      <c r="J35" s="25">
        <f t="shared" si="9"/>
        <v>8</v>
      </c>
      <c r="K35" s="25" t="str">
        <f t="shared" si="2"/>
        <v/>
      </c>
      <c r="L35" s="26" t="str">
        <f t="shared" si="3"/>
        <v/>
      </c>
      <c r="M35" s="25" t="str">
        <f t="shared" si="4"/>
        <v/>
      </c>
      <c r="N35" s="25" t="str">
        <f t="shared" si="5"/>
        <v/>
      </c>
      <c r="O35" s="25" t="str">
        <f t="shared" si="6"/>
        <v/>
      </c>
      <c r="P35" s="25" t="str">
        <f t="shared" si="7"/>
        <v/>
      </c>
      <c r="Q35" s="27" t="str">
        <f t="shared" si="8"/>
        <v/>
      </c>
      <c r="R35" s="60"/>
      <c r="S35" s="60"/>
      <c r="T35" s="60"/>
      <c r="U35" s="60"/>
      <c r="V35" s="60"/>
      <c r="W35" s="92"/>
      <c r="X35" s="92"/>
      <c r="Y35" s="92"/>
      <c r="Z35" s="61"/>
      <c r="AA35" s="61"/>
      <c r="AB35" s="58"/>
      <c r="AC35" s="63">
        <v>4.5</v>
      </c>
    </row>
    <row r="36" spans="1:29" ht="15.75" customHeight="1" x14ac:dyDescent="0.25">
      <c r="A36" s="122" t="str">
        <f>IFERROR(CHOOSE(WEEKDAY(DATE($B$4,$B$2,C36)),"Chủ Nhật","Thứ Hai","Thứ Ba","Thứ Tư","Thứ Năm","Thứ Sáu","Thứ Bảy"),"")</f>
        <v>Thứ Năm</v>
      </c>
      <c r="B36" s="122"/>
      <c r="C36" s="21">
        <f>IF((EOMONTH(DATE(B4,B2,1),0)-DATE(B4,B2,1)+1)&gt;30,31,"")</f>
        <v>31</v>
      </c>
      <c r="D36" s="22"/>
      <c r="E36" s="23"/>
      <c r="F36" s="22"/>
      <c r="G36" s="22"/>
      <c r="H36" s="149"/>
      <c r="I36" s="24" t="str">
        <f t="shared" si="1"/>
        <v>Ngày Thường</v>
      </c>
      <c r="J36" s="25">
        <f t="shared" si="9"/>
        <v>8</v>
      </c>
      <c r="K36" s="25" t="str">
        <f t="shared" si="2"/>
        <v/>
      </c>
      <c r="L36" s="26" t="str">
        <f t="shared" si="3"/>
        <v/>
      </c>
      <c r="M36" s="25" t="str">
        <f t="shared" si="4"/>
        <v/>
      </c>
      <c r="N36" s="25" t="str">
        <f t="shared" si="5"/>
        <v/>
      </c>
      <c r="O36" s="25" t="str">
        <f t="shared" si="6"/>
        <v/>
      </c>
      <c r="P36" s="25" t="str">
        <f t="shared" si="7"/>
        <v/>
      </c>
      <c r="Q36" s="27" t="str">
        <f t="shared" si="8"/>
        <v/>
      </c>
      <c r="R36" s="60"/>
      <c r="S36" s="60"/>
      <c r="T36" s="60"/>
      <c r="U36" s="60"/>
      <c r="V36" s="60"/>
      <c r="W36" s="92"/>
      <c r="X36" s="92"/>
      <c r="Y36" s="92"/>
      <c r="Z36" s="61"/>
      <c r="AA36" s="61"/>
      <c r="AC36" s="63">
        <v>5.0999999999999996</v>
      </c>
    </row>
  </sheetData>
  <sheetProtection algorithmName="SHA-512" hashValue="NNLw1RukjJBkj1QlWuNhXgQXGGUcu/NOnbvTNH/lYoHWOH47LjfTT36MQvokqXkztrS2Pm8eCJv+ZOqRVKzOCw==" saltValue="PBFWK8xkaO7HY+ZqhxeHkg==" spinCount="100000" sheet="1" objects="1" scenarios="1" selectLockedCells="1"/>
  <mergeCells count="82">
    <mergeCell ref="W19:Y24"/>
    <mergeCell ref="Z1:AA1"/>
    <mergeCell ref="W15:W17"/>
    <mergeCell ref="Z2:AA2"/>
    <mergeCell ref="W4:AA4"/>
    <mergeCell ref="W9:W11"/>
    <mergeCell ref="W1:Y1"/>
    <mergeCell ref="W2:Y2"/>
    <mergeCell ref="W6:W8"/>
    <mergeCell ref="W18:AA18"/>
    <mergeCell ref="W12:W14"/>
    <mergeCell ref="A7:B7"/>
    <mergeCell ref="A8:B8"/>
    <mergeCell ref="A9:B9"/>
    <mergeCell ref="A2:A3"/>
    <mergeCell ref="B2:B3"/>
    <mergeCell ref="A4:A5"/>
    <mergeCell ref="A6:B6"/>
    <mergeCell ref="A14:B14"/>
    <mergeCell ref="R14:T14"/>
    <mergeCell ref="A15:B15"/>
    <mergeCell ref="R15:T15"/>
    <mergeCell ref="A18:B18"/>
    <mergeCell ref="A16:B16"/>
    <mergeCell ref="R16:T16"/>
    <mergeCell ref="A10:B10"/>
    <mergeCell ref="R10:S10"/>
    <mergeCell ref="A11:B11"/>
    <mergeCell ref="R11:S11"/>
    <mergeCell ref="A12:B12"/>
    <mergeCell ref="R12:T12"/>
    <mergeCell ref="G1:G5"/>
    <mergeCell ref="N2:N5"/>
    <mergeCell ref="J2:J5"/>
    <mergeCell ref="K2:K5"/>
    <mergeCell ref="R19:T19"/>
    <mergeCell ref="L2:L5"/>
    <mergeCell ref="M2:M5"/>
    <mergeCell ref="O2:O5"/>
    <mergeCell ref="P2:P5"/>
    <mergeCell ref="Q2:Q5"/>
    <mergeCell ref="R2:R5"/>
    <mergeCell ref="R6:R9"/>
    <mergeCell ref="A13:B13"/>
    <mergeCell ref="R13:T13"/>
    <mergeCell ref="H1:H23"/>
    <mergeCell ref="I1:I5"/>
    <mergeCell ref="J1:P1"/>
    <mergeCell ref="A19:B19"/>
    <mergeCell ref="R18:T18"/>
    <mergeCell ref="A20:B20"/>
    <mergeCell ref="R1:S1"/>
    <mergeCell ref="A1:B1"/>
    <mergeCell ref="C1:C5"/>
    <mergeCell ref="D1:D5"/>
    <mergeCell ref="E1:E5"/>
    <mergeCell ref="F1:F5"/>
    <mergeCell ref="B4:B5"/>
    <mergeCell ref="A21:B21"/>
    <mergeCell ref="A22:B22"/>
    <mergeCell ref="A23:B23"/>
    <mergeCell ref="A17:B17"/>
    <mergeCell ref="R17:T17"/>
    <mergeCell ref="R23:T23"/>
    <mergeCell ref="R20:T20"/>
    <mergeCell ref="R21:T21"/>
    <mergeCell ref="R22:T22"/>
    <mergeCell ref="A35:B35"/>
    <mergeCell ref="A24:B24"/>
    <mergeCell ref="H24:H36"/>
    <mergeCell ref="R24:T24"/>
    <mergeCell ref="A25:B25"/>
    <mergeCell ref="A30:B30"/>
    <mergeCell ref="A36:B36"/>
    <mergeCell ref="A31:B31"/>
    <mergeCell ref="A32:B32"/>
    <mergeCell ref="A33:B33"/>
    <mergeCell ref="A34:B34"/>
    <mergeCell ref="A26:B26"/>
    <mergeCell ref="A27:B27"/>
    <mergeCell ref="A28:B28"/>
    <mergeCell ref="A29:B29"/>
  </mergeCells>
  <conditionalFormatting sqref="A6:G36">
    <cfRule type="expression" dxfId="0" priority="1">
      <formula>$A6="Chủ Nhật"</formula>
    </cfRule>
  </conditionalFormatting>
  <dataValidations count="10">
    <dataValidation type="list" allowBlank="1" showInputMessage="1" prompt="Nghỉ ốm, việc riêng, đi muộn, về sớm quá 8 giờ trong 1 tháng mất chuyên cần" sqref="U13" xr:uid="{C2BB8749-C5CD-4780-8A97-2B9BEB1FA4E2}">
      <formula1>$AC$2:$AC$3</formula1>
    </dataValidation>
    <dataValidation type="list" allowBlank="1" showInputMessage="1" prompt="Ngày lễ: 90%_x000a_Ngày tết: 90%_x000a_Thông ca: 0%" sqref="Z8 Z11 Z14 Z17" xr:uid="{DCE4C406-CCAC-4962-8A49-228D7311A536}">
      <formula1>$AC$31</formula1>
    </dataValidation>
    <dataValidation type="list" allowBlank="1" showInputMessage="1" prompt="Thông ca chủ nhật: 380%_x000a_Tăng ca ngày lễ: 450%_x000a_Tăng ca đêm lễ: 510%" sqref="Z7 Z10 Z13 Z16" xr:uid="{4EFB1673-CEAD-4046-B8D7-0776EF70DA26}">
      <formula1>$AC$34:$AC$36</formula1>
    </dataValidation>
    <dataValidation type="list" allowBlank="1" showInputMessage="1" prompt="Ngày lễ: 300%_x000a_Ngày tết: 500%" sqref="Z6 Z9 Z12 Z15" xr:uid="{691A4C20-CD06-4218-899A-692047558BBC}">
      <formula1>$AC$32:$AC$33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6F3BAADA-31A8-474F-A886-B7D085AAC7E6}">
      <formula1>"PN,PN/2,NL,N70"</formula1>
    </dataValidation>
    <dataValidation type="list" allowBlank="1" showInputMessage="1" prompt="- Dưới 1 năm: 200.000_x000a_- Dưới 2 năm: 300.000_x000a_- 2 năm trở lên: 400.000" sqref="U14" xr:uid="{82BD712E-5EE1-434F-BDBA-E3CB2E38647C}">
      <formula1>$AC$3:$AC$5</formula1>
    </dataValidation>
    <dataValidation type="list" allowBlank="1" showInputMessage="1" sqref="U12" xr:uid="{6D965A2D-B3A1-42DA-9C1F-0DFBD995CE44}">
      <formula1>$AC$16:$AC$20</formula1>
    </dataValidation>
    <dataValidation type="list" allowBlank="1" showInputMessage="1" prompt="- Trợ Lý: 1.500.000_x000a_- Tổ Trưởng: 2.500.000_x000a_- Trưởng ca: 3.000.000_x000a_- Phó quản lý: 4.000.000_x000a_- Quản lý: 5.000.000" sqref="U17" xr:uid="{DC2A0251-924E-4D85-839C-CD57071FDA5C}">
      <formula1>$AC$8:$AC$13</formula1>
    </dataValidation>
    <dataValidation type="list" allowBlank="1" showInputMessage="1" sqref="U18" xr:uid="{09BF22BA-2809-4315-9805-6BD794850114}">
      <formula1>$AC$23:$AC$29</formula1>
    </dataValidation>
    <dataValidation type="list" allowBlank="1" showInputMessage="1" prompt="- Sơ cấp cứu: 100.000" sqref="U15" xr:uid="{3AD75208-1DAF-4C77-A79B-1C09CB365FCF}">
      <formula1>$AD$2:$AD$3</formula1>
    </dataValidation>
  </dataValidations>
  <hyperlinks>
    <hyperlink ref="W19:Y24" r:id="rId1" display="https://tinhluong.pages.dev/" xr:uid="{8A0F2579-AE1E-4329-9F38-C305F0C64B7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D715-B569-424A-BF15-B5507D5B0BB5}">
  <sheetPr>
    <tabColor theme="9" tint="0.59999389629810485"/>
  </sheetPr>
  <dimension ref="A1:M38"/>
  <sheetViews>
    <sheetView showGridLines="0" showRowColHeaders="0" tabSelected="1" topLeftCell="B1" workbookViewId="0">
      <selection activeCell="C6" sqref="C6"/>
    </sheetView>
  </sheetViews>
  <sheetFormatPr defaultColWidth="0" defaultRowHeight="15" zeroHeight="1" x14ac:dyDescent="0.25"/>
  <cols>
    <col min="1" max="1" width="9.5703125" customWidth="1"/>
    <col min="2" max="2" width="19.140625" customWidth="1"/>
    <col min="3" max="3" width="15.28515625" bestFit="1" customWidth="1"/>
    <col min="4" max="4" width="16.42578125" customWidth="1"/>
    <col min="5" max="5" width="1.28515625" customWidth="1"/>
    <col min="6" max="6" width="9.28515625" customWidth="1"/>
    <col min="7" max="7" width="17.5703125" customWidth="1"/>
    <col min="8" max="8" width="9.28515625" customWidth="1"/>
    <col min="9" max="9" width="11.42578125" customWidth="1"/>
    <col min="10" max="10" width="14.28515625" customWidth="1"/>
    <col min="11" max="11" width="2.7109375" hidden="1" customWidth="1"/>
    <col min="12" max="12" width="14.140625" hidden="1" customWidth="1"/>
    <col min="13" max="13" width="11.85546875" hidden="1" customWidth="1"/>
    <col min="14" max="16384" width="9.140625" hidden="1"/>
  </cols>
  <sheetData>
    <row r="1" spans="1:13" ht="27" customHeight="1" x14ac:dyDescent="0.25">
      <c r="A1" s="167" t="s">
        <v>67</v>
      </c>
      <c r="B1" s="167"/>
      <c r="C1" s="167"/>
      <c r="D1" s="66">
        <v>7</v>
      </c>
      <c r="E1" s="4"/>
      <c r="F1" s="67" t="s">
        <v>18</v>
      </c>
      <c r="G1" s="68">
        <v>2025</v>
      </c>
      <c r="H1" s="168" t="s">
        <v>68</v>
      </c>
      <c r="I1" s="168"/>
      <c r="J1" s="168"/>
      <c r="K1" s="4"/>
      <c r="L1" s="4"/>
    </row>
    <row r="2" spans="1:13" ht="15.75" customHeight="1" x14ac:dyDescent="0.25">
      <c r="A2" s="169" t="s">
        <v>6</v>
      </c>
      <c r="B2" s="169"/>
      <c r="C2" s="95" t="s">
        <v>7</v>
      </c>
      <c r="D2" s="95" t="s">
        <v>8</v>
      </c>
      <c r="E2" s="3"/>
      <c r="F2" s="99" t="s">
        <v>9</v>
      </c>
      <c r="G2" s="99"/>
      <c r="H2" s="99"/>
      <c r="I2" s="100">
        <v>5110000</v>
      </c>
      <c r="J2" s="100"/>
      <c r="K2" s="4"/>
      <c r="L2" s="5" t="s">
        <v>10</v>
      </c>
      <c r="M2" s="5" t="s">
        <v>11</v>
      </c>
    </row>
    <row r="3" spans="1:13" ht="15.75" customHeight="1" x14ac:dyDescent="0.25">
      <c r="A3" s="165" t="s">
        <v>13</v>
      </c>
      <c r="B3" s="69" t="s">
        <v>14</v>
      </c>
      <c r="C3" s="70"/>
      <c r="D3" s="71">
        <f>I2/IF(J4&gt;26,26,J4)*C3</f>
        <v>0</v>
      </c>
      <c r="E3" s="9"/>
      <c r="F3" s="99" t="s">
        <v>69</v>
      </c>
      <c r="G3" s="99"/>
      <c r="H3" s="99"/>
      <c r="I3" s="100">
        <v>200000</v>
      </c>
      <c r="J3" s="100"/>
      <c r="K3" s="4"/>
      <c r="L3" s="10">
        <v>0</v>
      </c>
      <c r="M3" s="10">
        <v>0</v>
      </c>
    </row>
    <row r="4" spans="1:13" ht="15.75" customHeight="1" x14ac:dyDescent="0.25">
      <c r="A4" s="165"/>
      <c r="B4" s="72" t="s">
        <v>16</v>
      </c>
      <c r="C4" s="73"/>
      <c r="D4" s="74">
        <f>SUM(I2,D15:D17)/IF(J4&gt;26,26,J4)/8*C4*150%</f>
        <v>0</v>
      </c>
      <c r="E4" s="9"/>
      <c r="F4" s="166" t="s">
        <v>17</v>
      </c>
      <c r="G4" s="166"/>
      <c r="H4" s="166"/>
      <c r="I4" s="166"/>
      <c r="J4" s="15">
        <f>EOMONTH(DATE(G1,D1,1),0)-DATE(G1,D1,1)+1-INT((EOMONTH(DATE(G1,D1,1),0)-DATE(G1,D1,1)-WEEKDAY(EOMONTH(DATE(G1,D1,1),0)-7)+8)/7)</f>
        <v>27</v>
      </c>
      <c r="K4" s="4"/>
      <c r="L4" s="16">
        <v>200000</v>
      </c>
      <c r="M4" s="16">
        <v>100000</v>
      </c>
    </row>
    <row r="5" spans="1:13" ht="15.75" customHeight="1" x14ac:dyDescent="0.25">
      <c r="A5" s="165"/>
      <c r="B5" s="69" t="s">
        <v>19</v>
      </c>
      <c r="C5" s="75"/>
      <c r="D5" s="76">
        <f>SUM(I2,D15:D17)/IF(J4&gt;26,26,J4)/8*C5*200%</f>
        <v>0</v>
      </c>
      <c r="E5" s="9"/>
      <c r="F5" s="116" t="s">
        <v>20</v>
      </c>
      <c r="G5" s="117"/>
      <c r="H5" s="117"/>
      <c r="I5" s="117"/>
      <c r="J5" s="118"/>
      <c r="K5" s="4"/>
      <c r="L5" s="16">
        <v>300000</v>
      </c>
    </row>
    <row r="6" spans="1:13" ht="15.75" customHeight="1" x14ac:dyDescent="0.25">
      <c r="A6" s="165"/>
      <c r="B6" s="72" t="s">
        <v>21</v>
      </c>
      <c r="C6" s="73"/>
      <c r="D6" s="77">
        <f>SUM(I2,D15:D17)/IF(J4&gt;26,26,J4)/8*C6*30%</f>
        <v>0</v>
      </c>
      <c r="E6" s="9"/>
      <c r="F6" s="20" t="s">
        <v>1</v>
      </c>
      <c r="G6" s="20" t="s">
        <v>7</v>
      </c>
      <c r="H6" s="20" t="s">
        <v>22</v>
      </c>
      <c r="I6" s="20" t="s">
        <v>23</v>
      </c>
      <c r="J6" s="20" t="s">
        <v>8</v>
      </c>
      <c r="K6" s="4"/>
      <c r="L6" s="16">
        <v>400000</v>
      </c>
    </row>
    <row r="7" spans="1:13" ht="15.75" customHeight="1" x14ac:dyDescent="0.25">
      <c r="A7" s="172" t="s">
        <v>24</v>
      </c>
      <c r="B7" s="69" t="s">
        <v>25</v>
      </c>
      <c r="C7" s="70"/>
      <c r="D7" s="76">
        <f>I2/IF(J4&gt;26,26,J4)*C7*200%</f>
        <v>0</v>
      </c>
      <c r="E7" s="9"/>
      <c r="F7" s="126"/>
      <c r="G7" s="28" t="s">
        <v>26</v>
      </c>
      <c r="H7" s="29"/>
      <c r="I7" s="30"/>
      <c r="J7" s="31">
        <f>H7*I7*I2/IF(J4&gt;26,26,J4)/8</f>
        <v>0</v>
      </c>
      <c r="K7" s="4"/>
      <c r="L7" s="16"/>
    </row>
    <row r="8" spans="1:13" ht="15.75" customHeight="1" x14ac:dyDescent="0.25">
      <c r="A8" s="172"/>
      <c r="B8" s="72" t="s">
        <v>27</v>
      </c>
      <c r="C8" s="73"/>
      <c r="D8" s="77">
        <f>SUM(I2,D15:D17)/IF(J4&gt;26,26,J4)/8*C8*300%</f>
        <v>0</v>
      </c>
      <c r="E8" s="9"/>
      <c r="F8" s="126"/>
      <c r="G8" s="35" t="s">
        <v>28</v>
      </c>
      <c r="H8" s="36"/>
      <c r="I8" s="37"/>
      <c r="J8" s="39">
        <f>H8*I8*SUM($I$2,$D$15:$D$17)/IF($J$4&gt;26,26,$J$4)/8</f>
        <v>0</v>
      </c>
      <c r="K8" s="4"/>
      <c r="L8" s="38" t="s">
        <v>29</v>
      </c>
    </row>
    <row r="9" spans="1:13" ht="15.75" customHeight="1" x14ac:dyDescent="0.25">
      <c r="A9" s="172"/>
      <c r="B9" s="69" t="s">
        <v>30</v>
      </c>
      <c r="C9" s="75"/>
      <c r="D9" s="76">
        <f>SUM(I2,D15:D17)/IF(J4&gt;26,26,J4)/8*C9*340%</f>
        <v>0</v>
      </c>
      <c r="E9" s="9"/>
      <c r="F9" s="126"/>
      <c r="G9" s="28" t="s">
        <v>31</v>
      </c>
      <c r="H9" s="29"/>
      <c r="I9" s="30"/>
      <c r="J9" s="31">
        <f>H9*I9*I2/IF(J4&gt;26,26,J4)/8</f>
        <v>0</v>
      </c>
      <c r="K9" s="4"/>
      <c r="L9" s="10">
        <v>0</v>
      </c>
    </row>
    <row r="10" spans="1:13" ht="15.75" customHeight="1" x14ac:dyDescent="0.25">
      <c r="A10" s="172"/>
      <c r="B10" s="72" t="s">
        <v>32</v>
      </c>
      <c r="C10" s="73"/>
      <c r="D10" s="77">
        <f>SUM(I2,D15:D17)/IF(J4&gt;26,26,J4)/8*C10*70%</f>
        <v>0</v>
      </c>
      <c r="E10" s="9"/>
      <c r="F10" s="126"/>
      <c r="G10" s="35" t="s">
        <v>26</v>
      </c>
      <c r="H10" s="36"/>
      <c r="I10" s="37"/>
      <c r="J10" s="39">
        <f>H10*I10*I2/IF(J4&gt;26,26,J4)/8</f>
        <v>0</v>
      </c>
      <c r="K10" s="4"/>
      <c r="L10" s="16">
        <v>1500000</v>
      </c>
    </row>
    <row r="11" spans="1:13" ht="15.75" customHeight="1" x14ac:dyDescent="0.25">
      <c r="A11" s="170" t="s">
        <v>33</v>
      </c>
      <c r="B11" s="170"/>
      <c r="C11" s="70"/>
      <c r="D11" s="76">
        <f>$I$2/IF(J4&gt;26,26,J4)*C11</f>
        <v>0</v>
      </c>
      <c r="E11" s="9"/>
      <c r="F11" s="126"/>
      <c r="G11" s="28" t="s">
        <v>28</v>
      </c>
      <c r="H11" s="29"/>
      <c r="I11" s="30"/>
      <c r="J11" s="31">
        <f>H11*I11*SUM($I$2,$D$15:$D$17)/IF($J$4&gt;26,26,$J$4)/8</f>
        <v>0</v>
      </c>
      <c r="K11" s="4"/>
      <c r="L11" s="16">
        <v>2500000</v>
      </c>
    </row>
    <row r="12" spans="1:13" ht="15.75" customHeight="1" x14ac:dyDescent="0.25">
      <c r="A12" s="173" t="s">
        <v>34</v>
      </c>
      <c r="B12" s="173"/>
      <c r="C12" s="78"/>
      <c r="D12" s="79">
        <f>$I$2/IF(J4&gt;26,26,J4)*C12</f>
        <v>0</v>
      </c>
      <c r="E12" s="9"/>
      <c r="F12" s="126"/>
      <c r="G12" s="35" t="s">
        <v>31</v>
      </c>
      <c r="H12" s="36"/>
      <c r="I12" s="37"/>
      <c r="J12" s="39">
        <f>H12*I12*I2/IF(J4&gt;26,26,J4)/8</f>
        <v>0</v>
      </c>
      <c r="K12" s="4"/>
      <c r="L12" s="16">
        <v>3000000</v>
      </c>
    </row>
    <row r="13" spans="1:13" ht="15.75" customHeight="1" x14ac:dyDescent="0.25">
      <c r="A13" s="170" t="s">
        <v>35</v>
      </c>
      <c r="B13" s="170"/>
      <c r="C13" s="170"/>
      <c r="D13" s="80">
        <v>200000</v>
      </c>
      <c r="E13" s="9"/>
      <c r="F13" s="126"/>
      <c r="G13" s="28" t="s">
        <v>26</v>
      </c>
      <c r="H13" s="29"/>
      <c r="I13" s="30"/>
      <c r="J13" s="31">
        <f>H13*I13*I2/IF(J4&gt;26,26,J4)/8</f>
        <v>0</v>
      </c>
      <c r="K13" s="44"/>
      <c r="L13" s="16">
        <v>4000000</v>
      </c>
    </row>
    <row r="14" spans="1:13" ht="15.75" customHeight="1" x14ac:dyDescent="0.25">
      <c r="A14" s="171" t="s">
        <v>64</v>
      </c>
      <c r="B14" s="171"/>
      <c r="C14" s="171"/>
      <c r="D14" s="81">
        <v>200000</v>
      </c>
      <c r="E14" s="4"/>
      <c r="F14" s="126"/>
      <c r="G14" s="35" t="s">
        <v>28</v>
      </c>
      <c r="H14" s="36"/>
      <c r="I14" s="37"/>
      <c r="J14" s="39">
        <f>H14*I14*SUM($I$2,$D$15:$D$17)/IF($J$4&gt;26,26,$J$4)/8</f>
        <v>0</v>
      </c>
      <c r="K14" s="4"/>
      <c r="L14" s="16">
        <v>5000000</v>
      </c>
    </row>
    <row r="15" spans="1:13" ht="15.75" customHeight="1" x14ac:dyDescent="0.25">
      <c r="A15" s="170" t="s">
        <v>37</v>
      </c>
      <c r="B15" s="170"/>
      <c r="C15" s="170"/>
      <c r="D15" s="80">
        <v>200000</v>
      </c>
      <c r="E15" s="4"/>
      <c r="F15" s="126"/>
      <c r="G15" s="28" t="s">
        <v>31</v>
      </c>
      <c r="H15" s="29"/>
      <c r="I15" s="30"/>
      <c r="J15" s="31">
        <f>H15*I15*I2/IF(J4&gt;26,26,J4)/8</f>
        <v>0</v>
      </c>
      <c r="K15" s="4"/>
      <c r="L15" s="47"/>
    </row>
    <row r="16" spans="1:13" ht="15.75" customHeight="1" x14ac:dyDescent="0.25">
      <c r="A16" s="171" t="s">
        <v>38</v>
      </c>
      <c r="B16" s="171"/>
      <c r="C16" s="171"/>
      <c r="D16" s="81">
        <v>0</v>
      </c>
      <c r="E16" s="4"/>
      <c r="F16" s="137"/>
      <c r="G16" s="35" t="s">
        <v>26</v>
      </c>
      <c r="H16" s="36"/>
      <c r="I16" s="37"/>
      <c r="J16" s="39">
        <f>H16*I16*I2/IF(J4&gt;26,26,J4)/8</f>
        <v>0</v>
      </c>
      <c r="K16" s="4"/>
      <c r="L16" s="47" t="s">
        <v>39</v>
      </c>
    </row>
    <row r="17" spans="1:12" ht="15.75" customHeight="1" x14ac:dyDescent="0.25">
      <c r="A17" s="170" t="s">
        <v>40</v>
      </c>
      <c r="B17" s="170"/>
      <c r="C17" s="170"/>
      <c r="D17" s="80">
        <v>500000</v>
      </c>
      <c r="E17" s="4"/>
      <c r="F17" s="138"/>
      <c r="G17" s="28" t="s">
        <v>28</v>
      </c>
      <c r="H17" s="29"/>
      <c r="I17" s="30"/>
      <c r="J17" s="31">
        <f>H17*I17*SUM($I$2,$D$15:$D$17)/IF($J$4&gt;26,26,$J$4)/8</f>
        <v>0</v>
      </c>
      <c r="K17" s="4"/>
      <c r="L17" s="16">
        <f>ROUND(1.5*L19/1000,0)*1000</f>
        <v>300000</v>
      </c>
    </row>
    <row r="18" spans="1:12" ht="15.75" customHeight="1" x14ac:dyDescent="0.25">
      <c r="A18" s="171" t="s">
        <v>41</v>
      </c>
      <c r="B18" s="171"/>
      <c r="C18" s="171"/>
      <c r="D18" s="81">
        <v>0</v>
      </c>
      <c r="E18" s="4"/>
      <c r="F18" s="139"/>
      <c r="G18" s="35" t="s">
        <v>31</v>
      </c>
      <c r="H18" s="36"/>
      <c r="I18" s="37"/>
      <c r="J18" s="39">
        <f>H18*I18*I2/IF(J4&gt;26,26,J4)/8</f>
        <v>0</v>
      </c>
      <c r="K18" s="4"/>
      <c r="L18" s="16">
        <f>ROUND(1.3*L19/1000,0)*1000</f>
        <v>260000</v>
      </c>
    </row>
    <row r="19" spans="1:12" ht="15.75" customHeight="1" x14ac:dyDescent="0.25">
      <c r="A19" s="170" t="s">
        <v>42</v>
      </c>
      <c r="B19" s="170"/>
      <c r="C19" s="170"/>
      <c r="D19" s="80">
        <v>0</v>
      </c>
      <c r="E19" s="4"/>
      <c r="F19" s="176" t="s">
        <v>70</v>
      </c>
      <c r="G19" s="176"/>
      <c r="H19" s="176"/>
      <c r="I19" s="176"/>
      <c r="J19" s="176"/>
      <c r="K19" s="4"/>
      <c r="L19" s="16">
        <f>I3</f>
        <v>200000</v>
      </c>
    </row>
    <row r="20" spans="1:12" ht="15.75" customHeight="1" x14ac:dyDescent="0.25">
      <c r="A20" s="171" t="s">
        <v>44</v>
      </c>
      <c r="B20" s="171"/>
      <c r="C20" s="171"/>
      <c r="D20" s="81"/>
      <c r="E20" s="4"/>
      <c r="F20" s="179" t="s">
        <v>71</v>
      </c>
      <c r="G20" s="179"/>
      <c r="H20" s="179"/>
      <c r="J20" s="4"/>
      <c r="K20" s="4"/>
      <c r="L20" s="16">
        <f>ROUND(0.7*L19/1000,0)*1000</f>
        <v>140000</v>
      </c>
    </row>
    <row r="21" spans="1:12" ht="15.75" customHeight="1" x14ac:dyDescent="0.3">
      <c r="A21" s="170" t="s">
        <v>20</v>
      </c>
      <c r="B21" s="170"/>
      <c r="C21" s="170"/>
      <c r="D21" s="76">
        <f>SUM(J7:J18)</f>
        <v>0</v>
      </c>
      <c r="E21" s="4"/>
      <c r="F21" s="179"/>
      <c r="G21" s="179"/>
      <c r="H21" s="179"/>
      <c r="I21" s="93"/>
      <c r="J21" s="4"/>
      <c r="K21" s="4"/>
      <c r="L21" s="16">
        <f>ROUND(0.5*L19/1000,0)*1000</f>
        <v>100000</v>
      </c>
    </row>
    <row r="22" spans="1:12" ht="15.75" customHeight="1" x14ac:dyDescent="0.3">
      <c r="A22" s="177" t="s">
        <v>45</v>
      </c>
      <c r="B22" s="177"/>
      <c r="C22" s="177"/>
      <c r="D22" s="82">
        <f>SUM(D3:D21)</f>
        <v>1100000</v>
      </c>
      <c r="E22" s="49"/>
      <c r="F22" s="179"/>
      <c r="G22" s="179"/>
      <c r="H22" s="179"/>
      <c r="I22" s="93"/>
      <c r="J22" s="4"/>
      <c r="K22" s="4"/>
      <c r="L22" s="47"/>
    </row>
    <row r="23" spans="1:12" ht="15.75" customHeight="1" x14ac:dyDescent="0.3">
      <c r="A23" s="178" t="s">
        <v>46</v>
      </c>
      <c r="B23" s="178"/>
      <c r="C23" s="178"/>
      <c r="D23" s="83">
        <f>SUM(I2,D15:D16)*10.5%</f>
        <v>557550</v>
      </c>
      <c r="E23" s="51"/>
      <c r="F23" s="179"/>
      <c r="G23" s="179"/>
      <c r="H23" s="179"/>
      <c r="I23" s="93"/>
      <c r="J23" s="4"/>
      <c r="K23" s="4"/>
      <c r="L23" s="47" t="s">
        <v>47</v>
      </c>
    </row>
    <row r="24" spans="1:12" ht="15.75" customHeight="1" x14ac:dyDescent="0.25">
      <c r="A24" s="174" t="s">
        <v>48</v>
      </c>
      <c r="B24" s="174"/>
      <c r="C24" s="174"/>
      <c r="D24" s="84">
        <f>SUM(I2,D15:D16)*1%</f>
        <v>53100</v>
      </c>
      <c r="E24" s="4"/>
      <c r="F24" s="179"/>
      <c r="G24" s="179"/>
      <c r="H24" s="179"/>
      <c r="I24" s="4"/>
      <c r="J24" s="4"/>
      <c r="K24" s="53"/>
      <c r="L24" s="10">
        <v>0</v>
      </c>
    </row>
    <row r="25" spans="1:12" ht="15.75" customHeight="1" x14ac:dyDescent="0.25">
      <c r="A25" s="175" t="s">
        <v>49</v>
      </c>
      <c r="B25" s="175"/>
      <c r="C25" s="175"/>
      <c r="D25" s="86">
        <f>D22-D23-D24</f>
        <v>489350</v>
      </c>
      <c r="E25" s="54"/>
      <c r="F25" s="179"/>
      <c r="G25" s="179"/>
      <c r="H25" s="179"/>
      <c r="I25" s="4"/>
      <c r="J25" s="4"/>
      <c r="K25" s="55"/>
      <c r="L25" s="16">
        <v>50000</v>
      </c>
    </row>
    <row r="26" spans="1:12" ht="15.75" hidden="1" customHeight="1" x14ac:dyDescent="0.25">
      <c r="A26" s="4"/>
      <c r="C26" s="4"/>
      <c r="D26" s="4"/>
      <c r="E26" s="4"/>
      <c r="F26" s="94"/>
      <c r="G26" s="94"/>
      <c r="H26" s="94"/>
      <c r="I26" s="94"/>
      <c r="J26" s="94"/>
      <c r="K26" s="55"/>
      <c r="L26" s="16">
        <v>100000</v>
      </c>
    </row>
    <row r="27" spans="1:12" ht="15.75" hidden="1" customHeight="1" x14ac:dyDescent="0.25">
      <c r="E27" s="88"/>
      <c r="F27" s="94"/>
      <c r="G27" s="94"/>
      <c r="H27" s="94"/>
      <c r="I27" s="94"/>
      <c r="J27" s="94"/>
      <c r="K27" s="4"/>
      <c r="L27" s="16">
        <v>150000</v>
      </c>
    </row>
    <row r="28" spans="1:12" ht="15.75" hidden="1" customHeight="1" x14ac:dyDescent="0.25">
      <c r="E28" s="88"/>
      <c r="F28" s="88"/>
      <c r="G28" s="88"/>
      <c r="H28" s="88"/>
      <c r="I28" s="88"/>
      <c r="J28" s="88"/>
      <c r="K28" s="55"/>
      <c r="L28" s="16">
        <v>200000</v>
      </c>
    </row>
    <row r="29" spans="1:12" ht="15.75" hidden="1" customHeight="1" x14ac:dyDescent="0.25">
      <c r="E29" s="88"/>
      <c r="F29" s="88"/>
      <c r="G29" s="88"/>
      <c r="H29" s="88"/>
      <c r="I29" s="88"/>
      <c r="J29" s="88"/>
      <c r="K29" s="58"/>
      <c r="L29" s="16">
        <v>250000</v>
      </c>
    </row>
    <row r="30" spans="1:12" ht="15.75" hidden="1" customHeight="1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58"/>
      <c r="L30" s="59">
        <v>300000</v>
      </c>
    </row>
    <row r="31" spans="1:12" ht="16.5" hidden="1" customHeight="1" x14ac:dyDescent="0.25">
      <c r="A31" s="88"/>
      <c r="B31" s="88"/>
      <c r="C31" s="88"/>
      <c r="D31" s="88"/>
      <c r="E31" s="60"/>
      <c r="F31" s="88"/>
      <c r="G31" s="88"/>
      <c r="H31" s="88"/>
      <c r="I31" s="88"/>
      <c r="J31" s="88"/>
      <c r="K31" s="58"/>
      <c r="L31" s="62"/>
    </row>
    <row r="32" spans="1:12" ht="16.5" hidden="1" customHeight="1" x14ac:dyDescent="0.25">
      <c r="A32" s="88"/>
      <c r="B32" s="88"/>
      <c r="C32" s="88"/>
      <c r="D32" s="88"/>
      <c r="E32" s="60"/>
      <c r="F32" s="87"/>
      <c r="G32" s="87"/>
      <c r="H32" s="87"/>
      <c r="I32" s="61"/>
      <c r="J32" s="61"/>
      <c r="K32" s="58"/>
      <c r="L32" s="85">
        <v>0.9</v>
      </c>
    </row>
    <row r="33" spans="1:12" ht="16.5" hidden="1" customHeight="1" x14ac:dyDescent="0.25">
      <c r="A33" s="88"/>
      <c r="B33" s="88"/>
      <c r="C33" s="88"/>
      <c r="D33" s="88"/>
      <c r="E33" s="60"/>
      <c r="F33" s="87"/>
      <c r="G33" s="87"/>
      <c r="H33" s="87"/>
      <c r="K33" s="58"/>
      <c r="L33" s="85">
        <v>3</v>
      </c>
    </row>
    <row r="34" spans="1:12" ht="16.5" hidden="1" customHeight="1" x14ac:dyDescent="0.25">
      <c r="A34" s="88"/>
      <c r="B34" s="88"/>
      <c r="C34" s="88"/>
      <c r="D34" s="88"/>
      <c r="E34" s="64"/>
      <c r="F34" s="87"/>
      <c r="G34" s="87"/>
      <c r="H34" s="87"/>
      <c r="K34" s="58"/>
      <c r="L34" s="85">
        <v>5</v>
      </c>
    </row>
    <row r="35" spans="1:12" ht="16.5" hidden="1" customHeight="1" x14ac:dyDescent="0.25">
      <c r="A35" s="88"/>
      <c r="B35" s="88"/>
      <c r="C35" s="88"/>
      <c r="D35" s="88"/>
      <c r="E35" s="60"/>
      <c r="F35" s="92"/>
      <c r="G35" s="92"/>
      <c r="H35" s="92"/>
      <c r="K35" s="58"/>
      <c r="L35" s="85">
        <v>3.8</v>
      </c>
    </row>
    <row r="36" spans="1:12" ht="16.5" hidden="1" customHeight="1" x14ac:dyDescent="0.25">
      <c r="A36" s="88"/>
      <c r="B36" s="88"/>
      <c r="C36" s="88"/>
      <c r="D36" s="88"/>
      <c r="E36" s="60"/>
      <c r="F36" s="92"/>
      <c r="G36" s="92"/>
      <c r="H36" s="92"/>
      <c r="K36" s="58"/>
      <c r="L36" s="85">
        <v>4.5</v>
      </c>
    </row>
    <row r="37" spans="1:12" ht="16.5" hidden="1" customHeight="1" x14ac:dyDescent="0.25">
      <c r="A37" s="89"/>
      <c r="B37" s="89"/>
      <c r="C37" s="89"/>
      <c r="D37" s="89"/>
      <c r="E37" s="60"/>
      <c r="F37" s="92"/>
      <c r="G37" s="92"/>
      <c r="H37" s="92"/>
      <c r="K37" s="4"/>
      <c r="L37" s="85">
        <v>5.0999999999999996</v>
      </c>
    </row>
    <row r="38" spans="1:12" ht="15" hidden="1" customHeight="1" x14ac:dyDescent="0.25">
      <c r="A38" s="89"/>
      <c r="B38" s="89"/>
      <c r="C38" s="89"/>
      <c r="D38" s="89"/>
      <c r="F38" s="92"/>
      <c r="G38" s="92"/>
      <c r="H38" s="92"/>
    </row>
  </sheetData>
  <sheetProtection algorithmName="SHA-512" hashValue="mz1T90FkhNKxfTTz9hqbo23rtXXSA369T+BnQ3/d/6tm7IjzSLAxt4PvZ7KP0Aufar9MvxOdqEUIWTapr/CYUg==" saltValue="em37ceHn1TjknTN59Q1FhA==" spinCount="100000" sheet="1" objects="1" scenarios="1" selectLockedCells="1"/>
  <mergeCells count="32">
    <mergeCell ref="A24:C24"/>
    <mergeCell ref="A25:C25"/>
    <mergeCell ref="A21:C21"/>
    <mergeCell ref="F19:J19"/>
    <mergeCell ref="A20:C20"/>
    <mergeCell ref="A22:C22"/>
    <mergeCell ref="A23:C23"/>
    <mergeCell ref="A19:C19"/>
    <mergeCell ref="F20:H25"/>
    <mergeCell ref="A7:A10"/>
    <mergeCell ref="F7:F9"/>
    <mergeCell ref="F10:F12"/>
    <mergeCell ref="A11:B11"/>
    <mergeCell ref="A12:B12"/>
    <mergeCell ref="A13:C13"/>
    <mergeCell ref="F13:F15"/>
    <mergeCell ref="A14:C14"/>
    <mergeCell ref="A15:C15"/>
    <mergeCell ref="A16:C16"/>
    <mergeCell ref="F16:F18"/>
    <mergeCell ref="A17:C17"/>
    <mergeCell ref="A18:C18"/>
    <mergeCell ref="A1:C1"/>
    <mergeCell ref="H1:J1"/>
    <mergeCell ref="A2:B2"/>
    <mergeCell ref="F2:H2"/>
    <mergeCell ref="I2:J2"/>
    <mergeCell ref="A3:A6"/>
    <mergeCell ref="F3:H3"/>
    <mergeCell ref="I3:J3"/>
    <mergeCell ref="F4:I4"/>
    <mergeCell ref="F5:J5"/>
  </mergeCells>
  <dataValidations count="9">
    <dataValidation type="list" allowBlank="1" showInputMessage="1" prompt="Nghỉ ốm, việc riêng, đi muộn, về sớm quá 8 giờ 1 tháng mất chuyên cần" sqref="D14" xr:uid="{1C4997C3-DBB6-4A4D-A41C-9454D21E20B9}">
      <formula1>$L$3:$L$4</formula1>
    </dataValidation>
    <dataValidation type="list" allowBlank="1" showInputMessage="1" prompt="Ngày lễ: 300%_x000a_Ngày tết: 500%" sqref="I7 I16 I13 I10" xr:uid="{89E38179-1D8F-4583-A4B8-5D812EBDA18B}">
      <formula1>$L$33:$L$34</formula1>
    </dataValidation>
    <dataValidation type="list" allowBlank="1" showInputMessage="1" prompt="Thông ca chủ nhật: 380%_x000a_Tăng ca ngày lễ: 450%_x000a_Tăng ca đêm lễ: 510%" sqref="I8 I17 I14 I11" xr:uid="{543E9214-3AAE-4FC9-A8D6-E5CB054796A8}">
      <formula1>$L$35:$L$37</formula1>
    </dataValidation>
    <dataValidation type="list" allowBlank="1" showInputMessage="1" prompt="Ngày lễ: 90%_x000a_Ngày tết: 90%_x000a_Thông ca: 0%" sqref="I9 I18 I15 I12" xr:uid="{FCD003AD-9906-4063-9D99-619D85E79CBB}">
      <formula1>$L$32</formula1>
    </dataValidation>
    <dataValidation type="list" allowBlank="1" showInputMessage="1" sqref="D19" xr:uid="{EC765F73-D3D3-4C72-B8B8-235626F8E0E7}">
      <formula1>$L$24:$L$30</formula1>
    </dataValidation>
    <dataValidation type="list" allowBlank="1" showInputMessage="1" prompt="- Trợ Lý: 1.500.000_x000a_- Tổ Trưởng: 2.500.000_x000a_- Trưởng ca: 3.000.000_x000a_- Phó quản lý: 4.000.000_x000a_- Quản lý: 5.000.000" sqref="D18" xr:uid="{E7F4784D-605F-4733-86CA-9FF473C4654D}">
      <formula1>$L$9:$L$14</formula1>
    </dataValidation>
    <dataValidation type="list" allowBlank="1" showInputMessage="1" sqref="D13" xr:uid="{A9E63241-CE70-407F-AC82-0A45344D41AF}">
      <formula1>$L$17:$L$21</formula1>
    </dataValidation>
    <dataValidation type="list" allowBlank="1" showInputMessage="1" prompt="- Dưới 1 năm: 200.000_x000a_- Dưới 2 năm: 300.000_x000a_- 2 năm trở lên: 400.000" sqref="D15" xr:uid="{023E8684-5C8B-404A-A4A4-544D5E01D4E7}">
      <formula1>$L$4:$L$6</formula1>
    </dataValidation>
    <dataValidation type="list" allowBlank="1" showInputMessage="1" prompt="Sơ cấp cứu: 100.000" sqref="D16" xr:uid="{E52F45F1-0949-466E-B73A-EE87B168DE0E}">
      <formula1>$M$3:$M$4</formula1>
    </dataValidation>
  </dataValidations>
  <hyperlinks>
    <hyperlink ref="F20:H25" r:id="rId1" display="https://tinhluong.pages.dev/" xr:uid="{37EA1A61-5E16-4CCF-BE16-8A1A7DBFEC3A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Chấm công mới</vt:lpstr>
      <vt:lpstr>Tính lương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OQC FILM SAMJUVINA</dc:creator>
  <cp:keywords/>
  <dc:description/>
  <cp:lastModifiedBy>OQC FILM SAMJUVINA</cp:lastModifiedBy>
  <cp:revision/>
  <dcterms:created xsi:type="dcterms:W3CDTF">2025-04-18T10:58:25Z</dcterms:created>
  <dcterms:modified xsi:type="dcterms:W3CDTF">2025-07-26T22:54:14Z</dcterms:modified>
  <cp:category/>
  <cp:contentStatus/>
</cp:coreProperties>
</file>