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BUY\"/>
    </mc:Choice>
  </mc:AlternateContent>
  <xr:revisionPtr revIDLastSave="0" documentId="13_ncr:1_{3E65FDCB-F088-42F0-8CBF-1DD0D4984A8D}" xr6:coauthVersionLast="45" xr6:coauthVersionMax="45" xr10:uidLastSave="{00000000-0000-0000-0000-000000000000}"/>
  <bookViews>
    <workbookView xWindow="-108" yWindow="-108" windowWidth="23256" windowHeight="12576" tabRatio="850" activeTab="4" xr2:uid="{00000000-000D-0000-FFFF-FFFF00000000}"/>
  </bookViews>
  <sheets>
    <sheet name="BUY Fact Sheet Backup" sheetId="3" r:id="rId1"/>
    <sheet name="BUY Portfolio" sheetId="5" r:id="rId2"/>
    <sheet name="BUY" sheetId="4" r:id="rId3"/>
    <sheet name="BUY_EXPORT_AnnualReturn" sheetId="6" r:id="rId4"/>
    <sheet name="BUY_EXPORT_PortfolioSector" sheetId="7" r:id="rId5"/>
    <sheet name="BUY_EXPORT_PerformanceTable" sheetId="8" r:id="rId6"/>
    <sheet name="BUY_EXPORT_PortCharacter" sheetId="9" r:id="rId7"/>
    <sheet name="BUY_EXPORT_TopHoldings" sheetId="10" r:id="rId8"/>
    <sheet name="BUY_EXPORT_PerformanceRisks" sheetId="11" r:id="rId9"/>
  </sheets>
  <definedNames>
    <definedName name="__FDS_HYPERLINK_TOGGLE_STATE__" hidden="1">"ON"</definedName>
    <definedName name="__FDS_UNIQUE_RANGE_ID_GENERATOR_COUNTER" hidden="1">7</definedName>
    <definedName name="_1__FDSAUDITLINK__" localSheetId="0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1__FDSAUDITLINK__" localSheetId="1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localSheetId="0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2__FDSAUDITLINK__" localSheetId="1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localSheetId="0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3__FDSAUDITLINK__" localSheetId="1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localSheetId="0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4__FDSAUDITLINK__" localSheetId="1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localSheetId="0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5__FDSAUDITLINK__" localSheetId="1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localSheetId="0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6__FDSAUDITLINK__" localSheetId="1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BUY!$1:$2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6" i="3" l="1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A48" i="3"/>
  <c r="A49" i="3" s="1"/>
  <c r="C47" i="3"/>
  <c r="C46" i="3"/>
  <c r="C45" i="3"/>
  <c r="C44" i="3"/>
  <c r="C43" i="3"/>
  <c r="C42" i="3"/>
  <c r="C41" i="3"/>
  <c r="C40" i="3"/>
  <c r="C39" i="3"/>
  <c r="C38" i="3"/>
  <c r="C37" i="3"/>
  <c r="P36" i="3"/>
  <c r="O36" i="3"/>
  <c r="K36" i="3"/>
  <c r="C36" i="3"/>
  <c r="C35" i="3"/>
  <c r="C34" i="3"/>
  <c r="C33" i="3"/>
  <c r="L32" i="3"/>
  <c r="O32" i="3" s="1"/>
  <c r="C32" i="3"/>
  <c r="L31" i="3"/>
  <c r="O31" i="3" s="1"/>
  <c r="C31" i="3"/>
  <c r="L30" i="3"/>
  <c r="O30" i="3" s="1"/>
  <c r="C30" i="3"/>
  <c r="W29" i="3"/>
  <c r="V29" i="3"/>
  <c r="U29" i="3"/>
  <c r="T29" i="3"/>
  <c r="S29" i="3"/>
  <c r="M29" i="3"/>
  <c r="L29" i="3"/>
  <c r="C29" i="3"/>
  <c r="S28" i="3"/>
  <c r="C28" i="3"/>
  <c r="X27" i="3"/>
  <c r="C27" i="3"/>
  <c r="T26" i="3"/>
  <c r="C26" i="3"/>
  <c r="O25" i="3"/>
  <c r="N25" i="3"/>
  <c r="M25" i="3"/>
  <c r="C25" i="3"/>
  <c r="M24" i="3"/>
  <c r="C24" i="3"/>
  <c r="C23" i="3"/>
  <c r="T22" i="3"/>
  <c r="L12" i="3" s="1"/>
  <c r="O22" i="3"/>
  <c r="N22" i="3"/>
  <c r="M22" i="3"/>
  <c r="L22" i="3"/>
  <c r="C22" i="3"/>
  <c r="C21" i="3"/>
  <c r="C20" i="3"/>
  <c r="P19" i="3"/>
  <c r="O19" i="3"/>
  <c r="N19" i="3"/>
  <c r="M19" i="3"/>
  <c r="L19" i="3"/>
  <c r="C19" i="3"/>
  <c r="S18" i="3"/>
  <c r="C18" i="3"/>
  <c r="S17" i="3"/>
  <c r="C17" i="3"/>
  <c r="S16" i="3"/>
  <c r="C16" i="3"/>
  <c r="S15" i="3"/>
  <c r="P15" i="3"/>
  <c r="O15" i="3"/>
  <c r="N15" i="3"/>
  <c r="M15" i="3"/>
  <c r="L15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C15" i="3"/>
  <c r="X14" i="3"/>
  <c r="W14" i="3"/>
  <c r="V14" i="3"/>
  <c r="P14" i="3"/>
  <c r="O14" i="3"/>
  <c r="N14" i="3"/>
  <c r="M14" i="3"/>
  <c r="L14" i="3"/>
  <c r="C14" i="3"/>
  <c r="L13" i="3"/>
  <c r="C13" i="3"/>
  <c r="T12" i="3"/>
  <c r="P12" i="3"/>
  <c r="O12" i="3"/>
  <c r="N12" i="3"/>
  <c r="M12" i="3"/>
  <c r="C12" i="3"/>
  <c r="T11" i="3"/>
  <c r="C11" i="3"/>
  <c r="T10" i="3"/>
  <c r="C10" i="3"/>
  <c r="T9" i="3"/>
  <c r="C9" i="3"/>
  <c r="T8" i="3"/>
  <c r="C8" i="3"/>
  <c r="L7" i="3"/>
  <c r="C7" i="3"/>
  <c r="U6" i="3"/>
  <c r="U14" i="3" s="1"/>
  <c r="C6" i="3"/>
  <c r="C5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C4" i="3"/>
  <c r="H3" i="3"/>
  <c r="F3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C3" i="3"/>
  <c r="L3" i="3" s="1"/>
  <c r="F27" i="3" l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A50" i="3"/>
  <c r="L33" i="3"/>
  <c r="O33" i="3" s="1"/>
  <c r="M30" i="3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L9" i="3"/>
  <c r="L25" i="3"/>
  <c r="L10" i="3"/>
  <c r="M31" i="3" l="1"/>
  <c r="H27" i="3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A51" i="3"/>
  <c r="A52" i="3" l="1"/>
  <c r="M32" i="3"/>
  <c r="H39" i="3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B8" i="6"/>
  <c r="C8" i="6"/>
  <c r="H51" i="3" l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M33" i="3"/>
  <c r="A53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6" i="8"/>
  <c r="B8" i="8"/>
  <c r="C8" i="8"/>
  <c r="D8" i="8"/>
  <c r="E8" i="8"/>
  <c r="F8" i="8"/>
  <c r="A54" i="3" l="1"/>
  <c r="B2" i="8"/>
  <c r="C3" i="6"/>
  <c r="C4" i="6"/>
  <c r="C5" i="6"/>
  <c r="C6" i="6"/>
  <c r="C7" i="6"/>
  <c r="C2" i="6"/>
  <c r="A55" i="3" l="1"/>
  <c r="C3" i="11"/>
  <c r="C4" i="11"/>
  <c r="C2" i="11"/>
  <c r="B3" i="10"/>
  <c r="B4" i="10"/>
  <c r="B5" i="10"/>
  <c r="B6" i="10"/>
  <c r="B7" i="10"/>
  <c r="B8" i="10"/>
  <c r="B9" i="10"/>
  <c r="B10" i="10"/>
  <c r="B11" i="10"/>
  <c r="B2" i="10"/>
  <c r="A10" i="10"/>
  <c r="A11" i="10"/>
  <c r="A3" i="10"/>
  <c r="A4" i="10"/>
  <c r="A5" i="10"/>
  <c r="A6" i="10"/>
  <c r="A7" i="10"/>
  <c r="A8" i="10"/>
  <c r="A9" i="10"/>
  <c r="A2" i="10"/>
  <c r="B3" i="9"/>
  <c r="B4" i="9"/>
  <c r="B5" i="9"/>
  <c r="B2" i="9"/>
  <c r="C1" i="8"/>
  <c r="D1" i="8"/>
  <c r="E1" i="8"/>
  <c r="A1" i="8"/>
  <c r="A56" i="3" l="1"/>
  <c r="B3" i="7"/>
  <c r="B4" i="7"/>
  <c r="B5" i="7"/>
  <c r="B6" i="7"/>
  <c r="B7" i="7"/>
  <c r="B8" i="7"/>
  <c r="B2" i="7"/>
  <c r="A3" i="7"/>
  <c r="A4" i="7"/>
  <c r="A5" i="7"/>
  <c r="A6" i="7"/>
  <c r="A7" i="7"/>
  <c r="A8" i="7"/>
  <c r="A2" i="7"/>
  <c r="A3" i="6"/>
  <c r="A4" i="6"/>
  <c r="A5" i="6"/>
  <c r="A6" i="6"/>
  <c r="A7" i="6"/>
  <c r="A2" i="6"/>
  <c r="C1" i="6"/>
  <c r="B1" i="6"/>
  <c r="A57" i="3" l="1"/>
  <c r="B3" i="6"/>
  <c r="B4" i="6"/>
  <c r="B2" i="6"/>
  <c r="A58" i="3" l="1"/>
  <c r="B5" i="6"/>
  <c r="A59" i="3" l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U7" i="3" s="1"/>
  <c r="B1" i="8"/>
  <c r="V11" i="3" l="1"/>
  <c r="X10" i="3"/>
  <c r="X12" i="3"/>
  <c r="U11" i="3"/>
  <c r="V10" i="3"/>
  <c r="M36" i="3"/>
  <c r="X8" i="3"/>
  <c r="W12" i="3"/>
  <c r="X9" i="3"/>
  <c r="U8" i="3"/>
  <c r="W9" i="3"/>
  <c r="W8" i="3"/>
  <c r="M34" i="3"/>
  <c r="M35" i="3"/>
  <c r="X11" i="3"/>
  <c r="W11" i="3"/>
  <c r="V12" i="3"/>
  <c r="W7" i="3"/>
  <c r="U9" i="3"/>
  <c r="V9" i="3"/>
  <c r="L35" i="3"/>
  <c r="X7" i="3"/>
  <c r="V7" i="3"/>
  <c r="V8" i="3"/>
  <c r="L36" i="3"/>
  <c r="U10" i="3"/>
  <c r="L34" i="3"/>
  <c r="O34" i="3" s="1"/>
  <c r="B6" i="6" s="1"/>
  <c r="U12" i="3"/>
  <c r="W10" i="3"/>
  <c r="B4" i="11"/>
  <c r="B3" i="11"/>
  <c r="W17" i="3" l="1"/>
  <c r="V28" i="3" s="1"/>
  <c r="N18" i="3" s="1"/>
  <c r="D7" i="8" s="1"/>
  <c r="W18" i="3"/>
  <c r="W28" i="3" s="1"/>
  <c r="O18" i="3" s="1"/>
  <c r="E7" i="8" s="1"/>
  <c r="W16" i="3"/>
  <c r="U28" i="3" s="1"/>
  <c r="M18" i="3" s="1"/>
  <c r="C7" i="8" s="1"/>
  <c r="W15" i="3"/>
  <c r="T28" i="3" s="1"/>
  <c r="L18" i="3" s="1"/>
  <c r="B7" i="8" s="1"/>
  <c r="W19" i="3"/>
  <c r="U19" i="3"/>
  <c r="U17" i="3"/>
  <c r="V26" i="3" s="1"/>
  <c r="N13" i="3" s="1"/>
  <c r="D2" i="8" s="1"/>
  <c r="U16" i="3"/>
  <c r="U26" i="3" s="1"/>
  <c r="M13" i="3" s="1"/>
  <c r="C2" i="8" s="1"/>
  <c r="U18" i="3"/>
  <c r="W26" i="3" s="1"/>
  <c r="O13" i="3" s="1"/>
  <c r="E2" i="8" s="1"/>
  <c r="O35" i="3"/>
  <c r="B7" i="6" s="1"/>
  <c r="X19" i="3"/>
  <c r="V19" i="3"/>
  <c r="M23" i="3" s="1"/>
  <c r="V17" i="3"/>
  <c r="V27" i="3" s="1"/>
  <c r="N17" i="3" s="1"/>
  <c r="D6" i="8" s="1"/>
  <c r="V18" i="3"/>
  <c r="W27" i="3" s="1"/>
  <c r="O17" i="3" s="1"/>
  <c r="E6" i="8" s="1"/>
  <c r="V15" i="3"/>
  <c r="T27" i="3" s="1"/>
  <c r="L17" i="3" s="1"/>
  <c r="B6" i="8" s="1"/>
  <c r="V16" i="3"/>
  <c r="U27" i="3" s="1"/>
  <c r="M17" i="3" s="1"/>
  <c r="C6" i="8" s="1"/>
  <c r="W20" i="3" l="1"/>
  <c r="N23" i="3"/>
  <c r="U20" i="3"/>
  <c r="L23" i="3"/>
  <c r="O23" i="3"/>
  <c r="X20" i="3"/>
  <c r="X29" i="3" l="1"/>
  <c r="P16" i="3" s="1"/>
  <c r="F5" i="8" s="1"/>
  <c r="O24" i="3"/>
  <c r="X26" i="3"/>
  <c r="P13" i="3" s="1"/>
  <c r="F2" i="8" s="1"/>
  <c r="L24" i="3"/>
  <c r="L8" i="3"/>
  <c r="B2" i="11" s="1"/>
  <c r="N24" i="3"/>
  <c r="X28" i="3"/>
  <c r="P18" i="3" s="1"/>
  <c r="F7" i="8" s="1"/>
</calcChain>
</file>

<file path=xl/sharedStrings.xml><?xml version="1.0" encoding="utf-8"?>
<sst xmlns="http://schemas.openxmlformats.org/spreadsheetml/2006/main" count="298" uniqueCount="201">
  <si>
    <t>Date</t>
  </si>
  <si>
    <t>% Return</t>
  </si>
  <si>
    <t>CURRENT</t>
  </si>
  <si>
    <t>Risk Free Rate:</t>
  </si>
  <si>
    <t>Months:</t>
  </si>
  <si>
    <t>1YR</t>
  </si>
  <si>
    <t>Inception</t>
  </si>
  <si>
    <t>Current</t>
  </si>
  <si>
    <t>Cumulative Return</t>
  </si>
  <si>
    <t>Ann. Inception</t>
  </si>
  <si>
    <t>Sector Allocation</t>
  </si>
  <si>
    <t>Information Technology</t>
  </si>
  <si>
    <t>Consumer Staples</t>
  </si>
  <si>
    <t>Financials</t>
  </si>
  <si>
    <t>Consumer Discretionary</t>
  </si>
  <si>
    <t>Health Care</t>
  </si>
  <si>
    <t>Industrials</t>
  </si>
  <si>
    <t>Materials</t>
  </si>
  <si>
    <t>Utilities</t>
  </si>
  <si>
    <t>Energy</t>
  </si>
  <si>
    <t>Portfolio Valuation</t>
  </si>
  <si>
    <t>Average:</t>
  </si>
  <si>
    <t>Quoted in U.S. Dollar</t>
  </si>
  <si>
    <t>Median: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</si>
  <si>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</si>
  <si>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</si>
  <si>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</si>
  <si>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</si>
  <si>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</si>
  <si>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</si>
  <si>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</si>
  <si>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Sector</t>
  </si>
  <si>
    <t>P/E</t>
  </si>
  <si>
    <t>Market Cap ($ millions)</t>
  </si>
  <si>
    <t>% Assets</t>
  </si>
  <si>
    <t>BUYIX</t>
  </si>
  <si>
    <t>COLOR CODES</t>
  </si>
  <si>
    <t>From Gemini</t>
  </si>
  <si>
    <t>Included in Fact Sheet</t>
  </si>
  <si>
    <t>Not in Fact Sheet</t>
  </si>
  <si>
    <t>-</t>
  </si>
  <si>
    <t>Share Class/Benchmark</t>
  </si>
  <si>
    <t>Class A</t>
  </si>
  <si>
    <t>Class C</t>
  </si>
  <si>
    <t>Class A w/ Sales Charge</t>
  </si>
  <si>
    <t>Cumm. Inception</t>
  </si>
  <si>
    <t>RUS3000TR</t>
  </si>
  <si>
    <t>INCEPTION</t>
  </si>
  <si>
    <t>Class I</t>
  </si>
  <si>
    <t>PORTFOLIO CHARACTERISTICS</t>
  </si>
  <si>
    <t>Top Holdings</t>
  </si>
  <si>
    <t>Real Estate</t>
  </si>
  <si>
    <t>Cash</t>
  </si>
  <si>
    <t>3YR</t>
  </si>
  <si>
    <t>CUT &amp; PASTE FACT SHEET</t>
  </si>
  <si>
    <t>SP500TR</t>
  </si>
  <si>
    <t>04/30/2017</t>
  </si>
  <si>
    <t>05/31/2017</t>
  </si>
  <si>
    <t>06/30/2017</t>
  </si>
  <si>
    <t>YTD</t>
  </si>
  <si>
    <t>CATALYST BUYBACK STRATEGY FUND</t>
  </si>
  <si>
    <t>TOTAL - CATALYST BUYBACK STRATEGY FUND</t>
  </si>
  <si>
    <t>Mid-Cap Blend</t>
  </si>
  <si>
    <t>Communication Services</t>
  </si>
  <si>
    <t>5YR</t>
  </si>
  <si>
    <t>CATALYST BUYBACK STRATEGY FUND (1530)</t>
  </si>
  <si>
    <t>594918104</t>
  </si>
  <si>
    <t>MSFT</t>
  </si>
  <si>
    <t>Microsoft Corp</t>
  </si>
  <si>
    <t>037833100</t>
  </si>
  <si>
    <t>AAPL</t>
  </si>
  <si>
    <t>Apple Inc</t>
  </si>
  <si>
    <t>73278L105</t>
  </si>
  <si>
    <t>POOL</t>
  </si>
  <si>
    <t>Pool Corp</t>
  </si>
  <si>
    <t>931142103</t>
  </si>
  <si>
    <t>WMT</t>
  </si>
  <si>
    <t>256677105</t>
  </si>
  <si>
    <t>DG</t>
  </si>
  <si>
    <t>09062X103</t>
  </si>
  <si>
    <t>BIIB</t>
  </si>
  <si>
    <t>74736K101</t>
  </si>
  <si>
    <t>QRVO</t>
  </si>
  <si>
    <t>Qorvo Inc</t>
  </si>
  <si>
    <t>Label</t>
  </si>
  <si>
    <t>Data</t>
  </si>
  <si>
    <t>Since Inception*</t>
  </si>
  <si>
    <t>ID</t>
  </si>
  <si>
    <t>Value</t>
  </si>
  <si>
    <t>S&amp;P 500 TR</t>
  </si>
  <si>
    <t>68389X105</t>
  </si>
  <si>
    <t>ORCL</t>
  </si>
  <si>
    <t>742718109</t>
  </si>
  <si>
    <t>PG</t>
  </si>
  <si>
    <t>25754A201</t>
  </si>
  <si>
    <t>DPZ</t>
  </si>
  <si>
    <t>#N/A N/A</t>
  </si>
  <si>
    <t>Alpha:</t>
  </si>
  <si>
    <t>Beta:</t>
  </si>
  <si>
    <t>R-squared:</t>
  </si>
  <si>
    <t>Russell 3000 TR</t>
  </si>
  <si>
    <t>Sharpe Ratio:</t>
  </si>
  <si>
    <t>Standard Deviation:</t>
  </si>
  <si>
    <t>Long equity holdings:</t>
  </si>
  <si>
    <t>Avg. market capitalization:</t>
  </si>
  <si>
    <t>Median market capitalization:</t>
  </si>
  <si>
    <t>Median P/E ratio:</t>
  </si>
  <si>
    <t>GoDaddy Inc</t>
  </si>
  <si>
    <t>West Pharmaceutical Services I</t>
  </si>
  <si>
    <t>COMMON STOCKS</t>
  </si>
  <si>
    <t>574795100</t>
  </si>
  <si>
    <t>MASI</t>
  </si>
  <si>
    <t>380237107</t>
  </si>
  <si>
    <t>GDDY</t>
  </si>
  <si>
    <t>955306105</t>
  </si>
  <si>
    <t>WST</t>
  </si>
  <si>
    <t>02079K305</t>
  </si>
  <si>
    <t>GOOGL</t>
  </si>
  <si>
    <t>285512109</t>
  </si>
  <si>
    <t>EA</t>
  </si>
  <si>
    <t>26210C104</t>
  </si>
  <si>
    <t>DBX</t>
  </si>
  <si>
    <t>G9078F107</t>
  </si>
  <si>
    <t>TRTN</t>
  </si>
  <si>
    <t>74758T303</t>
  </si>
  <si>
    <t>QLYS</t>
  </si>
  <si>
    <t>303075105</t>
  </si>
  <si>
    <t>FDS</t>
  </si>
  <si>
    <t>896288107</t>
  </si>
  <si>
    <t>TNET</t>
  </si>
  <si>
    <t>743815102</t>
  </si>
  <si>
    <t>PRSC</t>
  </si>
  <si>
    <t>16359R103</t>
  </si>
  <si>
    <t>CHE</t>
  </si>
  <si>
    <t>156782104</t>
  </si>
  <si>
    <t>CERN</t>
  </si>
  <si>
    <t>TOTAL - COMMON STOCKS</t>
  </si>
  <si>
    <t>S&amp;P 500 TR Index</t>
  </si>
  <si>
    <t>Russell 3000 TR Index</t>
  </si>
  <si>
    <t>Long Equity Holdings</t>
  </si>
  <si>
    <t>Avg. Market Capitalization</t>
  </si>
  <si>
    <t>Median Market Capitalization</t>
  </si>
  <si>
    <t>Median P/E Ratio</t>
  </si>
  <si>
    <t>Alpha</t>
  </si>
  <si>
    <t>Beta</t>
  </si>
  <si>
    <t>R-Squared</t>
  </si>
  <si>
    <t>Triton International Ltd/Bermu</t>
  </si>
  <si>
    <t>Walmart Inc.</t>
  </si>
  <si>
    <t>Biogen Inc.</t>
  </si>
  <si>
    <t>Procter &amp; Gamble Company (The)</t>
  </si>
  <si>
    <t>62482R107</t>
  </si>
  <si>
    <t>COOP</t>
  </si>
  <si>
    <t>FactSet Research Systems Inc.</t>
  </si>
  <si>
    <t>Dropbox Inc.</t>
  </si>
  <si>
    <t>81619Q105</t>
  </si>
  <si>
    <t>SEM</t>
  </si>
  <si>
    <t>Select Medical Holdings Corporation</t>
  </si>
  <si>
    <t>74762E102</t>
  </si>
  <si>
    <t>PWR</t>
  </si>
  <si>
    <t>Quanta Services Inc.</t>
  </si>
  <si>
    <t>Oracle Corporation</t>
  </si>
  <si>
    <t>TriNet Group Inc.</t>
  </si>
  <si>
    <t>Dollar General Corporation</t>
  </si>
  <si>
    <t>Alphabet Inc.</t>
  </si>
  <si>
    <t>089302103</t>
  </si>
  <si>
    <t>BIG</t>
  </si>
  <si>
    <t>Big Lots Inc.</t>
  </si>
  <si>
    <t>Chemed Corporation</t>
  </si>
  <si>
    <t>78467J100</t>
  </si>
  <si>
    <t>SSNC</t>
  </si>
  <si>
    <t>SS&amp;C Technologies Holdings Inc.</t>
  </si>
  <si>
    <t>303250104</t>
  </si>
  <si>
    <t>FICO</t>
  </si>
  <si>
    <t>Fair Isaac Corporation</t>
  </si>
  <si>
    <t>Qualys Inc.</t>
  </si>
  <si>
    <t>Cerner Corporation</t>
  </si>
  <si>
    <t>$210.2B</t>
  </si>
  <si>
    <t>$18.1B</t>
  </si>
  <si>
    <t>Mr Cooper Group Inc</t>
  </si>
  <si>
    <t>Providence Service Corp/The</t>
  </si>
  <si>
    <t>Masimo Corp</t>
  </si>
  <si>
    <t>As of Date: 12/31/2020</t>
  </si>
  <si>
    <t>Electronic Arts Inc.</t>
  </si>
  <si>
    <t>Domino's Pizza Inc.</t>
  </si>
  <si>
    <t>084670702</t>
  </si>
  <si>
    <t>BRK/B</t>
  </si>
  <si>
    <t>Berkshire Hathaway Inc.</t>
  </si>
  <si>
    <t>#N/A Field Not Applicable</t>
  </si>
  <si>
    <t>592688105</t>
  </si>
  <si>
    <t>MTD</t>
  </si>
  <si>
    <t>Mettler-Toledo International Inc.</t>
  </si>
  <si>
    <t>49338L103</t>
  </si>
  <si>
    <t>KEYS</t>
  </si>
  <si>
    <t>Keysight Technologies Inc.</t>
  </si>
  <si>
    <t>126408103</t>
  </si>
  <si>
    <t>CSX</t>
  </si>
  <si>
    <t>CSX Corporation</t>
  </si>
  <si>
    <t>MONEY MARKET FUNDS</t>
  </si>
  <si>
    <t>8AMMF0A92</t>
  </si>
  <si>
    <t>US BANK MMDA - USBGFS5</t>
  </si>
  <si>
    <t>TOTAL - MONEY MARKET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</si>
</sst>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&quot;$&quot;#,##0.0"/>
    <numFmt numFmtId="170" formatCode="0.0000%"/>
    <numFmt numFmtId="171" formatCode="[$-10409]#,##0.000;\(#,##0.000\);0.000"/>
    <numFmt numFmtId="172" formatCode="[$-10409]#,##0.00;\(#,##0.00\)"/>
    <numFmt numFmtId="173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Univers LT Std 47 Cn Lt"/>
      <family val="2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theme="1"/>
      <name val="Calibri"/>
      <family val="2"/>
      <scheme val="minor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.5"/>
      <color theme="1"/>
      <name val="Roboto Condensed Light"/>
    </font>
    <font>
      <sz val="8.5"/>
      <color theme="1"/>
      <name val="Roboto Condensed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>
      <alignment wrapText="1"/>
    </xf>
    <xf numFmtId="164" fontId="1" fillId="0" borderId="0" applyFont="0" applyFill="0" applyBorder="0" applyAlignment="0" applyProtection="0"/>
  </cellStyleXfs>
  <cellXfs count="203">
    <xf numFmtId="0" fontId="0" fillId="0" borderId="0" xfId="0"/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right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43" fontId="17" fillId="0" borderId="9" xfId="1" applyFont="1" applyBorder="1" applyAlignment="1">
      <alignment vertical="center"/>
    </xf>
    <xf numFmtId="43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0" fontId="6" fillId="0" borderId="9" xfId="2" applyNumberFormat="1" applyFont="1" applyBorder="1" applyAlignment="1">
      <alignment horizontal="center" vertical="center"/>
    </xf>
    <xf numFmtId="10" fontId="7" fillId="0" borderId="9" xfId="2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9" xfId="1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 readingOrder="1"/>
    </xf>
    <xf numFmtId="0" fontId="0" fillId="0" borderId="4" xfId="0" applyBorder="1" applyAlignment="1">
      <alignment vertical="center"/>
    </xf>
    <xf numFmtId="2" fontId="24" fillId="0" borderId="9" xfId="0" applyNumberFormat="1" applyFont="1" applyBorder="1" applyAlignment="1">
      <alignment horizontal="center" vertical="center" readingOrder="1"/>
    </xf>
    <xf numFmtId="0" fontId="0" fillId="0" borderId="6" xfId="0" applyBorder="1" applyAlignment="1">
      <alignment vertical="center"/>
    </xf>
    <xf numFmtId="10" fontId="19" fillId="0" borderId="9" xfId="2" applyNumberFormat="1" applyFont="1" applyBorder="1" applyAlignment="1">
      <alignment horizontal="center" vertical="center" readingOrder="1"/>
    </xf>
    <xf numFmtId="0" fontId="16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43" fontId="17" fillId="0" borderId="0" xfId="1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vertical="center"/>
    </xf>
    <xf numFmtId="0" fontId="8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9" fillId="0" borderId="11" xfId="0" applyFont="1" applyBorder="1" applyAlignment="1">
      <alignment horizontal="center" wrapText="1"/>
    </xf>
    <xf numFmtId="0" fontId="0" fillId="0" borderId="10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8" fillId="0" borderId="0" xfId="0" applyFont="1" applyAlignment="1">
      <alignment wrapText="1"/>
    </xf>
    <xf numFmtId="0" fontId="10" fillId="0" borderId="18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166" fontId="26" fillId="0" borderId="9" xfId="2" applyNumberFormat="1" applyFont="1" applyBorder="1" applyAlignment="1">
      <alignment horizontal="center" vertical="center"/>
    </xf>
    <xf numFmtId="169" fontId="26" fillId="0" borderId="9" xfId="0" applyNumberFormat="1" applyFont="1" applyBorder="1" applyAlignment="1">
      <alignment horizontal="center" vertical="center"/>
    </xf>
    <xf numFmtId="169" fontId="26" fillId="0" borderId="9" xfId="5" applyNumberFormat="1" applyFont="1" applyBorder="1" applyAlignment="1">
      <alignment horizontal="center" vertical="center"/>
    </xf>
    <xf numFmtId="2" fontId="26" fillId="0" borderId="9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7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0" fillId="8" borderId="0" xfId="0" applyFont="1" applyFill="1" applyAlignment="1">
      <alignment vertical="center"/>
    </xf>
    <xf numFmtId="10" fontId="11" fillId="8" borderId="0" xfId="2" applyNumberFormat="1" applyFont="1" applyFill="1" applyAlignment="1">
      <alignment horizontal="center" vertical="center"/>
    </xf>
    <xf numFmtId="10" fontId="11" fillId="8" borderId="5" xfId="2" applyNumberFormat="1" applyFont="1" applyFill="1" applyBorder="1" applyAlignment="1">
      <alignment horizontal="center" vertical="center"/>
    </xf>
    <xf numFmtId="0" fontId="25" fillId="0" borderId="22" xfId="0" applyFont="1" applyBorder="1" applyAlignment="1">
      <alignment vertical="center"/>
    </xf>
    <xf numFmtId="166" fontId="26" fillId="0" borderId="23" xfId="2" applyNumberFormat="1" applyFont="1" applyBorder="1" applyAlignment="1">
      <alignment horizontal="center" vertical="center"/>
    </xf>
    <xf numFmtId="43" fontId="22" fillId="0" borderId="0" xfId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166" fontId="26" fillId="0" borderId="25" xfId="2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7" borderId="22" xfId="0" applyFont="1" applyFill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5" fillId="5" borderId="22" xfId="0" applyFont="1" applyFill="1" applyBorder="1" applyAlignment="1">
      <alignment vertical="center"/>
    </xf>
    <xf numFmtId="0" fontId="19" fillId="0" borderId="22" xfId="0" applyFont="1" applyBorder="1" applyAlignment="1">
      <alignment horizontal="left" vertical="center" readingOrder="1"/>
    </xf>
    <xf numFmtId="10" fontId="19" fillId="0" borderId="23" xfId="2" applyNumberFormat="1" applyFont="1" applyBorder="1" applyAlignment="1">
      <alignment horizontal="center" vertical="center" readingOrder="1"/>
    </xf>
    <xf numFmtId="0" fontId="20" fillId="7" borderId="22" xfId="0" applyFont="1" applyFill="1" applyBorder="1" applyAlignment="1">
      <alignment horizontal="left" vertical="center" readingOrder="1"/>
    </xf>
    <xf numFmtId="2" fontId="21" fillId="0" borderId="23" xfId="0" applyNumberFormat="1" applyFont="1" applyBorder="1" applyAlignment="1">
      <alignment horizontal="center" vertical="center" readingOrder="1"/>
    </xf>
    <xf numFmtId="2" fontId="24" fillId="0" borderId="23" xfId="0" applyNumberFormat="1" applyFont="1" applyBorder="1" applyAlignment="1">
      <alignment horizontal="center" vertical="center" readingOrder="1"/>
    </xf>
    <xf numFmtId="165" fontId="23" fillId="7" borderId="22" xfId="0" applyNumberFormat="1" applyFont="1" applyFill="1" applyBorder="1" applyAlignment="1">
      <alignment horizontal="left" vertical="center" readingOrder="1"/>
    </xf>
    <xf numFmtId="0" fontId="0" fillId="0" borderId="8" xfId="0" applyBorder="1" applyAlignment="1">
      <alignment horizontal="center" vertical="center"/>
    </xf>
    <xf numFmtId="43" fontId="27" fillId="0" borderId="0" xfId="1" applyFont="1" applyAlignment="1">
      <alignment horizontal="center" vertical="center"/>
    </xf>
    <xf numFmtId="10" fontId="27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43" fontId="27" fillId="0" borderId="15" xfId="1" applyFont="1" applyBorder="1" applyAlignment="1">
      <alignment vertical="center"/>
    </xf>
    <xf numFmtId="10" fontId="27" fillId="0" borderId="29" xfId="2" applyNumberFormat="1" applyFont="1" applyBorder="1" applyAlignment="1">
      <alignment horizontal="center" vertical="center"/>
    </xf>
    <xf numFmtId="4" fontId="27" fillId="0" borderId="29" xfId="0" applyNumberFormat="1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43" fontId="13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vertical="center"/>
    </xf>
    <xf numFmtId="14" fontId="27" fillId="0" borderId="0" xfId="0" applyNumberFormat="1" applyFont="1" applyAlignment="1">
      <alignment vertical="center"/>
    </xf>
    <xf numFmtId="165" fontId="27" fillId="0" borderId="0" xfId="1" applyNumberFormat="1" applyFont="1" applyAlignment="1">
      <alignment horizontal="center" vertical="center"/>
    </xf>
    <xf numFmtId="165" fontId="27" fillId="0" borderId="5" xfId="1" applyNumberFormat="1" applyFont="1" applyBorder="1" applyAlignment="1">
      <alignment horizontal="center" vertical="center"/>
    </xf>
    <xf numFmtId="0" fontId="27" fillId="0" borderId="33" xfId="0" applyFont="1" applyBorder="1" applyAlignment="1">
      <alignment vertical="center"/>
    </xf>
    <xf numFmtId="14" fontId="27" fillId="0" borderId="34" xfId="0" applyNumberFormat="1" applyFont="1" applyBorder="1" applyAlignment="1">
      <alignment vertical="center"/>
    </xf>
    <xf numFmtId="165" fontId="27" fillId="0" borderId="34" xfId="1" applyNumberFormat="1" applyFont="1" applyBorder="1" applyAlignment="1">
      <alignment horizontal="center" vertical="center"/>
    </xf>
    <xf numFmtId="165" fontId="27" fillId="0" borderId="35" xfId="1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3" fontId="5" fillId="0" borderId="20" xfId="0" applyNumberFormat="1" applyFont="1" applyBorder="1" applyAlignment="1">
      <alignment horizontal="center" vertical="center"/>
    </xf>
    <xf numFmtId="43" fontId="5" fillId="0" borderId="30" xfId="0" applyNumberFormat="1" applyFont="1" applyBorder="1" applyAlignment="1">
      <alignment horizontal="center" vertical="center"/>
    </xf>
    <xf numFmtId="43" fontId="5" fillId="0" borderId="21" xfId="0" applyNumberFormat="1" applyFont="1" applyBorder="1" applyAlignment="1">
      <alignment horizontal="center" vertical="center"/>
    </xf>
    <xf numFmtId="10" fontId="27" fillId="0" borderId="9" xfId="2" applyNumberFormat="1" applyFont="1" applyBorder="1" applyAlignment="1">
      <alignment horizontal="center" vertical="center"/>
    </xf>
    <xf numFmtId="10" fontId="27" fillId="0" borderId="31" xfId="2" applyNumberFormat="1" applyFont="1" applyBorder="1" applyAlignment="1">
      <alignment horizontal="center" vertical="center"/>
    </xf>
    <xf numFmtId="10" fontId="27" fillId="0" borderId="23" xfId="2" applyNumberFormat="1" applyFont="1" applyBorder="1" applyAlignment="1">
      <alignment horizontal="center" vertical="center"/>
    </xf>
    <xf numFmtId="10" fontId="30" fillId="0" borderId="9" xfId="2" applyNumberFormat="1" applyFont="1" applyBorder="1" applyAlignment="1">
      <alignment horizontal="left" vertical="center" readingOrder="1"/>
    </xf>
    <xf numFmtId="10" fontId="30" fillId="0" borderId="9" xfId="2" applyNumberFormat="1" applyFont="1" applyBorder="1" applyAlignment="1">
      <alignment horizontal="center" vertical="center" readingOrder="1"/>
    </xf>
    <xf numFmtId="10" fontId="31" fillId="7" borderId="9" xfId="2" applyNumberFormat="1" applyFont="1" applyFill="1" applyBorder="1" applyAlignment="1">
      <alignment horizontal="left" vertical="center" readingOrder="1"/>
    </xf>
    <xf numFmtId="10" fontId="31" fillId="0" borderId="9" xfId="2" applyNumberFormat="1" applyFont="1" applyBorder="1" applyAlignment="1">
      <alignment horizontal="center" vertical="center" readingOrder="1"/>
    </xf>
    <xf numFmtId="165" fontId="31" fillId="7" borderId="9" xfId="2" applyNumberFormat="1" applyFont="1" applyFill="1" applyBorder="1" applyAlignment="1">
      <alignment horizontal="left" vertical="center" readingOrder="1"/>
    </xf>
    <xf numFmtId="43" fontId="12" fillId="0" borderId="13" xfId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43" fontId="12" fillId="0" borderId="0" xfId="1" applyFont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70" fontId="0" fillId="3" borderId="16" xfId="0" applyNumberForma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2" fontId="27" fillId="0" borderId="15" xfId="1" applyNumberFormat="1" applyFont="1" applyBorder="1" applyAlignment="1">
      <alignment vertical="center"/>
    </xf>
    <xf numFmtId="172" fontId="27" fillId="4" borderId="15" xfId="1" applyNumberFormat="1" applyFont="1" applyFill="1" applyBorder="1" applyAlignment="1">
      <alignment vertical="center"/>
    </xf>
    <xf numFmtId="172" fontId="27" fillId="0" borderId="0" xfId="1" applyNumberFormat="1" applyFont="1" applyAlignment="1">
      <alignment vertical="center"/>
    </xf>
    <xf numFmtId="172" fontId="27" fillId="0" borderId="0" xfId="1" applyNumberFormat="1" applyFont="1" applyAlignment="1">
      <alignment horizontal="center" vertical="center"/>
    </xf>
    <xf numFmtId="10" fontId="27" fillId="0" borderId="25" xfId="2" applyNumberFormat="1" applyFont="1" applyBorder="1" applyAlignment="1">
      <alignment horizontal="center" vertical="center"/>
    </xf>
    <xf numFmtId="10" fontId="27" fillId="0" borderId="32" xfId="2" applyNumberFormat="1" applyFont="1" applyBorder="1" applyAlignment="1">
      <alignment horizontal="center" vertical="center"/>
    </xf>
    <xf numFmtId="10" fontId="27" fillId="0" borderId="26" xfId="2" applyNumberFormat="1" applyFont="1" applyBorder="1" applyAlignment="1">
      <alignment horizontal="center" vertical="center"/>
    </xf>
    <xf numFmtId="10" fontId="27" fillId="4" borderId="29" xfId="2" applyNumberFormat="1" applyFont="1" applyFill="1" applyBorder="1" applyAlignment="1">
      <alignment horizontal="center" vertical="center"/>
    </xf>
    <xf numFmtId="14" fontId="27" fillId="3" borderId="0" xfId="0" applyNumberFormat="1" applyFont="1" applyFill="1" applyAlignment="1">
      <alignment vertical="center"/>
    </xf>
    <xf numFmtId="17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20" fillId="7" borderId="22" xfId="0" applyFont="1" applyFill="1" applyBorder="1" applyAlignment="1">
      <alignment horizontal="center" vertical="center" readingOrder="1"/>
    </xf>
    <xf numFmtId="0" fontId="0" fillId="0" borderId="19" xfId="0" applyBorder="1" applyAlignment="1">
      <alignment vertical="center"/>
    </xf>
    <xf numFmtId="10" fontId="6" fillId="4" borderId="23" xfId="2" applyNumberFormat="1" applyFont="1" applyFill="1" applyBorder="1" applyAlignment="1">
      <alignment horizontal="center" vertical="center"/>
    </xf>
    <xf numFmtId="0" fontId="20" fillId="7" borderId="37" xfId="0" applyFont="1" applyFill="1" applyBorder="1" applyAlignment="1">
      <alignment horizontal="center" vertical="center" readingOrder="1"/>
    </xf>
    <xf numFmtId="10" fontId="6" fillId="4" borderId="38" xfId="2" applyNumberFormat="1" applyFont="1" applyFill="1" applyBorder="1" applyAlignment="1">
      <alignment horizontal="center" vertical="center"/>
    </xf>
    <xf numFmtId="14" fontId="0" fillId="3" borderId="0" xfId="0" applyNumberFormat="1" applyFill="1" applyAlignment="1">
      <alignment vertical="center"/>
    </xf>
    <xf numFmtId="2" fontId="24" fillId="4" borderId="9" xfId="0" applyNumberFormat="1" applyFont="1" applyFill="1" applyBorder="1" applyAlignment="1">
      <alignment horizontal="center" vertical="center" readingOrder="1"/>
    </xf>
    <xf numFmtId="0" fontId="32" fillId="0" borderId="0" xfId="0" applyFont="1" applyAlignment="1" applyProtection="1">
      <alignment vertical="top" readingOrder="1"/>
      <protection locked="0"/>
    </xf>
    <xf numFmtId="0" fontId="32" fillId="3" borderId="0" xfId="0" applyFont="1" applyFill="1" applyAlignment="1" applyProtection="1">
      <alignment vertical="top" readingOrder="1"/>
      <protection locked="0"/>
    </xf>
    <xf numFmtId="171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171" fontId="32" fillId="6" borderId="12" xfId="0" applyNumberFormat="1" applyFont="1" applyFill="1" applyBorder="1" applyAlignment="1" applyProtection="1">
      <alignment vertical="top" readingOrder="1"/>
      <protection locked="0"/>
    </xf>
    <xf numFmtId="0" fontId="32" fillId="6" borderId="0" xfId="0" applyFont="1" applyFill="1" applyAlignment="1" applyProtection="1">
      <alignment vertical="top" readingOrder="1"/>
      <protection locked="0"/>
    </xf>
    <xf numFmtId="167" fontId="32" fillId="6" borderId="12" xfId="0" applyNumberFormat="1" applyFont="1" applyFill="1" applyBorder="1" applyAlignment="1" applyProtection="1">
      <alignment vertical="top" readingOrder="1"/>
      <protection locked="0"/>
    </xf>
    <xf numFmtId="171" fontId="32" fillId="6" borderId="0" xfId="0" applyNumberFormat="1" applyFont="1" applyFill="1" applyAlignment="1" applyProtection="1">
      <alignment vertical="top" readingOrder="1"/>
      <protection locked="0"/>
    </xf>
    <xf numFmtId="167" fontId="32" fillId="6" borderId="0" xfId="0" applyNumberFormat="1" applyFont="1" applyFill="1" applyAlignment="1" applyProtection="1">
      <alignment vertical="top" readingOrder="1"/>
      <protection locked="0"/>
    </xf>
    <xf numFmtId="3" fontId="27" fillId="4" borderId="15" xfId="1" applyNumberFormat="1" applyFont="1" applyFill="1" applyBorder="1" applyAlignment="1">
      <alignment vertical="center"/>
    </xf>
    <xf numFmtId="10" fontId="31" fillId="4" borderId="9" xfId="2" applyNumberFormat="1" applyFont="1" applyFill="1" applyBorder="1" applyAlignment="1">
      <alignment horizontal="center" vertical="center" readingOrder="1"/>
    </xf>
    <xf numFmtId="0" fontId="9" fillId="0" borderId="10" xfId="0" applyFont="1" applyBorder="1" applyAlignment="1" applyProtection="1">
      <alignment horizontal="center" readingOrder="1"/>
      <protection locked="0"/>
    </xf>
    <xf numFmtId="0" fontId="9" fillId="0" borderId="10" xfId="0" applyFont="1" applyBorder="1" applyAlignment="1" applyProtection="1">
      <alignment vertical="top" readingOrder="1"/>
      <protection locked="0"/>
    </xf>
    <xf numFmtId="0" fontId="9" fillId="6" borderId="0" xfId="0" applyFont="1" applyFill="1" applyAlignment="1" applyProtection="1">
      <alignment vertical="top" readingOrder="1"/>
      <protection locked="0"/>
    </xf>
    <xf numFmtId="0" fontId="9" fillId="0" borderId="0" xfId="0" applyFont="1" applyAlignment="1" applyProtection="1">
      <alignment vertical="top" readingOrder="1"/>
      <protection locked="0"/>
    </xf>
    <xf numFmtId="43" fontId="0" fillId="0" borderId="0" xfId="0" applyNumberFormat="1"/>
    <xf numFmtId="173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4" fillId="4" borderId="23" xfId="0" applyNumberFormat="1" applyFont="1" applyFill="1" applyBorder="1" applyAlignment="1">
      <alignment horizontal="center" vertical="center" readingOrder="1"/>
    </xf>
    <xf numFmtId="0" fontId="20" fillId="7" borderId="24" xfId="0" applyFont="1" applyFill="1" applyBorder="1" applyAlignment="1">
      <alignment horizontal="center" vertical="center" readingOrder="1"/>
    </xf>
    <xf numFmtId="10" fontId="6" fillId="0" borderId="25" xfId="2" applyNumberFormat="1" applyFont="1" applyBorder="1" applyAlignment="1">
      <alignment horizontal="center" vertical="center"/>
    </xf>
    <xf numFmtId="10" fontId="27" fillId="4" borderId="0" xfId="2" applyNumberFormat="1" applyFont="1" applyFill="1" applyAlignment="1">
      <alignment horizontal="center" vertical="center"/>
    </xf>
    <xf numFmtId="166" fontId="26" fillId="0" borderId="26" xfId="2" applyNumberFormat="1" applyFont="1" applyBorder="1" applyAlignment="1">
      <alignment horizontal="center" vertical="center"/>
    </xf>
    <xf numFmtId="10" fontId="6" fillId="3" borderId="26" xfId="2" applyNumberFormat="1" applyFont="1" applyFill="1" applyBorder="1" applyAlignment="1">
      <alignment horizontal="center" vertical="center"/>
    </xf>
    <xf numFmtId="10" fontId="27" fillId="4" borderId="9" xfId="2" applyNumberFormat="1" applyFont="1" applyFill="1" applyBorder="1" applyAlignment="1">
      <alignment horizontal="center" vertical="center"/>
    </xf>
    <xf numFmtId="10" fontId="27" fillId="4" borderId="23" xfId="2" applyNumberFormat="1" applyFont="1" applyFill="1" applyBorder="1" applyAlignment="1">
      <alignment horizontal="center" vertical="center"/>
    </xf>
    <xf numFmtId="10" fontId="27" fillId="4" borderId="32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2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10" fontId="22" fillId="0" borderId="0" xfId="2" applyNumberFormat="1" applyFont="1" applyAlignment="1">
      <alignment vertical="center"/>
    </xf>
    <xf numFmtId="10" fontId="0" fillId="0" borderId="0" xfId="4" applyNumberFormat="1" applyFont="1" applyAlignment="1">
      <alignment wrapText="1"/>
    </xf>
    <xf numFmtId="170" fontId="0" fillId="0" borderId="0" xfId="4" applyNumberFormat="1" applyFont="1" applyAlignment="1">
      <alignment wrapText="1"/>
    </xf>
    <xf numFmtId="10" fontId="0" fillId="3" borderId="0" xfId="4" applyNumberFormat="1" applyFont="1" applyFill="1" applyAlignment="1">
      <alignment wrapText="1"/>
    </xf>
    <xf numFmtId="10" fontId="0" fillId="0" borderId="0" xfId="4" applyNumberFormat="1" applyFont="1" applyFill="1" applyAlignment="1">
      <alignment wrapText="1"/>
    </xf>
    <xf numFmtId="0" fontId="8" fillId="3" borderId="0" xfId="0" applyFont="1" applyFill="1"/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0" fillId="8" borderId="28" xfId="0" applyFont="1" applyFill="1" applyBorder="1" applyAlignment="1">
      <alignment horizontal="left" vertical="center"/>
    </xf>
    <xf numFmtId="0" fontId="10" fillId="8" borderId="27" xfId="0" applyFont="1" applyFill="1" applyBorder="1" applyAlignment="1">
      <alignment horizontal="left" vertical="center"/>
    </xf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7C108D90-208D-439B-8273-4EDC7E64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971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741BFA62-7AD6-4ADB-B7CB-B65F2013C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037B1C6C-7EB6-4B83-8AC6-F32CBDD5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840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FA77F2D1-6A80-4847-BE6B-BC3EDB76D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6" name="Picture 0">
          <a:extLst>
            <a:ext uri="{FF2B5EF4-FFF2-40B4-BE49-F238E27FC236}">
              <a16:creationId xmlns:a16="http://schemas.microsoft.com/office/drawing/2014/main" id="{4DB2A024-AF7E-4BFB-A564-834E682F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27CCF5BD-6E91-47DA-95D3-920EA2C64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983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8" name="Picture 0">
          <a:extLst>
            <a:ext uri="{FF2B5EF4-FFF2-40B4-BE49-F238E27FC236}">
              <a16:creationId xmlns:a16="http://schemas.microsoft.com/office/drawing/2014/main" id="{C4D0507E-14D6-4845-9939-5415781B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165735</xdr:rowOff>
    </xdr:to>
    <xdr:pic>
      <xdr:nvPicPr>
        <xdr:cNvPr id="9" name="Picture 0">
          <a:extLst>
            <a:ext uri="{FF2B5EF4-FFF2-40B4-BE49-F238E27FC236}">
              <a16:creationId xmlns:a16="http://schemas.microsoft.com/office/drawing/2014/main" id="{689837E9-8724-4F41-9047-8297C6E24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111"/>
  <sheetViews>
    <sheetView topLeftCell="B1" zoomScale="85" zoomScaleNormal="85" workbookViewId="0">
      <selection activeCell="B1" sqref="B1"/>
    </sheetView>
  </sheetViews>
  <sheetFormatPr defaultColWidth="9.109375" defaultRowHeight="14.4" outlineLevelRow="1" x14ac:dyDescent="0.3"/>
  <cols>
    <col min="1" max="1" width="8.6640625" style="6" bestFit="1" customWidth="1"/>
    <col min="2" max="2" width="10" style="82" bestFit="1" customWidth="1"/>
    <col min="3" max="3" width="7.6640625" style="80" bestFit="1" customWidth="1"/>
    <col min="4" max="4" width="10" style="78" bestFit="1" customWidth="1"/>
    <col min="5" max="5" width="7.6640625" style="80" bestFit="1" customWidth="1"/>
    <col min="6" max="6" width="11.109375" style="80" bestFit="1" customWidth="1"/>
    <col min="7" max="7" width="7.6640625" style="80" customWidth="1"/>
    <col min="8" max="8" width="12.33203125" style="78" bestFit="1" customWidth="1"/>
    <col min="9" max="9" width="7.6640625" style="85" bestFit="1" customWidth="1"/>
    <col min="10" max="10" width="6.88671875" style="2" customWidth="1"/>
    <col min="11" max="11" width="19" style="2" bestFit="1" customWidth="1"/>
    <col min="12" max="12" width="11.6640625" style="2" customWidth="1"/>
    <col min="13" max="13" width="15.88671875" style="5" bestFit="1" customWidth="1"/>
    <col min="14" max="14" width="15.88671875" style="5" customWidth="1"/>
    <col min="15" max="15" width="13.88671875" style="5" bestFit="1" customWidth="1"/>
    <col min="16" max="16" width="13" style="5" bestFit="1" customWidth="1"/>
    <col min="17" max="17" width="7.109375" style="2" bestFit="1" customWidth="1"/>
    <col min="18" max="18" width="4.33203125" style="2" customWidth="1"/>
    <col min="19" max="19" width="19.88671875" style="2" bestFit="1" customWidth="1"/>
    <col min="20" max="20" width="11.33203125" style="2" bestFit="1" customWidth="1"/>
    <col min="21" max="21" width="8.33203125" style="2" bestFit="1" customWidth="1"/>
    <col min="22" max="22" width="8.88671875" style="2" bestFit="1" customWidth="1"/>
    <col min="23" max="23" width="9" style="2" bestFit="1" customWidth="1"/>
    <col min="24" max="25" width="13" style="2" bestFit="1" customWidth="1"/>
    <col min="26" max="16384" width="9.109375" style="2"/>
  </cols>
  <sheetData>
    <row r="1" spans="1:24" ht="32.25" customHeight="1" x14ac:dyDescent="0.3">
      <c r="A1" s="1" t="s">
        <v>0</v>
      </c>
      <c r="B1" s="111" t="s">
        <v>35</v>
      </c>
      <c r="C1" s="112" t="s">
        <v>1</v>
      </c>
      <c r="D1" s="114" t="s">
        <v>55</v>
      </c>
      <c r="E1" s="113" t="s">
        <v>1</v>
      </c>
      <c r="F1" s="114" t="s">
        <v>46</v>
      </c>
      <c r="G1" s="115" t="s">
        <v>1</v>
      </c>
      <c r="H1" s="114" t="s">
        <v>62</v>
      </c>
      <c r="I1" s="115" t="s">
        <v>1</v>
      </c>
      <c r="K1" s="3" t="s">
        <v>2</v>
      </c>
      <c r="L1" s="4">
        <v>44196</v>
      </c>
      <c r="S1" s="181" t="s">
        <v>36</v>
      </c>
      <c r="T1" s="182"/>
      <c r="U1" s="183"/>
    </row>
    <row r="2" spans="1:24" x14ac:dyDescent="0.3">
      <c r="A2" s="6">
        <v>41639</v>
      </c>
      <c r="B2" s="118">
        <v>10000</v>
      </c>
      <c r="C2" s="79"/>
      <c r="D2" s="120">
        <v>10000</v>
      </c>
      <c r="E2" s="79"/>
      <c r="F2" s="120">
        <v>10000</v>
      </c>
      <c r="G2" s="83"/>
      <c r="H2" s="120">
        <v>10000</v>
      </c>
      <c r="I2" s="83"/>
      <c r="K2" s="8" t="s">
        <v>3</v>
      </c>
      <c r="L2" s="116">
        <v>7.2300000000000001E-4</v>
      </c>
      <c r="M2" s="26"/>
      <c r="N2" s="27"/>
      <c r="O2" s="27"/>
      <c r="P2" s="27"/>
      <c r="Q2" s="9"/>
      <c r="S2" s="184" t="s">
        <v>37</v>
      </c>
      <c r="T2" s="185"/>
      <c r="U2" s="186"/>
    </row>
    <row r="3" spans="1:24" x14ac:dyDescent="0.3">
      <c r="A3" s="6">
        <v>41670</v>
      </c>
      <c r="B3" s="118">
        <v>9650</v>
      </c>
      <c r="C3" s="79">
        <f>B3/B2-1</f>
        <v>-3.5000000000000031E-2</v>
      </c>
      <c r="D3" s="121">
        <f>D2*(1+E3)</f>
        <v>9654.2395169487172</v>
      </c>
      <c r="E3" s="79">
        <v>-3.4576048305128282E-2</v>
      </c>
      <c r="F3" s="121">
        <f>F2*(1+G3)</f>
        <v>9684.0618398320858</v>
      </c>
      <c r="G3" s="83">
        <v>-3.1593816016791343E-2</v>
      </c>
      <c r="H3" s="121">
        <f>H2*(1+I3)</f>
        <v>9725</v>
      </c>
      <c r="I3" s="83">
        <v>-2.75E-2</v>
      </c>
      <c r="K3" s="10" t="s">
        <v>4</v>
      </c>
      <c r="L3" s="11">
        <f>(COUNTA(C3:C1293))+M3</f>
        <v>84</v>
      </c>
      <c r="M3" s="12"/>
      <c r="N3" s="28"/>
      <c r="O3" s="28"/>
      <c r="P3" s="28"/>
      <c r="S3" s="187" t="s">
        <v>38</v>
      </c>
      <c r="T3" s="188"/>
      <c r="U3" s="189"/>
    </row>
    <row r="4" spans="1:24" ht="15" thickBot="1" x14ac:dyDescent="0.35">
      <c r="A4" s="6">
        <v>41698</v>
      </c>
      <c r="B4" s="118">
        <v>10000</v>
      </c>
      <c r="C4" s="79">
        <f t="shared" ref="C4:C68" si="0">B4/B3-1</f>
        <v>3.6269430051813378E-2</v>
      </c>
      <c r="D4" s="121">
        <f t="shared" ref="D4:F19" si="1">D3*(1+E4)</f>
        <v>10095.880371215982</v>
      </c>
      <c r="E4" s="79">
        <v>4.5745794217341818E-2</v>
      </c>
      <c r="F4" s="121">
        <f t="shared" si="1"/>
        <v>10143.436042047875</v>
      </c>
      <c r="G4" s="83">
        <v>4.7436107886704049E-2</v>
      </c>
      <c r="H4" s="121">
        <f t="shared" ref="H4:H67" si="2">H3*(1+I4)</f>
        <v>10218.057499999999</v>
      </c>
      <c r="I4" s="83">
        <v>5.0700000000000002E-2</v>
      </c>
      <c r="S4" s="190" t="s">
        <v>39</v>
      </c>
      <c r="T4" s="191"/>
      <c r="U4" s="192"/>
    </row>
    <row r="5" spans="1:24" ht="15" thickBot="1" x14ac:dyDescent="0.35">
      <c r="A5" s="6">
        <v>41729</v>
      </c>
      <c r="B5" s="118">
        <v>9930</v>
      </c>
      <c r="C5" s="79">
        <f t="shared" si="0"/>
        <v>-7.0000000000000062E-3</v>
      </c>
      <c r="D5" s="121">
        <f t="shared" si="1"/>
        <v>10180.721983116127</v>
      </c>
      <c r="E5" s="79">
        <v>8.4035872831886849E-3</v>
      </c>
      <c r="F5" s="121">
        <f t="shared" si="1"/>
        <v>10197.276126965706</v>
      </c>
      <c r="G5" s="83">
        <v>5.3078744416237278E-3</v>
      </c>
      <c r="H5" s="121">
        <f t="shared" si="2"/>
        <v>10258.92973</v>
      </c>
      <c r="I5" s="83">
        <v>4.0000000000000001E-3</v>
      </c>
      <c r="K5" s="178" t="s">
        <v>54</v>
      </c>
      <c r="L5" s="179"/>
      <c r="M5" s="179"/>
      <c r="N5" s="179"/>
      <c r="O5" s="179"/>
      <c r="P5" s="180"/>
    </row>
    <row r="6" spans="1:24" x14ac:dyDescent="0.3">
      <c r="A6" s="6">
        <v>41759</v>
      </c>
      <c r="B6" s="118">
        <v>9880</v>
      </c>
      <c r="C6" s="79">
        <f t="shared" si="0"/>
        <v>-5.0352467270896595E-3</v>
      </c>
      <c r="D6" s="121">
        <f t="shared" si="1"/>
        <v>10255.972541840214</v>
      </c>
      <c r="E6" s="79">
        <v>7.3914756584929631E-3</v>
      </c>
      <c r="F6" s="121">
        <f t="shared" si="1"/>
        <v>10209.650830490405</v>
      </c>
      <c r="G6" s="83">
        <v>1.2135302967795081E-3</v>
      </c>
      <c r="H6" s="121">
        <f t="shared" si="2"/>
        <v>10149.159181888999</v>
      </c>
      <c r="I6" s="83">
        <v>-1.0699999999999999E-2</v>
      </c>
      <c r="K6" s="22"/>
      <c r="P6" s="65"/>
      <c r="S6" s="86"/>
      <c r="T6" s="87"/>
      <c r="U6" s="88" t="str">
        <f>B1</f>
        <v>BUYIX</v>
      </c>
      <c r="V6" s="89" t="s">
        <v>55</v>
      </c>
      <c r="W6" s="89" t="s">
        <v>46</v>
      </c>
      <c r="X6" s="90" t="s">
        <v>62</v>
      </c>
    </row>
    <row r="7" spans="1:24" x14ac:dyDescent="0.3">
      <c r="A7" s="6">
        <v>41790</v>
      </c>
      <c r="B7" s="118">
        <v>10100</v>
      </c>
      <c r="C7" s="79">
        <f t="shared" si="0"/>
        <v>2.2267206477732726E-2</v>
      </c>
      <c r="D7" s="121">
        <f t="shared" si="1"/>
        <v>10496.744169212718</v>
      </c>
      <c r="E7" s="79">
        <v>2.3476235568129056E-2</v>
      </c>
      <c r="F7" s="121">
        <f t="shared" si="1"/>
        <v>10432.433342852333</v>
      </c>
      <c r="G7" s="83">
        <v>2.1820776837597977E-2</v>
      </c>
      <c r="H7" s="121">
        <f t="shared" si="2"/>
        <v>10314.590476553789</v>
      </c>
      <c r="I7" s="83">
        <v>1.6299999999999999E-2</v>
      </c>
      <c r="K7" s="66"/>
      <c r="L7" s="13" t="str">
        <f>B1</f>
        <v>BUYIX</v>
      </c>
      <c r="M7" s="14" t="s">
        <v>62</v>
      </c>
      <c r="N7" s="29"/>
      <c r="O7" s="29"/>
      <c r="P7" s="67"/>
      <c r="S7" s="91" t="s">
        <v>59</v>
      </c>
      <c r="T7" s="126">
        <v>43830</v>
      </c>
      <c r="U7" s="93">
        <f t="shared" ref="U7:U12" si="3">SUMIF($A$2:$A$111,$T7,$B$2:$B$200)</f>
        <v>14929</v>
      </c>
      <c r="V7" s="93">
        <f t="shared" ref="V7:V12" si="4">SUMIF($A$2:$A$111,$T7,$D$2:$D$200)</f>
        <v>19765.924013524</v>
      </c>
      <c r="W7" s="93">
        <f t="shared" ref="W7:W12" si="5">SUMIF($A$2:$A$111,$T7,$F$2:$F$200)</f>
        <v>19173.958733703901</v>
      </c>
      <c r="X7" s="94">
        <f t="shared" ref="X7:X12" si="6">SUMIF($A$2:$A$111,$T7,$H$2:$H$200)</f>
        <v>15132.649940973706</v>
      </c>
    </row>
    <row r="8" spans="1:24" x14ac:dyDescent="0.3">
      <c r="A8" s="6">
        <v>41820</v>
      </c>
      <c r="B8" s="118">
        <v>10220</v>
      </c>
      <c r="C8" s="79">
        <f t="shared" si="0"/>
        <v>1.1881188118811892E-2</v>
      </c>
      <c r="D8" s="121">
        <f t="shared" si="1"/>
        <v>10713.568324189659</v>
      </c>
      <c r="E8" s="79">
        <v>2.0656324616626698E-2</v>
      </c>
      <c r="F8" s="121">
        <f t="shared" si="1"/>
        <v>10694.101832890594</v>
      </c>
      <c r="G8" s="83">
        <v>2.508221058680804E-2</v>
      </c>
      <c r="H8" s="121">
        <f t="shared" si="2"/>
        <v>10665.286552756617</v>
      </c>
      <c r="I8" s="83">
        <v>3.4000000000000002E-2</v>
      </c>
      <c r="K8" s="68" t="s">
        <v>97</v>
      </c>
      <c r="L8" s="15">
        <f>((U20-L2)-L9*(X20-L2))</f>
        <v>-1.0338375846980039E-2</v>
      </c>
      <c r="M8" s="17" t="s">
        <v>40</v>
      </c>
      <c r="N8" s="30"/>
      <c r="O8" s="30"/>
      <c r="P8" s="69"/>
      <c r="S8" s="91" t="s">
        <v>5</v>
      </c>
      <c r="T8" s="92">
        <f>EOMONTH($L$1,-12)</f>
        <v>43830</v>
      </c>
      <c r="U8" s="93">
        <f t="shared" si="3"/>
        <v>14929</v>
      </c>
      <c r="V8" s="93">
        <f t="shared" si="4"/>
        <v>19765.924013524</v>
      </c>
      <c r="W8" s="93">
        <f t="shared" si="5"/>
        <v>19173.958733703901</v>
      </c>
      <c r="X8" s="94">
        <f t="shared" si="6"/>
        <v>15132.649940973706</v>
      </c>
    </row>
    <row r="9" spans="1:24" x14ac:dyDescent="0.3">
      <c r="A9" s="6">
        <v>41851</v>
      </c>
      <c r="B9" s="118">
        <v>9750</v>
      </c>
      <c r="C9" s="79">
        <f t="shared" si="0"/>
        <v>-4.5988258317025466E-2</v>
      </c>
      <c r="D9" s="121">
        <f t="shared" si="1"/>
        <v>10565.811816298152</v>
      </c>
      <c r="E9" s="79">
        <v>-1.3791530834586063E-2</v>
      </c>
      <c r="F9" s="121">
        <f t="shared" si="1"/>
        <v>10483.135752522581</v>
      </c>
      <c r="G9" s="83">
        <v>-1.972733041676944E-2</v>
      </c>
      <c r="H9" s="121">
        <f t="shared" si="2"/>
        <v>10287.735408789033</v>
      </c>
      <c r="I9" s="83">
        <v>-3.5400000000000001E-2</v>
      </c>
      <c r="K9" s="68" t="s">
        <v>98</v>
      </c>
      <c r="L9" s="18">
        <f>COVAR(C3:C86,I3:I86)/VAR(I3:I86)</f>
        <v>0.92839221597015387</v>
      </c>
      <c r="M9" s="17" t="s">
        <v>40</v>
      </c>
      <c r="N9" s="30"/>
      <c r="O9" s="30"/>
      <c r="P9" s="69"/>
      <c r="S9" s="91" t="s">
        <v>53</v>
      </c>
      <c r="T9" s="92">
        <f>EOMONTH($L$1,-36)</f>
        <v>43100</v>
      </c>
      <c r="U9" s="93">
        <f t="shared" si="3"/>
        <v>13697.9</v>
      </c>
      <c r="V9" s="93">
        <f t="shared" si="4"/>
        <v>15721.968035854867</v>
      </c>
      <c r="W9" s="93">
        <f t="shared" si="5"/>
        <v>15444.027412456873</v>
      </c>
      <c r="X9" s="94">
        <f t="shared" si="6"/>
        <v>13557.833083402626</v>
      </c>
    </row>
    <row r="10" spans="1:24" x14ac:dyDescent="0.3">
      <c r="A10" s="6">
        <v>41882</v>
      </c>
      <c r="B10" s="118">
        <v>10090</v>
      </c>
      <c r="C10" s="79">
        <f t="shared" si="0"/>
        <v>3.4871794871794926E-2</v>
      </c>
      <c r="D10" s="121">
        <f t="shared" si="1"/>
        <v>10988.511848569935</v>
      </c>
      <c r="E10" s="79">
        <v>4.0006394172168891E-2</v>
      </c>
      <c r="F10" s="121">
        <f t="shared" si="1"/>
        <v>10922.949634256447</v>
      </c>
      <c r="G10" s="83">
        <v>4.1954420138843762E-2</v>
      </c>
      <c r="H10" s="121">
        <f t="shared" si="2"/>
        <v>10728.050484285202</v>
      </c>
      <c r="I10" s="83">
        <v>4.2799999999999998E-2</v>
      </c>
      <c r="K10" s="68" t="s">
        <v>99</v>
      </c>
      <c r="L10" s="19">
        <f>RSQ(C3:C86,I3:I86)</f>
        <v>0.91118483576664933</v>
      </c>
      <c r="M10" s="17" t="s">
        <v>40</v>
      </c>
      <c r="N10" s="30"/>
      <c r="O10" s="30"/>
      <c r="P10" s="69"/>
      <c r="S10" s="91" t="s">
        <v>64</v>
      </c>
      <c r="T10" s="92">
        <f>EOMONTH($L$1,-60)</f>
        <v>42369</v>
      </c>
      <c r="U10" s="93">
        <f t="shared" si="3"/>
        <v>9931.07</v>
      </c>
      <c r="V10" s="93">
        <f t="shared" si="4"/>
        <v>11526.153716231498</v>
      </c>
      <c r="W10" s="93">
        <f t="shared" si="5"/>
        <v>11309.606604030494</v>
      </c>
      <c r="X10" s="94">
        <f t="shared" si="6"/>
        <v>10296.646548436947</v>
      </c>
    </row>
    <row r="11" spans="1:24" x14ac:dyDescent="0.3">
      <c r="A11" s="6">
        <v>41912</v>
      </c>
      <c r="B11" s="118">
        <v>9360</v>
      </c>
      <c r="C11" s="79">
        <f t="shared" si="0"/>
        <v>-7.2348860257680836E-2</v>
      </c>
      <c r="D11" s="121">
        <f t="shared" si="1"/>
        <v>10834.421626316882</v>
      </c>
      <c r="E11" s="79">
        <v>-1.4022847167708741E-2</v>
      </c>
      <c r="F11" s="121">
        <f t="shared" si="1"/>
        <v>10695.265687098836</v>
      </c>
      <c r="G11" s="83">
        <v>-2.0844547927196477E-2</v>
      </c>
      <c r="H11" s="121">
        <f t="shared" si="2"/>
        <v>10310.729320446508</v>
      </c>
      <c r="I11" s="83">
        <v>-3.8899999999999997E-2</v>
      </c>
      <c r="K11" s="22"/>
      <c r="P11" s="65"/>
      <c r="S11" s="91" t="s">
        <v>6</v>
      </c>
      <c r="T11" s="92">
        <f>A2</f>
        <v>41639</v>
      </c>
      <c r="U11" s="93">
        <f t="shared" si="3"/>
        <v>10000</v>
      </c>
      <c r="V11" s="93">
        <f t="shared" si="4"/>
        <v>10000</v>
      </c>
      <c r="W11" s="93">
        <f t="shared" si="5"/>
        <v>10000</v>
      </c>
      <c r="X11" s="94">
        <f t="shared" si="6"/>
        <v>10000</v>
      </c>
    </row>
    <row r="12" spans="1:24" ht="15" thickBot="1" x14ac:dyDescent="0.35">
      <c r="A12" s="6">
        <v>41943</v>
      </c>
      <c r="B12" s="118">
        <v>9760</v>
      </c>
      <c r="C12" s="79">
        <f t="shared" si="0"/>
        <v>4.2735042735042805E-2</v>
      </c>
      <c r="D12" s="121">
        <f t="shared" si="1"/>
        <v>11099.050244451209</v>
      </c>
      <c r="E12" s="79">
        <v>2.4424803396200012E-2</v>
      </c>
      <c r="F12" s="121">
        <f t="shared" si="1"/>
        <v>10989.527772305453</v>
      </c>
      <c r="G12" s="83">
        <v>2.7513302971198916E-2</v>
      </c>
      <c r="H12" s="121">
        <f t="shared" si="2"/>
        <v>10559.217897069269</v>
      </c>
      <c r="I12" s="83">
        <v>2.41E-2</v>
      </c>
      <c r="K12" s="71" t="s">
        <v>41</v>
      </c>
      <c r="L12" s="25" t="str">
        <f>T22</f>
        <v>YTD</v>
      </c>
      <c r="M12" s="25" t="str">
        <f>U22</f>
        <v>1YR</v>
      </c>
      <c r="N12" s="25" t="str">
        <f>V22</f>
        <v>3YR</v>
      </c>
      <c r="O12" s="25" t="str">
        <f>W22</f>
        <v>5YR</v>
      </c>
      <c r="P12" s="72" t="str">
        <f>X22</f>
        <v>INCEPTION</v>
      </c>
      <c r="S12" s="95" t="s">
        <v>7</v>
      </c>
      <c r="T12" s="96">
        <f>L1</f>
        <v>44196</v>
      </c>
      <c r="U12" s="97">
        <f t="shared" si="3"/>
        <v>15304</v>
      </c>
      <c r="V12" s="97">
        <f t="shared" si="4"/>
        <v>23402.622157745693</v>
      </c>
      <c r="W12" s="97">
        <f t="shared" si="5"/>
        <v>23178.979771078382</v>
      </c>
      <c r="X12" s="98">
        <f t="shared" si="6"/>
        <v>16982.213367869452</v>
      </c>
    </row>
    <row r="13" spans="1:24" ht="15" thickBot="1" x14ac:dyDescent="0.35">
      <c r="A13" s="6">
        <v>41973</v>
      </c>
      <c r="B13" s="118">
        <v>9900</v>
      </c>
      <c r="C13" s="79">
        <f t="shared" si="0"/>
        <v>1.4344262295082011E-2</v>
      </c>
      <c r="D13" s="121">
        <f t="shared" si="1"/>
        <v>11397.549154147524</v>
      </c>
      <c r="E13" s="79">
        <v>2.6894094820909986E-2</v>
      </c>
      <c r="F13" s="121">
        <f t="shared" si="1"/>
        <v>11255.846001839078</v>
      </c>
      <c r="G13" s="83">
        <v>2.4233819236961995E-2</v>
      </c>
      <c r="H13" s="121">
        <f t="shared" si="2"/>
        <v>10752.451584585637</v>
      </c>
      <c r="I13" s="83">
        <v>1.83E-2</v>
      </c>
      <c r="K13" s="73" t="s">
        <v>48</v>
      </c>
      <c r="L13" s="21">
        <f>T26*100</f>
        <v>2.5100000000000002</v>
      </c>
      <c r="M13" s="21">
        <f>U26*100</f>
        <v>2.5118896108245803</v>
      </c>
      <c r="N13" s="21">
        <f>V26*100</f>
        <v>3.7648641636830238</v>
      </c>
      <c r="O13" s="21">
        <f>W26*100</f>
        <v>9.0339593209082913</v>
      </c>
      <c r="P13" s="74">
        <f>X26*100</f>
        <v>6.2675598163236312</v>
      </c>
      <c r="S13" s="99"/>
      <c r="T13" s="99"/>
      <c r="U13" s="99"/>
      <c r="V13" s="99"/>
      <c r="W13" s="99"/>
      <c r="X13" s="99"/>
    </row>
    <row r="14" spans="1:24" x14ac:dyDescent="0.3">
      <c r="A14" s="6">
        <v>42004</v>
      </c>
      <c r="B14" s="118">
        <v>9904.84</v>
      </c>
      <c r="C14" s="79">
        <f t="shared" si="0"/>
        <v>4.8888888888898308E-4</v>
      </c>
      <c r="D14" s="121">
        <f t="shared" si="1"/>
        <v>11368.836315708513</v>
      </c>
      <c r="E14" s="79">
        <v>-2.5192116349471716E-3</v>
      </c>
      <c r="F14" s="121">
        <f t="shared" si="1"/>
        <v>11255.719207965985</v>
      </c>
      <c r="G14" s="83">
        <v>-1.1264712849845537E-5</v>
      </c>
      <c r="H14" s="121">
        <f t="shared" si="2"/>
        <v>10782.558449022476</v>
      </c>
      <c r="I14" s="83">
        <v>2.8E-3</v>
      </c>
      <c r="K14" s="73" t="s">
        <v>42</v>
      </c>
      <c r="L14" s="21">
        <f>T23*100</f>
        <v>2.25</v>
      </c>
      <c r="M14" s="21">
        <f>U23*100</f>
        <v>2.25</v>
      </c>
      <c r="N14" s="21">
        <f>V23*100</f>
        <v>3.49</v>
      </c>
      <c r="O14" s="21">
        <f>W23*100</f>
        <v>8.77</v>
      </c>
      <c r="P14" s="74">
        <f>X23*100</f>
        <v>5.99</v>
      </c>
      <c r="S14" s="199"/>
      <c r="T14" s="200"/>
      <c r="U14" s="100" t="str">
        <f>U6</f>
        <v>BUYIX</v>
      </c>
      <c r="V14" s="101" t="str">
        <f>V6</f>
        <v>SP500TR</v>
      </c>
      <c r="W14" s="101" t="str">
        <f>W6</f>
        <v>RUS3000TR</v>
      </c>
      <c r="X14" s="102" t="str">
        <f>X6</f>
        <v>Mid-Cap Blend</v>
      </c>
    </row>
    <row r="15" spans="1:24" x14ac:dyDescent="0.3">
      <c r="A15" s="6">
        <v>42035</v>
      </c>
      <c r="B15" s="118">
        <v>9582.31</v>
      </c>
      <c r="C15" s="79">
        <f t="shared" si="0"/>
        <v>-3.2562868254308097E-2</v>
      </c>
      <c r="D15" s="121">
        <f t="shared" si="1"/>
        <v>11027.539593254893</v>
      </c>
      <c r="E15" s="79">
        <v>-3.0020374379218118E-2</v>
      </c>
      <c r="F15" s="121">
        <f t="shared" si="1"/>
        <v>10942.455073808227</v>
      </c>
      <c r="G15" s="83">
        <v>-2.7831551975466162E-2</v>
      </c>
      <c r="H15" s="121">
        <f t="shared" si="2"/>
        <v>10504.368441037695</v>
      </c>
      <c r="I15" s="83">
        <v>-2.58E-2</v>
      </c>
      <c r="K15" s="73" t="s">
        <v>43</v>
      </c>
      <c r="L15" s="21">
        <f>T25*100</f>
        <v>1.38</v>
      </c>
      <c r="M15" s="21">
        <f>U25*100</f>
        <v>1.38</v>
      </c>
      <c r="N15" s="21">
        <f>V25*100</f>
        <v>2.7</v>
      </c>
      <c r="O15" s="21">
        <f>W25*100</f>
        <v>7.95</v>
      </c>
      <c r="P15" s="74">
        <f>X25*100</f>
        <v>5.2</v>
      </c>
      <c r="S15" s="195" t="str">
        <f>S7</f>
        <v>YTD</v>
      </c>
      <c r="T15" s="196"/>
      <c r="U15" s="165">
        <v>2.5100000000000001E-2</v>
      </c>
      <c r="V15" s="104">
        <f>V12/V7-1</f>
        <v>0.18398826898926846</v>
      </c>
      <c r="W15" s="104">
        <f>W12/W7-1</f>
        <v>0.20887815046427916</v>
      </c>
      <c r="X15" s="166">
        <v>0.1239</v>
      </c>
    </row>
    <row r="16" spans="1:24" x14ac:dyDescent="0.3">
      <c r="A16" s="6">
        <v>42063</v>
      </c>
      <c r="B16" s="118">
        <v>10227.370000000001</v>
      </c>
      <c r="C16" s="79">
        <f t="shared" si="0"/>
        <v>6.7317797065634677E-2</v>
      </c>
      <c r="D16" s="121">
        <f t="shared" si="1"/>
        <v>11661.333277033647</v>
      </c>
      <c r="E16" s="79">
        <v>5.747371645497612E-2</v>
      </c>
      <c r="F16" s="121">
        <f t="shared" si="1"/>
        <v>11576.032702978539</v>
      </c>
      <c r="G16" s="83">
        <v>5.7900866386633609E-2</v>
      </c>
      <c r="H16" s="121">
        <f t="shared" si="2"/>
        <v>11126.227052747126</v>
      </c>
      <c r="I16" s="83">
        <v>5.9200000000000003E-2</v>
      </c>
      <c r="K16" s="76" t="s">
        <v>62</v>
      </c>
      <c r="L16" s="136">
        <v>12.39</v>
      </c>
      <c r="M16" s="136">
        <v>12.39</v>
      </c>
      <c r="N16" s="136">
        <v>8.27</v>
      </c>
      <c r="O16" s="136">
        <v>11.08</v>
      </c>
      <c r="P16" s="75">
        <f>X29*100</f>
        <v>7.8589846324937707</v>
      </c>
      <c r="S16" s="195" t="str">
        <f>S8</f>
        <v>1YR</v>
      </c>
      <c r="T16" s="196"/>
      <c r="U16" s="103">
        <f>U12/U8-1</f>
        <v>2.5118896108245803E-2</v>
      </c>
      <c r="V16" s="104">
        <f>V12/V8-1</f>
        <v>0.18398826898926846</v>
      </c>
      <c r="W16" s="104">
        <f>W12/W8-1</f>
        <v>0.20887815046427916</v>
      </c>
      <c r="X16" s="166">
        <v>0.1239</v>
      </c>
    </row>
    <row r="17" spans="1:24" x14ac:dyDescent="0.3">
      <c r="A17" s="6">
        <v>42094</v>
      </c>
      <c r="B17" s="118">
        <v>10310.61</v>
      </c>
      <c r="C17" s="79">
        <f t="shared" si="0"/>
        <v>8.1389448118138752E-3</v>
      </c>
      <c r="D17" s="121">
        <f t="shared" si="1"/>
        <v>11476.901546934329</v>
      </c>
      <c r="E17" s="79">
        <v>-1.581566410271007E-2</v>
      </c>
      <c r="F17" s="121">
        <f t="shared" si="1"/>
        <v>11458.352849181336</v>
      </c>
      <c r="G17" s="83">
        <v>-1.0165819051886626E-2</v>
      </c>
      <c r="H17" s="121">
        <f t="shared" si="2"/>
        <v>11136.240657094599</v>
      </c>
      <c r="I17" s="83">
        <v>8.9999999999999998E-4</v>
      </c>
      <c r="K17" s="76" t="s">
        <v>89</v>
      </c>
      <c r="L17" s="23">
        <f t="shared" ref="L17:O18" si="7">T27*100</f>
        <v>18.398826898926846</v>
      </c>
      <c r="M17" s="23">
        <f t="shared" si="7"/>
        <v>18.398826898926846</v>
      </c>
      <c r="N17" s="23">
        <f t="shared" si="7"/>
        <v>14.178904188562003</v>
      </c>
      <c r="O17" s="23">
        <f t="shared" si="7"/>
        <v>15.216856682869984</v>
      </c>
      <c r="P17" s="159">
        <v>12.92</v>
      </c>
      <c r="Q17" s="9"/>
      <c r="S17" s="195" t="str">
        <f>S9</f>
        <v>3YR</v>
      </c>
      <c r="T17" s="196"/>
      <c r="U17" s="103">
        <f>(U12/U9)^(1/3)-1</f>
        <v>3.7648641636830238E-2</v>
      </c>
      <c r="V17" s="103">
        <f t="shared" ref="V17:W17" si="8">(V12/V9)^(1/3)-1</f>
        <v>0.14178904188562003</v>
      </c>
      <c r="W17" s="103">
        <f t="shared" si="8"/>
        <v>0.14492731741635256</v>
      </c>
      <c r="X17" s="166">
        <v>8.2699999999999996E-2</v>
      </c>
    </row>
    <row r="18" spans="1:24" x14ac:dyDescent="0.3">
      <c r="A18" s="6">
        <v>42124</v>
      </c>
      <c r="B18" s="118">
        <v>10164.950000000001</v>
      </c>
      <c r="C18" s="79">
        <f t="shared" si="0"/>
        <v>-1.4127195190197228E-2</v>
      </c>
      <c r="D18" s="121">
        <f t="shared" si="1"/>
        <v>11587.017695191502</v>
      </c>
      <c r="E18" s="79">
        <v>9.5945885574479917E-3</v>
      </c>
      <c r="F18" s="121">
        <f t="shared" si="1"/>
        <v>11510.181264142482</v>
      </c>
      <c r="G18" s="83">
        <v>4.52319941996282E-3</v>
      </c>
      <c r="H18" s="121">
        <f t="shared" si="2"/>
        <v>11081.673077874835</v>
      </c>
      <c r="I18" s="83">
        <v>-4.8999999999999998E-3</v>
      </c>
      <c r="K18" s="76" t="s">
        <v>100</v>
      </c>
      <c r="L18" s="23">
        <f t="shared" si="7"/>
        <v>20.887815046427917</v>
      </c>
      <c r="M18" s="23">
        <f t="shared" si="7"/>
        <v>20.887815046427917</v>
      </c>
      <c r="N18" s="23">
        <f t="shared" si="7"/>
        <v>14.492731741635257</v>
      </c>
      <c r="O18" s="23">
        <f>W28*100</f>
        <v>15.432835432419733</v>
      </c>
      <c r="P18" s="75">
        <f>X28*100</f>
        <v>12.760328113022968</v>
      </c>
      <c r="Q18" s="9"/>
      <c r="S18" s="193" t="str">
        <f>S10</f>
        <v>5YR</v>
      </c>
      <c r="T18" s="194"/>
      <c r="U18" s="103">
        <f>(U12/U10)^(1/5)-1</f>
        <v>9.0339593209082913E-2</v>
      </c>
      <c r="V18" s="103">
        <f t="shared" ref="V18:W18" si="9">(V12/V10)^(1/5)-1</f>
        <v>0.15216856682869984</v>
      </c>
      <c r="W18" s="103">
        <f t="shared" si="9"/>
        <v>0.15432835432419734</v>
      </c>
      <c r="X18" s="166">
        <v>0.1108</v>
      </c>
    </row>
    <row r="19" spans="1:24" x14ac:dyDescent="0.3">
      <c r="A19" s="6">
        <v>42155</v>
      </c>
      <c r="B19" s="118">
        <v>10352.23</v>
      </c>
      <c r="C19" s="79">
        <f t="shared" si="0"/>
        <v>1.8424094560228976E-2</v>
      </c>
      <c r="D19" s="121">
        <f t="shared" si="1"/>
        <v>11736.010785410739</v>
      </c>
      <c r="E19" s="79">
        <v>1.2858622825877575E-2</v>
      </c>
      <c r="F19" s="121">
        <f t="shared" si="1"/>
        <v>11669.383272708828</v>
      </c>
      <c r="G19" s="83">
        <v>1.3831407595839229E-2</v>
      </c>
      <c r="H19" s="121">
        <f t="shared" si="2"/>
        <v>11226.842995194997</v>
      </c>
      <c r="I19" s="83">
        <v>1.3100000000000001E-2</v>
      </c>
      <c r="K19" s="73" t="s">
        <v>44</v>
      </c>
      <c r="L19" s="21">
        <f>T24*100</f>
        <v>-3.65</v>
      </c>
      <c r="M19" s="21">
        <f>U24*100</f>
        <v>-3.65</v>
      </c>
      <c r="N19" s="21">
        <f>V24*100</f>
        <v>1.47</v>
      </c>
      <c r="O19" s="21">
        <f>W24*100</f>
        <v>7.5</v>
      </c>
      <c r="P19" s="74">
        <f>X24*100</f>
        <v>5.0999999999999996</v>
      </c>
      <c r="Q19" s="9"/>
      <c r="S19" s="195" t="s">
        <v>45</v>
      </c>
      <c r="T19" s="196"/>
      <c r="U19" s="103">
        <f>($U$12-U11)/U11</f>
        <v>0.53039999999999998</v>
      </c>
      <c r="V19" s="104">
        <f>($V$12-V11)/V11</f>
        <v>1.3402622157745692</v>
      </c>
      <c r="W19" s="104">
        <f>($W$12-W11)/W11</f>
        <v>1.3178979771078383</v>
      </c>
      <c r="X19" s="105">
        <f>($X$12-X11)/X11</f>
        <v>0.6982213367869452</v>
      </c>
    </row>
    <row r="20" spans="1:24" ht="15" thickBot="1" x14ac:dyDescent="0.35">
      <c r="A20" s="6">
        <v>42185</v>
      </c>
      <c r="B20" s="118">
        <v>10144.14</v>
      </c>
      <c r="C20" s="79">
        <f t="shared" si="0"/>
        <v>-2.0100983073212286E-2</v>
      </c>
      <c r="D20" s="121">
        <f t="shared" ref="D20:F35" si="10">D19*(1+E20)</f>
        <v>11508.811403098693</v>
      </c>
      <c r="E20" s="79">
        <v>-1.9359166114135018E-2</v>
      </c>
      <c r="F20" s="121">
        <f t="shared" si="10"/>
        <v>11474.149094833678</v>
      </c>
      <c r="G20" s="83">
        <v>-1.673046238285314E-2</v>
      </c>
      <c r="H20" s="121">
        <f t="shared" si="2"/>
        <v>11056.194981668034</v>
      </c>
      <c r="I20" s="83">
        <v>-1.52E-2</v>
      </c>
      <c r="K20" s="24"/>
      <c r="L20" s="64"/>
      <c r="M20" s="61"/>
      <c r="N20" s="61"/>
      <c r="O20" s="61"/>
      <c r="P20" s="77"/>
      <c r="Q20" s="9"/>
      <c r="S20" s="197" t="s">
        <v>9</v>
      </c>
      <c r="T20" s="198"/>
      <c r="U20" s="122">
        <f>(1+U19)^(12/L3)-1</f>
        <v>6.2675598163236312E-2</v>
      </c>
      <c r="V20" s="167">
        <v>0.12920000000000001</v>
      </c>
      <c r="W20" s="123">
        <f>(1+W19)^(12/L3)-1</f>
        <v>0.12760328113022967</v>
      </c>
      <c r="X20" s="124">
        <f>(1+X19)^(12/L3)-1</f>
        <v>7.8589846324937707E-2</v>
      </c>
    </row>
    <row r="21" spans="1:24" x14ac:dyDescent="0.3">
      <c r="A21" s="6">
        <v>42216</v>
      </c>
      <c r="B21" s="118">
        <v>10071.31</v>
      </c>
      <c r="C21" s="79">
        <f t="shared" si="0"/>
        <v>-7.1795144783096676E-3</v>
      </c>
      <c r="D21" s="121">
        <f t="shared" si="10"/>
        <v>11749.944957006142</v>
      </c>
      <c r="E21" s="79">
        <v>2.0952081449742588E-2</v>
      </c>
      <c r="F21" s="121">
        <f t="shared" si="10"/>
        <v>11666.058245320406</v>
      </c>
      <c r="G21" s="83">
        <v>1.6725349208956741E-2</v>
      </c>
      <c r="H21" s="121">
        <f t="shared" si="2"/>
        <v>11048.455645180866</v>
      </c>
      <c r="I21" s="83">
        <v>-6.9999999999999999E-4</v>
      </c>
      <c r="M21" s="2"/>
      <c r="N21" s="2"/>
      <c r="O21" s="2"/>
      <c r="P21" s="2"/>
      <c r="S21" s="99"/>
      <c r="T21" s="99"/>
      <c r="U21" s="99"/>
      <c r="V21" s="99"/>
      <c r="W21" s="99"/>
      <c r="X21" s="99"/>
    </row>
    <row r="22" spans="1:24" x14ac:dyDescent="0.3">
      <c r="A22" s="6">
        <v>42247</v>
      </c>
      <c r="B22" s="118">
        <v>9675.9500000000007</v>
      </c>
      <c r="C22" s="79">
        <f t="shared" si="0"/>
        <v>-3.9256065000481399E-2</v>
      </c>
      <c r="D22" s="121">
        <f t="shared" si="10"/>
        <v>11041.021356681615</v>
      </c>
      <c r="E22" s="79">
        <v>-6.0334206068073382E-2</v>
      </c>
      <c r="F22" s="121">
        <f t="shared" si="10"/>
        <v>10961.784515894369</v>
      </c>
      <c r="G22" s="83">
        <v>-6.0369467957057554E-2</v>
      </c>
      <c r="H22" s="121">
        <f t="shared" si="2"/>
        <v>10482.774716147605</v>
      </c>
      <c r="I22" s="83">
        <v>-5.1200000000000002E-2</v>
      </c>
      <c r="L22" s="13" t="str">
        <f>L7</f>
        <v>BUYIX</v>
      </c>
      <c r="M22" s="13" t="str">
        <f>V6</f>
        <v>SP500TR</v>
      </c>
      <c r="N22" s="13" t="str">
        <f>W6</f>
        <v>RUS3000TR</v>
      </c>
      <c r="O22" s="13" t="str">
        <f>X6</f>
        <v>Mid-Cap Blend</v>
      </c>
      <c r="S22" s="106" t="s">
        <v>41</v>
      </c>
      <c r="T22" s="107" t="str">
        <f>S7</f>
        <v>YTD</v>
      </c>
      <c r="U22" s="107" t="s">
        <v>5</v>
      </c>
      <c r="V22" s="107" t="s">
        <v>53</v>
      </c>
      <c r="W22" s="107" t="s">
        <v>64</v>
      </c>
      <c r="X22" s="107" t="s">
        <v>47</v>
      </c>
    </row>
    <row r="23" spans="1:24" x14ac:dyDescent="0.3">
      <c r="A23" s="6">
        <v>42277</v>
      </c>
      <c r="B23" s="118">
        <v>9228.57</v>
      </c>
      <c r="C23" s="79">
        <f t="shared" si="0"/>
        <v>-4.6236286876224164E-2</v>
      </c>
      <c r="D23" s="121">
        <f t="shared" si="10"/>
        <v>10767.827143886909</v>
      </c>
      <c r="E23" s="79">
        <v>-2.4743563477429453E-2</v>
      </c>
      <c r="F23" s="121">
        <f t="shared" si="10"/>
        <v>10642.360470439333</v>
      </c>
      <c r="G23" s="83">
        <v>-2.9139785131871432E-2</v>
      </c>
      <c r="H23" s="121">
        <f t="shared" si="2"/>
        <v>10045.643010484251</v>
      </c>
      <c r="I23" s="83">
        <v>-4.1700000000000001E-2</v>
      </c>
      <c r="K23" s="70" t="s">
        <v>8</v>
      </c>
      <c r="L23" s="15">
        <f>U19</f>
        <v>0.53039999999999998</v>
      </c>
      <c r="M23" s="16">
        <f>V19</f>
        <v>1.3402622157745692</v>
      </c>
      <c r="N23" s="16">
        <f>W19</f>
        <v>1.3178979771078383</v>
      </c>
      <c r="O23" s="16">
        <f>X19</f>
        <v>0.6982213367869452</v>
      </c>
      <c r="S23" s="108" t="s">
        <v>42</v>
      </c>
      <c r="T23" s="148">
        <v>2.2499999999999999E-2</v>
      </c>
      <c r="U23" s="148">
        <v>2.2499999999999999E-2</v>
      </c>
      <c r="V23" s="148">
        <v>3.49E-2</v>
      </c>
      <c r="W23" s="148">
        <v>8.77E-2</v>
      </c>
      <c r="X23" s="148">
        <v>5.9900000000000002E-2</v>
      </c>
    </row>
    <row r="24" spans="1:24" x14ac:dyDescent="0.3">
      <c r="A24" s="6">
        <v>42308</v>
      </c>
      <c r="B24" s="118">
        <v>9967.27</v>
      </c>
      <c r="C24" s="79">
        <f t="shared" si="0"/>
        <v>8.0044904031719044E-2</v>
      </c>
      <c r="D24" s="121">
        <f t="shared" si="10"/>
        <v>11676.142104421835</v>
      </c>
      <c r="E24" s="79">
        <v>8.4354526535150853E-2</v>
      </c>
      <c r="F24" s="121">
        <f t="shared" si="10"/>
        <v>11482.948968115505</v>
      </c>
      <c r="G24" s="83">
        <v>7.8985155596920986E-2</v>
      </c>
      <c r="H24" s="121">
        <f t="shared" si="2"/>
        <v>10605.185326168224</v>
      </c>
      <c r="I24" s="83">
        <v>5.57E-2</v>
      </c>
      <c r="K24" s="70" t="s">
        <v>101</v>
      </c>
      <c r="L24" s="18">
        <f>(U20-$L$2)/L25</f>
        <v>0.38574277221068642</v>
      </c>
      <c r="M24" s="20">
        <f>(V20-$L$2)/M25</f>
        <v>0.90628214027745069</v>
      </c>
      <c r="N24" s="20">
        <f>(W20-$L$2)/N25</f>
        <v>0.859014687691387</v>
      </c>
      <c r="O24" s="20">
        <f>(X20-$L$2)/O25</f>
        <v>0.47722182911875205</v>
      </c>
      <c r="S24" s="108" t="s">
        <v>44</v>
      </c>
      <c r="T24" s="148">
        <v>-3.6499999999999998E-2</v>
      </c>
      <c r="U24" s="148">
        <v>-3.6499999999999998E-2</v>
      </c>
      <c r="V24" s="148">
        <v>1.47E-2</v>
      </c>
      <c r="W24" s="148">
        <v>7.4999999999999997E-2</v>
      </c>
      <c r="X24" s="148">
        <v>5.0999999999999997E-2</v>
      </c>
    </row>
    <row r="25" spans="1:24" x14ac:dyDescent="0.3">
      <c r="A25" s="6">
        <v>42338</v>
      </c>
      <c r="B25" s="118">
        <v>10227.370000000001</v>
      </c>
      <c r="C25" s="79">
        <f t="shared" si="0"/>
        <v>2.6095410277839459E-2</v>
      </c>
      <c r="D25" s="121">
        <f t="shared" si="10"/>
        <v>11710.856891232026</v>
      </c>
      <c r="E25" s="79">
        <v>2.9731384304618746E-3</v>
      </c>
      <c r="F25" s="121">
        <f t="shared" si="10"/>
        <v>11546.60516974577</v>
      </c>
      <c r="G25" s="83">
        <v>5.5435412808171325E-3</v>
      </c>
      <c r="H25" s="121">
        <f t="shared" si="2"/>
        <v>10664.574363994767</v>
      </c>
      <c r="I25" s="83">
        <v>5.5999999999999999E-3</v>
      </c>
      <c r="K25" s="70" t="s">
        <v>102</v>
      </c>
      <c r="L25" s="15">
        <f>STDEV(C2:C188)*SQRT(12)</f>
        <v>0.16060598571474674</v>
      </c>
      <c r="M25" s="16">
        <f>STDEV(E3:E180)*SQRT(12)</f>
        <v>0.14176269650494033</v>
      </c>
      <c r="N25" s="16">
        <f>STDEV(G3:G180)*SQRT(12)</f>
        <v>0.14770443736092809</v>
      </c>
      <c r="O25" s="16">
        <f>STDEV(I3:I180)*SQRT(12)</f>
        <v>0.16316698351525175</v>
      </c>
      <c r="S25" s="108" t="s">
        <v>43</v>
      </c>
      <c r="T25" s="148">
        <v>1.38E-2</v>
      </c>
      <c r="U25" s="148">
        <v>1.38E-2</v>
      </c>
      <c r="V25" s="148">
        <v>2.7E-2</v>
      </c>
      <c r="W25" s="148">
        <v>7.9500000000000001E-2</v>
      </c>
      <c r="X25" s="148">
        <v>5.1999999999999998E-2</v>
      </c>
    </row>
    <row r="26" spans="1:24" x14ac:dyDescent="0.3">
      <c r="A26" s="6">
        <v>42369</v>
      </c>
      <c r="B26" s="118">
        <v>9931.07</v>
      </c>
      <c r="C26" s="79">
        <f t="shared" si="0"/>
        <v>-2.8971280006492517E-2</v>
      </c>
      <c r="D26" s="121">
        <f t="shared" si="10"/>
        <v>11526.153716231498</v>
      </c>
      <c r="E26" s="79">
        <v>-1.5771960729775159E-2</v>
      </c>
      <c r="F26" s="121">
        <f t="shared" si="10"/>
        <v>11309.606604030494</v>
      </c>
      <c r="G26" s="83">
        <v>-2.0525389257810223E-2</v>
      </c>
      <c r="H26" s="121">
        <f t="shared" si="2"/>
        <v>10296.646548436947</v>
      </c>
      <c r="I26" s="83">
        <v>-3.4500000000000003E-2</v>
      </c>
      <c r="S26" s="108" t="s">
        <v>48</v>
      </c>
      <c r="T26" s="109">
        <f>U15</f>
        <v>2.5100000000000001E-2</v>
      </c>
      <c r="U26" s="109">
        <f>U16</f>
        <v>2.5118896108245803E-2</v>
      </c>
      <c r="V26" s="109">
        <f>U17</f>
        <v>3.7648641636830238E-2</v>
      </c>
      <c r="W26" s="109">
        <f>U18</f>
        <v>9.0339593209082913E-2</v>
      </c>
      <c r="X26" s="109">
        <f>U20</f>
        <v>6.2675598163236312E-2</v>
      </c>
    </row>
    <row r="27" spans="1:24" x14ac:dyDescent="0.3">
      <c r="A27" s="6">
        <v>42400</v>
      </c>
      <c r="B27" s="118">
        <v>9447.14</v>
      </c>
      <c r="C27" s="79">
        <f t="shared" si="0"/>
        <v>-4.8728888226545641E-2</v>
      </c>
      <c r="D27" s="121">
        <f t="shared" si="10"/>
        <v>10954.18914883927</v>
      </c>
      <c r="E27" s="79">
        <v>-4.9623194473518928E-2</v>
      </c>
      <c r="F27" s="121">
        <f t="shared" si="10"/>
        <v>10671.458718091233</v>
      </c>
      <c r="G27" s="83">
        <v>-5.6425294732341924E-2</v>
      </c>
      <c r="H27" s="121">
        <f t="shared" si="2"/>
        <v>9644.8688219208889</v>
      </c>
      <c r="I27" s="83">
        <v>-6.3299999999999995E-2</v>
      </c>
      <c r="S27" s="108" t="s">
        <v>89</v>
      </c>
      <c r="T27" s="109">
        <f>V15</f>
        <v>0.18398826898926846</v>
      </c>
      <c r="U27" s="109">
        <f>V16</f>
        <v>0.18398826898926846</v>
      </c>
      <c r="V27" s="109">
        <f>V17</f>
        <v>0.14178904188562003</v>
      </c>
      <c r="W27" s="109">
        <f>V18</f>
        <v>0.15216856682869984</v>
      </c>
      <c r="X27" s="109">
        <f>V20</f>
        <v>0.12920000000000001</v>
      </c>
    </row>
    <row r="28" spans="1:24" ht="15" thickBot="1" x14ac:dyDescent="0.35">
      <c r="A28" s="6">
        <v>42429</v>
      </c>
      <c r="B28" s="118">
        <v>9762.74</v>
      </c>
      <c r="C28" s="79">
        <f t="shared" si="0"/>
        <v>3.3406935855719411E-2</v>
      </c>
      <c r="D28" s="121">
        <f t="shared" si="10"/>
        <v>10939.410481995661</v>
      </c>
      <c r="E28" s="79">
        <v>-1.3491338010330756E-3</v>
      </c>
      <c r="F28" s="121">
        <f t="shared" si="10"/>
        <v>10668.022036396655</v>
      </c>
      <c r="G28" s="83">
        <v>-3.2204422894432927E-4</v>
      </c>
      <c r="H28" s="121">
        <f t="shared" si="2"/>
        <v>9720.0987987318713</v>
      </c>
      <c r="I28" s="83">
        <v>7.7999999999999996E-3</v>
      </c>
      <c r="L28" s="2" t="s">
        <v>35</v>
      </c>
      <c r="M28" s="5" t="s">
        <v>62</v>
      </c>
      <c r="S28" s="110" t="str">
        <f>K18</f>
        <v>Russell 3000 TR</v>
      </c>
      <c r="T28" s="109">
        <f>W15</f>
        <v>0.20887815046427916</v>
      </c>
      <c r="U28" s="109">
        <f>W16</f>
        <v>0.20887815046427916</v>
      </c>
      <c r="V28" s="109">
        <f>W17</f>
        <v>0.14492731741635256</v>
      </c>
      <c r="W28" s="109">
        <f>W18</f>
        <v>0.15432835432419734</v>
      </c>
      <c r="X28" s="109">
        <f>W20</f>
        <v>0.12760328113022967</v>
      </c>
    </row>
    <row r="29" spans="1:24" ht="15" customHeight="1" outlineLevel="1" x14ac:dyDescent="0.3">
      <c r="A29" s="6">
        <v>42460</v>
      </c>
      <c r="B29" s="118">
        <v>10236.15</v>
      </c>
      <c r="C29" s="79">
        <f t="shared" si="0"/>
        <v>4.8491509555719015E-2</v>
      </c>
      <c r="D29" s="121">
        <f t="shared" si="10"/>
        <v>11681.510681356862</v>
      </c>
      <c r="E29" s="79">
        <v>6.7837311762143582E-2</v>
      </c>
      <c r="F29" s="121">
        <f t="shared" si="10"/>
        <v>11419.114876573734</v>
      </c>
      <c r="G29" s="83">
        <v>7.040600756302684E-2</v>
      </c>
      <c r="H29" s="121">
        <f t="shared" si="2"/>
        <v>10431.610030799044</v>
      </c>
      <c r="I29" s="83">
        <v>7.3200000000000001E-2</v>
      </c>
      <c r="K29" s="128">
        <v>41639</v>
      </c>
      <c r="L29" s="2">
        <f t="shared" ref="L29:L36" si="11">VLOOKUP($K29,A:B,2,0)</f>
        <v>10000</v>
      </c>
      <c r="M29" s="5">
        <f t="shared" ref="M29:M36" si="12">VLOOKUP(K29,A:H,8,0)</f>
        <v>10000</v>
      </c>
      <c r="N29" s="131"/>
      <c r="O29" s="100" t="s">
        <v>35</v>
      </c>
      <c r="P29" s="102" t="s">
        <v>62</v>
      </c>
      <c r="S29" s="110" t="str">
        <f>K16</f>
        <v>Mid-Cap Blend</v>
      </c>
      <c r="T29" s="109">
        <f>X15</f>
        <v>0.1239</v>
      </c>
      <c r="U29" s="109">
        <f>X16</f>
        <v>0.1239</v>
      </c>
      <c r="V29" s="109">
        <f>X17</f>
        <v>8.2699999999999996E-2</v>
      </c>
      <c r="W29" s="109">
        <f>X18</f>
        <v>0.1108</v>
      </c>
      <c r="X29" s="109">
        <f>X20</f>
        <v>7.8589846324937707E-2</v>
      </c>
    </row>
    <row r="30" spans="1:24" ht="15" customHeight="1" outlineLevel="1" x14ac:dyDescent="0.3">
      <c r="A30" s="6">
        <v>42490</v>
      </c>
      <c r="B30" s="118">
        <v>10130.950000000001</v>
      </c>
      <c r="C30" s="79">
        <f t="shared" si="0"/>
        <v>-1.0277301524498905E-2</v>
      </c>
      <c r="D30" s="121">
        <f t="shared" si="10"/>
        <v>11726.811819314209</v>
      </c>
      <c r="E30" s="79">
        <v>3.8780205054853578E-3</v>
      </c>
      <c r="F30" s="121">
        <f t="shared" si="10"/>
        <v>11489.886674664143</v>
      </c>
      <c r="G30" s="83">
        <v>6.1976605766176363E-3</v>
      </c>
      <c r="H30" s="121">
        <f t="shared" si="2"/>
        <v>10517.149233051596</v>
      </c>
      <c r="I30" s="83">
        <v>8.2000000000000007E-3</v>
      </c>
      <c r="K30" s="129">
        <v>42004</v>
      </c>
      <c r="L30" s="2">
        <f t="shared" si="11"/>
        <v>9904.84</v>
      </c>
      <c r="M30" s="5">
        <f t="shared" si="12"/>
        <v>10782.558449022476</v>
      </c>
      <c r="N30" s="130">
        <v>2014</v>
      </c>
      <c r="O30" s="15">
        <f>L30/L29-1</f>
        <v>-9.5159999999999689E-3</v>
      </c>
      <c r="P30" s="132">
        <v>7.8E-2</v>
      </c>
    </row>
    <row r="31" spans="1:24" ht="15" customHeight="1" outlineLevel="1" x14ac:dyDescent="0.3">
      <c r="A31" s="6">
        <v>42521</v>
      </c>
      <c r="B31" s="118">
        <v>10278.23</v>
      </c>
      <c r="C31" s="79">
        <f t="shared" si="0"/>
        <v>1.453762973857331E-2</v>
      </c>
      <c r="D31" s="121">
        <f t="shared" si="10"/>
        <v>11937.392741563341</v>
      </c>
      <c r="E31" s="79">
        <v>1.7957218508640294E-2</v>
      </c>
      <c r="F31" s="121">
        <f t="shared" si="10"/>
        <v>11695.4441447441</v>
      </c>
      <c r="G31" s="83">
        <v>1.7890295692230218E-2</v>
      </c>
      <c r="H31" s="121">
        <f t="shared" si="2"/>
        <v>10666.492752160928</v>
      </c>
      <c r="I31" s="83">
        <v>1.4200000000000001E-2</v>
      </c>
      <c r="K31" s="129">
        <v>42369</v>
      </c>
      <c r="L31" s="2">
        <f t="shared" si="11"/>
        <v>9931.07</v>
      </c>
      <c r="M31" s="5">
        <f t="shared" si="12"/>
        <v>10296.646548436947</v>
      </c>
      <c r="N31" s="130">
        <v>2015</v>
      </c>
      <c r="O31" s="15">
        <f t="shared" ref="O31:O34" si="13">L31/L30-1</f>
        <v>2.6482002738055233E-3</v>
      </c>
      <c r="P31" s="132">
        <v>-4.7500000000000001E-2</v>
      </c>
    </row>
    <row r="32" spans="1:24" ht="15" customHeight="1" outlineLevel="1" x14ac:dyDescent="0.3">
      <c r="A32" s="6">
        <v>42551</v>
      </c>
      <c r="B32" s="118">
        <v>10015.23</v>
      </c>
      <c r="C32" s="79">
        <f t="shared" si="0"/>
        <v>-2.5588063314403331E-2</v>
      </c>
      <c r="D32" s="121">
        <f t="shared" si="10"/>
        <v>11968.337460301183</v>
      </c>
      <c r="E32" s="79">
        <v>2.5922510390481435E-3</v>
      </c>
      <c r="F32" s="121">
        <f t="shared" si="10"/>
        <v>11719.493346822688</v>
      </c>
      <c r="G32" s="83">
        <v>2.0562880537884354E-3</v>
      </c>
      <c r="H32" s="121">
        <f t="shared" si="2"/>
        <v>10584.360757969289</v>
      </c>
      <c r="I32" s="83">
        <v>-7.7000000000000002E-3</v>
      </c>
      <c r="K32" s="128">
        <v>42735</v>
      </c>
      <c r="L32" s="2">
        <f t="shared" si="11"/>
        <v>11428.2</v>
      </c>
      <c r="M32" s="5">
        <f t="shared" si="12"/>
        <v>11702.734156037865</v>
      </c>
      <c r="N32" s="130">
        <v>2016</v>
      </c>
      <c r="O32" s="15">
        <f t="shared" si="13"/>
        <v>0.15075213446285263</v>
      </c>
      <c r="P32" s="132">
        <v>0.1414</v>
      </c>
    </row>
    <row r="33" spans="1:18" ht="15" customHeight="1" outlineLevel="1" x14ac:dyDescent="0.3">
      <c r="A33" s="6">
        <v>42582</v>
      </c>
      <c r="B33" s="118">
        <v>10572.8</v>
      </c>
      <c r="C33" s="79">
        <f t="shared" si="0"/>
        <v>5.5672211222308476E-2</v>
      </c>
      <c r="D33" s="121">
        <f t="shared" si="10"/>
        <v>12409.586227488924</v>
      </c>
      <c r="E33" s="79">
        <v>3.6868008497534133E-2</v>
      </c>
      <c r="F33" s="121">
        <f t="shared" si="10"/>
        <v>12184.603552461534</v>
      </c>
      <c r="G33" s="83">
        <v>3.9686886785506248E-2</v>
      </c>
      <c r="H33" s="121">
        <f t="shared" si="2"/>
        <v>11031.020781955593</v>
      </c>
      <c r="I33" s="83">
        <v>4.2200000000000001E-2</v>
      </c>
      <c r="K33" s="128">
        <v>43100</v>
      </c>
      <c r="L33" s="2">
        <f t="shared" si="11"/>
        <v>13697.9</v>
      </c>
      <c r="M33" s="5">
        <f t="shared" si="12"/>
        <v>13557.833083402626</v>
      </c>
      <c r="N33" s="130">
        <v>2017</v>
      </c>
      <c r="O33" s="15">
        <f t="shared" si="13"/>
        <v>0.19860520466915155</v>
      </c>
      <c r="P33" s="132">
        <v>0.1593</v>
      </c>
    </row>
    <row r="34" spans="1:18" ht="15" customHeight="1" outlineLevel="1" x14ac:dyDescent="0.3">
      <c r="A34" s="6">
        <v>42613</v>
      </c>
      <c r="B34" s="118">
        <v>10772.68</v>
      </c>
      <c r="C34" s="79">
        <f t="shared" si="0"/>
        <v>1.8905115012106677E-2</v>
      </c>
      <c r="D34" s="121">
        <f t="shared" si="10"/>
        <v>12427.019022255465</v>
      </c>
      <c r="E34" s="79">
        <v>1.4047845308431395E-3</v>
      </c>
      <c r="F34" s="121">
        <f t="shared" si="10"/>
        <v>12215.685083382114</v>
      </c>
      <c r="G34" s="83">
        <v>2.5508856965887894E-3</v>
      </c>
      <c r="H34" s="121">
        <f t="shared" si="2"/>
        <v>11097.206906647327</v>
      </c>
      <c r="I34" s="83">
        <v>6.0000000000000001E-3</v>
      </c>
      <c r="K34" s="128">
        <v>43465</v>
      </c>
      <c r="L34" s="2">
        <f t="shared" si="11"/>
        <v>12711.1</v>
      </c>
      <c r="M34" s="5">
        <f t="shared" si="12"/>
        <v>12021.727205463474</v>
      </c>
      <c r="N34" s="130">
        <v>2018</v>
      </c>
      <c r="O34" s="15">
        <f t="shared" si="13"/>
        <v>-7.2040239744778356E-2</v>
      </c>
      <c r="P34" s="132">
        <v>-0.1115</v>
      </c>
    </row>
    <row r="35" spans="1:18" ht="15" customHeight="1" outlineLevel="1" x14ac:dyDescent="0.3">
      <c r="A35" s="6">
        <v>42643</v>
      </c>
      <c r="B35" s="118">
        <v>10762.16</v>
      </c>
      <c r="C35" s="79">
        <f t="shared" si="0"/>
        <v>-9.7654436964622615E-4</v>
      </c>
      <c r="D35" s="121">
        <f t="shared" si="10"/>
        <v>12429.341384188034</v>
      </c>
      <c r="E35" s="79">
        <v>1.8688004970535133E-4</v>
      </c>
      <c r="F35" s="121">
        <f t="shared" si="10"/>
        <v>12234.887731595161</v>
      </c>
      <c r="G35" s="83">
        <v>1.571966539901215E-3</v>
      </c>
      <c r="H35" s="121">
        <f t="shared" si="2"/>
        <v>11107.194392863308</v>
      </c>
      <c r="I35" s="83">
        <v>8.9999999999999998E-4</v>
      </c>
      <c r="K35" s="128">
        <v>43830</v>
      </c>
      <c r="L35" s="2">
        <f t="shared" si="11"/>
        <v>14929</v>
      </c>
      <c r="M35" s="5">
        <f t="shared" si="12"/>
        <v>15132.649940973706</v>
      </c>
      <c r="N35" s="133">
        <v>2019</v>
      </c>
      <c r="O35" s="15">
        <f>L35/L34-1</f>
        <v>0.17448529238224864</v>
      </c>
      <c r="P35" s="134">
        <v>0.2621</v>
      </c>
    </row>
    <row r="36" spans="1:18" ht="15" customHeight="1" outlineLevel="1" thickBot="1" x14ac:dyDescent="0.35">
      <c r="A36" s="6">
        <v>42674</v>
      </c>
      <c r="B36" s="118">
        <v>10572.8</v>
      </c>
      <c r="C36" s="79">
        <f t="shared" si="0"/>
        <v>-1.759498093319567E-2</v>
      </c>
      <c r="D36" s="121">
        <f t="shared" ref="D36:F51" si="14">D35*(1+E36)</f>
        <v>12202.624570589247</v>
      </c>
      <c r="E36" s="79">
        <v>-1.8240452699062937E-2</v>
      </c>
      <c r="F36" s="121">
        <f t="shared" si="14"/>
        <v>11970.178081048538</v>
      </c>
      <c r="G36" s="83">
        <v>-2.1635641973488773E-2</v>
      </c>
      <c r="H36" s="121">
        <f t="shared" si="2"/>
        <v>10815.075180331003</v>
      </c>
      <c r="I36" s="83">
        <v>-2.63E-2</v>
      </c>
      <c r="K36" s="135">
        <f>L1</f>
        <v>44196</v>
      </c>
      <c r="L36" s="2">
        <f t="shared" si="11"/>
        <v>15304</v>
      </c>
      <c r="M36" s="5">
        <f t="shared" si="12"/>
        <v>16982.213367869452</v>
      </c>
      <c r="N36" s="160">
        <v>2020</v>
      </c>
      <c r="O36" s="161">
        <f>U15</f>
        <v>2.5100000000000001E-2</v>
      </c>
      <c r="P36" s="164">
        <f>X15</f>
        <v>0.1239</v>
      </c>
    </row>
    <row r="37" spans="1:18" ht="15" customHeight="1" outlineLevel="1" x14ac:dyDescent="0.3">
      <c r="A37" s="6">
        <v>42704</v>
      </c>
      <c r="B37" s="118">
        <v>11298.69</v>
      </c>
      <c r="C37" s="79">
        <f t="shared" si="0"/>
        <v>6.8656363498789563E-2</v>
      </c>
      <c r="D37" s="121">
        <f t="shared" si="14"/>
        <v>12654.550170557881</v>
      </c>
      <c r="E37" s="79">
        <v>3.7035114647209877E-2</v>
      </c>
      <c r="F37" s="121">
        <f t="shared" si="14"/>
        <v>12505.868947745219</v>
      </c>
      <c r="G37" s="83">
        <v>4.4752121737002382E-2</v>
      </c>
      <c r="H37" s="121">
        <f t="shared" si="2"/>
        <v>11533.196172304983</v>
      </c>
      <c r="I37" s="83">
        <v>6.6400000000000001E-2</v>
      </c>
    </row>
    <row r="38" spans="1:18" x14ac:dyDescent="0.3">
      <c r="A38" s="6">
        <v>42735</v>
      </c>
      <c r="B38" s="118">
        <v>11428.2</v>
      </c>
      <c r="C38" s="79">
        <f t="shared" si="0"/>
        <v>1.1462390772735587E-2</v>
      </c>
      <c r="D38" s="121">
        <f t="shared" si="14"/>
        <v>12904.671566749812</v>
      </c>
      <c r="E38" s="79">
        <v>1.9765332850302686E-2</v>
      </c>
      <c r="F38" s="121">
        <f t="shared" si="14"/>
        <v>12749.89794985662</v>
      </c>
      <c r="G38" s="83">
        <v>1.9513158432337363E-2</v>
      </c>
      <c r="H38" s="121">
        <f t="shared" si="2"/>
        <v>11702.734156037865</v>
      </c>
      <c r="I38" s="83">
        <v>1.47E-2</v>
      </c>
      <c r="L38" s="168"/>
      <c r="M38" s="7"/>
    </row>
    <row r="39" spans="1:18" x14ac:dyDescent="0.3">
      <c r="A39" s="6">
        <v>42766</v>
      </c>
      <c r="B39" s="119">
        <v>11502.21</v>
      </c>
      <c r="C39" s="79">
        <f t="shared" si="0"/>
        <v>6.4760854727776707E-3</v>
      </c>
      <c r="D39" s="121">
        <f t="shared" si="14"/>
        <v>13149.424386006718</v>
      </c>
      <c r="E39" s="162">
        <v>1.8966218395479073E-2</v>
      </c>
      <c r="F39" s="121">
        <f t="shared" si="14"/>
        <v>12989.87522536665</v>
      </c>
      <c r="G39" s="125">
        <v>1.882189774803078E-2</v>
      </c>
      <c r="H39" s="121">
        <f t="shared" si="2"/>
        <v>11920.405011340168</v>
      </c>
      <c r="I39" s="125">
        <v>1.8599999999999998E-2</v>
      </c>
      <c r="J39" s="32"/>
      <c r="K39" s="32"/>
      <c r="L39" s="32"/>
      <c r="N39" s="31"/>
    </row>
    <row r="40" spans="1:18" x14ac:dyDescent="0.3">
      <c r="A40" s="6">
        <v>42794</v>
      </c>
      <c r="B40" s="119">
        <v>11872.22</v>
      </c>
      <c r="C40" s="79">
        <f t="shared" si="0"/>
        <v>3.2168600642833001E-2</v>
      </c>
      <c r="D40" s="121">
        <f t="shared" si="14"/>
        <v>13671.563733754781</v>
      </c>
      <c r="E40" s="162">
        <v>3.970815241948622E-2</v>
      </c>
      <c r="F40" s="121">
        <f t="shared" si="14"/>
        <v>13472.990160984695</v>
      </c>
      <c r="G40" s="125">
        <v>3.7191653286601012E-2</v>
      </c>
      <c r="H40" s="121">
        <f t="shared" si="2"/>
        <v>12212.454934118003</v>
      </c>
      <c r="I40" s="125">
        <v>2.4500000000000001E-2</v>
      </c>
      <c r="J40" s="32"/>
      <c r="K40" s="32"/>
      <c r="L40" s="32"/>
      <c r="N40" s="169"/>
      <c r="O40" s="169"/>
      <c r="P40" s="169"/>
      <c r="Q40" s="169"/>
      <c r="R40"/>
    </row>
    <row r="41" spans="1:18" x14ac:dyDescent="0.3">
      <c r="A41" s="6">
        <v>42825</v>
      </c>
      <c r="B41" s="119">
        <v>12104.8</v>
      </c>
      <c r="C41" s="79">
        <f t="shared" si="0"/>
        <v>1.9590270395932752E-2</v>
      </c>
      <c r="D41" s="121">
        <f t="shared" si="14"/>
        <v>13687.488501292384</v>
      </c>
      <c r="E41" s="162">
        <v>1.1648095161407301E-3</v>
      </c>
      <c r="F41" s="121">
        <f t="shared" si="14"/>
        <v>13482.155276318861</v>
      </c>
      <c r="G41" s="125">
        <v>6.8025844483332598E-4</v>
      </c>
      <c r="H41" s="121">
        <f t="shared" si="2"/>
        <v>12192.915006223413</v>
      </c>
      <c r="I41" s="125">
        <v>-1.6000000000000001E-3</v>
      </c>
      <c r="J41" s="32"/>
      <c r="K41" s="32"/>
      <c r="L41" s="32"/>
      <c r="N41" s="170"/>
      <c r="O41" s="169"/>
      <c r="P41" s="169"/>
      <c r="Q41" s="169"/>
      <c r="R41" s="169"/>
    </row>
    <row r="42" spans="1:18" x14ac:dyDescent="0.3">
      <c r="A42" s="117" t="s">
        <v>56</v>
      </c>
      <c r="B42" s="119">
        <v>12263.38</v>
      </c>
      <c r="C42" s="79">
        <f t="shared" si="0"/>
        <v>1.3100588196417906E-2</v>
      </c>
      <c r="D42" s="121">
        <f t="shared" si="14"/>
        <v>13828.066799574137</v>
      </c>
      <c r="E42" s="162">
        <v>1.0270569233243876E-2</v>
      </c>
      <c r="F42" s="121">
        <f t="shared" si="14"/>
        <v>13625.06332596983</v>
      </c>
      <c r="G42" s="125">
        <v>1.0599792594139901E-2</v>
      </c>
      <c r="H42" s="121">
        <f t="shared" si="2"/>
        <v>12266.072496260753</v>
      </c>
      <c r="I42" s="125">
        <v>6.0000000000000001E-3</v>
      </c>
      <c r="J42" s="32"/>
      <c r="K42" s="32"/>
      <c r="L42" s="32"/>
      <c r="N42" s="170"/>
      <c r="O42" s="169"/>
      <c r="P42" s="169"/>
      <c r="Q42" s="169"/>
      <c r="R42" s="169"/>
    </row>
    <row r="43" spans="1:18" x14ac:dyDescent="0.3">
      <c r="A43" s="117" t="s">
        <v>57</v>
      </c>
      <c r="B43" s="119">
        <v>12199.95</v>
      </c>
      <c r="C43" s="79">
        <f t="shared" si="0"/>
        <v>-5.1723097547330399E-3</v>
      </c>
      <c r="D43" s="121">
        <f t="shared" si="14"/>
        <v>14022.662633196511</v>
      </c>
      <c r="E43" s="162">
        <v>1.40725262932897E-2</v>
      </c>
      <c r="F43" s="121">
        <f t="shared" si="14"/>
        <v>13764.502522346476</v>
      </c>
      <c r="G43" s="125">
        <v>1.0234021893378742E-2</v>
      </c>
      <c r="H43" s="121">
        <f t="shared" si="2"/>
        <v>12241.540351268231</v>
      </c>
      <c r="I43" s="125">
        <v>-2E-3</v>
      </c>
      <c r="J43" s="32"/>
      <c r="K43" s="32"/>
      <c r="L43" s="32"/>
      <c r="N43" s="170"/>
      <c r="O43" s="169"/>
      <c r="P43" s="169"/>
      <c r="Q43" s="169"/>
      <c r="R43" s="169"/>
    </row>
    <row r="44" spans="1:18" x14ac:dyDescent="0.3">
      <c r="A44" s="117" t="s">
        <v>58</v>
      </c>
      <c r="B44" s="119">
        <v>12538.25</v>
      </c>
      <c r="C44" s="79">
        <f t="shared" si="0"/>
        <v>2.7729621842712326E-2</v>
      </c>
      <c r="D44" s="121">
        <f t="shared" si="14"/>
        <v>14110.188533564167</v>
      </c>
      <c r="E44" s="162">
        <v>6.2417461403123653E-3</v>
      </c>
      <c r="F44" s="121">
        <f t="shared" si="14"/>
        <v>13888.7188841685</v>
      </c>
      <c r="G44" s="125">
        <v>9.0243989290830218E-3</v>
      </c>
      <c r="H44" s="121">
        <f t="shared" si="2"/>
        <v>12426.387610572381</v>
      </c>
      <c r="I44" s="125">
        <v>1.5100000000000001E-2</v>
      </c>
      <c r="J44" s="32"/>
      <c r="K44" s="32"/>
      <c r="L44" s="32"/>
      <c r="N44" s="170"/>
      <c r="O44" s="169"/>
      <c r="P44" s="169"/>
      <c r="Q44" s="169"/>
      <c r="R44" s="169"/>
    </row>
    <row r="45" spans="1:18" x14ac:dyDescent="0.3">
      <c r="A45" s="6">
        <v>42947</v>
      </c>
      <c r="B45" s="119">
        <v>12971.7</v>
      </c>
      <c r="C45" s="79">
        <f t="shared" si="0"/>
        <v>3.4570215141666472E-2</v>
      </c>
      <c r="D45" s="121">
        <f t="shared" si="14"/>
        <v>14400.332972412158</v>
      </c>
      <c r="E45" s="162">
        <v>2.0562761309518951E-2</v>
      </c>
      <c r="F45" s="121">
        <f t="shared" si="14"/>
        <v>14150.589865914535</v>
      </c>
      <c r="G45" s="125">
        <v>1.8854941476606379E-2</v>
      </c>
      <c r="H45" s="121">
        <f t="shared" si="2"/>
        <v>12556.86468048339</v>
      </c>
      <c r="I45" s="125">
        <v>1.0500000000000001E-2</v>
      </c>
      <c r="J45" s="32"/>
      <c r="K45" s="32"/>
      <c r="L45" s="32"/>
      <c r="N45" s="170"/>
      <c r="O45" s="169"/>
      <c r="P45" s="169"/>
      <c r="Q45" s="169"/>
      <c r="R45" s="169"/>
    </row>
    <row r="46" spans="1:18" x14ac:dyDescent="0.3">
      <c r="A46" s="6">
        <v>42978</v>
      </c>
      <c r="B46" s="119">
        <v>12665.11</v>
      </c>
      <c r="C46" s="79">
        <f t="shared" si="0"/>
        <v>-2.3635298380320191E-2</v>
      </c>
      <c r="D46" s="121">
        <f t="shared" si="14"/>
        <v>14444.427688586355</v>
      </c>
      <c r="E46" s="162">
        <v>3.0620622633290573E-3</v>
      </c>
      <c r="F46" s="121">
        <f t="shared" si="14"/>
        <v>14177.854333521253</v>
      </c>
      <c r="G46" s="125">
        <v>1.926737179514415E-3</v>
      </c>
      <c r="H46" s="121">
        <f t="shared" si="2"/>
        <v>12414.972109593928</v>
      </c>
      <c r="I46" s="125">
        <v>-1.1299999999999999E-2</v>
      </c>
      <c r="J46" s="32"/>
      <c r="K46" s="32"/>
      <c r="L46" s="32"/>
      <c r="N46" s="170"/>
      <c r="O46" s="169"/>
      <c r="P46" s="169"/>
      <c r="Q46" s="169"/>
      <c r="R46" s="169"/>
    </row>
    <row r="47" spans="1:18" x14ac:dyDescent="0.3">
      <c r="A47" s="6">
        <v>43008</v>
      </c>
      <c r="B47" s="119">
        <v>13373.43</v>
      </c>
      <c r="C47" s="79">
        <f t="shared" si="0"/>
        <v>5.5926873118354203E-2</v>
      </c>
      <c r="D47" s="121">
        <f t="shared" si="14"/>
        <v>14742.383708480251</v>
      </c>
      <c r="E47" s="162">
        <v>2.0627748382813005E-2</v>
      </c>
      <c r="F47" s="121">
        <f t="shared" si="14"/>
        <v>14523.621225445753</v>
      </c>
      <c r="G47" s="125">
        <v>2.4387815235693999E-2</v>
      </c>
      <c r="H47" s="121">
        <f t="shared" si="2"/>
        <v>12855.703619484513</v>
      </c>
      <c r="I47" s="125">
        <v>3.5499999999999997E-2</v>
      </c>
      <c r="J47" s="32"/>
      <c r="K47" s="32"/>
      <c r="L47" s="32"/>
      <c r="N47" s="170"/>
      <c r="O47" s="169"/>
      <c r="P47" s="169"/>
      <c r="Q47" s="169"/>
      <c r="R47" s="169"/>
    </row>
    <row r="48" spans="1:18" x14ac:dyDescent="0.3">
      <c r="A48" s="6">
        <f>EOMONTH(A47,1)</f>
        <v>43039</v>
      </c>
      <c r="B48" s="119">
        <v>13384</v>
      </c>
      <c r="C48" s="79">
        <f t="shared" si="0"/>
        <v>7.903731503435818E-4</v>
      </c>
      <c r="D48" s="121">
        <f t="shared" si="14"/>
        <v>15086.394879945959</v>
      </c>
      <c r="E48" s="162">
        <v>2.3334840434781512E-2</v>
      </c>
      <c r="F48" s="121">
        <f t="shared" si="14"/>
        <v>14840.558597031471</v>
      </c>
      <c r="G48" s="125">
        <v>2.1822200308448947E-2</v>
      </c>
      <c r="H48" s="121">
        <f t="shared" si="2"/>
        <v>13047.253603414831</v>
      </c>
      <c r="I48" s="125">
        <v>1.49E-2</v>
      </c>
      <c r="J48" s="32"/>
      <c r="K48" s="32"/>
      <c r="L48" s="32"/>
      <c r="M48" s="171"/>
      <c r="N48" s="169"/>
      <c r="O48" s="169"/>
      <c r="P48" s="169"/>
      <c r="Q48" s="169"/>
      <c r="R48" s="169"/>
    </row>
    <row r="49" spans="1:18" x14ac:dyDescent="0.3">
      <c r="A49" s="6">
        <f t="shared" ref="A49:A86" si="15">EOMONTH(A48,1)</f>
        <v>43069</v>
      </c>
      <c r="B49" s="119">
        <v>13732.87</v>
      </c>
      <c r="C49" s="79">
        <f t="shared" si="0"/>
        <v>2.6066198445905631E-2</v>
      </c>
      <c r="D49" s="121">
        <f t="shared" si="14"/>
        <v>15549.087794329222</v>
      </c>
      <c r="E49" s="162">
        <v>3.0669548163445581E-2</v>
      </c>
      <c r="F49" s="121">
        <f t="shared" si="14"/>
        <v>15291.193484233183</v>
      </c>
      <c r="G49" s="125">
        <v>3.0365089309498883E-2</v>
      </c>
      <c r="H49" s="121">
        <f t="shared" si="2"/>
        <v>13458.242091922399</v>
      </c>
      <c r="I49" s="125">
        <v>3.15E-2</v>
      </c>
      <c r="J49" s="32"/>
      <c r="K49" s="32"/>
      <c r="L49" s="32"/>
      <c r="M49" s="171"/>
      <c r="N49" s="169"/>
      <c r="O49" s="169"/>
      <c r="P49" s="169"/>
      <c r="Q49" s="169"/>
      <c r="R49" s="169"/>
    </row>
    <row r="50" spans="1:18" x14ac:dyDescent="0.3">
      <c r="A50" s="6">
        <f t="shared" si="15"/>
        <v>43100</v>
      </c>
      <c r="B50" s="119">
        <v>13697.9</v>
      </c>
      <c r="C50" s="79">
        <f t="shared" si="0"/>
        <v>-2.5464451349208606E-3</v>
      </c>
      <c r="D50" s="121">
        <f t="shared" si="14"/>
        <v>15721.968035854867</v>
      </c>
      <c r="E50" s="162">
        <v>1.1118352652732089E-2</v>
      </c>
      <c r="F50" s="121">
        <f t="shared" si="14"/>
        <v>15444.027412456873</v>
      </c>
      <c r="G50" s="125">
        <v>9.9948985918776323E-3</v>
      </c>
      <c r="H50" s="121">
        <f t="shared" si="2"/>
        <v>13557.833083402626</v>
      </c>
      <c r="I50" s="125">
        <v>7.4000000000000003E-3</v>
      </c>
      <c r="J50" s="32"/>
      <c r="K50" s="32"/>
      <c r="L50" s="32"/>
      <c r="M50" s="171"/>
      <c r="N50" s="169"/>
      <c r="O50" s="169"/>
      <c r="P50" s="169"/>
      <c r="Q50" s="169"/>
      <c r="R50" s="169"/>
    </row>
    <row r="51" spans="1:18" x14ac:dyDescent="0.3">
      <c r="A51" s="6">
        <f t="shared" si="15"/>
        <v>43131</v>
      </c>
      <c r="B51" s="119">
        <v>14387.91</v>
      </c>
      <c r="C51" s="79">
        <f t="shared" si="0"/>
        <v>5.0373414903014391E-2</v>
      </c>
      <c r="D51" s="121">
        <f t="shared" si="14"/>
        <v>16622.109488808943</v>
      </c>
      <c r="E51" s="162">
        <v>5.7253738902232287E-2</v>
      </c>
      <c r="F51" s="121">
        <f t="shared" si="14"/>
        <v>16258.091388860345</v>
      </c>
      <c r="G51" s="125">
        <v>5.2710601623697118E-2</v>
      </c>
      <c r="H51" s="121">
        <f t="shared" si="2"/>
        <v>14026.934108088355</v>
      </c>
      <c r="I51" s="125">
        <v>3.4599999999999999E-2</v>
      </c>
      <c r="J51" s="32"/>
      <c r="K51" s="32"/>
      <c r="L51" s="32"/>
      <c r="M51" s="171"/>
      <c r="N51" s="169"/>
      <c r="O51" s="169"/>
      <c r="P51" s="169"/>
      <c r="Q51" s="169"/>
      <c r="R51" s="169"/>
    </row>
    <row r="52" spans="1:18" x14ac:dyDescent="0.3">
      <c r="A52" s="6">
        <f t="shared" si="15"/>
        <v>43159</v>
      </c>
      <c r="B52" s="119">
        <v>13774.57</v>
      </c>
      <c r="C52" s="79">
        <f t="shared" si="0"/>
        <v>-4.2628846024196698E-2</v>
      </c>
      <c r="D52" s="121">
        <f t="shared" ref="D52:F67" si="16">D51*(1+E52)</f>
        <v>16009.4885073245</v>
      </c>
      <c r="E52" s="162">
        <v>-3.6855790289246793E-2</v>
      </c>
      <c r="F52" s="121">
        <f t="shared" si="16"/>
        <v>15658.823803259813</v>
      </c>
      <c r="G52" s="125">
        <v>-3.685965168157046E-2</v>
      </c>
      <c r="H52" s="121">
        <f t="shared" si="2"/>
        <v>13439.205568959453</v>
      </c>
      <c r="I52" s="125">
        <v>-4.19E-2</v>
      </c>
      <c r="J52" s="32"/>
      <c r="K52" s="32"/>
      <c r="L52" s="32"/>
      <c r="M52" s="171"/>
      <c r="N52" s="169"/>
      <c r="O52" s="169"/>
      <c r="P52"/>
      <c r="Q52"/>
      <c r="R52"/>
    </row>
    <row r="53" spans="1:18" x14ac:dyDescent="0.3">
      <c r="A53" s="6">
        <f t="shared" si="15"/>
        <v>43190</v>
      </c>
      <c r="B53" s="119">
        <v>13697.9</v>
      </c>
      <c r="C53" s="79">
        <f t="shared" si="0"/>
        <v>-5.5660539675648213E-3</v>
      </c>
      <c r="D53" s="121">
        <f t="shared" si="16"/>
        <v>15602.622760956583</v>
      </c>
      <c r="E53" s="162">
        <v>-2.5414037817746205E-2</v>
      </c>
      <c r="F53" s="121">
        <f t="shared" si="16"/>
        <v>15344.488544741298</v>
      </c>
      <c r="G53" s="125">
        <v>-2.0074001883403136E-2</v>
      </c>
      <c r="H53" s="121">
        <f t="shared" si="2"/>
        <v>13420.390681162909</v>
      </c>
      <c r="I53" s="125">
        <v>-1.4E-3</v>
      </c>
      <c r="J53" s="32"/>
      <c r="K53" s="32"/>
      <c r="L53" s="32"/>
      <c r="M53" s="31"/>
      <c r="N53" s="31"/>
    </row>
    <row r="54" spans="1:18" x14ac:dyDescent="0.3">
      <c r="A54" s="6">
        <f t="shared" si="15"/>
        <v>43220</v>
      </c>
      <c r="B54" s="119">
        <v>13608.46</v>
      </c>
      <c r="C54" s="79">
        <f t="shared" si="0"/>
        <v>-6.5294680206455791E-3</v>
      </c>
      <c r="D54" s="121">
        <f t="shared" si="16"/>
        <v>15662.491441945489</v>
      </c>
      <c r="E54" s="162">
        <v>3.8370908472336041E-3</v>
      </c>
      <c r="F54" s="121">
        <f t="shared" si="16"/>
        <v>15402.808049026457</v>
      </c>
      <c r="G54" s="125">
        <v>3.8006808838959572E-3</v>
      </c>
      <c r="H54" s="121">
        <f t="shared" si="2"/>
        <v>13394.891938868699</v>
      </c>
      <c r="I54" s="125">
        <v>-1.9E-3</v>
      </c>
      <c r="J54" s="32"/>
      <c r="K54" s="32"/>
      <c r="L54" s="32"/>
      <c r="M54" s="31"/>
      <c r="N54" s="31"/>
    </row>
    <row r="55" spans="1:18" x14ac:dyDescent="0.3">
      <c r="A55" s="6">
        <f t="shared" si="15"/>
        <v>43251</v>
      </c>
      <c r="B55" s="119">
        <v>14042.9</v>
      </c>
      <c r="C55" s="79">
        <f t="shared" si="0"/>
        <v>3.1924258880137835E-2</v>
      </c>
      <c r="D55" s="121">
        <f t="shared" si="16"/>
        <v>16039.679212447876</v>
      </c>
      <c r="E55" s="162">
        <v>2.4082233142822096E-2</v>
      </c>
      <c r="F55" s="121">
        <f t="shared" si="16"/>
        <v>15837.633443454757</v>
      </c>
      <c r="G55" s="125">
        <v>2.8230267691726763E-2</v>
      </c>
      <c r="H55" s="121">
        <f t="shared" si="2"/>
        <v>13752.535553636493</v>
      </c>
      <c r="I55" s="125">
        <v>2.6700000000000002E-2</v>
      </c>
      <c r="J55" s="32"/>
      <c r="K55" s="32"/>
      <c r="L55" s="32"/>
      <c r="M55" s="31"/>
      <c r="N55" s="31"/>
    </row>
    <row r="56" spans="1:18" x14ac:dyDescent="0.3">
      <c r="A56" s="6">
        <f t="shared" si="15"/>
        <v>43281</v>
      </c>
      <c r="B56" s="119">
        <v>13953.46</v>
      </c>
      <c r="C56" s="79">
        <f t="shared" si="0"/>
        <v>-6.3690548248581669E-3</v>
      </c>
      <c r="D56" s="121">
        <f t="shared" si="16"/>
        <v>16138.394674854266</v>
      </c>
      <c r="E56" s="162">
        <v>6.154453658261394E-3</v>
      </c>
      <c r="F56" s="121">
        <f t="shared" si="16"/>
        <v>15941.210790650635</v>
      </c>
      <c r="G56" s="125">
        <v>6.5399510328156829E-3</v>
      </c>
      <c r="H56" s="121">
        <f t="shared" si="2"/>
        <v>13814.421963627858</v>
      </c>
      <c r="I56" s="125">
        <v>4.4999999999999997E-3</v>
      </c>
      <c r="J56" s="32"/>
      <c r="K56" s="32"/>
      <c r="L56" s="32"/>
      <c r="M56" s="31"/>
      <c r="N56" s="31"/>
    </row>
    <row r="57" spans="1:18" x14ac:dyDescent="0.3">
      <c r="A57" s="6">
        <f t="shared" si="15"/>
        <v>43312</v>
      </c>
      <c r="B57" s="119">
        <v>14451.8</v>
      </c>
      <c r="C57" s="79">
        <f t="shared" si="0"/>
        <v>3.5714439286026467E-2</v>
      </c>
      <c r="D57" s="121">
        <f t="shared" si="16"/>
        <v>16738.981599051767</v>
      </c>
      <c r="E57" s="162">
        <v>3.7214787238615266E-2</v>
      </c>
      <c r="F57" s="121">
        <f t="shared" si="16"/>
        <v>16470.232678111803</v>
      </c>
      <c r="G57" s="125">
        <v>3.3185803412839388E-2</v>
      </c>
      <c r="H57" s="121">
        <f t="shared" si="2"/>
        <v>14129.390784398573</v>
      </c>
      <c r="I57" s="125">
        <v>2.2800000000000001E-2</v>
      </c>
      <c r="J57" s="32"/>
      <c r="K57" s="32"/>
      <c r="L57" s="32"/>
      <c r="M57" s="31"/>
      <c r="N57" s="31"/>
    </row>
    <row r="58" spans="1:18" x14ac:dyDescent="0.3">
      <c r="A58" s="6">
        <f t="shared" si="15"/>
        <v>43343</v>
      </c>
      <c r="B58" s="119">
        <v>14720.13</v>
      </c>
      <c r="C58" s="79">
        <f t="shared" si="0"/>
        <v>1.8567237299159878E-2</v>
      </c>
      <c r="D58" s="121">
        <f t="shared" si="16"/>
        <v>17284.40488721466</v>
      </c>
      <c r="E58" s="162">
        <v>3.2584018623557753E-2</v>
      </c>
      <c r="F58" s="121">
        <f t="shared" si="16"/>
        <v>17048.630370690407</v>
      </c>
      <c r="G58" s="125">
        <v>3.5117760864864289E-2</v>
      </c>
      <c r="H58" s="121">
        <f t="shared" si="2"/>
        <v>14485.451432165415</v>
      </c>
      <c r="I58" s="125">
        <v>2.52E-2</v>
      </c>
      <c r="J58" s="32"/>
      <c r="K58" s="32"/>
      <c r="L58" s="32"/>
      <c r="M58" s="31"/>
      <c r="N58" s="31"/>
    </row>
    <row r="59" spans="1:18" x14ac:dyDescent="0.3">
      <c r="A59" s="6">
        <f t="shared" si="15"/>
        <v>43373</v>
      </c>
      <c r="B59" s="119">
        <v>14617.91</v>
      </c>
      <c r="C59" s="79">
        <f t="shared" si="0"/>
        <v>-6.9442321501236304E-3</v>
      </c>
      <c r="D59" s="121">
        <f t="shared" si="16"/>
        <v>17382.788583630681</v>
      </c>
      <c r="E59" s="162">
        <v>5.6920499755706011E-3</v>
      </c>
      <c r="F59" s="121">
        <f t="shared" si="16"/>
        <v>17076.850523459991</v>
      </c>
      <c r="G59" s="125">
        <v>1.6552738933268696E-3</v>
      </c>
      <c r="H59" s="121">
        <f t="shared" si="2"/>
        <v>14346.391098416627</v>
      </c>
      <c r="I59" s="125">
        <v>-9.5999999999999992E-3</v>
      </c>
      <c r="J59" s="32"/>
      <c r="K59" s="32"/>
      <c r="L59" s="32"/>
      <c r="M59" s="31"/>
      <c r="N59" s="31"/>
    </row>
    <row r="60" spans="1:18" x14ac:dyDescent="0.3">
      <c r="A60" s="6">
        <f t="shared" si="15"/>
        <v>43404</v>
      </c>
      <c r="B60" s="119">
        <v>13378.45</v>
      </c>
      <c r="C60" s="79">
        <f t="shared" si="0"/>
        <v>-8.4790506987660996E-2</v>
      </c>
      <c r="D60" s="121">
        <f t="shared" si="16"/>
        <v>16194.67425103829</v>
      </c>
      <c r="E60" s="162">
        <v>-6.8350042162466096E-2</v>
      </c>
      <c r="F60" s="121">
        <f t="shared" si="16"/>
        <v>15819.435683997122</v>
      </c>
      <c r="G60" s="125">
        <v>-7.3632713346963197E-2</v>
      </c>
      <c r="H60" s="121">
        <f t="shared" si="2"/>
        <v>13116.905381282322</v>
      </c>
      <c r="I60" s="125">
        <v>-8.5699999999999998E-2</v>
      </c>
      <c r="J60" s="32"/>
      <c r="K60" s="32"/>
      <c r="L60" s="32"/>
      <c r="M60" s="31"/>
      <c r="N60" s="31"/>
    </row>
    <row r="61" spans="1:18" x14ac:dyDescent="0.3">
      <c r="A61" s="6">
        <f t="shared" si="15"/>
        <v>43434</v>
      </c>
      <c r="B61" s="119">
        <v>13787.35</v>
      </c>
      <c r="C61" s="79">
        <f t="shared" si="0"/>
        <v>3.056407879836609E-2</v>
      </c>
      <c r="D61" s="121">
        <f t="shared" si="16"/>
        <v>16524.690929819444</v>
      </c>
      <c r="E61" s="162">
        <v>2.0378099223576251E-2</v>
      </c>
      <c r="F61" s="121">
        <f t="shared" si="16"/>
        <v>16136.278433289488</v>
      </c>
      <c r="G61" s="125">
        <v>2.0028701125722304E-2</v>
      </c>
      <c r="H61" s="121">
        <f t="shared" si="2"/>
        <v>13375.308417293585</v>
      </c>
      <c r="I61" s="125">
        <v>1.9699999999999999E-2</v>
      </c>
      <c r="J61" s="32"/>
      <c r="K61" s="32"/>
      <c r="L61" s="32"/>
      <c r="M61" s="31"/>
      <c r="N61" s="31"/>
    </row>
    <row r="62" spans="1:18" x14ac:dyDescent="0.3">
      <c r="A62" s="6">
        <f t="shared" si="15"/>
        <v>43465</v>
      </c>
      <c r="B62" s="119">
        <v>12711.1</v>
      </c>
      <c r="C62" s="79">
        <f t="shared" si="0"/>
        <v>-7.8060686063674334E-2</v>
      </c>
      <c r="D62" s="121">
        <f t="shared" si="16"/>
        <v>15032.678950051137</v>
      </c>
      <c r="E62" s="162">
        <v>-9.028985692409619E-2</v>
      </c>
      <c r="F62" s="121">
        <f t="shared" si="16"/>
        <v>14634.484489229808</v>
      </c>
      <c r="G62" s="125">
        <v>-9.3069411901163468E-2</v>
      </c>
      <c r="H62" s="121">
        <f t="shared" si="2"/>
        <v>12021.727205463474</v>
      </c>
      <c r="I62" s="125">
        <v>-0.1012</v>
      </c>
      <c r="J62" s="32"/>
      <c r="K62" s="32"/>
      <c r="L62" s="32"/>
      <c r="M62" s="31"/>
      <c r="N62" s="31"/>
    </row>
    <row r="63" spans="1:18" x14ac:dyDescent="0.3">
      <c r="A63" s="6">
        <f t="shared" si="15"/>
        <v>43496</v>
      </c>
      <c r="B63" s="119">
        <v>13847.65</v>
      </c>
      <c r="C63" s="79">
        <f t="shared" si="0"/>
        <v>8.9413976760469138E-2</v>
      </c>
      <c r="D63" s="121">
        <f t="shared" si="16"/>
        <v>16237.321261072704</v>
      </c>
      <c r="E63" s="162">
        <v>8.0134905762586639E-2</v>
      </c>
      <c r="F63" s="121">
        <f t="shared" si="16"/>
        <v>15890.621927732414</v>
      </c>
      <c r="G63" s="125">
        <v>8.583407494996198E-2</v>
      </c>
      <c r="H63" s="121">
        <f t="shared" si="2"/>
        <v>13208.27168064272</v>
      </c>
      <c r="I63" s="125">
        <v>9.8699999999999996E-2</v>
      </c>
      <c r="J63" s="32"/>
      <c r="K63" s="32"/>
      <c r="L63" s="32"/>
      <c r="M63" s="31"/>
      <c r="N63" s="31"/>
    </row>
    <row r="64" spans="1:18" x14ac:dyDescent="0.3">
      <c r="A64" s="6">
        <f t="shared" si="15"/>
        <v>43524</v>
      </c>
      <c r="B64" s="119">
        <v>14187.31</v>
      </c>
      <c r="C64" s="79">
        <f t="shared" si="0"/>
        <v>2.4528349575559716E-2</v>
      </c>
      <c r="D64" s="121">
        <f t="shared" si="16"/>
        <v>16758.67643466172</v>
      </c>
      <c r="E64" s="162">
        <v>3.2108447274422636E-2</v>
      </c>
      <c r="F64" s="121">
        <f t="shared" si="16"/>
        <v>16449.480116733634</v>
      </c>
      <c r="G64" s="125">
        <v>3.5169057041492868E-2</v>
      </c>
      <c r="H64" s="121">
        <f t="shared" si="2"/>
        <v>13729.998412028108</v>
      </c>
      <c r="I64" s="125">
        <v>3.95E-2</v>
      </c>
      <c r="J64" s="32"/>
      <c r="K64" s="32"/>
      <c r="L64" s="32"/>
      <c r="M64" s="31"/>
      <c r="N64" s="31"/>
    </row>
    <row r="65" spans="1:14" x14ac:dyDescent="0.3">
      <c r="A65" s="6">
        <f t="shared" si="15"/>
        <v>43555</v>
      </c>
      <c r="B65" s="119">
        <v>14043.61</v>
      </c>
      <c r="C65" s="79">
        <f t="shared" si="0"/>
        <v>-1.0128770006435306E-2</v>
      </c>
      <c r="D65" s="121">
        <f t="shared" si="16"/>
        <v>17084.319834478949</v>
      </c>
      <c r="E65" s="162">
        <v>1.9431331650016537E-2</v>
      </c>
      <c r="F65" s="121">
        <f t="shared" si="16"/>
        <v>16689.671238626637</v>
      </c>
      <c r="G65" s="125">
        <v>1.4601745476968908E-2</v>
      </c>
      <c r="H65" s="121">
        <f t="shared" si="2"/>
        <v>13699.792415521646</v>
      </c>
      <c r="I65" s="125">
        <v>-2.2000000000000001E-3</v>
      </c>
      <c r="J65" s="32"/>
      <c r="K65" s="32"/>
      <c r="L65" s="32"/>
      <c r="M65" s="31"/>
      <c r="N65" s="31"/>
    </row>
    <row r="66" spans="1:14" x14ac:dyDescent="0.3">
      <c r="A66" s="6">
        <f t="shared" si="15"/>
        <v>43585</v>
      </c>
      <c r="B66" s="119">
        <v>14448.59</v>
      </c>
      <c r="C66" s="79">
        <f t="shared" si="0"/>
        <v>2.8837314622095045E-2</v>
      </c>
      <c r="D66" s="121">
        <f t="shared" si="16"/>
        <v>17776.051924393563</v>
      </c>
      <c r="E66" s="162">
        <v>4.0489296420135323E-2</v>
      </c>
      <c r="F66" s="121">
        <f t="shared" si="16"/>
        <v>17356.122544953629</v>
      </c>
      <c r="G66" s="125">
        <v>3.9931961318959708E-2</v>
      </c>
      <c r="H66" s="121">
        <f t="shared" si="2"/>
        <v>14213.534631103708</v>
      </c>
      <c r="I66" s="125">
        <v>3.7499999999999999E-2</v>
      </c>
      <c r="J66" s="32"/>
      <c r="K66" s="32"/>
      <c r="L66" s="32"/>
      <c r="M66" s="31"/>
      <c r="N66" s="31"/>
    </row>
    <row r="67" spans="1:14" x14ac:dyDescent="0.3">
      <c r="A67" s="6">
        <f t="shared" si="15"/>
        <v>43616</v>
      </c>
      <c r="B67" s="119">
        <v>13220.59</v>
      </c>
      <c r="C67" s="79">
        <f t="shared" si="0"/>
        <v>-8.4990992200623006E-2</v>
      </c>
      <c r="D67" s="121">
        <f t="shared" si="16"/>
        <v>16646.418887739452</v>
      </c>
      <c r="E67" s="162">
        <v>-6.3548027506824978E-2</v>
      </c>
      <c r="F67" s="121">
        <f t="shared" si="16"/>
        <v>16232.974847312733</v>
      </c>
      <c r="G67" s="125">
        <v>-6.4711901793264026E-2</v>
      </c>
      <c r="H67" s="121">
        <f t="shared" si="2"/>
        <v>13215.744500000228</v>
      </c>
      <c r="I67" s="125">
        <v>-7.0199999999999999E-2</v>
      </c>
      <c r="J67" s="32"/>
      <c r="K67" s="32"/>
      <c r="L67" s="32"/>
      <c r="M67" s="31"/>
      <c r="N67" s="31"/>
    </row>
    <row r="68" spans="1:14" x14ac:dyDescent="0.3">
      <c r="A68" s="6">
        <f t="shared" si="15"/>
        <v>43646</v>
      </c>
      <c r="B68" s="119">
        <v>14396.34</v>
      </c>
      <c r="C68" s="79">
        <f t="shared" si="0"/>
        <v>8.8933247305907015E-2</v>
      </c>
      <c r="D68" s="121">
        <f t="shared" ref="D68:F83" si="17">D67*(1+E68)</f>
        <v>17819.603750765338</v>
      </c>
      <c r="E68" s="162">
        <v>7.0476711594105623E-2</v>
      </c>
      <c r="F68" s="121">
        <f t="shared" si="17"/>
        <v>17373.126171069154</v>
      </c>
      <c r="G68" s="125">
        <v>7.0236745542987533E-2</v>
      </c>
      <c r="H68" s="121">
        <f t="shared" ref="H68:H86" si="18">H67*(1+I68)</f>
        <v>14123.666147150243</v>
      </c>
      <c r="I68" s="125">
        <v>6.8699999999999997E-2</v>
      </c>
      <c r="J68" s="32"/>
      <c r="K68" s="32"/>
      <c r="L68" s="32"/>
      <c r="M68" s="31"/>
      <c r="N68" s="31"/>
    </row>
    <row r="69" spans="1:14" x14ac:dyDescent="0.3">
      <c r="A69" s="6">
        <f t="shared" si="15"/>
        <v>43677</v>
      </c>
      <c r="B69" s="119">
        <v>14566.16</v>
      </c>
      <c r="C69" s="79">
        <f t="shared" ref="C69:C86" si="19">B69/B68-1</f>
        <v>1.1796053719209221E-2</v>
      </c>
      <c r="D69" s="121">
        <f t="shared" si="17"/>
        <v>18075.727095328446</v>
      </c>
      <c r="E69" s="162">
        <v>1.4373122328946719E-2</v>
      </c>
      <c r="F69" s="121">
        <f t="shared" si="17"/>
        <v>17631.378796317371</v>
      </c>
      <c r="G69" s="125">
        <v>1.4865063587592875E-2</v>
      </c>
      <c r="H69" s="121">
        <f t="shared" si="18"/>
        <v>14273.377008310035</v>
      </c>
      <c r="I69" s="125">
        <v>1.06E-2</v>
      </c>
      <c r="J69" s="32"/>
      <c r="K69" s="32"/>
      <c r="L69" s="32"/>
      <c r="M69" s="31"/>
      <c r="N69" s="31"/>
    </row>
    <row r="70" spans="1:14" x14ac:dyDescent="0.3">
      <c r="A70" s="6">
        <f t="shared" si="15"/>
        <v>43708</v>
      </c>
      <c r="B70" s="119">
        <v>13886.85</v>
      </c>
      <c r="C70" s="79">
        <f t="shared" si="19"/>
        <v>-4.663617590360114E-2</v>
      </c>
      <c r="D70" s="121">
        <f t="shared" si="17"/>
        <v>17789.382885097384</v>
      </c>
      <c r="E70" s="162">
        <v>-1.5841366088397368E-2</v>
      </c>
      <c r="F70" s="121">
        <f t="shared" si="17"/>
        <v>17271.956015016174</v>
      </c>
      <c r="G70" s="125">
        <v>-2.0385404082876812E-2</v>
      </c>
      <c r="H70" s="121">
        <f t="shared" si="18"/>
        <v>13800.928229334973</v>
      </c>
      <c r="I70" s="125">
        <v>-3.3099999999999997E-2</v>
      </c>
      <c r="J70" s="32"/>
      <c r="K70" s="32"/>
      <c r="L70" s="32"/>
      <c r="M70" s="31"/>
      <c r="N70" s="31"/>
    </row>
    <row r="71" spans="1:14" x14ac:dyDescent="0.3">
      <c r="A71" s="6">
        <f t="shared" si="15"/>
        <v>43738</v>
      </c>
      <c r="B71" s="119">
        <v>13939.1</v>
      </c>
      <c r="C71" s="79">
        <f t="shared" si="19"/>
        <v>3.7625523426838559E-3</v>
      </c>
      <c r="D71" s="121">
        <f t="shared" si="17"/>
        <v>18122.234655068947</v>
      </c>
      <c r="E71" s="162">
        <v>1.8710697955149458E-2</v>
      </c>
      <c r="F71" s="121">
        <f t="shared" si="17"/>
        <v>17575.093671339295</v>
      </c>
      <c r="G71" s="125">
        <v>1.755085851652094E-2</v>
      </c>
      <c r="H71" s="121">
        <f t="shared" si="18"/>
        <v>14137.670878130746</v>
      </c>
      <c r="I71" s="125">
        <v>2.4400000000000002E-2</v>
      </c>
      <c r="J71" s="32"/>
      <c r="K71" s="32"/>
      <c r="L71" s="32"/>
      <c r="M71" s="31"/>
      <c r="N71" s="31"/>
    </row>
    <row r="72" spans="1:14" x14ac:dyDescent="0.3">
      <c r="A72" s="6">
        <f t="shared" si="15"/>
        <v>43769</v>
      </c>
      <c r="B72" s="147">
        <v>14109</v>
      </c>
      <c r="C72" s="79">
        <f t="shared" si="19"/>
        <v>1.2188735284200503E-2</v>
      </c>
      <c r="D72" s="121">
        <f t="shared" si="17"/>
        <v>18514.743982217355</v>
      </c>
      <c r="E72" s="162">
        <v>2.1658991543773043E-2</v>
      </c>
      <c r="F72" s="121">
        <f t="shared" si="17"/>
        <v>17953.431449081749</v>
      </c>
      <c r="G72" s="125">
        <v>2.1526928095946918E-2</v>
      </c>
      <c r="H72" s="121">
        <f t="shared" si="18"/>
        <v>14305.909161580503</v>
      </c>
      <c r="I72" s="125">
        <v>1.1900000000000001E-2</v>
      </c>
      <c r="J72" s="32"/>
      <c r="K72" s="32"/>
      <c r="L72" s="32"/>
      <c r="M72" s="31"/>
      <c r="N72" s="31"/>
    </row>
    <row r="73" spans="1:14" x14ac:dyDescent="0.3">
      <c r="A73" s="6">
        <f t="shared" si="15"/>
        <v>43799</v>
      </c>
      <c r="B73" s="147">
        <v>14540</v>
      </c>
      <c r="C73" s="79">
        <f t="shared" si="19"/>
        <v>3.0547877241477117E-2</v>
      </c>
      <c r="D73" s="121">
        <f t="shared" si="17"/>
        <v>19186.811397066602</v>
      </c>
      <c r="E73" s="162">
        <v>3.6299039052051674E-2</v>
      </c>
      <c r="F73" s="121">
        <f t="shared" si="17"/>
        <v>18635.873922985389</v>
      </c>
      <c r="G73" s="125">
        <v>3.8011812718874216E-2</v>
      </c>
      <c r="H73" s="121">
        <f t="shared" si="18"/>
        <v>14780.865345744975</v>
      </c>
      <c r="I73" s="125">
        <v>3.32E-2</v>
      </c>
      <c r="J73" s="32"/>
      <c r="K73" s="32"/>
      <c r="L73" s="32"/>
      <c r="M73" s="31"/>
      <c r="N73" s="31"/>
    </row>
    <row r="74" spans="1:14" x14ac:dyDescent="0.3">
      <c r="A74" s="6">
        <f t="shared" si="15"/>
        <v>43830</v>
      </c>
      <c r="B74" s="147">
        <v>14929</v>
      </c>
      <c r="C74" s="79">
        <f t="shared" si="19"/>
        <v>2.6753782668500703E-2</v>
      </c>
      <c r="D74" s="121">
        <f t="shared" si="17"/>
        <v>19765.924013524</v>
      </c>
      <c r="E74" s="162">
        <v>3.0182848232194415E-2</v>
      </c>
      <c r="F74" s="121">
        <f t="shared" si="17"/>
        <v>19173.958733703901</v>
      </c>
      <c r="G74" s="125">
        <v>2.8873602222369676E-2</v>
      </c>
      <c r="H74" s="121">
        <f t="shared" si="18"/>
        <v>15132.649940973706</v>
      </c>
      <c r="I74" s="125">
        <v>2.3800000000000002E-2</v>
      </c>
      <c r="J74" s="32"/>
      <c r="K74" s="32"/>
      <c r="L74" s="32"/>
      <c r="M74" s="31"/>
      <c r="N74" s="31"/>
    </row>
    <row r="75" spans="1:14" x14ac:dyDescent="0.3">
      <c r="A75" s="6">
        <f t="shared" si="15"/>
        <v>43861</v>
      </c>
      <c r="B75" s="147">
        <v>14745</v>
      </c>
      <c r="C75" s="79">
        <f t="shared" si="19"/>
        <v>-1.2325005023779201E-2</v>
      </c>
      <c r="D75" s="121">
        <f t="shared" si="17"/>
        <v>19758.172753567251</v>
      </c>
      <c r="E75" s="162">
        <v>-3.9215267403869269E-4</v>
      </c>
      <c r="F75" s="121">
        <f t="shared" si="17"/>
        <v>19153.02828241423</v>
      </c>
      <c r="G75" s="125">
        <v>-1.091608237003272E-3</v>
      </c>
      <c r="H75" s="121">
        <f t="shared" si="18"/>
        <v>14834.536737136523</v>
      </c>
      <c r="I75" s="125">
        <v>-1.9699999999999999E-2</v>
      </c>
      <c r="J75" s="32"/>
      <c r="K75" s="32"/>
      <c r="L75" s="32"/>
      <c r="M75" s="31"/>
      <c r="N75" s="31"/>
    </row>
    <row r="76" spans="1:14" x14ac:dyDescent="0.3">
      <c r="A76" s="6">
        <f t="shared" si="15"/>
        <v>43890</v>
      </c>
      <c r="B76" s="147">
        <v>13405</v>
      </c>
      <c r="C76" s="79">
        <f t="shared" si="19"/>
        <v>-9.0878263818243488E-2</v>
      </c>
      <c r="D76" s="121">
        <f t="shared" si="17"/>
        <v>18131.705066066683</v>
      </c>
      <c r="E76" s="162">
        <v>-8.2318729964890869E-2</v>
      </c>
      <c r="F76" s="121">
        <f t="shared" si="17"/>
        <v>17584.89086359306</v>
      </c>
      <c r="G76" s="125">
        <v>-8.1874124326385966E-2</v>
      </c>
      <c r="H76" s="121">
        <f t="shared" si="18"/>
        <v>13500.911884467951</v>
      </c>
      <c r="I76" s="125">
        <v>-8.9899999999999994E-2</v>
      </c>
      <c r="J76" s="32"/>
      <c r="K76" s="32"/>
      <c r="L76" s="32"/>
      <c r="M76" s="31"/>
      <c r="N76" s="31"/>
    </row>
    <row r="77" spans="1:14" x14ac:dyDescent="0.3">
      <c r="A77" s="6">
        <f t="shared" si="15"/>
        <v>43921</v>
      </c>
      <c r="B77" s="147">
        <v>10789</v>
      </c>
      <c r="C77" s="79">
        <f t="shared" si="19"/>
        <v>-0.19515106303618057</v>
      </c>
      <c r="D77" s="121">
        <f t="shared" si="17"/>
        <v>15892.194149457571</v>
      </c>
      <c r="E77" s="162">
        <v>-0.12351353104680352</v>
      </c>
      <c r="F77" s="121">
        <f t="shared" si="17"/>
        <v>15166.666761288952</v>
      </c>
      <c r="G77" s="125">
        <v>-0.13751715157417821</v>
      </c>
      <c r="H77" s="121">
        <f t="shared" si="18"/>
        <v>10841.232243227763</v>
      </c>
      <c r="I77" s="125">
        <v>-0.19700000000000001</v>
      </c>
      <c r="J77" s="32"/>
      <c r="K77" s="32"/>
      <c r="L77" s="32"/>
      <c r="M77" s="31"/>
      <c r="N77" s="31"/>
    </row>
    <row r="78" spans="1:14" x14ac:dyDescent="0.3">
      <c r="A78" s="6">
        <f t="shared" si="15"/>
        <v>43951</v>
      </c>
      <c r="B78" s="147">
        <v>11794</v>
      </c>
      <c r="C78" s="79">
        <f t="shared" si="19"/>
        <v>9.3150430994531463E-2</v>
      </c>
      <c r="D78" s="121">
        <f t="shared" si="17"/>
        <v>17929.478614665877</v>
      </c>
      <c r="E78" s="162">
        <v>0.12819403324982925</v>
      </c>
      <c r="F78" s="121">
        <f t="shared" si="17"/>
        <v>17175.346653502806</v>
      </c>
      <c r="G78" s="125">
        <v>0.13244043162738706</v>
      </c>
      <c r="H78" s="121">
        <f t="shared" si="18"/>
        <v>12278.779638679765</v>
      </c>
      <c r="I78" s="125">
        <v>0.1326</v>
      </c>
      <c r="J78" s="32"/>
      <c r="K78" s="32"/>
      <c r="L78" s="32"/>
      <c r="M78" s="31"/>
      <c r="N78" s="31"/>
    </row>
    <row r="79" spans="1:14" x14ac:dyDescent="0.3">
      <c r="A79" s="6">
        <f t="shared" si="15"/>
        <v>43982</v>
      </c>
      <c r="B79" s="147">
        <v>12388</v>
      </c>
      <c r="C79" s="79">
        <f t="shared" si="19"/>
        <v>5.0364592165507815E-2</v>
      </c>
      <c r="D79" s="121">
        <f t="shared" si="17"/>
        <v>18783.414113325241</v>
      </c>
      <c r="E79" s="162">
        <v>4.7627458500709929E-2</v>
      </c>
      <c r="F79" s="121">
        <f t="shared" si="17"/>
        <v>18093.84525507993</v>
      </c>
      <c r="G79" s="125">
        <v>5.3477732945192313E-2</v>
      </c>
      <c r="H79" s="121">
        <f t="shared" si="18"/>
        <v>13053.570633880458</v>
      </c>
      <c r="I79" s="125">
        <v>6.3100000000000003E-2</v>
      </c>
      <c r="J79" s="32"/>
      <c r="K79" s="32"/>
      <c r="L79" s="32"/>
      <c r="M79" s="31"/>
      <c r="N79" s="31"/>
    </row>
    <row r="80" spans="1:14" x14ac:dyDescent="0.3">
      <c r="A80" s="6">
        <f t="shared" si="15"/>
        <v>44012</v>
      </c>
      <c r="B80" s="147">
        <v>12441</v>
      </c>
      <c r="C80" s="79">
        <f t="shared" si="19"/>
        <v>4.27833387148846E-3</v>
      </c>
      <c r="D80" s="121">
        <f t="shared" si="17"/>
        <v>19156.98261847817</v>
      </c>
      <c r="E80" s="162">
        <v>1.9888211104706066E-2</v>
      </c>
      <c r="F80" s="121">
        <f t="shared" si="17"/>
        <v>18507.514997160375</v>
      </c>
      <c r="G80" s="125">
        <v>2.2862456058880376E-2</v>
      </c>
      <c r="H80" s="121">
        <f t="shared" si="18"/>
        <v>13235.015265691396</v>
      </c>
      <c r="I80" s="125">
        <v>1.3899999999999999E-2</v>
      </c>
      <c r="J80" s="32"/>
      <c r="K80" s="32"/>
      <c r="L80" s="32"/>
      <c r="M80" s="31"/>
      <c r="N80" s="31"/>
    </row>
    <row r="81" spans="1:14" x14ac:dyDescent="0.3">
      <c r="A81" s="6">
        <f t="shared" si="15"/>
        <v>44043</v>
      </c>
      <c r="B81" s="147">
        <v>13127</v>
      </c>
      <c r="C81" s="79">
        <f t="shared" si="19"/>
        <v>5.514026203681377E-2</v>
      </c>
      <c r="D81" s="121">
        <f t="shared" si="17"/>
        <v>20237.152362023062</v>
      </c>
      <c r="E81" s="162">
        <v>5.6385171143966906E-2</v>
      </c>
      <c r="F81" s="121">
        <f t="shared" si="17"/>
        <v>19558.428036055626</v>
      </c>
      <c r="G81" s="125">
        <v>5.6783044025980445E-2</v>
      </c>
      <c r="H81" s="121">
        <f t="shared" si="18"/>
        <v>13910.001044241657</v>
      </c>
      <c r="I81" s="125">
        <v>5.0999999999999997E-2</v>
      </c>
      <c r="J81" s="32"/>
      <c r="K81" s="172"/>
      <c r="L81" s="32"/>
      <c r="M81" s="31"/>
      <c r="N81" s="31"/>
    </row>
    <row r="82" spans="1:14" x14ac:dyDescent="0.3">
      <c r="A82" s="6">
        <f t="shared" si="15"/>
        <v>44074</v>
      </c>
      <c r="B82" s="147">
        <v>13813</v>
      </c>
      <c r="C82" s="79">
        <f t="shared" si="19"/>
        <v>5.2258703435666964E-2</v>
      </c>
      <c r="D82" s="121">
        <f t="shared" si="17"/>
        <v>21691.795427058241</v>
      </c>
      <c r="E82" s="162">
        <v>7.1879829682211405E-2</v>
      </c>
      <c r="F82" s="121">
        <f t="shared" si="17"/>
        <v>20975.321181181429</v>
      </c>
      <c r="G82" s="125">
        <v>7.2444121915819837E-2</v>
      </c>
      <c r="H82" s="121">
        <f t="shared" si="18"/>
        <v>14453.882085071504</v>
      </c>
      <c r="I82" s="125">
        <v>3.9100000000000003E-2</v>
      </c>
      <c r="J82" s="32"/>
      <c r="K82" s="32"/>
      <c r="L82" s="32"/>
      <c r="M82" s="31"/>
      <c r="N82" s="31"/>
    </row>
    <row r="83" spans="1:14" x14ac:dyDescent="0.3">
      <c r="A83" s="6">
        <f t="shared" si="15"/>
        <v>44104</v>
      </c>
      <c r="B83" s="147">
        <v>13510</v>
      </c>
      <c r="C83" s="79">
        <f t="shared" si="19"/>
        <v>-2.1935857525519409E-2</v>
      </c>
      <c r="D83" s="121">
        <f t="shared" si="17"/>
        <v>20867.568064808987</v>
      </c>
      <c r="E83" s="162">
        <v>-3.7997194147475488E-2</v>
      </c>
      <c r="F83" s="121">
        <f t="shared" si="17"/>
        <v>20211.586802612397</v>
      </c>
      <c r="G83" s="125">
        <v>-3.6411093397427319E-2</v>
      </c>
      <c r="H83" s="121">
        <f t="shared" si="18"/>
        <v>14067.963433400095</v>
      </c>
      <c r="I83" s="125">
        <v>-2.6700000000000002E-2</v>
      </c>
      <c r="J83" s="32"/>
      <c r="K83" s="32"/>
      <c r="L83" s="32"/>
      <c r="M83" s="31"/>
      <c r="N83" s="31"/>
    </row>
    <row r="84" spans="1:14" x14ac:dyDescent="0.3">
      <c r="A84" s="6">
        <f t="shared" si="15"/>
        <v>44135</v>
      </c>
      <c r="B84" s="147">
        <v>13272</v>
      </c>
      <c r="C84" s="79">
        <f t="shared" si="19"/>
        <v>-1.7616580310880869E-2</v>
      </c>
      <c r="D84" s="121">
        <f t="shared" ref="D84:D86" si="20">D83*(1+E84)</f>
        <v>20312.644205103777</v>
      </c>
      <c r="E84" s="162">
        <v>-2.6592646444557833E-2</v>
      </c>
      <c r="F84" s="121">
        <f t="shared" ref="F84:F86" si="21">F83*(1+G84)</f>
        <v>19775.359105796608</v>
      </c>
      <c r="G84" s="125">
        <v>-2.1583050409451632E-2</v>
      </c>
      <c r="H84" s="121">
        <f t="shared" si="18"/>
        <v>14170.659566463917</v>
      </c>
      <c r="I84" s="125">
        <v>7.3000000000000001E-3</v>
      </c>
      <c r="J84" s="32"/>
      <c r="K84" s="32"/>
      <c r="L84" s="32"/>
      <c r="M84" s="31"/>
      <c r="N84" s="31"/>
    </row>
    <row r="85" spans="1:14" x14ac:dyDescent="0.3">
      <c r="A85" s="6">
        <f t="shared" si="15"/>
        <v>44165</v>
      </c>
      <c r="B85" s="147">
        <v>14499</v>
      </c>
      <c r="C85" s="79">
        <f t="shared" si="19"/>
        <v>9.2450271247739524E-2</v>
      </c>
      <c r="D85" s="121">
        <f t="shared" si="20"/>
        <v>22536.139872541549</v>
      </c>
      <c r="E85" s="162">
        <v>0.10946362497104611</v>
      </c>
      <c r="F85" s="121">
        <f t="shared" si="21"/>
        <v>22181.093065378129</v>
      </c>
      <c r="G85" s="125">
        <v>0.12165311116278765</v>
      </c>
      <c r="H85" s="121">
        <f t="shared" si="18"/>
        <v>16090.783937719778</v>
      </c>
      <c r="I85" s="125">
        <v>0.13550000000000001</v>
      </c>
      <c r="J85" s="32"/>
      <c r="K85" s="32"/>
      <c r="L85" s="32"/>
      <c r="M85" s="31"/>
      <c r="N85" s="31"/>
    </row>
    <row r="86" spans="1:14" x14ac:dyDescent="0.3">
      <c r="A86" s="6">
        <f t="shared" si="15"/>
        <v>44196</v>
      </c>
      <c r="B86" s="147">
        <v>15304</v>
      </c>
      <c r="C86" s="79">
        <f t="shared" si="19"/>
        <v>5.552107041864951E-2</v>
      </c>
      <c r="D86" s="121">
        <f t="shared" si="20"/>
        <v>23402.622157745693</v>
      </c>
      <c r="E86" s="162">
        <v>3.8448567061827754E-2</v>
      </c>
      <c r="F86" s="121">
        <f t="shared" si="21"/>
        <v>23178.979771078382</v>
      </c>
      <c r="G86" s="125">
        <v>4.4988166397346152E-2</v>
      </c>
      <c r="H86" s="121">
        <f t="shared" si="18"/>
        <v>16982.213367869452</v>
      </c>
      <c r="I86" s="125">
        <v>5.5399999999999998E-2</v>
      </c>
      <c r="J86" s="32"/>
      <c r="K86" s="32"/>
      <c r="L86" s="32"/>
      <c r="M86" s="31"/>
      <c r="N86" s="31"/>
    </row>
    <row r="87" spans="1:14" x14ac:dyDescent="0.3">
      <c r="E87" s="81"/>
      <c r="F87" s="81"/>
      <c r="G87" s="81"/>
      <c r="I87" s="84"/>
      <c r="J87" s="32"/>
      <c r="K87" s="32"/>
      <c r="L87" s="32"/>
      <c r="M87" s="31"/>
      <c r="N87" s="31"/>
    </row>
    <row r="88" spans="1:14" x14ac:dyDescent="0.3">
      <c r="E88" s="81"/>
      <c r="F88" s="81"/>
      <c r="G88" s="81"/>
      <c r="I88" s="84"/>
      <c r="J88" s="32"/>
      <c r="K88" s="32"/>
      <c r="L88" s="32"/>
      <c r="M88" s="31"/>
      <c r="N88" s="31"/>
    </row>
    <row r="89" spans="1:14" x14ac:dyDescent="0.3">
      <c r="E89" s="81"/>
      <c r="F89" s="81"/>
      <c r="G89" s="81"/>
      <c r="I89" s="84"/>
      <c r="J89" s="32"/>
      <c r="K89" s="32"/>
      <c r="L89" s="32"/>
      <c r="M89" s="31"/>
      <c r="N89" s="31"/>
    </row>
    <row r="90" spans="1:14" x14ac:dyDescent="0.3">
      <c r="E90" s="81"/>
      <c r="F90" s="81"/>
      <c r="G90" s="81"/>
      <c r="I90" s="84"/>
      <c r="J90" s="32"/>
      <c r="K90" s="32"/>
      <c r="L90" s="32"/>
      <c r="M90" s="31"/>
      <c r="N90" s="31"/>
    </row>
    <row r="91" spans="1:14" x14ac:dyDescent="0.3">
      <c r="E91" s="81"/>
      <c r="F91" s="81"/>
      <c r="G91" s="81"/>
      <c r="I91" s="84"/>
      <c r="J91" s="32"/>
      <c r="K91" s="32"/>
      <c r="L91" s="32"/>
      <c r="M91" s="31"/>
      <c r="N91" s="31"/>
    </row>
    <row r="92" spans="1:14" x14ac:dyDescent="0.3">
      <c r="E92" s="81"/>
      <c r="F92" s="81"/>
      <c r="G92" s="81"/>
      <c r="I92" s="84"/>
      <c r="J92" s="32"/>
      <c r="K92" s="32"/>
      <c r="L92" s="32"/>
      <c r="M92" s="31"/>
      <c r="N92" s="31"/>
    </row>
    <row r="93" spans="1:14" x14ac:dyDescent="0.3">
      <c r="E93" s="81"/>
      <c r="F93" s="81"/>
      <c r="G93" s="81"/>
      <c r="I93" s="84"/>
      <c r="J93" s="32"/>
      <c r="K93" s="32"/>
      <c r="L93" s="32"/>
      <c r="M93" s="31"/>
      <c r="N93" s="31"/>
    </row>
    <row r="94" spans="1:14" x14ac:dyDescent="0.3">
      <c r="E94" s="81"/>
      <c r="F94" s="81"/>
      <c r="G94" s="81"/>
      <c r="I94" s="84"/>
      <c r="J94" s="32"/>
      <c r="K94" s="32"/>
      <c r="L94" s="32"/>
      <c r="M94" s="31"/>
      <c r="N94" s="31"/>
    </row>
    <row r="95" spans="1:14" x14ac:dyDescent="0.3">
      <c r="E95" s="81"/>
      <c r="F95" s="81"/>
      <c r="G95" s="81"/>
      <c r="I95" s="84"/>
      <c r="J95" s="32"/>
      <c r="K95" s="32"/>
      <c r="L95" s="32"/>
      <c r="M95" s="31"/>
      <c r="N95" s="31"/>
    </row>
    <row r="96" spans="1:14" x14ac:dyDescent="0.3">
      <c r="E96" s="81"/>
      <c r="F96" s="81"/>
      <c r="G96" s="81"/>
      <c r="I96" s="84"/>
      <c r="J96" s="32"/>
      <c r="K96" s="32"/>
      <c r="L96" s="32"/>
      <c r="M96" s="31"/>
      <c r="N96" s="31"/>
    </row>
    <row r="97" spans="5:14" x14ac:dyDescent="0.3">
      <c r="E97" s="81"/>
      <c r="F97" s="81"/>
      <c r="G97" s="81"/>
      <c r="I97" s="84"/>
      <c r="J97" s="32"/>
      <c r="K97" s="32"/>
      <c r="L97" s="32"/>
      <c r="M97" s="31"/>
      <c r="N97" s="31"/>
    </row>
    <row r="98" spans="5:14" x14ac:dyDescent="0.3">
      <c r="E98" s="81"/>
      <c r="F98" s="81"/>
      <c r="G98" s="81"/>
      <c r="I98" s="84"/>
      <c r="J98" s="32"/>
      <c r="K98" s="32"/>
      <c r="L98" s="32"/>
      <c r="M98" s="31"/>
      <c r="N98" s="31"/>
    </row>
    <row r="99" spans="5:14" x14ac:dyDescent="0.3">
      <c r="E99" s="81"/>
      <c r="F99" s="81"/>
      <c r="G99" s="81"/>
      <c r="I99" s="84"/>
      <c r="J99" s="32"/>
      <c r="K99" s="32"/>
      <c r="L99" s="32"/>
      <c r="M99" s="31"/>
      <c r="N99" s="31"/>
    </row>
    <row r="100" spans="5:14" x14ac:dyDescent="0.3">
      <c r="E100" s="81"/>
      <c r="F100" s="81"/>
      <c r="G100" s="81"/>
      <c r="I100" s="84"/>
      <c r="J100" s="32"/>
      <c r="K100" s="32"/>
      <c r="L100" s="32"/>
      <c r="M100" s="31"/>
      <c r="N100" s="31"/>
    </row>
    <row r="101" spans="5:14" x14ac:dyDescent="0.3">
      <c r="E101" s="81"/>
      <c r="F101" s="81"/>
      <c r="G101" s="81"/>
      <c r="I101" s="84"/>
      <c r="J101" s="32"/>
      <c r="K101" s="32"/>
      <c r="L101" s="32"/>
      <c r="M101" s="31"/>
      <c r="N101" s="31"/>
    </row>
    <row r="102" spans="5:14" x14ac:dyDescent="0.3">
      <c r="E102" s="81"/>
      <c r="F102" s="81"/>
      <c r="G102" s="81"/>
      <c r="I102" s="84"/>
      <c r="J102" s="32"/>
      <c r="K102" s="32"/>
      <c r="L102" s="32"/>
      <c r="M102" s="31"/>
      <c r="N102" s="31"/>
    </row>
    <row r="103" spans="5:14" x14ac:dyDescent="0.3">
      <c r="E103" s="81"/>
      <c r="F103" s="81"/>
      <c r="G103" s="81"/>
      <c r="I103" s="84"/>
      <c r="J103" s="32"/>
      <c r="K103" s="32"/>
      <c r="L103" s="32"/>
      <c r="M103" s="31"/>
      <c r="N103" s="31"/>
    </row>
    <row r="104" spans="5:14" x14ac:dyDescent="0.3">
      <c r="E104" s="81"/>
      <c r="F104" s="81"/>
      <c r="G104" s="81"/>
      <c r="I104" s="84"/>
      <c r="J104" s="32"/>
      <c r="K104" s="32"/>
      <c r="L104" s="32"/>
      <c r="M104" s="31"/>
      <c r="N104" s="31"/>
    </row>
    <row r="105" spans="5:14" x14ac:dyDescent="0.3">
      <c r="E105" s="81"/>
      <c r="F105" s="81"/>
      <c r="G105" s="81"/>
      <c r="I105" s="84"/>
      <c r="J105" s="32"/>
      <c r="K105" s="32"/>
      <c r="L105" s="32"/>
      <c r="M105" s="31"/>
      <c r="N105" s="31"/>
    </row>
    <row r="106" spans="5:14" x14ac:dyDescent="0.3">
      <c r="E106" s="81"/>
      <c r="F106" s="81"/>
      <c r="G106" s="81"/>
      <c r="I106" s="84"/>
      <c r="J106" s="32"/>
      <c r="K106" s="32"/>
      <c r="L106" s="32"/>
      <c r="M106" s="31"/>
      <c r="N106" s="31"/>
    </row>
    <row r="107" spans="5:14" x14ac:dyDescent="0.3">
      <c r="E107" s="81"/>
      <c r="F107" s="81"/>
      <c r="G107" s="81"/>
      <c r="I107" s="84"/>
      <c r="J107" s="32"/>
      <c r="K107" s="32"/>
      <c r="L107" s="32"/>
      <c r="M107" s="31"/>
      <c r="N107" s="31"/>
    </row>
    <row r="108" spans="5:14" x14ac:dyDescent="0.3">
      <c r="E108" s="81"/>
      <c r="F108" s="81"/>
      <c r="G108" s="81"/>
      <c r="I108" s="84"/>
      <c r="J108" s="32"/>
      <c r="K108" s="32"/>
      <c r="L108" s="32"/>
      <c r="M108" s="31"/>
      <c r="N108" s="31"/>
    </row>
    <row r="109" spans="5:14" x14ac:dyDescent="0.3">
      <c r="E109" s="81"/>
      <c r="F109" s="81"/>
      <c r="G109" s="81"/>
      <c r="I109" s="84"/>
      <c r="J109" s="32"/>
      <c r="K109" s="32"/>
      <c r="L109" s="32"/>
      <c r="M109" s="31"/>
      <c r="N109" s="31"/>
    </row>
    <row r="110" spans="5:14" x14ac:dyDescent="0.3">
      <c r="E110" s="81"/>
      <c r="F110" s="81"/>
      <c r="G110" s="81"/>
      <c r="I110" s="84"/>
      <c r="J110" s="32"/>
      <c r="K110" s="32"/>
      <c r="L110" s="32"/>
      <c r="M110" s="31"/>
      <c r="N110" s="31"/>
    </row>
    <row r="111" spans="5:14" x14ac:dyDescent="0.3">
      <c r="E111" s="81"/>
      <c r="F111" s="81"/>
      <c r="G111" s="81"/>
      <c r="I111" s="84"/>
      <c r="J111" s="32"/>
      <c r="K111" s="32"/>
      <c r="L111" s="32"/>
      <c r="M111" s="31"/>
      <c r="N111" s="31"/>
    </row>
  </sheetData>
  <mergeCells count="12">
    <mergeCell ref="S18:T18"/>
    <mergeCell ref="S19:T19"/>
    <mergeCell ref="S20:T20"/>
    <mergeCell ref="S14:T14"/>
    <mergeCell ref="S15:T15"/>
    <mergeCell ref="S16:T16"/>
    <mergeCell ref="S17:T17"/>
    <mergeCell ref="K5:P5"/>
    <mergeCell ref="S1:U1"/>
    <mergeCell ref="S2:U2"/>
    <mergeCell ref="S3:U3"/>
    <mergeCell ref="S4:U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I26"/>
  <sheetViews>
    <sheetView zoomScale="130" zoomScaleNormal="130" workbookViewId="0">
      <selection activeCell="E8" sqref="E8"/>
    </sheetView>
  </sheetViews>
  <sheetFormatPr defaultColWidth="9.109375" defaultRowHeight="14.4" x14ac:dyDescent="0.3"/>
  <cols>
    <col min="1" max="1" width="9.109375" style="2"/>
    <col min="2" max="2" width="23.33203125" style="2" customWidth="1"/>
    <col min="3" max="3" width="8" style="5" customWidth="1"/>
    <col min="4" max="4" width="3" style="5" customWidth="1"/>
    <col min="5" max="5" width="19.6640625" style="2" customWidth="1"/>
    <col min="6" max="6" width="9.109375" style="7"/>
    <col min="7" max="7" width="4.109375" style="2" customWidth="1"/>
    <col min="8" max="8" width="17.5546875" style="2" customWidth="1"/>
    <col min="9" max="16384" width="9.109375" style="2"/>
  </cols>
  <sheetData>
    <row r="1" spans="2:9" ht="15" thickBot="1" x14ac:dyDescent="0.35"/>
    <row r="2" spans="2:9" x14ac:dyDescent="0.3">
      <c r="B2" s="178" t="s">
        <v>54</v>
      </c>
      <c r="C2" s="179"/>
      <c r="D2" s="179"/>
      <c r="E2" s="179"/>
      <c r="F2" s="179"/>
      <c r="G2" s="179"/>
      <c r="H2" s="179"/>
      <c r="I2" s="180"/>
    </row>
    <row r="3" spans="2:9" x14ac:dyDescent="0.3">
      <c r="B3" s="53"/>
      <c r="C3" s="45"/>
      <c r="I3" s="54"/>
    </row>
    <row r="4" spans="2:9" x14ac:dyDescent="0.3">
      <c r="B4" s="201" t="s">
        <v>49</v>
      </c>
      <c r="C4" s="202"/>
      <c r="E4" s="55" t="s">
        <v>50</v>
      </c>
      <c r="F4" s="56"/>
      <c r="H4" s="55" t="s">
        <v>10</v>
      </c>
      <c r="I4" s="57"/>
    </row>
    <row r="5" spans="2:9" x14ac:dyDescent="0.3">
      <c r="B5" s="58" t="s">
        <v>103</v>
      </c>
      <c r="C5" s="47">
        <v>33</v>
      </c>
      <c r="E5" s="46" t="s">
        <v>71</v>
      </c>
      <c r="F5" s="48">
        <v>8.5000000000000006E-2</v>
      </c>
      <c r="H5" s="46" t="s">
        <v>11</v>
      </c>
      <c r="I5" s="59">
        <v>0.3685471670549067</v>
      </c>
    </row>
    <row r="6" spans="2:9" x14ac:dyDescent="0.3">
      <c r="B6" s="58" t="s">
        <v>104</v>
      </c>
      <c r="C6" s="49" t="s">
        <v>176</v>
      </c>
      <c r="E6" s="46" t="s">
        <v>83</v>
      </c>
      <c r="F6" s="48">
        <v>7.4999999999999997E-2</v>
      </c>
      <c r="H6" s="46" t="s">
        <v>15</v>
      </c>
      <c r="I6" s="59">
        <v>0.20962292124663828</v>
      </c>
    </row>
    <row r="7" spans="2:9" x14ac:dyDescent="0.3">
      <c r="B7" s="58" t="s">
        <v>105</v>
      </c>
      <c r="C7" s="50" t="s">
        <v>177</v>
      </c>
      <c r="E7" s="46" t="s">
        <v>74</v>
      </c>
      <c r="F7" s="48">
        <v>5.8999999999999997E-2</v>
      </c>
      <c r="H7" s="46" t="s">
        <v>14</v>
      </c>
      <c r="I7" s="59">
        <v>0.12004675685711351</v>
      </c>
    </row>
    <row r="8" spans="2:9" x14ac:dyDescent="0.3">
      <c r="B8" s="58" t="s">
        <v>106</v>
      </c>
      <c r="C8" s="51">
        <v>31.615826266473455</v>
      </c>
      <c r="E8" s="46" t="s">
        <v>146</v>
      </c>
      <c r="F8" s="48">
        <v>4.7E-2</v>
      </c>
      <c r="H8" s="46" t="s">
        <v>16</v>
      </c>
      <c r="I8" s="59">
        <v>0.11977017521717757</v>
      </c>
    </row>
    <row r="9" spans="2:9" x14ac:dyDescent="0.3">
      <c r="B9" s="22"/>
      <c r="E9" s="46" t="s">
        <v>108</v>
      </c>
      <c r="F9" s="48">
        <v>4.5999999999999999E-2</v>
      </c>
      <c r="H9" s="46" t="s">
        <v>13</v>
      </c>
      <c r="I9" s="59">
        <v>9.1352095488908713E-2</v>
      </c>
    </row>
    <row r="10" spans="2:9" x14ac:dyDescent="0.3">
      <c r="B10" s="22"/>
      <c r="C10" s="60"/>
      <c r="E10" s="46" t="s">
        <v>107</v>
      </c>
      <c r="F10" s="48">
        <v>4.3999999999999997E-2</v>
      </c>
      <c r="H10" s="46" t="s">
        <v>12</v>
      </c>
      <c r="I10" s="59">
        <v>5.1276618056670747E-2</v>
      </c>
    </row>
    <row r="11" spans="2:9" x14ac:dyDescent="0.3">
      <c r="B11" s="22"/>
      <c r="C11" s="60"/>
      <c r="E11" s="46" t="s">
        <v>68</v>
      </c>
      <c r="F11" s="48">
        <v>4.2000000000000003E-2</v>
      </c>
      <c r="H11" s="46" t="s">
        <v>63</v>
      </c>
      <c r="I11" s="59">
        <v>3.9277775009029202E-2</v>
      </c>
    </row>
    <row r="12" spans="2:9" x14ac:dyDescent="0.3">
      <c r="B12" s="22"/>
      <c r="E12" s="46" t="s">
        <v>178</v>
      </c>
      <c r="F12" s="48">
        <v>3.9E-2</v>
      </c>
      <c r="H12" s="46" t="s">
        <v>52</v>
      </c>
      <c r="I12" s="59">
        <v>1.0649106955527131E-4</v>
      </c>
    </row>
    <row r="13" spans="2:9" x14ac:dyDescent="0.3">
      <c r="B13" s="22"/>
      <c r="E13" s="46" t="s">
        <v>179</v>
      </c>
      <c r="F13" s="48">
        <v>3.6999999999999998E-2</v>
      </c>
      <c r="H13" s="46"/>
      <c r="I13" s="59"/>
    </row>
    <row r="14" spans="2:9" ht="15" thickBot="1" x14ac:dyDescent="0.35">
      <c r="B14" s="24"/>
      <c r="C14" s="61"/>
      <c r="D14" s="61"/>
      <c r="E14" s="62" t="s">
        <v>180</v>
      </c>
      <c r="F14" s="63">
        <v>3.5999999999999997E-2</v>
      </c>
      <c r="G14" s="64"/>
      <c r="H14" s="62"/>
      <c r="I14" s="163"/>
    </row>
    <row r="15" spans="2:9" x14ac:dyDescent="0.3">
      <c r="G15" s="52"/>
      <c r="I15" s="127"/>
    </row>
    <row r="16" spans="2:9" x14ac:dyDescent="0.3">
      <c r="F16" s="2"/>
      <c r="I16" s="127"/>
    </row>
    <row r="17" spans="6:6" x14ac:dyDescent="0.3">
      <c r="F17" s="2"/>
    </row>
    <row r="18" spans="6:6" x14ac:dyDescent="0.3">
      <c r="F18" s="2"/>
    </row>
    <row r="19" spans="6:6" x14ac:dyDescent="0.3">
      <c r="F19" s="2"/>
    </row>
    <row r="20" spans="6:6" x14ac:dyDescent="0.3">
      <c r="F20" s="2"/>
    </row>
    <row r="21" spans="6:6" x14ac:dyDescent="0.3">
      <c r="F21" s="2"/>
    </row>
    <row r="22" spans="6:6" x14ac:dyDescent="0.3">
      <c r="F22" s="2"/>
    </row>
    <row r="23" spans="6:6" x14ac:dyDescent="0.3">
      <c r="F23" s="2"/>
    </row>
    <row r="24" spans="6:6" x14ac:dyDescent="0.3">
      <c r="F24" s="2"/>
    </row>
    <row r="25" spans="6:6" x14ac:dyDescent="0.3">
      <c r="F25" s="2"/>
    </row>
    <row r="26" spans="6:6" x14ac:dyDescent="0.3">
      <c r="F26" s="2"/>
    </row>
  </sheetData>
  <mergeCells count="2">
    <mergeCell ref="B4:C4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showGridLines="0" workbookViewId="0">
      <pane ySplit="2" topLeftCell="A3" activePane="bottomLeft" state="frozenSplit"/>
      <selection pane="bottomLeft"/>
    </sheetView>
  </sheetViews>
  <sheetFormatPr defaultColWidth="9.109375" defaultRowHeight="12.75" customHeight="1" x14ac:dyDescent="0.3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9" customWidth="1"/>
    <col min="9" max="9" width="21.5546875" customWidth="1"/>
    <col min="10" max="10" width="15.33203125" customWidth="1"/>
    <col min="11" max="11" width="19.44140625" bestFit="1" customWidth="1"/>
    <col min="16" max="16" width="24.44140625" customWidth="1"/>
    <col min="17" max="17" width="9.33203125" customWidth="1"/>
  </cols>
  <sheetData>
    <row r="1" spans="1:17" ht="38.1" customHeight="1" x14ac:dyDescent="0.3"/>
    <row r="2" spans="1:17" ht="3" customHeight="1" x14ac:dyDescent="0.3"/>
    <row r="3" spans="1:17" ht="12.75" customHeight="1" x14ac:dyDescent="0.3">
      <c r="C3" s="152" t="s">
        <v>20</v>
      </c>
    </row>
    <row r="4" spans="1:17" ht="12.75" customHeight="1" x14ac:dyDescent="0.3">
      <c r="C4" s="152" t="s">
        <v>65</v>
      </c>
    </row>
    <row r="5" spans="1:17" ht="12.75" customHeight="1" x14ac:dyDescent="0.3">
      <c r="C5" s="152" t="s">
        <v>181</v>
      </c>
      <c r="I5" s="33" t="s">
        <v>21</v>
      </c>
      <c r="J5" s="34">
        <v>38.941375289991285</v>
      </c>
      <c r="K5" s="34">
        <v>210246.40439147191</v>
      </c>
      <c r="P5" s="35"/>
      <c r="Q5" s="35"/>
    </row>
    <row r="6" spans="1:17" ht="12.75" customHeight="1" x14ac:dyDescent="0.3">
      <c r="C6" s="152" t="s">
        <v>22</v>
      </c>
      <c r="I6" s="33" t="s">
        <v>23</v>
      </c>
      <c r="J6" s="34">
        <v>31.615826266473455</v>
      </c>
      <c r="K6" s="34">
        <v>18053.186693970001</v>
      </c>
      <c r="P6" s="35"/>
      <c r="Q6" s="35"/>
    </row>
    <row r="7" spans="1:17" ht="12.75" customHeight="1" thickBot="1" x14ac:dyDescent="0.35">
      <c r="A7" s="149" t="s">
        <v>24</v>
      </c>
      <c r="B7" s="149" t="s">
        <v>25</v>
      </c>
      <c r="C7" s="149" t="s">
        <v>26</v>
      </c>
      <c r="D7" s="149" t="s">
        <v>27</v>
      </c>
      <c r="E7" s="149" t="s">
        <v>28</v>
      </c>
      <c r="F7" s="149" t="s">
        <v>29</v>
      </c>
      <c r="G7" s="149" t="s">
        <v>30</v>
      </c>
      <c r="I7" s="36" t="s">
        <v>31</v>
      </c>
      <c r="J7" s="36" t="s">
        <v>32</v>
      </c>
      <c r="K7" s="36" t="s">
        <v>33</v>
      </c>
      <c r="L7" s="35"/>
      <c r="M7" s="36" t="s">
        <v>34</v>
      </c>
      <c r="N7" s="35"/>
      <c r="P7" s="36" t="s">
        <v>10</v>
      </c>
      <c r="Q7" s="36" t="s">
        <v>34</v>
      </c>
    </row>
    <row r="8" spans="1:17" ht="12.75" customHeight="1" x14ac:dyDescent="0.3">
      <c r="A8" s="150" t="s">
        <v>60</v>
      </c>
      <c r="B8" s="37"/>
      <c r="C8" s="37"/>
      <c r="D8" s="37"/>
      <c r="E8" s="137"/>
      <c r="F8" s="137"/>
      <c r="G8" s="137"/>
      <c r="I8" s="35"/>
      <c r="J8" s="35"/>
      <c r="K8" s="35"/>
      <c r="L8" s="35"/>
      <c r="M8" s="35"/>
      <c r="N8" s="35"/>
      <c r="P8" s="35"/>
      <c r="Q8" s="35"/>
    </row>
    <row r="9" spans="1:17" ht="12.75" customHeight="1" x14ac:dyDescent="0.3">
      <c r="A9" s="150" t="s">
        <v>109</v>
      </c>
      <c r="B9" s="37"/>
      <c r="C9" s="37"/>
      <c r="D9" s="37"/>
      <c r="E9" s="137"/>
      <c r="F9" s="137"/>
      <c r="G9" s="137"/>
      <c r="I9" s="35"/>
      <c r="J9" s="38"/>
      <c r="K9" s="38"/>
      <c r="L9" s="35"/>
      <c r="M9" s="173"/>
      <c r="N9" s="39"/>
      <c r="P9" s="35" t="s">
        <v>11</v>
      </c>
      <c r="Q9" s="174">
        <v>0.3685471670549067</v>
      </c>
    </row>
    <row r="10" spans="1:17" ht="12.75" customHeight="1" x14ac:dyDescent="0.3">
      <c r="A10" s="137" t="s">
        <v>69</v>
      </c>
      <c r="B10" s="137" t="s">
        <v>70</v>
      </c>
      <c r="C10" s="138" t="s">
        <v>71</v>
      </c>
      <c r="D10" s="139">
        <v>6640</v>
      </c>
      <c r="E10" s="140">
        <v>132.69</v>
      </c>
      <c r="F10" s="141">
        <v>488941.11</v>
      </c>
      <c r="G10" s="141">
        <v>881061.6</v>
      </c>
      <c r="H10" s="40">
        <v>1</v>
      </c>
      <c r="I10" s="41" t="s">
        <v>11</v>
      </c>
      <c r="J10" s="42">
        <v>39.602814527132189</v>
      </c>
      <c r="K10" s="42">
        <v>2192486.0788921998</v>
      </c>
      <c r="L10" s="41"/>
      <c r="M10" s="175">
        <v>8.470271023569434E-2</v>
      </c>
      <c r="N10" s="43">
        <v>8.5000000000000006E-2</v>
      </c>
      <c r="P10" s="35" t="s">
        <v>15</v>
      </c>
      <c r="Q10" s="174">
        <v>0.20962292124663828</v>
      </c>
    </row>
    <row r="11" spans="1:17" ht="12.75" customHeight="1" x14ac:dyDescent="0.3">
      <c r="A11" s="137" t="s">
        <v>81</v>
      </c>
      <c r="B11" s="137" t="s">
        <v>82</v>
      </c>
      <c r="C11" s="138" t="s">
        <v>83</v>
      </c>
      <c r="D11" s="139">
        <v>4675</v>
      </c>
      <c r="E11" s="140">
        <v>166.27</v>
      </c>
      <c r="F11" s="141">
        <v>457415.12</v>
      </c>
      <c r="G11" s="141">
        <v>777312.25</v>
      </c>
      <c r="H11" s="40">
        <v>2</v>
      </c>
      <c r="I11" s="41" t="s">
        <v>11</v>
      </c>
      <c r="J11" s="42">
        <v>40.342323311315788</v>
      </c>
      <c r="K11" s="42">
        <v>18655.829464139999</v>
      </c>
      <c r="L11" s="41"/>
      <c r="M11" s="175">
        <v>7.472854823590723E-2</v>
      </c>
      <c r="N11" s="43">
        <v>7.4999999999999997E-2</v>
      </c>
      <c r="P11" s="35" t="s">
        <v>14</v>
      </c>
      <c r="Q11" s="174">
        <v>0.12004675685711351</v>
      </c>
    </row>
    <row r="12" spans="1:17" ht="12.75" customHeight="1" x14ac:dyDescent="0.3">
      <c r="A12" s="137" t="s">
        <v>72</v>
      </c>
      <c r="B12" s="137" t="s">
        <v>73</v>
      </c>
      <c r="C12" s="138" t="s">
        <v>74</v>
      </c>
      <c r="D12" s="139">
        <v>1645</v>
      </c>
      <c r="E12" s="140">
        <v>372.5</v>
      </c>
      <c r="F12" s="141">
        <v>353296.97</v>
      </c>
      <c r="G12" s="141">
        <v>612762.5</v>
      </c>
      <c r="H12" s="40">
        <v>3</v>
      </c>
      <c r="I12" s="41" t="s">
        <v>14</v>
      </c>
      <c r="J12" s="42">
        <v>47.311839300010924</v>
      </c>
      <c r="K12" s="42">
        <v>14311.313867340001</v>
      </c>
      <c r="L12" s="41"/>
      <c r="M12" s="175">
        <v>5.8909211888021965E-2</v>
      </c>
      <c r="N12" s="43">
        <v>5.8999999999999997E-2</v>
      </c>
      <c r="P12" s="35" t="s">
        <v>16</v>
      </c>
      <c r="Q12" s="174">
        <v>0.11977017521717757</v>
      </c>
    </row>
    <row r="13" spans="1:17" ht="12.75" customHeight="1" x14ac:dyDescent="0.3">
      <c r="A13" s="137" t="s">
        <v>122</v>
      </c>
      <c r="B13" s="137" t="s">
        <v>123</v>
      </c>
      <c r="C13" s="138" t="s">
        <v>146</v>
      </c>
      <c r="D13" s="139">
        <v>10135</v>
      </c>
      <c r="E13" s="140">
        <v>48.51</v>
      </c>
      <c r="F13" s="141">
        <v>299341.28000000003</v>
      </c>
      <c r="G13" s="141">
        <v>491648.85</v>
      </c>
      <c r="H13" s="40">
        <v>4</v>
      </c>
      <c r="I13" s="41" t="s">
        <v>16</v>
      </c>
      <c r="J13" s="42">
        <v>13.074144180368744</v>
      </c>
      <c r="K13" s="42">
        <v>3238.2563471999997</v>
      </c>
      <c r="L13" s="41"/>
      <c r="M13" s="175">
        <v>4.7265696381799359E-2</v>
      </c>
      <c r="N13" s="43">
        <v>4.7E-2</v>
      </c>
      <c r="P13" s="35" t="s">
        <v>13</v>
      </c>
      <c r="Q13" s="174">
        <v>9.1352095488908713E-2</v>
      </c>
    </row>
    <row r="14" spans="1:17" ht="12.75" customHeight="1" x14ac:dyDescent="0.3">
      <c r="A14" s="137" t="s">
        <v>114</v>
      </c>
      <c r="B14" s="137" t="s">
        <v>115</v>
      </c>
      <c r="C14" s="138" t="s">
        <v>108</v>
      </c>
      <c r="D14" s="139">
        <v>1690</v>
      </c>
      <c r="E14" s="140">
        <v>283.31</v>
      </c>
      <c r="F14" s="141">
        <v>319265.17</v>
      </c>
      <c r="G14" s="141">
        <v>478793.9</v>
      </c>
      <c r="H14" s="40">
        <v>5</v>
      </c>
      <c r="I14" s="41" t="s">
        <v>15</v>
      </c>
      <c r="J14" s="42">
        <v>66.987672549820417</v>
      </c>
      <c r="K14" s="42">
        <v>21007.889013960001</v>
      </c>
      <c r="L14" s="41"/>
      <c r="M14" s="175">
        <v>4.6029858723065468E-2</v>
      </c>
      <c r="N14" s="43">
        <v>4.5999999999999999E-2</v>
      </c>
      <c r="P14" s="35" t="s">
        <v>12</v>
      </c>
      <c r="Q14" s="174">
        <v>5.1276618056670747E-2</v>
      </c>
    </row>
    <row r="15" spans="1:17" ht="12.75" customHeight="1" x14ac:dyDescent="0.3">
      <c r="A15" s="137" t="s">
        <v>112</v>
      </c>
      <c r="B15" s="137" t="s">
        <v>113</v>
      </c>
      <c r="C15" s="138" t="s">
        <v>107</v>
      </c>
      <c r="D15" s="139">
        <v>5490</v>
      </c>
      <c r="E15" s="140">
        <v>82.95</v>
      </c>
      <c r="F15" s="141">
        <v>385840.41</v>
      </c>
      <c r="G15" s="141">
        <v>455395.5</v>
      </c>
      <c r="H15" s="40">
        <v>6</v>
      </c>
      <c r="I15" s="41" t="s">
        <v>11</v>
      </c>
      <c r="J15" s="42" t="s">
        <v>96</v>
      </c>
      <c r="K15" s="42">
        <v>13761.73627836</v>
      </c>
      <c r="L15" s="41"/>
      <c r="M15" s="175">
        <v>4.3780404320355286E-2</v>
      </c>
      <c r="N15" s="43">
        <v>4.3999999999999997E-2</v>
      </c>
      <c r="P15" s="35" t="s">
        <v>63</v>
      </c>
      <c r="Q15" s="174">
        <v>3.9277775009029202E-2</v>
      </c>
    </row>
    <row r="16" spans="1:17" ht="12.75" customHeight="1" x14ac:dyDescent="0.3">
      <c r="A16" s="137" t="s">
        <v>66</v>
      </c>
      <c r="B16" s="137" t="s">
        <v>67</v>
      </c>
      <c r="C16" s="138" t="s">
        <v>68</v>
      </c>
      <c r="D16" s="139">
        <v>1960</v>
      </c>
      <c r="E16" s="140">
        <v>222.42</v>
      </c>
      <c r="F16" s="141">
        <v>276763.18</v>
      </c>
      <c r="G16" s="141">
        <v>435943.2</v>
      </c>
      <c r="H16" s="40">
        <v>7</v>
      </c>
      <c r="I16" s="41" t="s">
        <v>11</v>
      </c>
      <c r="J16" s="42">
        <v>34.802748851489234</v>
      </c>
      <c r="K16" s="42">
        <v>1639682.5632768748</v>
      </c>
      <c r="L16" s="41"/>
      <c r="M16" s="175">
        <v>4.1910316541796111E-2</v>
      </c>
      <c r="N16" s="43">
        <v>4.2000000000000003E-2</v>
      </c>
      <c r="P16" s="35" t="s">
        <v>52</v>
      </c>
      <c r="Q16" s="174">
        <v>1.0649106955527131E-4</v>
      </c>
    </row>
    <row r="17" spans="1:17" ht="12.75" customHeight="1" x14ac:dyDescent="0.3">
      <c r="A17" s="137" t="s">
        <v>150</v>
      </c>
      <c r="B17" s="137" t="s">
        <v>151</v>
      </c>
      <c r="C17" s="138" t="s">
        <v>178</v>
      </c>
      <c r="D17" s="139">
        <v>12975</v>
      </c>
      <c r="E17" s="140">
        <v>31.03</v>
      </c>
      <c r="F17" s="141">
        <v>230926.46</v>
      </c>
      <c r="G17" s="141">
        <v>402614.25</v>
      </c>
      <c r="H17" s="40">
        <v>8</v>
      </c>
      <c r="I17" s="41" t="s">
        <v>13</v>
      </c>
      <c r="J17" s="42" t="s">
        <v>96</v>
      </c>
      <c r="K17" s="42">
        <v>2733.8020619237996</v>
      </c>
      <c r="L17" s="41"/>
      <c r="M17" s="175">
        <v>3.8706167825849409E-2</v>
      </c>
      <c r="N17" s="43">
        <v>3.9E-2</v>
      </c>
      <c r="P17" s="35" t="s">
        <v>17</v>
      </c>
      <c r="Q17" s="174">
        <v>0</v>
      </c>
    </row>
    <row r="18" spans="1:17" ht="12.75" customHeight="1" x14ac:dyDescent="0.3">
      <c r="A18" s="137" t="s">
        <v>130</v>
      </c>
      <c r="B18" s="137" t="s">
        <v>131</v>
      </c>
      <c r="C18" s="138" t="s">
        <v>179</v>
      </c>
      <c r="D18" s="139">
        <v>2785</v>
      </c>
      <c r="E18" s="140">
        <v>138.63</v>
      </c>
      <c r="F18" s="141">
        <v>170577.07</v>
      </c>
      <c r="G18" s="141">
        <v>386084.55</v>
      </c>
      <c r="H18" s="40">
        <v>9</v>
      </c>
      <c r="I18" s="41" t="s">
        <v>15</v>
      </c>
      <c r="J18" s="42">
        <v>113.53726558782107</v>
      </c>
      <c r="K18" s="42">
        <v>1999.892394</v>
      </c>
      <c r="L18" s="41"/>
      <c r="M18" s="175">
        <v>3.7117050346001282E-2</v>
      </c>
      <c r="N18" s="43">
        <v>3.6999999999999998E-2</v>
      </c>
      <c r="P18" s="35" t="s">
        <v>19</v>
      </c>
      <c r="Q18" s="174">
        <v>0</v>
      </c>
    </row>
    <row r="19" spans="1:17" ht="12.75" customHeight="1" x14ac:dyDescent="0.3">
      <c r="A19" s="137" t="s">
        <v>110</v>
      </c>
      <c r="B19" s="137" t="s">
        <v>111</v>
      </c>
      <c r="C19" s="138" t="s">
        <v>180</v>
      </c>
      <c r="D19" s="139">
        <v>1400</v>
      </c>
      <c r="E19" s="140">
        <v>268.38</v>
      </c>
      <c r="F19" s="141">
        <v>312894.96000000002</v>
      </c>
      <c r="G19" s="141">
        <v>375732</v>
      </c>
      <c r="H19" s="40">
        <v>10</v>
      </c>
      <c r="I19" s="41" t="s">
        <v>15</v>
      </c>
      <c r="J19" s="42">
        <v>67.126641845755771</v>
      </c>
      <c r="K19" s="42">
        <v>14567.060395209999</v>
      </c>
      <c r="L19" s="41"/>
      <c r="M19" s="175">
        <v>3.6121786175084589E-2</v>
      </c>
      <c r="N19" s="43">
        <v>3.5999999999999997E-2</v>
      </c>
      <c r="P19" s="44" t="s">
        <v>51</v>
      </c>
      <c r="Q19" s="174">
        <v>0</v>
      </c>
    </row>
    <row r="20" spans="1:17" ht="12.75" customHeight="1" x14ac:dyDescent="0.3">
      <c r="A20" s="137" t="s">
        <v>118</v>
      </c>
      <c r="B20" s="137" t="s">
        <v>119</v>
      </c>
      <c r="C20" s="137" t="s">
        <v>182</v>
      </c>
      <c r="D20" s="139">
        <v>2540</v>
      </c>
      <c r="E20" s="140">
        <v>143.6</v>
      </c>
      <c r="F20" s="141">
        <v>295025.57</v>
      </c>
      <c r="G20" s="141">
        <v>364744</v>
      </c>
      <c r="H20">
        <v>11</v>
      </c>
      <c r="I20" s="35" t="s">
        <v>63</v>
      </c>
      <c r="J20" s="38">
        <v>30.356103903347094</v>
      </c>
      <c r="K20" s="38">
        <v>40317.869084190002</v>
      </c>
      <c r="L20" s="35"/>
      <c r="M20" s="176">
        <v>3.5065431681744044E-2</v>
      </c>
      <c r="N20" s="39"/>
      <c r="P20" s="35" t="s">
        <v>18</v>
      </c>
      <c r="Q20" s="174">
        <v>0</v>
      </c>
    </row>
    <row r="21" spans="1:17" ht="12.75" customHeight="1" x14ac:dyDescent="0.3">
      <c r="A21" s="137" t="s">
        <v>157</v>
      </c>
      <c r="B21" s="137" t="s">
        <v>158</v>
      </c>
      <c r="C21" s="137" t="s">
        <v>159</v>
      </c>
      <c r="D21" s="139">
        <v>4770</v>
      </c>
      <c r="E21" s="140">
        <v>72.02</v>
      </c>
      <c r="F21" s="141">
        <v>219699.04</v>
      </c>
      <c r="G21" s="141">
        <v>343535.4</v>
      </c>
      <c r="H21">
        <v>12</v>
      </c>
      <c r="I21" s="35" t="s">
        <v>16</v>
      </c>
      <c r="J21" s="38">
        <v>24.581051300072588</v>
      </c>
      <c r="K21" s="38">
        <v>9450.1785495000004</v>
      </c>
      <c r="L21" s="35"/>
      <c r="M21" s="176">
        <v>3.302649830829462E-2</v>
      </c>
      <c r="N21" s="39"/>
      <c r="P21" s="35"/>
      <c r="Q21" s="35"/>
    </row>
    <row r="22" spans="1:17" ht="12.75" customHeight="1" x14ac:dyDescent="0.3">
      <c r="A22" s="137" t="s">
        <v>154</v>
      </c>
      <c r="B22" s="137" t="s">
        <v>155</v>
      </c>
      <c r="C22" s="137" t="s">
        <v>156</v>
      </c>
      <c r="D22" s="139">
        <v>12210</v>
      </c>
      <c r="E22" s="140">
        <v>27.66</v>
      </c>
      <c r="F22" s="141">
        <v>230168.27</v>
      </c>
      <c r="G22" s="141">
        <v>337728.6</v>
      </c>
      <c r="H22">
        <v>13</v>
      </c>
      <c r="I22" s="35" t="s">
        <v>15</v>
      </c>
      <c r="J22" s="38">
        <v>22.829001099246742</v>
      </c>
      <c r="K22" s="38">
        <v>3736.9749397</v>
      </c>
      <c r="L22" s="35"/>
      <c r="M22" s="176">
        <v>3.2468249375647198E-2</v>
      </c>
      <c r="N22" s="39"/>
      <c r="P22" s="35"/>
      <c r="Q22" s="35"/>
    </row>
    <row r="23" spans="1:17" ht="12.75" customHeight="1" x14ac:dyDescent="0.3">
      <c r="A23" s="137" t="s">
        <v>94</v>
      </c>
      <c r="B23" s="137" t="s">
        <v>95</v>
      </c>
      <c r="C23" s="137" t="s">
        <v>183</v>
      </c>
      <c r="D23" s="139">
        <v>845</v>
      </c>
      <c r="E23" s="140">
        <v>383.46</v>
      </c>
      <c r="F23" s="141">
        <v>251877.42</v>
      </c>
      <c r="G23" s="141">
        <v>324023.7</v>
      </c>
      <c r="H23">
        <v>14</v>
      </c>
      <c r="I23" s="35" t="s">
        <v>14</v>
      </c>
      <c r="J23" s="38">
        <v>32.558209626407276</v>
      </c>
      <c r="K23" s="38">
        <v>14981.8142565</v>
      </c>
      <c r="L23" s="35"/>
      <c r="M23" s="176">
        <v>3.1150699985787095E-2</v>
      </c>
      <c r="N23" s="39"/>
      <c r="P23" s="35"/>
      <c r="Q23" s="35"/>
    </row>
    <row r="24" spans="1:17" ht="12.75" customHeight="1" x14ac:dyDescent="0.3">
      <c r="A24" s="137" t="s">
        <v>120</v>
      </c>
      <c r="B24" s="137" t="s">
        <v>121</v>
      </c>
      <c r="C24" s="137" t="s">
        <v>153</v>
      </c>
      <c r="D24" s="139">
        <v>14365</v>
      </c>
      <c r="E24" s="140">
        <v>22.19</v>
      </c>
      <c r="F24" s="141">
        <v>284026.21999999997</v>
      </c>
      <c r="G24" s="141">
        <v>318759.34999999998</v>
      </c>
      <c r="H24">
        <v>15</v>
      </c>
      <c r="I24" s="35" t="s">
        <v>11</v>
      </c>
      <c r="J24" s="38">
        <v>114.05905783064946</v>
      </c>
      <c r="K24" s="38">
        <v>9080.9664602899993</v>
      </c>
      <c r="L24" s="35"/>
      <c r="M24" s="176">
        <v>3.0644600624937318E-2</v>
      </c>
      <c r="N24" s="39"/>
      <c r="P24" s="35"/>
      <c r="Q24" s="35"/>
    </row>
    <row r="25" spans="1:17" ht="12.75" customHeight="1" x14ac:dyDescent="0.3">
      <c r="A25" s="137" t="s">
        <v>128</v>
      </c>
      <c r="B25" s="137" t="s">
        <v>129</v>
      </c>
      <c r="C25" s="137" t="s">
        <v>161</v>
      </c>
      <c r="D25" s="139">
        <v>3800</v>
      </c>
      <c r="E25" s="140">
        <v>80.599999999999994</v>
      </c>
      <c r="F25" s="141">
        <v>166791.89000000001</v>
      </c>
      <c r="G25" s="141">
        <v>306280</v>
      </c>
      <c r="H25">
        <v>16</v>
      </c>
      <c r="I25" s="35" t="s">
        <v>16</v>
      </c>
      <c r="J25" s="38">
        <v>18.410377666949351</v>
      </c>
      <c r="K25" s="38">
        <v>5269.7258481599993</v>
      </c>
      <c r="L25" s="35"/>
      <c r="M25" s="176">
        <v>2.9444872062280848E-2</v>
      </c>
      <c r="N25" s="39"/>
      <c r="P25" s="35"/>
      <c r="Q25" s="35"/>
    </row>
    <row r="26" spans="1:17" ht="12.75" customHeight="1" x14ac:dyDescent="0.3">
      <c r="A26" s="137" t="s">
        <v>92</v>
      </c>
      <c r="B26" s="137" t="s">
        <v>93</v>
      </c>
      <c r="C26" s="137" t="s">
        <v>149</v>
      </c>
      <c r="D26" s="139">
        <v>2155</v>
      </c>
      <c r="E26" s="140">
        <v>139.13999999999999</v>
      </c>
      <c r="F26" s="141">
        <v>245358.81</v>
      </c>
      <c r="G26" s="141">
        <v>299846.7</v>
      </c>
      <c r="H26">
        <v>17</v>
      </c>
      <c r="I26" s="35" t="s">
        <v>12</v>
      </c>
      <c r="J26" s="38">
        <v>25.466820833273825</v>
      </c>
      <c r="K26" s="38">
        <v>339916.773841905</v>
      </c>
      <c r="L26" s="35"/>
      <c r="M26" s="176">
        <v>2.8826393234285971E-2</v>
      </c>
      <c r="N26" s="39"/>
      <c r="P26" s="35"/>
      <c r="Q26" s="35"/>
    </row>
    <row r="27" spans="1:17" ht="12.75" customHeight="1" x14ac:dyDescent="0.3">
      <c r="A27" s="137" t="s">
        <v>126</v>
      </c>
      <c r="B27" s="137" t="s">
        <v>127</v>
      </c>
      <c r="C27" s="137" t="s">
        <v>152</v>
      </c>
      <c r="D27" s="139">
        <v>845</v>
      </c>
      <c r="E27" s="140">
        <v>332.5</v>
      </c>
      <c r="F27" s="141">
        <v>226065.56</v>
      </c>
      <c r="G27" s="141">
        <v>280962.5</v>
      </c>
      <c r="H27">
        <v>18</v>
      </c>
      <c r="I27" s="35" t="s">
        <v>13</v>
      </c>
      <c r="J27" s="38">
        <v>30.673442906539634</v>
      </c>
      <c r="K27" s="38">
        <v>12459.820900319999</v>
      </c>
      <c r="L27" s="35"/>
      <c r="M27" s="176">
        <v>2.7010920944229407E-2</v>
      </c>
      <c r="N27" s="39"/>
      <c r="P27" s="35"/>
      <c r="Q27" s="35"/>
    </row>
    <row r="28" spans="1:17" ht="12.75" customHeight="1" x14ac:dyDescent="0.3">
      <c r="A28" s="137" t="s">
        <v>90</v>
      </c>
      <c r="B28" s="137" t="s">
        <v>91</v>
      </c>
      <c r="C28" s="137" t="s">
        <v>160</v>
      </c>
      <c r="D28" s="139">
        <v>4200</v>
      </c>
      <c r="E28" s="140">
        <v>64.69</v>
      </c>
      <c r="F28" s="141">
        <v>190899.24</v>
      </c>
      <c r="G28" s="141">
        <v>271698</v>
      </c>
      <c r="H28">
        <v>19</v>
      </c>
      <c r="I28" s="35" t="s">
        <v>11</v>
      </c>
      <c r="J28" s="38">
        <v>18.594828699662635</v>
      </c>
      <c r="K28" s="38">
        <v>187211.12206000002</v>
      </c>
      <c r="L28" s="35"/>
      <c r="M28" s="176">
        <v>2.6120258748784059E-2</v>
      </c>
      <c r="N28" s="39"/>
      <c r="P28" s="35"/>
      <c r="Q28" s="35"/>
    </row>
    <row r="29" spans="1:17" ht="12.75" customHeight="1" x14ac:dyDescent="0.3">
      <c r="A29" s="137" t="s">
        <v>184</v>
      </c>
      <c r="B29" s="137" t="s">
        <v>185</v>
      </c>
      <c r="C29" s="137" t="s">
        <v>186</v>
      </c>
      <c r="D29" s="139">
        <v>1150</v>
      </c>
      <c r="E29" s="140">
        <v>231.87</v>
      </c>
      <c r="F29" s="141">
        <v>261403.63</v>
      </c>
      <c r="G29" s="141">
        <v>266650.5</v>
      </c>
      <c r="H29">
        <v>20</v>
      </c>
      <c r="I29" s="35" t="s">
        <v>13</v>
      </c>
      <c r="J29" s="38" t="s">
        <v>187</v>
      </c>
      <c r="K29" s="38">
        <v>535068.15856512007</v>
      </c>
      <c r="L29" s="35"/>
      <c r="M29" s="176">
        <v>2.5635006718829893E-2</v>
      </c>
      <c r="N29" s="39"/>
      <c r="P29" s="35"/>
      <c r="Q29" s="35"/>
    </row>
    <row r="30" spans="1:17" ht="12.75" customHeight="1" x14ac:dyDescent="0.3">
      <c r="A30" s="137" t="s">
        <v>75</v>
      </c>
      <c r="B30" s="137" t="s">
        <v>76</v>
      </c>
      <c r="C30" s="137" t="s">
        <v>147</v>
      </c>
      <c r="D30" s="139">
        <v>1620</v>
      </c>
      <c r="E30" s="140">
        <v>144.15</v>
      </c>
      <c r="F30" s="141">
        <v>195385.93</v>
      </c>
      <c r="G30" s="141">
        <v>233523</v>
      </c>
      <c r="H30">
        <v>21</v>
      </c>
      <c r="I30" s="35" t="s">
        <v>12</v>
      </c>
      <c r="J30" s="38">
        <v>27.149665653017227</v>
      </c>
      <c r="K30" s="38">
        <v>412707.93802562001</v>
      </c>
      <c r="L30" s="35"/>
      <c r="M30" s="176">
        <v>2.245022482238478E-2</v>
      </c>
      <c r="N30" s="39"/>
      <c r="P30" s="35"/>
      <c r="Q30" s="35"/>
    </row>
    <row r="31" spans="1:17" ht="12.75" customHeight="1" x14ac:dyDescent="0.3">
      <c r="A31" s="137" t="s">
        <v>188</v>
      </c>
      <c r="B31" s="137" t="s">
        <v>189</v>
      </c>
      <c r="C31" s="137" t="s">
        <v>190</v>
      </c>
      <c r="D31" s="139">
        <v>180</v>
      </c>
      <c r="E31" s="140">
        <v>1139.68</v>
      </c>
      <c r="F31" s="141">
        <v>204973.47</v>
      </c>
      <c r="G31" s="141">
        <v>205142.39999999999</v>
      </c>
      <c r="H31">
        <v>22</v>
      </c>
      <c r="I31" s="35" t="s">
        <v>15</v>
      </c>
      <c r="J31" s="38">
        <v>48.990496710927893</v>
      </c>
      <c r="K31" s="38">
        <v>27414.191923559996</v>
      </c>
      <c r="L31" s="35"/>
      <c r="M31" s="176">
        <v>1.9721796142579479E-2</v>
      </c>
      <c r="N31" s="39"/>
      <c r="P31" s="35"/>
      <c r="Q31" s="35"/>
    </row>
    <row r="32" spans="1:17" ht="12.75" customHeight="1" x14ac:dyDescent="0.3">
      <c r="A32" s="137" t="s">
        <v>132</v>
      </c>
      <c r="B32" s="137" t="s">
        <v>133</v>
      </c>
      <c r="C32" s="137" t="s">
        <v>167</v>
      </c>
      <c r="D32" s="139">
        <v>380</v>
      </c>
      <c r="E32" s="140">
        <v>532.61</v>
      </c>
      <c r="F32" s="141">
        <v>175634.48</v>
      </c>
      <c r="G32" s="141">
        <v>202391.8</v>
      </c>
      <c r="H32">
        <v>23</v>
      </c>
      <c r="I32" s="35" t="s">
        <v>15</v>
      </c>
      <c r="J32" s="38">
        <v>30.632338734762165</v>
      </c>
      <c r="K32" s="38">
        <v>8390.5786128899999</v>
      </c>
      <c r="L32" s="35"/>
      <c r="M32" s="176">
        <v>1.9457361425671713E-2</v>
      </c>
      <c r="N32" s="39"/>
      <c r="P32" s="35"/>
      <c r="Q32" s="35"/>
    </row>
    <row r="33" spans="1:17" ht="12.75" customHeight="1" x14ac:dyDescent="0.3">
      <c r="A33" s="137" t="s">
        <v>168</v>
      </c>
      <c r="B33" s="137" t="s">
        <v>169</v>
      </c>
      <c r="C33" s="137" t="s">
        <v>170</v>
      </c>
      <c r="D33" s="139">
        <v>2720</v>
      </c>
      <c r="E33" s="140">
        <v>72.75</v>
      </c>
      <c r="F33" s="141">
        <v>157095.23000000001</v>
      </c>
      <c r="G33" s="141">
        <v>197880</v>
      </c>
      <c r="H33">
        <v>24</v>
      </c>
      <c r="I33" s="35" t="s">
        <v>11</v>
      </c>
      <c r="J33" s="38">
        <v>29.773613637563496</v>
      </c>
      <c r="K33" s="38">
        <v>18053.186693970001</v>
      </c>
      <c r="L33" s="35"/>
      <c r="M33" s="176">
        <v>1.902361004206652E-2</v>
      </c>
      <c r="N33" s="39"/>
      <c r="P33" s="35"/>
      <c r="Q33" s="35"/>
    </row>
    <row r="34" spans="1:17" ht="12.75" customHeight="1" x14ac:dyDescent="0.3">
      <c r="A34" s="137" t="s">
        <v>164</v>
      </c>
      <c r="B34" s="137" t="s">
        <v>165</v>
      </c>
      <c r="C34" s="137" t="s">
        <v>166</v>
      </c>
      <c r="D34" s="139">
        <v>4400</v>
      </c>
      <c r="E34" s="140">
        <v>42.93</v>
      </c>
      <c r="F34" s="141">
        <v>221646.04</v>
      </c>
      <c r="G34" s="141">
        <v>188892</v>
      </c>
      <c r="H34">
        <v>25</v>
      </c>
      <c r="I34" s="35" t="s">
        <v>14</v>
      </c>
      <c r="J34" s="38">
        <v>5.862075892652256</v>
      </c>
      <c r="K34" s="38">
        <v>1576.0623795199999</v>
      </c>
      <c r="L34" s="35"/>
      <c r="M34" s="176">
        <v>1.8159529755741002E-2</v>
      </c>
      <c r="N34" s="39"/>
      <c r="P34" s="35"/>
      <c r="Q34" s="35"/>
    </row>
    <row r="35" spans="1:17" ht="12.75" customHeight="1" x14ac:dyDescent="0.3">
      <c r="A35" s="137" t="s">
        <v>171</v>
      </c>
      <c r="B35" s="137" t="s">
        <v>172</v>
      </c>
      <c r="C35" s="137" t="s">
        <v>173</v>
      </c>
      <c r="D35" s="139">
        <v>355</v>
      </c>
      <c r="E35" s="140">
        <v>511.04</v>
      </c>
      <c r="F35" s="141">
        <v>156082.39000000001</v>
      </c>
      <c r="G35" s="141">
        <v>181419.2</v>
      </c>
      <c r="H35">
        <v>26</v>
      </c>
      <c r="I35" s="35" t="s">
        <v>11</v>
      </c>
      <c r="J35" s="38">
        <v>68.30042513825282</v>
      </c>
      <c r="K35" s="38">
        <v>14593.02674727</v>
      </c>
      <c r="L35" s="35"/>
      <c r="M35" s="176">
        <v>1.7441116408650065E-2</v>
      </c>
      <c r="N35" s="39"/>
      <c r="P35" s="35"/>
      <c r="Q35" s="35"/>
    </row>
    <row r="36" spans="1:17" ht="12.75" customHeight="1" x14ac:dyDescent="0.3">
      <c r="A36" s="137" t="s">
        <v>124</v>
      </c>
      <c r="B36" s="137" t="s">
        <v>125</v>
      </c>
      <c r="C36" s="137" t="s">
        <v>174</v>
      </c>
      <c r="D36" s="139">
        <v>1385</v>
      </c>
      <c r="E36" s="140">
        <v>121.87</v>
      </c>
      <c r="F36" s="141">
        <v>155104.07</v>
      </c>
      <c r="G36" s="141">
        <v>168789.95</v>
      </c>
      <c r="H36">
        <v>27</v>
      </c>
      <c r="I36" s="35" t="s">
        <v>11</v>
      </c>
      <c r="J36" s="38">
        <v>53.131794626115529</v>
      </c>
      <c r="K36" s="38">
        <v>4492.3702877400001</v>
      </c>
      <c r="L36" s="35"/>
      <c r="M36" s="176">
        <v>1.6226976894177816E-2</v>
      </c>
      <c r="N36" s="39"/>
      <c r="P36" s="35"/>
      <c r="Q36" s="35"/>
    </row>
    <row r="37" spans="1:17" ht="12.75" customHeight="1" x14ac:dyDescent="0.3">
      <c r="A37" s="137" t="s">
        <v>79</v>
      </c>
      <c r="B37" s="137" t="s">
        <v>80</v>
      </c>
      <c r="C37" s="137" t="s">
        <v>148</v>
      </c>
      <c r="D37" s="139">
        <v>620</v>
      </c>
      <c r="E37" s="140">
        <v>244.86</v>
      </c>
      <c r="F37" s="141">
        <v>186482.29</v>
      </c>
      <c r="G37" s="141">
        <v>151813.20000000001</v>
      </c>
      <c r="H37">
        <v>28</v>
      </c>
      <c r="I37" s="35" t="s">
        <v>15</v>
      </c>
      <c r="J37" s="38">
        <v>7.641038868727474</v>
      </c>
      <c r="K37" s="38">
        <v>37171.63857132</v>
      </c>
      <c r="L37" s="35"/>
      <c r="M37" s="176">
        <v>1.4594881322206658E-2</v>
      </c>
      <c r="N37" s="39"/>
      <c r="P37" s="35"/>
      <c r="Q37" s="35"/>
    </row>
    <row r="38" spans="1:17" ht="12.75" customHeight="1" x14ac:dyDescent="0.3">
      <c r="A38" s="137" t="s">
        <v>191</v>
      </c>
      <c r="B38" s="137" t="s">
        <v>192</v>
      </c>
      <c r="C38" s="137" t="s">
        <v>193</v>
      </c>
      <c r="D38" s="139">
        <v>1100</v>
      </c>
      <c r="E38" s="140">
        <v>132.09</v>
      </c>
      <c r="F38" s="141">
        <v>134753.51999999999</v>
      </c>
      <c r="G38" s="141">
        <v>145299</v>
      </c>
      <c r="H38">
        <v>29</v>
      </c>
      <c r="I38" s="35" t="s">
        <v>11</v>
      </c>
      <c r="J38" s="38">
        <v>40.467217857724265</v>
      </c>
      <c r="K38" s="38">
        <v>24341.102524800001</v>
      </c>
      <c r="L38" s="35"/>
      <c r="M38" s="176">
        <v>1.396862500253802E-2</v>
      </c>
      <c r="N38" s="39"/>
      <c r="P38" s="35"/>
      <c r="Q38" s="35"/>
    </row>
    <row r="39" spans="1:17" ht="12.75" customHeight="1" x14ac:dyDescent="0.3">
      <c r="A39" s="137" t="s">
        <v>77</v>
      </c>
      <c r="B39" s="137" t="s">
        <v>78</v>
      </c>
      <c r="C39" s="137" t="s">
        <v>162</v>
      </c>
      <c r="D39" s="139">
        <v>585</v>
      </c>
      <c r="E39" s="140">
        <v>210.3</v>
      </c>
      <c r="F39" s="141">
        <v>109079.41</v>
      </c>
      <c r="G39" s="141">
        <v>123025.5</v>
      </c>
      <c r="H39">
        <v>30</v>
      </c>
      <c r="I39" s="35" t="s">
        <v>14</v>
      </c>
      <c r="J39" s="38">
        <v>20.754706965920001</v>
      </c>
      <c r="K39" s="38">
        <v>51305.63909723</v>
      </c>
      <c r="L39" s="35"/>
      <c r="M39" s="176">
        <v>1.1827315227563447E-2</v>
      </c>
      <c r="N39" s="39"/>
      <c r="P39" s="35"/>
      <c r="Q39" s="35"/>
    </row>
    <row r="40" spans="1:17" ht="12.75" customHeight="1" x14ac:dyDescent="0.3">
      <c r="A40" s="137" t="s">
        <v>194</v>
      </c>
      <c r="B40" s="137" t="s">
        <v>195</v>
      </c>
      <c r="C40" s="137" t="s">
        <v>196</v>
      </c>
      <c r="D40" s="139">
        <v>1150</v>
      </c>
      <c r="E40" s="140">
        <v>90.75</v>
      </c>
      <c r="F40" s="141">
        <v>90046.61</v>
      </c>
      <c r="G40" s="141">
        <v>104362.5</v>
      </c>
      <c r="H40">
        <v>31</v>
      </c>
      <c r="I40" s="35" t="s">
        <v>16</v>
      </c>
      <c r="J40" s="38">
        <v>25.061726103180057</v>
      </c>
      <c r="K40" s="38">
        <v>67109.002564499999</v>
      </c>
      <c r="L40" s="35"/>
      <c r="M40" s="176">
        <v>1.0033108464802746E-2</v>
      </c>
      <c r="N40" s="39"/>
      <c r="P40" s="35"/>
      <c r="Q40" s="35"/>
    </row>
    <row r="41" spans="1:17" ht="12.75" customHeight="1" x14ac:dyDescent="0.3">
      <c r="A41" s="137" t="s">
        <v>116</v>
      </c>
      <c r="B41" s="137" t="s">
        <v>117</v>
      </c>
      <c r="C41" s="137" t="s">
        <v>163</v>
      </c>
      <c r="D41" s="139">
        <v>25</v>
      </c>
      <c r="E41" s="140">
        <v>1752.64</v>
      </c>
      <c r="F41" s="141">
        <v>30113.14</v>
      </c>
      <c r="G41" s="141">
        <v>43816</v>
      </c>
      <c r="H41">
        <v>32</v>
      </c>
      <c r="I41" s="35" t="s">
        <v>63</v>
      </c>
      <c r="J41" s="38">
        <v>36.277161234200122</v>
      </c>
      <c r="K41" s="38">
        <v>1167360.8431707199</v>
      </c>
      <c r="L41" s="35"/>
      <c r="M41" s="176">
        <v>4.2123433272851559E-3</v>
      </c>
      <c r="N41" s="39"/>
      <c r="P41" s="35"/>
      <c r="Q41" s="35"/>
    </row>
    <row r="42" spans="1:17" ht="12.75" customHeight="1" x14ac:dyDescent="0.3">
      <c r="A42" s="137" t="s">
        <v>134</v>
      </c>
      <c r="B42" s="137" t="s">
        <v>135</v>
      </c>
      <c r="C42" s="137" t="s">
        <v>175</v>
      </c>
      <c r="D42" s="139">
        <v>545</v>
      </c>
      <c r="E42" s="140">
        <v>78.48</v>
      </c>
      <c r="F42" s="141">
        <v>37255.769999999997</v>
      </c>
      <c r="G42" s="141">
        <v>42771.6</v>
      </c>
      <c r="H42">
        <v>33</v>
      </c>
      <c r="I42" s="35" t="s">
        <v>15</v>
      </c>
      <c r="J42" s="38">
        <v>33.884653256833026</v>
      </c>
      <c r="K42" s="38">
        <v>23677.937822540003</v>
      </c>
      <c r="L42" s="35"/>
      <c r="M42" s="176">
        <v>4.1119377363819098E-3</v>
      </c>
      <c r="N42" s="39"/>
    </row>
    <row r="43" spans="1:17" ht="12.75" customHeight="1" x14ac:dyDescent="0.3">
      <c r="A43" s="151" t="s">
        <v>136</v>
      </c>
      <c r="D43" s="142">
        <v>111340</v>
      </c>
      <c r="E43" s="143"/>
      <c r="F43" s="144">
        <v>7520229.7300000004</v>
      </c>
      <c r="G43" s="144">
        <v>10400703.5</v>
      </c>
      <c r="M43" s="176"/>
    </row>
    <row r="44" spans="1:17" ht="12.75" customHeight="1" x14ac:dyDescent="0.3">
      <c r="A44" s="150" t="s">
        <v>197</v>
      </c>
      <c r="B44" s="37"/>
      <c r="C44" s="37"/>
      <c r="D44" s="37"/>
      <c r="E44" s="137"/>
      <c r="F44" s="137"/>
      <c r="G44" s="137"/>
      <c r="M44" s="176"/>
    </row>
    <row r="45" spans="1:17" ht="12.75" customHeight="1" x14ac:dyDescent="0.3">
      <c r="A45" s="137" t="s">
        <v>198</v>
      </c>
      <c r="B45" s="137"/>
      <c r="C45" s="137" t="s">
        <v>199</v>
      </c>
      <c r="D45" s="139">
        <v>1107.7</v>
      </c>
      <c r="E45" s="140">
        <v>100</v>
      </c>
      <c r="F45" s="141">
        <v>1107.7</v>
      </c>
      <c r="G45" s="141">
        <v>1107.7</v>
      </c>
      <c r="H45">
        <v>34</v>
      </c>
      <c r="I45" s="177" t="s">
        <v>52</v>
      </c>
      <c r="M45" s="176">
        <v>1.0649106955527131E-4</v>
      </c>
    </row>
    <row r="46" spans="1:17" ht="12.75" customHeight="1" x14ac:dyDescent="0.3">
      <c r="A46" s="151" t="s">
        <v>200</v>
      </c>
      <c r="D46" s="142">
        <v>1107.7</v>
      </c>
      <c r="E46" s="143"/>
      <c r="F46" s="144">
        <v>1107.7</v>
      </c>
      <c r="G46" s="144">
        <v>1107.7</v>
      </c>
    </row>
    <row r="47" spans="1:17" ht="12.75" customHeight="1" x14ac:dyDescent="0.3">
      <c r="A47" s="151" t="s">
        <v>61</v>
      </c>
      <c r="D47" s="145">
        <v>112447.7</v>
      </c>
      <c r="E47" s="143"/>
      <c r="F47" s="146">
        <v>7521337.4299999997</v>
      </c>
      <c r="G47" s="146">
        <v>10401811.199999999</v>
      </c>
    </row>
    <row r="48" spans="1:17" ht="12.75" customHeight="1" x14ac:dyDescent="0.3">
      <c r="A48" s="152"/>
      <c r="B48" s="152"/>
      <c r="C48" s="152"/>
      <c r="D48" s="137"/>
      <c r="E48" s="137"/>
      <c r="F48" s="137"/>
      <c r="G48" s="137"/>
    </row>
    <row r="49" spans="1:7" ht="12.75" customHeight="1" x14ac:dyDescent="0.3">
      <c r="A49" s="151" t="s">
        <v>61</v>
      </c>
      <c r="D49" s="145">
        <v>112447.7</v>
      </c>
      <c r="E49" s="143"/>
      <c r="F49" s="146">
        <v>7521337.4299999997</v>
      </c>
      <c r="G49" s="146">
        <v>10401811.199999999</v>
      </c>
    </row>
    <row r="50" spans="1:7" ht="13.2" customHeight="1" x14ac:dyDescent="0.3"/>
    <row r="51" spans="1:7" ht="13.2" customHeight="1" x14ac:dyDescent="0.3"/>
    <row r="52" spans="1:7" ht="13.2" customHeight="1" x14ac:dyDescent="0.3"/>
    <row r="53" spans="1:7" ht="13.2" customHeight="1" x14ac:dyDescent="0.3"/>
    <row r="54" spans="1:7" ht="13.2" customHeight="1" x14ac:dyDescent="0.3"/>
    <row r="55" spans="1:7" ht="13.2" customHeight="1" x14ac:dyDescent="0.3"/>
    <row r="56" spans="1:7" ht="13.2" customHeight="1" x14ac:dyDescent="0.3"/>
    <row r="57" spans="1:7" ht="14.4" x14ac:dyDescent="0.3"/>
    <row r="58" spans="1:7" ht="14.4" x14ac:dyDescent="0.3"/>
    <row r="59" spans="1:7" ht="14.4" x14ac:dyDescent="0.3"/>
    <row r="60" spans="1:7" ht="12.9" customHeight="1" x14ac:dyDescent="0.3"/>
    <row r="61" spans="1:7" ht="12.9" customHeight="1" x14ac:dyDescent="0.3"/>
    <row r="62" spans="1:7" ht="14.4" x14ac:dyDescent="0.3"/>
    <row r="63" spans="1:7" ht="12.9" customHeight="1" x14ac:dyDescent="0.3"/>
    <row r="64" spans="1:7" ht="12.9" customHeight="1" x14ac:dyDescent="0.3"/>
    <row r="65" customFormat="1" ht="12.9" customHeight="1" x14ac:dyDescent="0.3"/>
    <row r="66" customFormat="1" ht="12.9" customHeight="1" x14ac:dyDescent="0.3"/>
    <row r="67" customFormat="1" ht="12.9" customHeight="1" x14ac:dyDescent="0.3"/>
    <row r="68" customFormat="1" ht="12.9" customHeight="1" x14ac:dyDescent="0.3"/>
    <row r="69" customFormat="1" ht="12.9" customHeight="1" x14ac:dyDescent="0.3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7E4B-C7EC-42BD-9E21-F35DD6BD63B3}">
  <sheetPr>
    <tabColor rgb="FFC00000"/>
  </sheetPr>
  <dimension ref="A1:D10"/>
  <sheetViews>
    <sheetView workbookViewId="0">
      <selection activeCell="H20" sqref="H20"/>
    </sheetView>
  </sheetViews>
  <sheetFormatPr defaultRowHeight="14.4" x14ac:dyDescent="0.3"/>
  <cols>
    <col min="3" max="3" width="15.5546875" bestFit="1" customWidth="1"/>
  </cols>
  <sheetData>
    <row r="1" spans="1:4" x14ac:dyDescent="0.3">
      <c r="A1" t="s">
        <v>0</v>
      </c>
      <c r="B1" s="153" t="str">
        <f>'BUY Fact Sheet Backup'!O29</f>
        <v>BUYIX</v>
      </c>
      <c r="C1" s="153" t="str">
        <f>'BUY Fact Sheet Backup'!P29</f>
        <v>Mid-Cap Blend</v>
      </c>
      <c r="D1" t="s">
        <v>87</v>
      </c>
    </row>
    <row r="2" spans="1:4" x14ac:dyDescent="0.3">
      <c r="A2">
        <f>'BUY Fact Sheet Backup'!N30</f>
        <v>2014</v>
      </c>
      <c r="B2" s="156">
        <f>'BUY Fact Sheet Backup'!O30*100</f>
        <v>-0.95159999999999689</v>
      </c>
      <c r="C2" s="156">
        <f>'BUY Fact Sheet Backup'!P30*100</f>
        <v>7.8</v>
      </c>
      <c r="D2">
        <v>1</v>
      </c>
    </row>
    <row r="3" spans="1:4" x14ac:dyDescent="0.3">
      <c r="A3">
        <f>'BUY Fact Sheet Backup'!N31</f>
        <v>2015</v>
      </c>
      <c r="B3" s="156">
        <f>'BUY Fact Sheet Backup'!O31*100</f>
        <v>0.26482002738055233</v>
      </c>
      <c r="C3" s="156">
        <f>'BUY Fact Sheet Backup'!P31*100</f>
        <v>-4.75</v>
      </c>
      <c r="D3">
        <v>2</v>
      </c>
    </row>
    <row r="4" spans="1:4" x14ac:dyDescent="0.3">
      <c r="A4">
        <f>'BUY Fact Sheet Backup'!N32</f>
        <v>2016</v>
      </c>
      <c r="B4" s="156">
        <f>'BUY Fact Sheet Backup'!O32*100</f>
        <v>15.075213446285263</v>
      </c>
      <c r="C4" s="156">
        <f>'BUY Fact Sheet Backup'!P32*100</f>
        <v>14.14</v>
      </c>
      <c r="D4">
        <v>3</v>
      </c>
    </row>
    <row r="5" spans="1:4" x14ac:dyDescent="0.3">
      <c r="A5">
        <f>'BUY Fact Sheet Backup'!N33</f>
        <v>2017</v>
      </c>
      <c r="B5" s="156">
        <f>'BUY Fact Sheet Backup'!O33*100</f>
        <v>19.860520466915155</v>
      </c>
      <c r="C5" s="156">
        <f>'BUY Fact Sheet Backup'!P33*100</f>
        <v>15.93</v>
      </c>
      <c r="D5">
        <v>4</v>
      </c>
    </row>
    <row r="6" spans="1:4" x14ac:dyDescent="0.3">
      <c r="A6">
        <f>'BUY Fact Sheet Backup'!N34</f>
        <v>2018</v>
      </c>
      <c r="B6" s="156">
        <f>'BUY Fact Sheet Backup'!O34*100</f>
        <v>-7.2040239744778356</v>
      </c>
      <c r="C6" s="156">
        <f>'BUY Fact Sheet Backup'!P34*100</f>
        <v>-11.15</v>
      </c>
      <c r="D6">
        <v>5</v>
      </c>
    </row>
    <row r="7" spans="1:4" x14ac:dyDescent="0.3">
      <c r="A7">
        <f>'BUY Fact Sheet Backup'!N35</f>
        <v>2019</v>
      </c>
      <c r="B7" s="156">
        <f>'BUY Fact Sheet Backup'!O35*100</f>
        <v>17.448529238224864</v>
      </c>
      <c r="C7" s="156">
        <f>'BUY Fact Sheet Backup'!P35*100</f>
        <v>26.21</v>
      </c>
      <c r="D7">
        <v>6</v>
      </c>
    </row>
    <row r="8" spans="1:4" x14ac:dyDescent="0.3">
      <c r="A8">
        <v>2020</v>
      </c>
      <c r="B8" s="156">
        <f>'BUY Fact Sheet Backup'!O36*100</f>
        <v>2.5100000000000002</v>
      </c>
      <c r="C8" s="156">
        <f>'BUY Fact Sheet Backup'!P36*100</f>
        <v>12.389999999999999</v>
      </c>
      <c r="D8">
        <v>7</v>
      </c>
    </row>
    <row r="9" spans="1:4" x14ac:dyDescent="0.3">
      <c r="B9" s="153"/>
    </row>
    <row r="10" spans="1:4" x14ac:dyDescent="0.3">
      <c r="B10" s="153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7FD0-31DE-42A4-96E8-F349AC623B4A}">
  <sheetPr>
    <tabColor rgb="FFC00000"/>
  </sheetPr>
  <dimension ref="A1:C15"/>
  <sheetViews>
    <sheetView tabSelected="1" workbookViewId="0"/>
  </sheetViews>
  <sheetFormatPr defaultRowHeight="14.4" x14ac:dyDescent="0.3"/>
  <cols>
    <col min="1" max="1" width="22.5546875" bestFit="1" customWidth="1"/>
    <col min="2" max="2" width="12" bestFit="1" customWidth="1"/>
  </cols>
  <sheetData>
    <row r="1" spans="1:3" x14ac:dyDescent="0.3">
      <c r="A1" t="s">
        <v>84</v>
      </c>
      <c r="B1" t="s">
        <v>85</v>
      </c>
      <c r="C1" t="s">
        <v>87</v>
      </c>
    </row>
    <row r="2" spans="1:3" x14ac:dyDescent="0.3">
      <c r="A2" t="str">
        <f>'BUY Portfolio'!H5</f>
        <v>Information Technology</v>
      </c>
      <c r="B2" s="154">
        <f>'BUY Portfolio'!I5*100</f>
        <v>36.854716705490667</v>
      </c>
      <c r="C2">
        <v>1</v>
      </c>
    </row>
    <row r="3" spans="1:3" x14ac:dyDescent="0.3">
      <c r="A3" t="str">
        <f>'BUY Portfolio'!H6</f>
        <v>Health Care</v>
      </c>
      <c r="B3" s="154">
        <f>'BUY Portfolio'!I6*100</f>
        <v>20.962292124663829</v>
      </c>
      <c r="C3">
        <v>2</v>
      </c>
    </row>
    <row r="4" spans="1:3" x14ac:dyDescent="0.3">
      <c r="A4" t="str">
        <f>'BUY Portfolio'!H7</f>
        <v>Consumer Discretionary</v>
      </c>
      <c r="B4" s="154">
        <f>'BUY Portfolio'!I7*100</f>
        <v>12.004675685711351</v>
      </c>
      <c r="C4">
        <v>3</v>
      </c>
    </row>
    <row r="5" spans="1:3" x14ac:dyDescent="0.3">
      <c r="A5" t="str">
        <f>'BUY Portfolio'!H8</f>
        <v>Industrials</v>
      </c>
      <c r="B5" s="154">
        <f>'BUY Portfolio'!I8*100</f>
        <v>11.977017521717757</v>
      </c>
      <c r="C5">
        <v>4</v>
      </c>
    </row>
    <row r="6" spans="1:3" x14ac:dyDescent="0.3">
      <c r="A6" t="str">
        <f>'BUY Portfolio'!H9</f>
        <v>Financials</v>
      </c>
      <c r="B6" s="154">
        <f>'BUY Portfolio'!I9*100</f>
        <v>9.135209548890872</v>
      </c>
      <c r="C6">
        <v>5</v>
      </c>
    </row>
    <row r="7" spans="1:3" x14ac:dyDescent="0.3">
      <c r="A7" t="str">
        <f>'BUY Portfolio'!H10</f>
        <v>Consumer Staples</v>
      </c>
      <c r="B7" s="154">
        <f>'BUY Portfolio'!I10*100</f>
        <v>5.1276618056670751</v>
      </c>
      <c r="C7">
        <v>6</v>
      </c>
    </row>
    <row r="8" spans="1:3" x14ac:dyDescent="0.3">
      <c r="A8" t="str">
        <f>'BUY Portfolio'!H11</f>
        <v>Communication Services</v>
      </c>
      <c r="B8" s="154">
        <f>'BUY Portfolio'!I11*100</f>
        <v>3.9277775009029203</v>
      </c>
      <c r="C8">
        <v>7</v>
      </c>
    </row>
    <row r="9" spans="1:3" x14ac:dyDescent="0.3">
      <c r="B9" s="154"/>
    </row>
    <row r="10" spans="1:3" x14ac:dyDescent="0.3">
      <c r="B10" s="154"/>
    </row>
    <row r="11" spans="1:3" x14ac:dyDescent="0.3">
      <c r="B11" s="154"/>
    </row>
    <row r="12" spans="1:3" x14ac:dyDescent="0.3">
      <c r="B12" s="154"/>
    </row>
    <row r="13" spans="1:3" x14ac:dyDescent="0.3">
      <c r="B13" s="154"/>
    </row>
    <row r="14" spans="1:3" x14ac:dyDescent="0.3">
      <c r="B14" s="154"/>
    </row>
    <row r="15" spans="1:3" x14ac:dyDescent="0.3">
      <c r="B15" s="1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2606-18BD-43F5-B41C-691CB4392628}">
  <sheetPr>
    <tabColor rgb="FFC00000"/>
  </sheetPr>
  <dimension ref="A1:G9"/>
  <sheetViews>
    <sheetView workbookViewId="0">
      <selection activeCell="A7" sqref="A7"/>
    </sheetView>
  </sheetViews>
  <sheetFormatPr defaultRowHeight="14.4" x14ac:dyDescent="0.3"/>
  <cols>
    <col min="1" max="1" width="22" bestFit="1" customWidth="1"/>
    <col min="2" max="5" width="9.109375" style="156"/>
    <col min="6" max="6" width="15.6640625" style="156" bestFit="1" customWidth="1"/>
  </cols>
  <sheetData>
    <row r="1" spans="1:7" x14ac:dyDescent="0.3">
      <c r="A1" s="155" t="str">
        <f>'BUY Fact Sheet Backup'!S22</f>
        <v>Share Class/Benchmark</v>
      </c>
      <c r="B1" s="156" t="str">
        <f>'BUY Fact Sheet Backup'!T22</f>
        <v>YTD</v>
      </c>
      <c r="C1" s="156" t="str">
        <f>'BUY Fact Sheet Backup'!U22</f>
        <v>1YR</v>
      </c>
      <c r="D1" s="156" t="str">
        <f>'BUY Fact Sheet Backup'!V22</f>
        <v>3YR</v>
      </c>
      <c r="E1" s="156" t="str">
        <f>'BUY Fact Sheet Backup'!W22</f>
        <v>5YR</v>
      </c>
      <c r="F1" s="156" t="s">
        <v>86</v>
      </c>
      <c r="G1" t="s">
        <v>87</v>
      </c>
    </row>
    <row r="2" spans="1:7" x14ac:dyDescent="0.3">
      <c r="A2" s="155" t="s">
        <v>48</v>
      </c>
      <c r="B2" s="156">
        <f>'BUY Fact Sheet Backup'!L13</f>
        <v>2.5100000000000002</v>
      </c>
      <c r="C2" s="156">
        <f>'BUY Fact Sheet Backup'!M13</f>
        <v>2.5118896108245803</v>
      </c>
      <c r="D2" s="156">
        <f>'BUY Fact Sheet Backup'!N13</f>
        <v>3.7648641636830238</v>
      </c>
      <c r="E2" s="156">
        <f>'BUY Fact Sheet Backup'!O13</f>
        <v>9.0339593209082913</v>
      </c>
      <c r="F2" s="156">
        <f>'BUY Fact Sheet Backup'!P13</f>
        <v>6.2675598163236312</v>
      </c>
      <c r="G2">
        <v>1</v>
      </c>
    </row>
    <row r="3" spans="1:7" x14ac:dyDescent="0.3">
      <c r="A3" s="155" t="s">
        <v>42</v>
      </c>
      <c r="B3" s="156">
        <f>'BUY Fact Sheet Backup'!L14</f>
        <v>2.25</v>
      </c>
      <c r="C3" s="156">
        <f>'BUY Fact Sheet Backup'!M14</f>
        <v>2.25</v>
      </c>
      <c r="D3" s="156">
        <f>'BUY Fact Sheet Backup'!N14</f>
        <v>3.49</v>
      </c>
      <c r="E3" s="156">
        <f>'BUY Fact Sheet Backup'!O14</f>
        <v>8.77</v>
      </c>
      <c r="F3" s="156">
        <f>'BUY Fact Sheet Backup'!P14</f>
        <v>5.99</v>
      </c>
      <c r="G3">
        <v>2</v>
      </c>
    </row>
    <row r="4" spans="1:7" x14ac:dyDescent="0.3">
      <c r="A4" s="155" t="s">
        <v>43</v>
      </c>
      <c r="B4" s="156">
        <f>'BUY Fact Sheet Backup'!L15</f>
        <v>1.38</v>
      </c>
      <c r="C4" s="156">
        <f>'BUY Fact Sheet Backup'!M15</f>
        <v>1.38</v>
      </c>
      <c r="D4" s="156">
        <f>'BUY Fact Sheet Backup'!N15</f>
        <v>2.7</v>
      </c>
      <c r="E4" s="156">
        <f>'BUY Fact Sheet Backup'!O15</f>
        <v>7.95</v>
      </c>
      <c r="F4" s="156">
        <f>'BUY Fact Sheet Backup'!P15</f>
        <v>5.2</v>
      </c>
      <c r="G4">
        <v>3</v>
      </c>
    </row>
    <row r="5" spans="1:7" x14ac:dyDescent="0.3">
      <c r="A5" s="155" t="s">
        <v>62</v>
      </c>
      <c r="B5" s="156">
        <f>'BUY Fact Sheet Backup'!L16</f>
        <v>12.39</v>
      </c>
      <c r="C5" s="156">
        <f>'BUY Fact Sheet Backup'!M16</f>
        <v>12.39</v>
      </c>
      <c r="D5" s="156">
        <f>'BUY Fact Sheet Backup'!N16</f>
        <v>8.27</v>
      </c>
      <c r="E5" s="156">
        <f>'BUY Fact Sheet Backup'!O16</f>
        <v>11.08</v>
      </c>
      <c r="F5" s="156">
        <f>'BUY Fact Sheet Backup'!P16</f>
        <v>7.8589846324937707</v>
      </c>
      <c r="G5">
        <v>4</v>
      </c>
    </row>
    <row r="6" spans="1:7" x14ac:dyDescent="0.3">
      <c r="A6" s="155" t="s">
        <v>137</v>
      </c>
      <c r="B6" s="156">
        <f>'BUY Fact Sheet Backup'!L17</f>
        <v>18.398826898926846</v>
      </c>
      <c r="C6" s="156">
        <f>'BUY Fact Sheet Backup'!M17</f>
        <v>18.398826898926846</v>
      </c>
      <c r="D6" s="156">
        <f>'BUY Fact Sheet Backup'!N17</f>
        <v>14.178904188562003</v>
      </c>
      <c r="E6" s="156">
        <f>'BUY Fact Sheet Backup'!O17</f>
        <v>15.216856682869984</v>
      </c>
      <c r="F6" s="156">
        <f>'BUY Fact Sheet Backup'!P17</f>
        <v>12.92</v>
      </c>
      <c r="G6">
        <v>5</v>
      </c>
    </row>
    <row r="7" spans="1:7" x14ac:dyDescent="0.3">
      <c r="A7" s="155" t="s">
        <v>138</v>
      </c>
      <c r="B7" s="156">
        <f>'BUY Fact Sheet Backup'!L18</f>
        <v>20.887815046427917</v>
      </c>
      <c r="C7" s="156">
        <f>'BUY Fact Sheet Backup'!M18</f>
        <v>20.887815046427917</v>
      </c>
      <c r="D7" s="156">
        <f>'BUY Fact Sheet Backup'!N18</f>
        <v>14.492731741635257</v>
      </c>
      <c r="E7" s="156">
        <f>'BUY Fact Sheet Backup'!O18</f>
        <v>15.432835432419733</v>
      </c>
      <c r="F7" s="156">
        <f>'BUY Fact Sheet Backup'!P18</f>
        <v>12.760328113022968</v>
      </c>
      <c r="G7">
        <v>6</v>
      </c>
    </row>
    <row r="8" spans="1:7" x14ac:dyDescent="0.3">
      <c r="A8" s="155" t="s">
        <v>44</v>
      </c>
      <c r="B8" s="156">
        <f>'BUY Fact Sheet Backup'!L19</f>
        <v>-3.65</v>
      </c>
      <c r="C8" s="156">
        <f>'BUY Fact Sheet Backup'!M19</f>
        <v>-3.65</v>
      </c>
      <c r="D8" s="156">
        <f>'BUY Fact Sheet Backup'!N19</f>
        <v>1.47</v>
      </c>
      <c r="E8" s="156">
        <f>'BUY Fact Sheet Backup'!O19</f>
        <v>7.5</v>
      </c>
      <c r="F8" s="156">
        <f>'BUY Fact Sheet Backup'!P19</f>
        <v>5.0999999999999996</v>
      </c>
      <c r="G8">
        <v>7</v>
      </c>
    </row>
    <row r="9" spans="1:7" x14ac:dyDescent="0.3">
      <c r="A9" s="155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9FE0-1575-4562-9EB5-F6AB40F72705}">
  <sheetPr>
    <tabColor rgb="FFC00000"/>
  </sheetPr>
  <dimension ref="A1:C5"/>
  <sheetViews>
    <sheetView workbookViewId="0">
      <selection activeCell="A2" sqref="A2:A5"/>
    </sheetView>
  </sheetViews>
  <sheetFormatPr defaultRowHeight="14.4" x14ac:dyDescent="0.3"/>
  <cols>
    <col min="1" max="1" width="27.88671875" bestFit="1" customWidth="1"/>
  </cols>
  <sheetData>
    <row r="1" spans="1:3" x14ac:dyDescent="0.3">
      <c r="A1" t="s">
        <v>84</v>
      </c>
      <c r="B1" t="s">
        <v>88</v>
      </c>
      <c r="C1" t="s">
        <v>87</v>
      </c>
    </row>
    <row r="2" spans="1:3" x14ac:dyDescent="0.3">
      <c r="A2" t="s">
        <v>139</v>
      </c>
      <c r="B2" s="157">
        <f>'BUY Portfolio'!C5</f>
        <v>33</v>
      </c>
      <c r="C2">
        <v>1</v>
      </c>
    </row>
    <row r="3" spans="1:3" x14ac:dyDescent="0.3">
      <c r="A3" t="s">
        <v>140</v>
      </c>
      <c r="B3" s="157" t="str">
        <f>'BUY Portfolio'!C6</f>
        <v>$210.2B</v>
      </c>
      <c r="C3">
        <v>2</v>
      </c>
    </row>
    <row r="4" spans="1:3" x14ac:dyDescent="0.3">
      <c r="A4" t="s">
        <v>141</v>
      </c>
      <c r="B4" s="157" t="str">
        <f>'BUY Portfolio'!C7</f>
        <v>$18.1B</v>
      </c>
      <c r="C4">
        <v>3</v>
      </c>
    </row>
    <row r="5" spans="1:3" x14ac:dyDescent="0.3">
      <c r="A5" t="s">
        <v>142</v>
      </c>
      <c r="B5" s="158">
        <f>'BUY Portfolio'!C8</f>
        <v>31.615826266473455</v>
      </c>
      <c r="C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6E0F-C3C1-44AD-B94F-F231B1ED2A12}">
  <sheetPr>
    <tabColor rgb="FFC00000"/>
  </sheetPr>
  <dimension ref="A1:C11"/>
  <sheetViews>
    <sheetView workbookViewId="0"/>
  </sheetViews>
  <sheetFormatPr defaultRowHeight="14.4" x14ac:dyDescent="0.3"/>
  <cols>
    <col min="1" max="1" width="20.33203125" bestFit="1" customWidth="1"/>
  </cols>
  <sheetData>
    <row r="1" spans="1:3" x14ac:dyDescent="0.3">
      <c r="A1" t="s">
        <v>84</v>
      </c>
      <c r="B1" t="s">
        <v>88</v>
      </c>
      <c r="C1" t="s">
        <v>87</v>
      </c>
    </row>
    <row r="2" spans="1:3" x14ac:dyDescent="0.3">
      <c r="A2" t="str">
        <f>'BUY Portfolio'!E5</f>
        <v>Apple Inc</v>
      </c>
      <c r="B2" s="154">
        <f>'BUY Portfolio'!F5*100</f>
        <v>8.5</v>
      </c>
      <c r="C2">
        <v>1</v>
      </c>
    </row>
    <row r="3" spans="1:3" x14ac:dyDescent="0.3">
      <c r="A3" t="str">
        <f>'BUY Portfolio'!E6</f>
        <v>Qorvo Inc</v>
      </c>
      <c r="B3" s="154">
        <f>'BUY Portfolio'!F6*100</f>
        <v>7.5</v>
      </c>
      <c r="C3">
        <v>2</v>
      </c>
    </row>
    <row r="4" spans="1:3" x14ac:dyDescent="0.3">
      <c r="A4" t="str">
        <f>'BUY Portfolio'!E7</f>
        <v>Pool Corp</v>
      </c>
      <c r="B4" s="154">
        <f>'BUY Portfolio'!F7*100</f>
        <v>5.8999999999999995</v>
      </c>
      <c r="C4">
        <v>3</v>
      </c>
    </row>
    <row r="5" spans="1:3" x14ac:dyDescent="0.3">
      <c r="A5" t="str">
        <f>'BUY Portfolio'!E8</f>
        <v>Triton International Ltd/Bermu</v>
      </c>
      <c r="B5" s="154">
        <f>'BUY Portfolio'!F8*100</f>
        <v>4.7</v>
      </c>
      <c r="C5">
        <v>4</v>
      </c>
    </row>
    <row r="6" spans="1:3" x14ac:dyDescent="0.3">
      <c r="A6" t="str">
        <f>'BUY Portfolio'!E9</f>
        <v>West Pharmaceutical Services I</v>
      </c>
      <c r="B6" s="154">
        <f>'BUY Portfolio'!F9*100</f>
        <v>4.5999999999999996</v>
      </c>
      <c r="C6">
        <v>5</v>
      </c>
    </row>
    <row r="7" spans="1:3" x14ac:dyDescent="0.3">
      <c r="A7" t="str">
        <f>'BUY Portfolio'!E10</f>
        <v>GoDaddy Inc</v>
      </c>
      <c r="B7" s="154">
        <f>'BUY Portfolio'!F10*100</f>
        <v>4.3999999999999995</v>
      </c>
      <c r="C7">
        <v>6</v>
      </c>
    </row>
    <row r="8" spans="1:3" x14ac:dyDescent="0.3">
      <c r="A8" t="str">
        <f>'BUY Portfolio'!E11</f>
        <v>Microsoft Corp</v>
      </c>
      <c r="B8" s="154">
        <f>'BUY Portfolio'!F11*100</f>
        <v>4.2</v>
      </c>
      <c r="C8">
        <v>7</v>
      </c>
    </row>
    <row r="9" spans="1:3" x14ac:dyDescent="0.3">
      <c r="A9" t="str">
        <f>'BUY Portfolio'!E12</f>
        <v>Mr Cooper Group Inc</v>
      </c>
      <c r="B9" s="154">
        <f>'BUY Portfolio'!F12*100</f>
        <v>3.9</v>
      </c>
      <c r="C9">
        <v>8</v>
      </c>
    </row>
    <row r="10" spans="1:3" x14ac:dyDescent="0.3">
      <c r="A10" t="str">
        <f>'BUY Portfolio'!E13</f>
        <v>Providence Service Corp/The</v>
      </c>
      <c r="B10" s="154">
        <f>'BUY Portfolio'!F13*100</f>
        <v>3.6999999999999997</v>
      </c>
      <c r="C10">
        <v>9</v>
      </c>
    </row>
    <row r="11" spans="1:3" x14ac:dyDescent="0.3">
      <c r="A11" t="str">
        <f>'BUY Portfolio'!E14</f>
        <v>Masimo Corp</v>
      </c>
      <c r="B11" s="154">
        <f>'BUY Portfolio'!F14*100</f>
        <v>3.5999999999999996</v>
      </c>
      <c r="C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AEA4-CA22-41AE-A1A3-10A3A98C6279}">
  <sheetPr>
    <tabColor rgb="FFC00000"/>
  </sheetPr>
  <dimension ref="A1:D4"/>
  <sheetViews>
    <sheetView workbookViewId="0"/>
  </sheetViews>
  <sheetFormatPr defaultRowHeight="14.4" x14ac:dyDescent="0.3"/>
  <cols>
    <col min="1" max="1" width="10.5546875" bestFit="1" customWidth="1"/>
    <col min="2" max="2" width="9.6640625" customWidth="1"/>
    <col min="3" max="3" width="14.109375" bestFit="1" customWidth="1"/>
  </cols>
  <sheetData>
    <row r="1" spans="1:4" x14ac:dyDescent="0.3">
      <c r="A1" t="s">
        <v>84</v>
      </c>
      <c r="B1" t="s">
        <v>35</v>
      </c>
      <c r="C1" t="s">
        <v>62</v>
      </c>
      <c r="D1" t="s">
        <v>87</v>
      </c>
    </row>
    <row r="2" spans="1:4" x14ac:dyDescent="0.3">
      <c r="A2" t="s">
        <v>143</v>
      </c>
      <c r="B2" s="156">
        <f>'BUY Fact Sheet Backup'!L8*100</f>
        <v>-1.0338375846980039</v>
      </c>
      <c r="C2" t="str">
        <f>'BUY Fact Sheet Backup'!M8</f>
        <v>-</v>
      </c>
      <c r="D2">
        <v>1</v>
      </c>
    </row>
    <row r="3" spans="1:4" x14ac:dyDescent="0.3">
      <c r="A3" t="s">
        <v>144</v>
      </c>
      <c r="B3" s="156">
        <f>'BUY Fact Sheet Backup'!L9</f>
        <v>0.92839221597015387</v>
      </c>
      <c r="C3" t="str">
        <f>'BUY Fact Sheet Backup'!M9</f>
        <v>-</v>
      </c>
      <c r="D3">
        <v>2</v>
      </c>
    </row>
    <row r="4" spans="1:4" x14ac:dyDescent="0.3">
      <c r="A4" t="s">
        <v>145</v>
      </c>
      <c r="B4" s="156">
        <f>'BUY Fact Sheet Backup'!L10</f>
        <v>0.91118483576664933</v>
      </c>
      <c r="C4" t="str">
        <f>'BUY Fact Sheet Backup'!M10</f>
        <v>-</v>
      </c>
      <c r="D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BUY Fact Sheet Backup</vt:lpstr>
      <vt:lpstr>BUY Portfolio</vt:lpstr>
      <vt:lpstr>BUY</vt:lpstr>
      <vt:lpstr>BUY_EXPORT_AnnualReturn</vt:lpstr>
      <vt:lpstr>BUY_EXPORT_PortfolioSector</vt:lpstr>
      <vt:lpstr>BUY_EXPORT_PerformanceTable</vt:lpstr>
      <vt:lpstr>BUY_EXPORT_PortCharacter</vt:lpstr>
      <vt:lpstr>BUY_EXPORT_TopHoldings</vt:lpstr>
      <vt:lpstr>BUY_EXPORT_PerformanceRisks</vt:lpstr>
      <vt:lpstr>BUY!Print_Titles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cp:lastPrinted>2016-07-18T17:42:26Z</cp:lastPrinted>
  <dcterms:created xsi:type="dcterms:W3CDTF">2016-07-07T21:04:40Z</dcterms:created>
  <dcterms:modified xsi:type="dcterms:W3CDTF">2021-01-11T19:32:02Z</dcterms:modified>
</cp:coreProperties>
</file>